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roduits" sheetId="3" state="visible" r:id="rId3"/>
    <sheet xmlns:r="http://schemas.openxmlformats.org/officeDocument/2006/relationships" name="Nomenclatures" sheetId="4" state="visible" r:id="rId4"/>
    <sheet xmlns:r="http://schemas.openxmlformats.org/officeDocument/2006/relationships" name="Gammes" sheetId="5" state="visible" r:id="rId5"/>
    <sheet xmlns:r="http://schemas.openxmlformats.org/officeDocument/2006/relationships" name="Fiche de coût" sheetId="6" state="visible" r:id="rId6"/>
    <sheet xmlns:r="http://schemas.openxmlformats.org/officeDocument/2006/relationships" name="Simulation" sheetId="7" state="visible" r:id="rId7"/>
    <sheet xmlns:r="http://schemas.openxmlformats.org/officeDocument/2006/relationships" name="Matières" sheetId="8" state="visible" r:id="rId8"/>
    <sheet xmlns:r="http://schemas.openxmlformats.org/officeDocument/2006/relationships" name="Postes" sheetId="9" state="visible" r:id="rId9"/>
    <sheet xmlns:r="http://schemas.openxmlformats.org/officeDocument/2006/relationships" name="Paramètres" sheetId="10" state="visible" r:id="rId10"/>
    <sheet xmlns:r="http://schemas.openxmlformats.org/officeDocument/2006/relationships" name="Pourquoi Qualis ERP" sheetId="11" state="visible" r:id="rId11"/>
  </sheets>
  <definedNames>
    <definedName name="prod_ref">'Produits'!$A$6:$A$305</definedName>
    <definedName name="prod_des">'Produits'!$B$6:$B$305</definedName>
    <definedName name="prod_lot">'Produits'!$D$6:$D$305</definedName>
    <definedName name="prod_vol">'Produits'!$E$6:$E$305</definedName>
    <definedName name="prod_pv">'Produits'!$F$6:$F$305</definedName>
    <definedName name="prod_st">'Produits'!$G$6:$G$305</definedName>
    <definedName name="prod_emb">'Produits'!$H$6:$H$305</definedName>
    <definedName name="prod_tr">'Produits'!$I$6:$I$305</definedName>
    <definedName name="prod_mat">'Produits'!$L$6:$L$305</definedName>
    <definedName name="prod_mo">'Produits'!$M$6:$M$305</definedName>
    <definedName name="prod_mac">'Produits'!$N$6:$N$305</definedName>
    <definedName name="prod_reg">'Produits'!$O$6:$O$305</definedName>
    <definedName name="prod_fg">'Produits'!$P$6:$P$305</definedName>
    <definedName name="prod_cp">'Produits'!$Q$6:$Q$305</definedName>
    <definedName name="prod_cr">'Produits'!$R$6:$R$305</definedName>
    <definedName name="prod_min">'Produits'!$S$6:$S$305</definedName>
    <definedName name="prod_marge">'Produits'!$T$6:$T$305</definedName>
    <definedName name="prod_tm">'Produits'!$U$6:$U$305</definedName>
    <definedName name="prod_tmq">'Produits'!$V$6:$V$305</definedName>
    <definedName name="prod_stat">'Produits'!$W$6:$W$305</definedName>
    <definedName name="prod_check">'Produits'!$X$6:$X$305</definedName>
    <definedName name="prod_fgr">'Produits'!$Y$6:$Y$305</definedName>
    <definedName name="prod_tgr">'Produits'!$Z$6:$Z$305</definedName>
    <definedName name="prod_ca">'Produits'!$AA$6:$AA$305</definedName>
    <definedName name="prod_ma">'Produits'!$AB$6:$AB$305</definedName>
    <definedName name="prod_cc">'Produits'!$AC$6:$AC$305</definedName>
    <definedName name="w_mat">'Produits'!$AD$6:$AD$305</definedName>
    <definedName name="w_mo">'Produits'!$AE$6:$AE$305</definedName>
    <definedName name="w_mac">'Produits'!$AF$6:$AF$305</definedName>
    <definedName name="w_reg">'Produits'!$AG$6:$AG$305</definedName>
    <definedName name="w_aut">'Produits'!$AH$6:$AH$305</definedName>
    <definedName name="w_fg">'Produits'!$AI$6:$AI$305</definedName>
    <definedName name="prod_rk">'Produits'!$AJ$6:$AJ$305</definedName>
    <definedName name="prod_alk">'Produits'!$AK$6:$AK$305</definedName>
    <definedName name="prod_ark">'Produits'!$AL$6:$AL$305</definedName>
    <definedName name="mat_ref">'Matières'!$A$6:$A$505</definedName>
    <definedName name="mat_des">'Matières'!$B$6:$B$505</definedName>
    <definedName name="mat_unit">'Matières'!$C$6:$C$505</definedName>
    <definedName name="mat_price">'Matières'!$D$6:$D$505</definedName>
    <definedName name="mat_loss">'Matières'!$E$6:$E$505</definedName>
    <definedName name="mat_age">'Matières'!$H$6:$H$505</definedName>
    <definedName name="mat_check">'Matières'!$I$6:$I$505</definedName>
    <definedName name="po_code">'Postes'!$A$6:$A$45</definedName>
    <definedName name="po_name">'Postes'!$B$6:$B$45</definedName>
    <definedName name="po_mo">'Postes'!$E$6:$E$45</definedName>
    <definedName name="po_mac">'Postes'!$F$6:$F$45</definedName>
    <definedName name="po_check">'Postes'!$G$6:$G$45</definedName>
    <definedName name="bom_prod">'Nomenclatures'!$A$6:$A$3005</definedName>
    <definedName name="bom_mat">'Nomenclatures'!$B$6:$B$3005</definedName>
    <definedName name="bom_des">'Nomenclatures'!$C$6:$C$3005</definedName>
    <definedName name="bom_unit">'Nomenclatures'!$D$6:$D$3005</definedName>
    <definedName name="bom_qty">'Nomenclatures'!$E$6:$E$3005</definedName>
    <definedName name="bom_loss">'Nomenclatures'!$G$6:$G$3005</definedName>
    <definedName name="bom_price">'Nomenclatures'!$H$6:$H$3005</definedName>
    <definedName name="bom_cost">'Nomenclatures'!$I$6:$I$3005</definedName>
    <definedName name="bom_check">'Nomenclatures'!$J$6:$J$3005</definedName>
    <definedName name="bom_rk">'Nomenclatures'!$K$6:$K$3005</definedName>
    <definedName name="gam_prod">'Gammes'!$A$6:$A$2005</definedName>
    <definedName name="gam_op">'Gammes'!$B$6:$B$2005</definedName>
    <definedName name="gam_label">'Gammes'!$C$6:$C$2005</definedName>
    <definedName name="gam_poste">'Gammes'!$D$6:$D$2005</definedName>
    <definedName name="gam_setup_h">'Gammes'!$E$6:$E$2005</definedName>
    <definedName name="gam_time">'Gammes'!$F$6:$F$2005</definedName>
    <definedName name="gam_ops">'Gammes'!$G$6:$G$2005</definedName>
    <definedName name="gam_setup">'Gammes'!$J$6:$J$2005</definedName>
    <definedName name="gam_mo">'Gammes'!$K$6:$K$2005</definedName>
    <definedName name="gam_mac">'Gammes'!$L$6:$L$2005</definedName>
    <definedName name="gam_check">'Gammes'!$M$6:$M$2005</definedName>
    <definedName name="gam_rk">'Gammes'!$N$6:$N$2005</definedName>
    <definedName name="p_company">'Paramètres'!$B$5</definedName>
    <definedName name="p_fg">'Paramètres'!$B$7</definedName>
    <definedName name="p_target">'Paramètres'!$B$8</definedName>
    <definedName name="p_mo">'Paramètres'!$B$9</definedName>
    <definedName name="p_mac">'Paramètres'!$B$10</definedName>
    <definedName name="p_age">'Paramètres'!$B$11</definedName>
    <definedName name="p_units">'Paramètres'!$D$6:$D$25</definedName>
    <definedName name="fiche_sel">'Fiche de coût'!$C$5</definedName>
    <definedName name="fiche_m">'Fiche de coût'!$L$5</definedName>
    <definedName name="sim_sel">'Simulation'!$C$5</definedName>
    <definedName name="sim_m">'Simulation'!$N$5</definedName>
    <definedName name="p_currency">'Paramètres'!$B$6</definedName>
    <definedName name="_xlnm._FilterDatabase" localSheetId="2" hidden="1">'Produits'!$A$5:$X$305</definedName>
    <definedName name="_xlnm.Print_Titles" localSheetId="2">'Produits'!$5:$5</definedName>
    <definedName name="_xlnm._FilterDatabase" localSheetId="3" hidden="1">'Nomenclatures'!$A$5:$J$3005</definedName>
    <definedName name="_xlnm.Print_Titles" localSheetId="3">'Nomenclatures'!$5:$5</definedName>
    <definedName name="_xlnm._FilterDatabase" localSheetId="4" hidden="1">'Gammes'!$A$5:$M$2005</definedName>
    <definedName name="_xlnm.Print_Titles" localSheetId="4">'Gammes'!$5:$5</definedName>
    <definedName name="_xlnm._FilterDatabase" localSheetId="7" hidden="1">'Matières'!$A$5:$I$505</definedName>
    <definedName name="_xlnm.Print_Titles" localSheetId="7">'Matières'!$5:$5</definedName>
    <definedName name="_xlnm.Print_Titles" localSheetId="8">'Postes'!$5:$5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dd/mm/yyyy"/>
    <numFmt numFmtId="166" formatCode="#,##0.##"/>
    <numFmt numFmtId="167" formatCode="+0%;-0%;0%"/>
  </numFmts>
  <fonts count="35">
    <font>
      <name val="Calibri"/>
      <family val="2"/>
      <color theme="1"/>
      <sz val="11"/>
      <scheme val="minor"/>
    </font>
    <font>
      <name val="Calibri"/>
      <b val="1"/>
      <color rgb="FFFFFFFF"/>
      <sz val="18"/>
    </font>
    <font>
      <name val="Calibri"/>
      <i val="1"/>
      <color rgb="FFB45309"/>
      <sz val="10"/>
    </font>
    <font>
      <name val="Calibri"/>
      <b val="1"/>
      <color rgb="FF0F172A"/>
      <sz val="12"/>
    </font>
    <font>
      <name val="Calibri"/>
      <b val="1"/>
      <color rgb="FFB45309"/>
      <sz val="10"/>
      <u val="single"/>
    </font>
    <font>
      <name val="Calibri"/>
      <color rgb="FF1E293B"/>
      <sz val="10"/>
    </font>
    <font>
      <name val="Calibri"/>
      <b val="1"/>
      <color rgb="FF0F172A"/>
      <sz val="10"/>
    </font>
    <font>
      <name val="Calibri"/>
      <color rgb="FF1E293B"/>
      <sz val="9"/>
    </font>
    <font>
      <name val="Calibri"/>
      <color rgb="FF64748B"/>
      <sz val="9"/>
    </font>
    <font>
      <name val="Calibri"/>
      <b val="1"/>
      <color rgb="FFFFFFFF"/>
      <sz val="10"/>
      <u val="single"/>
    </font>
    <font>
      <name val="Calibri"/>
      <b val="1"/>
      <color rgb="FF1E293B"/>
      <sz val="10"/>
    </font>
    <font>
      <name val="Calibri"/>
      <b val="1"/>
      <color rgb="FF1E293B"/>
      <sz val="11"/>
    </font>
    <font>
      <name val="Calibri"/>
      <i val="1"/>
      <color rgb="FF64748B"/>
      <sz val="9"/>
    </font>
    <font>
      <name val="Calibri"/>
      <b val="1"/>
      <color rgb="FFFFFFFF"/>
      <sz val="10"/>
    </font>
    <font>
      <name val="Calibri"/>
      <color rgb="FF334155"/>
      <sz val="10"/>
    </font>
    <font>
      <name val="Calibri"/>
      <color rgb="FF64748B"/>
      <sz val="8"/>
    </font>
    <font>
      <name val="Calibri"/>
      <b val="1"/>
      <color rgb="FF0F172A"/>
      <sz val="11"/>
    </font>
    <font>
      <name val="Calibri"/>
      <color rgb="FF0F172A"/>
      <sz val="10"/>
    </font>
    <font>
      <name val="Calibri"/>
      <b val="1"/>
      <color rgb="FF64748B"/>
      <sz val="9"/>
    </font>
    <font>
      <name val="Calibri"/>
      <b val="1"/>
      <color rgb="FFB45309"/>
      <sz val="20"/>
    </font>
    <font>
      <name val="Calibri"/>
      <i val="1"/>
      <color rgb="FF94A3B8"/>
      <sz val="8"/>
    </font>
    <font>
      <name val="Calibri"/>
      <b val="1"/>
      <color rgb="FFB91C1C"/>
      <sz val="20"/>
    </font>
    <font>
      <name val="Calibri"/>
      <b val="1"/>
      <color rgb="FF92400E"/>
      <sz val="20"/>
    </font>
    <font>
      <name val="Calibri"/>
      <b val="1"/>
      <color rgb="FF0F172A"/>
      <sz val="20"/>
    </font>
    <font>
      <name val="Calibri"/>
      <b val="1"/>
      <color rgb="FF166534"/>
      <sz val="20"/>
    </font>
    <font>
      <name val="Calibri"/>
      <b val="1"/>
      <color rgb="FF1E293B"/>
      <sz val="9"/>
    </font>
    <font>
      <name val="Calibri"/>
      <b val="1"/>
      <color rgb="FFFFFFFF"/>
      <sz val="22"/>
    </font>
    <font>
      <name val="Calibri"/>
      <b val="1"/>
      <color rgb="FFBFDBFE"/>
      <sz val="13"/>
    </font>
    <font>
      <name val="Calibri"/>
      <color rgb="FFE2E8F0"/>
      <sz val="10"/>
    </font>
    <font>
      <name val="Calibri"/>
      <color rgb="FF166534"/>
      <sz val="10"/>
    </font>
    <font>
      <name val="Calibri"/>
      <b val="1"/>
      <color rgb="FF475569"/>
      <sz val="9"/>
    </font>
    <font>
      <name val="Calibri"/>
      <b val="1"/>
      <color rgb="FF166534"/>
      <sz val="9"/>
    </font>
    <font>
      <name val="Calibri"/>
      <b val="1"/>
      <color rgb="FF1E3A8A"/>
      <sz val="13"/>
      <u val="single"/>
    </font>
    <font>
      <name val="Calibri"/>
      <b val="1"/>
      <color rgb="FF2563EB"/>
      <sz val="11"/>
      <u val="single"/>
    </font>
    <font>
      <name val="Calibri"/>
      <color rgb="FF2563EB"/>
      <sz val="10"/>
      <u val="single"/>
    </font>
  </fonts>
  <fills count="13">
    <fill>
      <patternFill/>
    </fill>
    <fill>
      <patternFill patternType="gray125"/>
    </fill>
    <fill>
      <patternFill patternType="solid">
        <fgColor rgb="FFB45309"/>
        <bgColor rgb="FFB45309"/>
      </patternFill>
    </fill>
    <fill>
      <patternFill patternType="solid">
        <fgColor rgb="FFFEF3C7"/>
        <bgColor rgb="FFFEF3C7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  <fill>
      <patternFill patternType="solid">
        <fgColor rgb="FFF1F5F9"/>
        <bgColor rgb="FFF1F5F9"/>
      </patternFill>
    </fill>
    <fill>
      <patternFill patternType="solid">
        <fgColor rgb="FF1E293B"/>
        <bgColor rgb="FF1E293B"/>
      </patternFill>
    </fill>
    <fill>
      <patternFill patternType="solid">
        <fgColor rgb="FFF6F8FB"/>
        <bgColor rgb="FFF6F8FB"/>
      </patternFill>
    </fill>
    <fill>
      <patternFill patternType="solid">
        <fgColor rgb="FF1E3A8A"/>
        <bgColor rgb="FF1E3A8A"/>
      </patternFill>
    </fill>
    <fill>
      <patternFill patternType="solid">
        <fgColor rgb="FF2563EB"/>
        <bgColor rgb="FF2563EB"/>
      </patternFill>
    </fill>
    <fill>
      <patternFill patternType="solid">
        <fgColor rgb="FFDBEAFE"/>
        <bgColor rgb="FFDBEAFE"/>
      </patternFill>
    </fill>
    <fill>
      <patternFill patternType="solid">
        <fgColor rgb="FFDCFCE7"/>
        <bgColor rgb="FFDCFCE7"/>
      </patternFill>
    </fill>
  </fills>
  <borders count="35">
    <border>
      <left/>
      <right/>
      <top/>
      <bottom/>
      <diagonal/>
    </border>
    <border>
      <bottom style="medium">
        <color rgb="FFB45309"/>
      </bottom>
    </border>
    <border>
      <bottom style="thin">
        <color rgb="FFE2E8F0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ck">
        <color rgb="FFB45309"/>
      </left>
      <top style="thin">
        <color rgb="FFE2E8F0"/>
      </top>
    </border>
    <border>
      <top style="thin">
        <color rgb="FFE2E8F0"/>
      </top>
    </border>
    <border>
      <right style="thin">
        <color rgb="FFE2E8F0"/>
      </right>
      <top style="thin">
        <color rgb="FFE2E8F0"/>
      </top>
    </border>
    <border>
      <left style="thick">
        <color rgb="FFB45309"/>
      </left>
    </border>
    <border/>
    <border>
      <right style="thin">
        <color rgb="FFE2E8F0"/>
      </right>
    </border>
    <border>
      <left style="thick">
        <color rgb="FFB45309"/>
      </left>
      <bottom style="thin">
        <color rgb="FFE2E8F0"/>
      </bottom>
    </border>
    <border>
      <right style="thin">
        <color rgb="FFE2E8F0"/>
      </right>
      <bottom style="thin">
        <color rgb="FFE2E8F0"/>
      </bottom>
    </border>
    <border>
      <left style="thick">
        <color rgb="FFB91C1C"/>
      </left>
      <top style="thin">
        <color rgb="FFE2E8F0"/>
      </top>
    </border>
    <border>
      <left style="thick">
        <color rgb="FFB91C1C"/>
      </left>
    </border>
    <border>
      <left style="thick">
        <color rgb="FFB91C1C"/>
      </left>
      <bottom style="thin">
        <color rgb="FFE2E8F0"/>
      </bottom>
    </border>
    <border>
      <left style="thick">
        <color rgb="FF92400E"/>
      </left>
      <top style="thin">
        <color rgb="FFE2E8F0"/>
      </top>
    </border>
    <border>
      <left style="thick">
        <color rgb="FF92400E"/>
      </left>
    </border>
    <border>
      <left style="thick">
        <color rgb="FF92400E"/>
      </left>
      <bottom style="thin">
        <color rgb="FFE2E8F0"/>
      </bottom>
    </border>
    <border>
      <left style="thick">
        <color rgb="FF0F172A"/>
      </left>
      <top style="thin">
        <color rgb="FFE2E8F0"/>
      </top>
    </border>
    <border>
      <left style="thick">
        <color rgb="FF0F172A"/>
      </left>
    </border>
    <border>
      <left style="thick">
        <color rgb="FF0F172A"/>
      </left>
      <bottom style="thin">
        <color rgb="FFE2E8F0"/>
      </bottom>
    </border>
    <border>
      <left style="thick">
        <color rgb="FF166534"/>
      </left>
      <top style="thin">
        <color rgb="FFE2E8F0"/>
      </top>
    </border>
    <border>
      <left style="thick">
        <color rgb="FF166534"/>
      </left>
    </border>
    <border>
      <left style="thick">
        <color rgb="FF166534"/>
      </left>
      <bottom style="thin">
        <color rgb="FFE2E8F0"/>
      </bottom>
    </border>
    <border>
      <left/>
      <right/>
      <top style="thin">
        <color rgb="FFCBD5E1"/>
      </top>
      <bottom style="thin">
        <color rgb="FFCBD5E1"/>
      </bottom>
      <diagonal/>
    </border>
    <border>
      <bottom style="medium">
        <color rgb="FF2563EB"/>
      </bottom>
    </border>
    <border>
      <left style="medium">
        <color rgb="FF2563EB"/>
      </left>
      <top style="medium">
        <color rgb="FF2563EB"/>
      </top>
      <bottom style="medium">
        <color rgb="FF2563EB"/>
      </bottom>
    </border>
    <border>
      <right style="medium">
        <color rgb="FF2563EB"/>
      </right>
      <top style="medium">
        <color rgb="FF2563EB"/>
      </top>
      <bottom style="medium">
        <color rgb="FF2563EB"/>
      </bottom>
    </border>
    <border>
      <left style="medium">
        <color rgb="FF2563EB"/>
      </left>
      <right style="medium">
        <color rgb="FF2563EB"/>
      </right>
      <top style="medium">
        <color rgb="FF2563EB"/>
      </top>
      <bottom style="medium">
        <color rgb="FF2563EB"/>
      </bottom>
    </border>
    <border>
      <left/>
      <right/>
      <top style="medium">
        <color rgb="FF2563EB"/>
      </top>
      <bottom/>
      <diagonal/>
    </border>
    <border>
      <left/>
      <right style="medium">
        <color rgb="FF2563EB"/>
      </right>
      <top style="medium">
        <color rgb="FF2563EB"/>
      </top>
      <bottom/>
      <diagonal/>
    </border>
    <border>
      <left/>
      <right style="medium">
        <color rgb="FF2563EB"/>
      </right>
      <top style="medium">
        <color rgb="FF2563EB"/>
      </top>
      <bottom style="medium">
        <color rgb="FF2563EB"/>
      </bottom>
      <diagonal/>
    </border>
  </borders>
  <cellStyleXfs count="1">
    <xf numFmtId="0" fontId="0" fillId="0" borderId="0"/>
  </cellStyleXfs>
  <cellXfs count="12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1"/>
    </xf>
    <xf numFmtId="0" fontId="0" fillId="3" borderId="0" pivotButton="0" quotePrefix="0" xfId="0"/>
    <xf numFmtId="0" fontId="2" fillId="3" borderId="0" applyAlignment="1" pivotButton="0" quotePrefix="0" xfId="0">
      <alignment vertical="center" indent="1"/>
    </xf>
    <xf numFmtId="0" fontId="3" fillId="0" borderId="1" pivotButton="0" quotePrefix="0" xfId="0"/>
    <xf numFmtId="0" fontId="0" fillId="0" borderId="1" pivotButton="0" quotePrefix="0" xfId="0"/>
    <xf numFmtId="0" fontId="4" fillId="4" borderId="2" applyAlignment="1" pivotButton="0" quotePrefix="0" xfId="0">
      <alignment vertical="center"/>
    </xf>
    <xf numFmtId="0" fontId="5" fillId="4" borderId="2" applyAlignment="1" pivotButton="0" quotePrefix="0" xfId="0">
      <alignment vertical="center" wrapText="1"/>
    </xf>
    <xf numFmtId="0" fontId="0" fillId="4" borderId="2" pivotButton="0" quotePrefix="0" xfId="0"/>
    <xf numFmtId="0" fontId="4" fillId="5" borderId="2" applyAlignment="1" pivotButton="0" quotePrefix="0" xfId="0">
      <alignment vertical="center"/>
    </xf>
    <xf numFmtId="0" fontId="5" fillId="5" borderId="2" applyAlignment="1" pivotButton="0" quotePrefix="0" xfId="0">
      <alignment vertical="center" wrapText="1"/>
    </xf>
    <xf numFmtId="0" fontId="0" fillId="5" borderId="2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4" borderId="3" applyAlignment="1" pivotButton="0" quotePrefix="0" xfId="0">
      <alignment horizontal="center"/>
    </xf>
    <xf numFmtId="0" fontId="8" fillId="6" borderId="3" applyAlignment="1" pivotButton="0" quotePrefix="0" xfId="0">
      <alignment horizontal="center"/>
    </xf>
    <xf numFmtId="0" fontId="9" fillId="2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/>
    </xf>
    <xf numFmtId="165" fontId="18" fillId="0" borderId="0" pivotButton="0" quotePrefix="0" xfId="0"/>
    <xf numFmtId="0" fontId="18" fillId="4" borderId="7" applyAlignment="1" pivotButton="0" quotePrefix="0" xfId="0">
      <alignment vertical="bottom" indent="1"/>
    </xf>
    <xf numFmtId="0" fontId="0" fillId="4" borderId="8" pivotButton="0" quotePrefix="0" xfId="0"/>
    <xf numFmtId="0" fontId="0" fillId="4" borderId="9" pivotButton="0" quotePrefix="0" xfId="0"/>
    <xf numFmtId="0" fontId="18" fillId="4" borderId="15" applyAlignment="1" pivotButton="0" quotePrefix="0" xfId="0">
      <alignment vertical="bottom" indent="1"/>
    </xf>
    <xf numFmtId="0" fontId="18" fillId="4" borderId="18" applyAlignment="1" pivotButton="0" quotePrefix="0" xfId="0">
      <alignment vertical="bottom" indent="1"/>
    </xf>
    <xf numFmtId="0" fontId="18" fillId="4" borderId="21" applyAlignment="1" pivotButton="0" quotePrefix="0" xfId="0">
      <alignment vertical="bottom" indent="1"/>
    </xf>
    <xf numFmtId="0" fontId="18" fillId="4" borderId="24" applyAlignment="1" pivotButton="0" quotePrefix="0" xfId="0">
      <alignment vertical="bottom" indent="1"/>
    </xf>
    <xf numFmtId="3" fontId="19" fillId="4" borderId="10" applyAlignment="1" pivotButton="0" quotePrefix="0" xfId="0">
      <alignment horizontal="left" vertical="center" indent="1"/>
    </xf>
    <xf numFmtId="0" fontId="0" fillId="4" borderId="11" pivotButton="0" quotePrefix="0" xfId="0"/>
    <xf numFmtId="0" fontId="0" fillId="4" borderId="12" pivotButton="0" quotePrefix="0" xfId="0"/>
    <xf numFmtId="3" fontId="21" fillId="4" borderId="16" applyAlignment="1" pivotButton="0" quotePrefix="0" xfId="0">
      <alignment horizontal="left" vertical="center" indent="1"/>
    </xf>
    <xf numFmtId="3" fontId="22" fillId="4" borderId="19" applyAlignment="1" pivotButton="0" quotePrefix="0" xfId="0">
      <alignment horizontal="left" vertical="center" indent="1"/>
    </xf>
    <xf numFmtId="164" fontId="23" fillId="4" borderId="22" applyAlignment="1" pivotButton="0" quotePrefix="0" xfId="0">
      <alignment horizontal="left" vertical="center" indent="1"/>
    </xf>
    <xf numFmtId="3" fontId="24" fillId="4" borderId="25" applyAlignment="1" pivotButton="0" quotePrefix="0" xfId="0">
      <alignment horizontal="left" vertical="center" indent="1"/>
    </xf>
    <xf numFmtId="0" fontId="20" fillId="4" borderId="13" applyAlignment="1" pivotButton="0" quotePrefix="0" xfId="0">
      <alignment vertical="top" indent="1"/>
    </xf>
    <xf numFmtId="0" fontId="0" fillId="4" borderId="14" pivotButton="0" quotePrefix="0" xfId="0"/>
    <xf numFmtId="0" fontId="20" fillId="4" borderId="17" applyAlignment="1" pivotButton="0" quotePrefix="0" xfId="0">
      <alignment vertical="top" indent="1"/>
    </xf>
    <xf numFmtId="0" fontId="20" fillId="4" borderId="20" applyAlignment="1" pivotButton="0" quotePrefix="0" xfId="0">
      <alignment vertical="top" indent="1"/>
    </xf>
    <xf numFmtId="0" fontId="20" fillId="4" borderId="23" applyAlignment="1" pivotButton="0" quotePrefix="0" xfId="0">
      <alignment vertical="top" indent="1"/>
    </xf>
    <xf numFmtId="0" fontId="20" fillId="4" borderId="26" applyAlignment="1" pivotButton="0" quotePrefix="0" xfId="0">
      <alignment vertical="top" indent="1"/>
    </xf>
    <xf numFmtId="0" fontId="12" fillId="0" borderId="0" pivotButton="0" quotePrefix="0" xfId="0"/>
    <xf numFmtId="0" fontId="13" fillId="7" borderId="3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6" pivotButton="0" quotePrefix="0" xfId="0"/>
    <xf numFmtId="0" fontId="25" fillId="6" borderId="3" applyAlignment="1" pivotButton="0" quotePrefix="0" xfId="0">
      <alignment horizontal="left"/>
    </xf>
    <xf numFmtId="4" fontId="7" fillId="6" borderId="3" applyAlignment="1" pivotButton="0" quotePrefix="0" xfId="0">
      <alignment horizontal="right"/>
    </xf>
    <xf numFmtId="4" fontId="25" fillId="6" borderId="3" applyAlignment="1" pivotButton="0" quotePrefix="0" xfId="0">
      <alignment horizontal="right"/>
    </xf>
    <xf numFmtId="0" fontId="7" fillId="4" borderId="3" pivotButton="0" quotePrefix="0" xfId="0"/>
    <xf numFmtId="3" fontId="7" fillId="6" borderId="3" pivotButton="0" quotePrefix="0" xfId="0"/>
    <xf numFmtId="0" fontId="7" fillId="6" borderId="3" pivotButton="0" quotePrefix="0" xfId="0"/>
    <xf numFmtId="164" fontId="7" fillId="6" borderId="3" applyAlignment="1" pivotButton="0" quotePrefix="0" xfId="0">
      <alignment horizontal="center"/>
    </xf>
    <xf numFmtId="0" fontId="25" fillId="5" borderId="3" pivotButton="0" quotePrefix="0" xfId="0"/>
    <xf numFmtId="3" fontId="25" fillId="5" borderId="3" pivotButton="0" quotePrefix="0" xfId="0"/>
    <xf numFmtId="0" fontId="12" fillId="0" borderId="0" applyAlignment="1" pivotButton="0" quotePrefix="0" xfId="0">
      <alignment vertical="top" wrapText="1"/>
    </xf>
    <xf numFmtId="0" fontId="13" fillId="7" borderId="3" applyAlignment="1" pivotButton="0" quotePrefix="0" xfId="0">
      <alignment horizontal="center" vertical="center"/>
    </xf>
    <xf numFmtId="0" fontId="5" fillId="6" borderId="3" applyAlignment="1" pivotButton="0" quotePrefix="0" xfId="0">
      <alignment horizontal="left"/>
    </xf>
    <xf numFmtId="4" fontId="5" fillId="6" borderId="3" applyAlignment="1" pivotButton="0" quotePrefix="0" xfId="0">
      <alignment horizontal="center"/>
    </xf>
    <xf numFmtId="0" fontId="5" fillId="6" borderId="3" applyAlignment="1" pivotButton="0" quotePrefix="0" xfId="0">
      <alignment horizontal="center"/>
    </xf>
    <xf numFmtId="164" fontId="5" fillId="6" borderId="3" applyAlignment="1" pivotButton="0" quotePrefix="0" xfId="0">
      <alignment horizontal="center"/>
    </xf>
    <xf numFmtId="0" fontId="5" fillId="4" borderId="3" applyAlignment="1" pivotButton="0" quotePrefix="0" xfId="0">
      <alignment vertical="center"/>
    </xf>
    <xf numFmtId="0" fontId="5" fillId="4" borderId="3" applyAlignment="1" pivotButton="0" quotePrefix="0" xfId="0">
      <alignment horizontal="center" vertical="center"/>
    </xf>
    <xf numFmtId="166" fontId="5" fillId="4" borderId="3" applyAlignment="1" pivotButton="0" quotePrefix="0" xfId="0">
      <alignment horizontal="center" vertical="center"/>
    </xf>
    <xf numFmtId="3" fontId="5" fillId="4" borderId="3" applyAlignment="1" pivotButton="0" quotePrefix="0" xfId="0">
      <alignment vertical="center"/>
    </xf>
    <xf numFmtId="4" fontId="5" fillId="4" borderId="3" applyAlignment="1" pivotButton="0" quotePrefix="0" xfId="0">
      <alignment vertical="center"/>
    </xf>
    <xf numFmtId="164" fontId="5" fillId="4" borderId="3" applyAlignment="1" pivotButton="0" quotePrefix="0" xfId="0">
      <alignment horizontal="center" vertical="center"/>
    </xf>
    <xf numFmtId="4" fontId="14" fillId="6" borderId="3" applyAlignment="1" pivotButton="0" quotePrefix="0" xfId="0">
      <alignment vertical="center"/>
    </xf>
    <xf numFmtId="4" fontId="6" fillId="6" borderId="3" applyAlignment="1" pivotButton="0" quotePrefix="0" xfId="0">
      <alignment vertical="center"/>
    </xf>
    <xf numFmtId="164" fontId="14" fillId="6" borderId="3" applyAlignment="1" pivotButton="0" quotePrefix="0" xfId="0">
      <alignment horizontal="center" vertical="center"/>
    </xf>
    <xf numFmtId="0" fontId="14" fillId="6" borderId="3" applyAlignment="1" pivotButton="0" quotePrefix="0" xfId="0">
      <alignment horizontal="center" vertical="center"/>
    </xf>
    <xf numFmtId="164" fontId="14" fillId="6" borderId="3" applyAlignment="1" pivotButton="0" quotePrefix="0" xfId="0">
      <alignment vertical="center"/>
    </xf>
    <xf numFmtId="0" fontId="14" fillId="6" borderId="3" applyAlignment="1" pivotButton="0" quotePrefix="0" xfId="0">
      <alignment vertical="center"/>
    </xf>
    <xf numFmtId="166" fontId="5" fillId="4" borderId="3" applyAlignment="1" pivotButton="0" quotePrefix="0" xfId="0">
      <alignment vertical="center"/>
    </xf>
    <xf numFmtId="1" fontId="5" fillId="4" borderId="3" applyAlignment="1" pivotButton="0" quotePrefix="0" xfId="0">
      <alignment horizontal="center" vertical="center"/>
    </xf>
    <xf numFmtId="2" fontId="5" fillId="4" borderId="3" applyAlignment="1" pivotButton="0" quotePrefix="0" xfId="0">
      <alignment horizontal="center" vertical="center"/>
    </xf>
    <xf numFmtId="0" fontId="11" fillId="0" borderId="0" pivotButton="0" quotePrefix="0" xfId="0"/>
    <xf numFmtId="0" fontId="11" fillId="4" borderId="3" applyAlignment="1" pivotButton="0" quotePrefix="0" xfId="0">
      <alignment horizontal="center"/>
    </xf>
    <xf numFmtId="0" fontId="16" fillId="0" borderId="0" pivotButton="0" quotePrefix="0" xfId="0"/>
    <xf numFmtId="0" fontId="10" fillId="0" borderId="0" applyAlignment="1" pivotButton="0" quotePrefix="0" xfId="0">
      <alignment horizontal="center"/>
    </xf>
    <xf numFmtId="0" fontId="15" fillId="0" borderId="0" pivotButton="0" quotePrefix="0" xfId="0"/>
    <xf numFmtId="0" fontId="17" fillId="4" borderId="3" pivotButton="0" quotePrefix="0" xfId="0"/>
    <xf numFmtId="4" fontId="17" fillId="6" borderId="3" pivotButton="0" quotePrefix="0" xfId="0"/>
    <xf numFmtId="164" fontId="17" fillId="6" borderId="3" applyAlignment="1" pivotButton="0" quotePrefix="0" xfId="0">
      <alignment horizontal="center"/>
    </xf>
    <xf numFmtId="0" fontId="5" fillId="4" borderId="3" pivotButton="0" quotePrefix="0" xfId="0"/>
    <xf numFmtId="166" fontId="5" fillId="6" borderId="3" applyAlignment="1" pivotButton="0" quotePrefix="0" xfId="0">
      <alignment horizontal="center"/>
    </xf>
    <xf numFmtId="0" fontId="5" fillId="6" borderId="3" pivotButton="0" quotePrefix="0" xfId="0"/>
    <xf numFmtId="3" fontId="5" fillId="6" borderId="3" applyAlignment="1" pivotButton="0" quotePrefix="0" xfId="0">
      <alignment horizontal="center"/>
    </xf>
    <xf numFmtId="4" fontId="10" fillId="6" borderId="3" applyAlignment="1" pivotButton="0" quotePrefix="0" xfId="0">
      <alignment horizontal="center"/>
    </xf>
    <xf numFmtId="0" fontId="6" fillId="5" borderId="3" pivotButton="0" quotePrefix="0" xfId="0"/>
    <xf numFmtId="4" fontId="6" fillId="5" borderId="3" pivotButton="0" quotePrefix="0" xfId="0"/>
    <xf numFmtId="164" fontId="6" fillId="5" borderId="3" applyAlignment="1" pivotButton="0" quotePrefix="0" xfId="0">
      <alignment horizontal="center"/>
    </xf>
    <xf numFmtId="49" fontId="7" fillId="6" borderId="3" applyAlignment="1" pivotButton="0" quotePrefix="0" xfId="0">
      <alignment horizontal="left"/>
    </xf>
    <xf numFmtId="166" fontId="7" fillId="6" borderId="3" applyAlignment="1" pivotButton="0" quotePrefix="0" xfId="0">
      <alignment horizontal="center"/>
    </xf>
    <xf numFmtId="49" fontId="7" fillId="6" borderId="3" applyAlignment="1" pivotButton="0" quotePrefix="0" xfId="0">
      <alignment horizontal="center"/>
    </xf>
    <xf numFmtId="4" fontId="7" fillId="6" borderId="3" applyAlignment="1" pivotButton="0" quotePrefix="0" xfId="0">
      <alignment horizontal="center"/>
    </xf>
    <xf numFmtId="1" fontId="7" fillId="6" borderId="3" applyAlignment="1" pivotButton="0" quotePrefix="0" xfId="0">
      <alignment horizontal="center"/>
    </xf>
    <xf numFmtId="2" fontId="7" fillId="6" borderId="3" applyAlignment="1" pivotButton="0" quotePrefix="0" xfId="0">
      <alignment horizontal="center"/>
    </xf>
    <xf numFmtId="0" fontId="5" fillId="0" borderId="3" pivotButton="0" quotePrefix="0" xfId="0"/>
    <xf numFmtId="0" fontId="10" fillId="0" borderId="3" pivotButton="0" quotePrefix="0" xfId="0"/>
    <xf numFmtId="167" fontId="5" fillId="4" borderId="3" applyAlignment="1" pivotButton="0" quotePrefix="0" xfId="0">
      <alignment horizontal="center" vertical="center"/>
    </xf>
    <xf numFmtId="165" fontId="5" fillId="4" borderId="3" applyAlignment="1" pivotButton="0" quotePrefix="0" xfId="0">
      <alignment horizontal="center" vertical="center"/>
    </xf>
    <xf numFmtId="0" fontId="10" fillId="0" borderId="0" pivotButton="0" quotePrefix="0" xfId="0"/>
    <xf numFmtId="49" fontId="5" fillId="4" borderId="3" applyAlignment="1" pivotButton="0" quotePrefix="0" xfId="0">
      <alignment horizontal="center"/>
    </xf>
    <xf numFmtId="0" fontId="5" fillId="4" borderId="3" applyAlignment="1" pivotButton="0" quotePrefix="0" xfId="0">
      <alignment horizontal="center"/>
    </xf>
    <xf numFmtId="164" fontId="5" fillId="4" borderId="3" applyAlignment="1" pivotButton="0" quotePrefix="0" xfId="0">
      <alignment horizontal="center"/>
    </xf>
    <xf numFmtId="4" fontId="5" fillId="4" borderId="3" applyAlignment="1" pivotButton="0" quotePrefix="0" xfId="0">
      <alignment horizontal="center"/>
    </xf>
    <xf numFmtId="3" fontId="5" fillId="4" borderId="3" applyAlignment="1" pivotButton="0" quotePrefix="0" xfId="0">
      <alignment horizontal="center"/>
    </xf>
    <xf numFmtId="0" fontId="0" fillId="8" borderId="0" pivotButton="0" quotePrefix="0" xfId="0"/>
    <xf numFmtId="0" fontId="26" fillId="9" borderId="0" applyAlignment="1" pivotButton="0" quotePrefix="0" xfId="0">
      <alignment vertical="bottom" indent="1"/>
    </xf>
    <xf numFmtId="0" fontId="0" fillId="9" borderId="0" pivotButton="0" quotePrefix="0" xfId="0"/>
    <xf numFmtId="0" fontId="27" fillId="9" borderId="0" applyAlignment="1" pivotButton="0" quotePrefix="0" xfId="0">
      <alignment indent="1"/>
    </xf>
    <xf numFmtId="0" fontId="28" fillId="9" borderId="0" applyAlignment="1" pivotButton="0" quotePrefix="0" xfId="0">
      <alignment vertical="top" wrapText="1" indent="1"/>
    </xf>
    <xf numFmtId="0" fontId="3" fillId="8" borderId="28" pivotButton="0" quotePrefix="0" xfId="0"/>
    <xf numFmtId="0" fontId="0" fillId="8" borderId="28" pivotButton="0" quotePrefix="0" xfId="0"/>
    <xf numFmtId="0" fontId="29" fillId="8" borderId="0" applyAlignment="1" pivotButton="0" quotePrefix="0" xfId="0">
      <alignment vertical="center" wrapText="1"/>
    </xf>
    <xf numFmtId="0" fontId="17" fillId="8" borderId="0" applyAlignment="1" pivotButton="0" quotePrefix="0" xfId="0">
      <alignment vertical="center" wrapText="1"/>
    </xf>
    <xf numFmtId="0" fontId="13" fillId="8" borderId="11" applyAlignment="1" pivotButton="0" quotePrefix="0" xfId="0">
      <alignment vertical="center" wrapText="1" indent="1"/>
    </xf>
    <xf numFmtId="0" fontId="13" fillId="7" borderId="3" applyAlignment="1" pivotButton="0" quotePrefix="0" xfId="0">
      <alignment vertical="center" wrapText="1" indent="1"/>
    </xf>
    <xf numFmtId="0" fontId="13" fillId="10" borderId="3" applyAlignment="1" pivotButton="0" quotePrefix="0" xfId="0">
      <alignment vertical="center" wrapText="1" indent="1"/>
    </xf>
    <xf numFmtId="0" fontId="6" fillId="4" borderId="3" applyAlignment="1" pivotButton="0" quotePrefix="0" xfId="0">
      <alignment vertical="center" wrapText="1" indent="1"/>
    </xf>
    <xf numFmtId="0" fontId="17" fillId="4" borderId="3" applyAlignment="1" pivotButton="0" quotePrefix="0" xfId="0">
      <alignment vertical="center" wrapText="1" indent="1"/>
    </xf>
    <xf numFmtId="0" fontId="17" fillId="11" borderId="3" applyAlignment="1" pivotButton="0" quotePrefix="0" xfId="0">
      <alignment vertical="center" wrapText="1" indent="1"/>
    </xf>
    <xf numFmtId="0" fontId="30" fillId="6" borderId="3" applyAlignment="1" pivotButton="0" quotePrefix="0" xfId="0">
      <alignment horizontal="center" vertical="center" wrapText="1" indent="1"/>
    </xf>
    <xf numFmtId="0" fontId="31" fillId="12" borderId="3" applyAlignment="1" pivotButton="0" quotePrefix="0" xfId="0">
      <alignment horizontal="center" vertical="center" wrapText="1" indent="1"/>
    </xf>
    <xf numFmtId="0" fontId="32" fillId="11" borderId="31" applyAlignment="1" pivotButton="0" quotePrefix="0" xfId="0">
      <alignment horizontal="center" vertical="center"/>
    </xf>
    <xf numFmtId="0" fontId="0" fillId="0" borderId="34" pivotButton="0" quotePrefix="0" xfId="0"/>
    <xf numFmtId="0" fontId="33" fillId="8" borderId="0" applyAlignment="1" pivotButton="0" quotePrefix="0" xfId="0">
      <alignment horizontal="center" vertical="center"/>
    </xf>
    <xf numFmtId="0" fontId="34" fillId="8" borderId="0" applyAlignment="1" pivotButton="0" quotePrefix="0" xfId="0">
      <alignment horizontal="center" vertical="center"/>
    </xf>
    <xf numFmtId="0" fontId="8" fillId="8" borderId="0" applyAlignment="1" pivotButton="0" quotePrefix="0" xfId="0">
      <alignment vertical="top" wrapText="1"/>
    </xf>
  </cellXfs>
  <cellStyles count="1">
    <cellStyle name="Normal" xfId="0" builtinId="0" hidden="0"/>
  </cellStyles>
  <dxfs count="13">
    <dxf>
      <font>
        <color rgb="FF166534"/>
      </font>
      <fill>
        <patternFill patternType="solid">
          <fgColor rgb="FFDCFCE7"/>
          <bgColor rgb="FFDCFCE7"/>
        </patternFill>
      </fill>
    </dxf>
    <dxf>
      <font>
        <b val="1"/>
        <color rgb="FF92400E"/>
      </font>
      <fill>
        <patternFill patternType="solid">
          <fgColor rgb="FFFEF3C7"/>
          <bgColor rgb="FFFEF3C7"/>
        </patternFill>
      </fill>
    </dxf>
    <dxf>
      <font>
        <b val="1"/>
        <color rgb="FFB91C1C"/>
      </font>
      <fill>
        <patternFill patternType="solid">
          <fgColor rgb="FFFEE2E2"/>
          <bgColor rgb="FFFEE2E2"/>
        </patternFill>
      </fill>
    </dxf>
    <dxf>
      <font>
        <color rgb="FF1D4ED8"/>
      </font>
      <fill>
        <patternFill patternType="solid">
          <fgColor rgb="FFDBEAFE"/>
          <bgColor rgb="FFDBEAFE"/>
        </patternFill>
      </fill>
    </dxf>
    <dxf>
      <font>
        <b val="1"/>
        <color rgb="FF475569"/>
      </font>
      <fill>
        <patternFill patternType="solid">
          <fgColor rgb="FFF1F5F9"/>
          <bgColor rgb="FFF1F5F9"/>
        </patternFill>
      </fill>
    </dxf>
    <dxf>
      <numFmt numFmtId="180" formatCode="#,##0.00&quot; DH&quot;"/>
    </dxf>
    <dxf>
      <numFmt numFmtId="181" formatCode="#,##0.00&quot; €&quot;"/>
    </dxf>
    <dxf>
      <numFmt numFmtId="182" formatCode="&quot;$&quot;#,##0.00"/>
    </dxf>
    <dxf>
      <numFmt numFmtId="190" formatCode="#,##0&quot; DH&quot;"/>
    </dxf>
    <dxf>
      <numFmt numFmtId="191" formatCode="#,##0&quot; €&quot;"/>
    </dxf>
    <dxf>
      <numFmt numFmtId="192" formatCode="&quot;$&quot;#,##0"/>
    </dxf>
    <dxf>
      <font>
        <b val="1"/>
        <color rgb="FF0F172A"/>
      </font>
      <fill>
        <patternFill patternType="solid">
          <fgColor rgb="FFFDE68A"/>
          <bgColor rgb="FFFDE68A"/>
        </patternFill>
      </fill>
    </dxf>
    <dxf>
      <font>
        <color rgb="FF475569"/>
      </font>
      <fill>
        <patternFill patternType="solid">
          <fgColor rgb="FFF1F5F9"/>
          <bgColor rgb="FF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Composition du coût de revient par produit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'Tableau de bord'!C13</f>
            </strRef>
          </tx>
          <spPr>
            <a:solidFill xmlns:a="http://schemas.openxmlformats.org/drawingml/2006/main">
              <a:srgbClr val="B45309"/>
            </a:solidFill>
            <a:ln xmlns:a="http://schemas.openxmlformats.org/drawingml/2006/main">
              <a:solidFill>
                <a:srgbClr val="B45309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bord'!$C$14:$C$28</f>
            </numRef>
          </val>
        </ser>
        <ser>
          <idx val="1"/>
          <order val="1"/>
          <tx>
            <strRef>
              <f>'Tableau de bord'!D13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solidFill>
                <a:srgbClr val="2563EB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bord'!$D$14:$D$28</f>
            </numRef>
          </val>
        </ser>
        <ser>
          <idx val="2"/>
          <order val="2"/>
          <tx>
            <strRef>
              <f>'Tableau de bord'!E13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bord'!$E$14:$E$28</f>
            </numRef>
          </val>
        </ser>
        <ser>
          <idx val="3"/>
          <order val="3"/>
          <tx>
            <strRef>
              <f>'Tableau de bord'!F13</f>
            </strRef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solidFill>
                <a:srgbClr val="F59E0B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bord'!$F$14:$F$28</f>
            </numRef>
          </val>
        </ser>
        <ser>
          <idx val="4"/>
          <order val="4"/>
          <tx>
            <strRef>
              <f>'Tableau de bord'!G13</f>
            </strRef>
          </tx>
          <spPr>
            <a:solidFill xmlns:a="http://schemas.openxmlformats.org/drawingml/2006/main">
              <a:srgbClr val="94A3B8"/>
            </a:solidFill>
            <a:ln xmlns:a="http://schemas.openxmlformats.org/drawingml/2006/main">
              <a:solidFill>
                <a:srgbClr val="94A3B8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bord'!$G$14:$G$28</f>
            </numRef>
          </val>
        </ser>
        <ser>
          <idx val="5"/>
          <order val="5"/>
          <tx>
            <strRef>
              <f>'Tableau de bord'!H13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>
              <a:solidFill>
                <a:srgbClr val="64748B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bord'!$H$14:$H$28</f>
            </numRef>
          </val>
        </ser>
        <gapWidth val="60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Structure des coûts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bord'!N13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B4530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F766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  <showLeaderLines val="0"/>
          </dLbls>
          <cat>
            <numRef>
              <f>'Tableau de bord'!$K$14:$K$19</f>
            </numRef>
          </cat>
          <val>
            <numRef>
              <f>'Tableau de bord'!$N$14:$N$19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 de revient selon la taille de lot</a:t>
            </a:r>
          </a:p>
        </rich>
      </tx>
    </title>
    <plotArea>
      <lineChart>
        <grouping val="standard"/>
        <ser>
          <idx val="0"/>
          <order val="0"/>
          <tx>
            <strRef>
              <f>'Simulation'!H9</f>
            </strRef>
          </tx>
          <spPr>
            <a:ln xmlns:a="http://schemas.openxmlformats.org/drawingml/2006/main" w="28000">
              <a:solidFill>
                <a:srgbClr val="B4530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'Simulation'!$E$10:$E$19</f>
            </numRef>
          </cat>
          <val>
            <numRef>
              <f>'Simulation'!$H$10:$H$19</f>
            </numRef>
          </val>
          <smooth val="0"/>
        </ser>
        <ser>
          <idx val="1"/>
          <order val="1"/>
          <tx>
            <strRef>
              <f>'Simulation'!I9</f>
            </strRef>
          </tx>
          <spPr>
            <a:ln xmlns:a="http://schemas.openxmlformats.org/drawingml/2006/main" w="28000">
              <a:solidFill>
                <a:srgbClr val="2563E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'Simulation'!$E$10:$E$19</f>
            </numRef>
          </cat>
          <val>
            <numRef>
              <f>'Simulation'!$I$10:$I$19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Taille de lot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Taux de marge par scénario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'Simulation'!J24</f>
            </strRef>
          </tx>
          <spPr>
            <a:solidFill xmlns:a="http://schemas.openxmlformats.org/drawingml/2006/main">
              <a:srgbClr val="B45309"/>
            </a:solidFill>
            <a:ln xmlns:a="http://schemas.openxmlformats.org/drawingml/2006/main">
              <a:solidFill>
                <a:srgbClr val="B45309"/>
              </a:solidFill>
              <a:prstDash val="solid"/>
            </a:ln>
          </spPr>
          <cat>
            <numRef>
              <f>'Simulation'!$B$25:$B$32</f>
            </numRef>
          </cat>
          <val>
            <numRef>
              <f>'Simulation'!$J$25:$J$32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666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29</row>
      <rowOff>0</rowOff>
    </from>
    <ext cx="3780000" cy="34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34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34</row>
      <rowOff>0</rowOff>
    </from>
    <ext cx="52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11.xml.rels><Relationships xmlns="http://schemas.openxmlformats.org/package/2006/relationships"><Relationship Type="http://schemas.openxmlformats.org/officeDocument/2006/relationships/hyperlink" Target="https://qualis-erp.com/register?utm_source=excel&amp;utm_medium=modele&amp;utm_campaign=calcul-cout-de-revient-excel" TargetMode="External" Id="rId1"/><Relationship Type="http://schemas.openxmlformats.org/officeDocument/2006/relationships/hyperlink" Target="https://qualis-erp.com/pricing?utm_source=excel&amp;utm_medium=modele&amp;utm_campaign=calcul-cout-de-revient-excel" TargetMode="External" Id="rId2"/><Relationship Type="http://schemas.openxmlformats.org/officeDocument/2006/relationships/hyperlink" Target="https://qualis-erp.com/?utm_source=excel&amp;utm_medium=modele&amp;utm_campaign=calcul-cout-de-revient-excel" TargetMode="External" Id="rId3"/></Relationships>
</file>

<file path=xl/worksheets/sheet1.xml><?xml version="1.0" encoding="utf-8"?>
<worksheet xmlns="http://schemas.openxmlformats.org/spreadsheetml/2006/main">
  <sheetPr>
    <tabColor rgb="FF475569"/>
    <outlinePr summaryBelow="1" summaryRight="1"/>
    <pageSetUpPr fitToPage="1"/>
  </sheetPr>
  <dimension ref="A1:E48"/>
  <sheetViews>
    <sheetView showGridLines="0" tabSelected="1" zoomScale="10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44" customWidth="1" min="3" max="3"/>
    <col width="44" customWidth="1" min="4" max="4"/>
    <col width="3" customWidth="1" min="5" max="5"/>
  </cols>
  <sheetData>
    <row r="1" ht="38" customHeight="1">
      <c r="A1" s="1" t="n"/>
      <c r="B1" s="2" t="inlineStr">
        <is>
          <t>Calcul du coût de revient</t>
        </is>
      </c>
      <c r="C1" s="1" t="n"/>
      <c r="D1" s="1" t="n"/>
      <c r="E1" s="1" t="n"/>
    </row>
    <row r="2" ht="22" customHeight="1">
      <c r="A2" s="3" t="n"/>
      <c r="B2" s="4" t="inlineStr">
        <is>
          <t>Mode d'emploi. Lisez cette page une fois, puis travaillez dans les feuilles « Matières », « Postes », « Produits », « Nomenclatures » et « Gammes ».</t>
        </is>
      </c>
      <c r="C2" s="3" t="n"/>
      <c r="D2" s="3" t="n"/>
      <c r="E2" s="3" t="n"/>
    </row>
    <row r="3" ht="18" customHeight="1"/>
    <row r="5" ht="22" customHeight="1">
      <c r="B5" s="5" t="inlineStr">
        <is>
          <t>Les feuilles du classeur</t>
        </is>
      </c>
      <c r="C5" s="6" t="n"/>
      <c r="D5" s="6" t="n"/>
    </row>
    <row r="6" ht="30" customHeight="1">
      <c r="B6" s="7" t="inlineStr">
        <is>
          <t>→ Tableau de bord</t>
        </is>
      </c>
      <c r="C6" s="8" t="inlineStr">
        <is>
          <t>Coût de revient par produit, produits vendus à perte ou sous la marge cible, structure des coûts.</t>
        </is>
      </c>
      <c r="D6" s="9" t="n"/>
    </row>
    <row r="7" ht="30" customHeight="1">
      <c r="B7" s="10" t="inlineStr">
        <is>
          <t>→ Produits</t>
        </is>
      </c>
      <c r="C7" s="11" t="inlineStr">
        <is>
          <t>La liste de vos produits, leur coût de revient, leur marge et leur statut. C'est la feuille principale.</t>
        </is>
      </c>
      <c r="D7" s="12" t="n"/>
    </row>
    <row r="8" ht="30" customHeight="1">
      <c r="B8" s="7" t="inlineStr">
        <is>
          <t>→ Nomenclatures</t>
        </is>
      </c>
      <c r="C8" s="8" t="inlineStr">
        <is>
          <t>La nomenclature : les matières de chaque produit et leur quantité par pièce.</t>
        </is>
      </c>
      <c r="D8" s="9" t="n"/>
    </row>
    <row r="9" ht="30" customHeight="1">
      <c r="B9" s="10" t="inlineStr">
        <is>
          <t>→ Gammes</t>
        </is>
      </c>
      <c r="C9" s="11" t="inlineStr">
        <is>
          <t>La gamme : les opérations de chaque produit, le poste, le temps de réglage et le temps par pièce.</t>
        </is>
      </c>
      <c r="D9" s="12" t="n"/>
    </row>
    <row r="10" ht="30" customHeight="1">
      <c r="B10" s="7" t="inlineStr">
        <is>
          <t>→ Fiche de coût</t>
        </is>
      </c>
      <c r="C10" s="8" t="inlineStr">
        <is>
          <t>Le détail imprimable du coût d'un produit : décomposition, matières et opérations.</t>
        </is>
      </c>
      <c r="D10" s="9" t="n"/>
    </row>
    <row r="11" ht="30" customHeight="1">
      <c r="B11" s="10" t="inlineStr">
        <is>
          <t>→ Simulation</t>
        </is>
      </c>
      <c r="C11" s="11" t="inlineStr">
        <is>
          <t>L'effet de la taille de lot et d'une hausse de prix sur le coût et la marge d'un produit.</t>
        </is>
      </c>
      <c r="D11" s="12" t="n"/>
    </row>
    <row r="12" ht="30" customHeight="1">
      <c r="B12" s="7" t="inlineStr">
        <is>
          <t>→ Matières</t>
        </is>
      </c>
      <c r="C12" s="8" t="inlineStr">
        <is>
          <t>Le catalogue des matières et composants achetés : prix, unité, taux de perte, date du prix.</t>
        </is>
      </c>
      <c r="D12" s="9" t="n"/>
    </row>
    <row r="13" ht="30" customHeight="1">
      <c r="B13" s="10" t="inlineStr">
        <is>
          <t>→ Postes</t>
        </is>
      </c>
      <c r="C13" s="11" t="inlineStr">
        <is>
          <t>Vos machines et postes manuels : taux horaire main-d'œuvre et taux horaire machine.</t>
        </is>
      </c>
      <c r="D13" s="12" t="n"/>
    </row>
    <row r="14" ht="30" customHeight="1">
      <c r="B14" s="7" t="inlineStr">
        <is>
          <t>→ Paramètres</t>
        </is>
      </c>
      <c r="C14" s="8" t="inlineStr">
        <is>
          <t>Entreprise, devise, frais généraux, marge cible, taux par défaut et liste des unités.</t>
        </is>
      </c>
      <c r="D14" s="9" t="n"/>
    </row>
    <row r="17" ht="22" customHeight="1">
      <c r="B17" s="5" t="inlineStr">
        <is>
          <t>Démarrer en 7 étapes</t>
        </is>
      </c>
      <c r="C17" s="6" t="n"/>
      <c r="D17" s="6" t="n"/>
    </row>
    <row r="18" ht="32" customHeight="1">
      <c r="B18" s="13" t="inlineStr">
        <is>
          <t>1. Paramètres</t>
        </is>
      </c>
      <c r="C18" s="14" t="inlineStr">
        <is>
          <t>Nom de l'entreprise, devise (MAD, EUR ou USD), taux de frais généraux, marge cible, taux horaires par défaut et âge maximum d'un prix matière.</t>
        </is>
      </c>
    </row>
    <row r="19" ht="32" customHeight="1">
      <c r="B19" s="13" t="inlineStr">
        <is>
          <t>2. Matières</t>
        </is>
      </c>
      <c r="C19" s="14" t="inlineStr">
        <is>
          <t>Une ligne par matière ou composant acheté : référence, unité, prix d'achat hors taxes par unité, taux de perte (chutes, copeaux) et date du dernier prix.</t>
        </is>
      </c>
    </row>
    <row r="20" ht="32" customHeight="1">
      <c r="B20" s="13" t="inlineStr">
        <is>
          <t>3. Postes</t>
        </is>
      </c>
      <c r="C20" s="14" t="inlineStr">
        <is>
          <t>Une ligne par machine ou poste manuel : taux horaire de la main-d'œuvre (salaire chargé) et taux horaire de la machine (amortissement, énergie, entretien). Laissez vide pour prendre le taux par défaut.</t>
        </is>
      </c>
    </row>
    <row r="21" ht="32" customHeight="1">
      <c r="B21" s="13" t="inlineStr">
        <is>
          <t>4. Produits</t>
        </is>
      </c>
      <c r="C21" s="14" t="inlineStr">
        <is>
          <t>Une ligne par produit fabriqué : taille de lot habituelle, volume annuel, prix de vente HT, et si besoin sous-traitance et emballage par pièce, transport par lot.</t>
        </is>
      </c>
    </row>
    <row r="22" ht="32" customHeight="1">
      <c r="B22" s="13" t="inlineStr">
        <is>
          <t>5. Nomenclatures</t>
        </is>
      </c>
      <c r="C22" s="14" t="inlineStr">
        <is>
          <t>Pour chaque produit, une ligne par matière avec la quantité consommée par pièce, dans l'unité de la matière (kg, m, pièce...).</t>
        </is>
      </c>
    </row>
    <row r="23" ht="32" customHeight="1">
      <c r="B23" s="13" t="inlineStr">
        <is>
          <t>6. Gammes</t>
        </is>
      </c>
      <c r="C23" s="14" t="inlineStr">
        <is>
          <t>Pour chaque produit, une ligne par opération : poste, temps de réglage en heures (une fois par lot), temps par pièce en minutes et nombre d'opérateurs.</t>
        </is>
      </c>
    </row>
    <row r="24" ht="32" customHeight="1">
      <c r="B24" s="13" t="inlineStr">
        <is>
          <t>7. Lire et décider</t>
        </is>
      </c>
      <c r="C24" s="14" t="inlineStr">
        <is>
          <t>Le coût de revient et la marge s'affichent dans « Produits ». Imprimez la « Fiche de coût » d'un produit, testez une taille de lot ou une hausse de prix dans « Simulation ».</t>
        </is>
      </c>
    </row>
    <row r="26" ht="22" customHeight="1">
      <c r="B26" s="5" t="inlineStr">
        <is>
          <t>Comment le coût de revient est calculé</t>
        </is>
      </c>
      <c r="C26" s="6" t="n"/>
      <c r="D26" s="6" t="n"/>
    </row>
    <row r="27" ht="32" customHeight="1">
      <c r="B27" s="15" t="inlineStr">
        <is>
          <t>Matières</t>
        </is>
      </c>
      <c r="C27" s="14" t="inlineStr">
        <is>
          <t>Somme, pour chaque ligne de nomenclature : quantité par pièce x (1 + taux de perte) x prix de la matière. La perte saisie sur la ligne remplace celle de la matière.</t>
        </is>
      </c>
    </row>
    <row r="28" ht="18" customHeight="1">
      <c r="B28" s="15" t="inlineStr">
        <is>
          <t>Main-d'œuvre</t>
        </is>
      </c>
      <c r="C28" s="14" t="inlineStr">
        <is>
          <t>Somme des opérations : temps par pièce / 60 x taux horaire main-d'œuvre du poste x nombre d'opérateurs.</t>
        </is>
      </c>
    </row>
    <row r="29" ht="18" customHeight="1">
      <c r="B29" s="15" t="inlineStr">
        <is>
          <t>Machine</t>
        </is>
      </c>
      <c r="C29" s="14" t="inlineStr">
        <is>
          <t>Somme des opérations : temps par pièce / 60 x taux horaire machine du poste.</t>
        </is>
      </c>
    </row>
    <row r="30" ht="46" customHeight="1">
      <c r="B30" s="15" t="inlineStr">
        <is>
          <t>Réglage</t>
        </is>
      </c>
      <c r="C30" s="14" t="inlineStr">
        <is>
          <t>Temps de réglage x (taux main-d'œuvre x opérateurs + taux machine), payé une fois par lot puis divisé par la taille du lot. Un réglage de 2 heures à 300 l'heure coûte 6 par pièce sur un lot de 100, et 60 sur un lot de 10.</t>
        </is>
      </c>
    </row>
    <row r="31" ht="32" customHeight="1">
      <c r="B31" s="15" t="inlineStr">
        <is>
          <t>Frais généraux</t>
        </is>
      </c>
      <c r="C31" s="14" t="inlineStr">
        <is>
          <t>Taux de frais généraux x (matières + main-d'œuvre + machine + réglage + sous-traitance). Ils couvrent ce qui n'est pas dans les taux horaires : loyer, bureau, encadrement, assurance.</t>
        </is>
      </c>
    </row>
    <row r="32" ht="32" customHeight="1">
      <c r="B32" s="15" t="inlineStr">
        <is>
          <t>Coût de revient</t>
        </is>
      </c>
      <c r="C32" s="14" t="inlineStr">
        <is>
          <t>Coût de production (les éléments ci-dessus) + emballage par pièce + transport par lot / taille du lot. Arrondi à 4 décimales.</t>
        </is>
      </c>
    </row>
    <row r="33" ht="32" customHeight="1">
      <c r="B33" s="15" t="inlineStr">
        <is>
          <t>Marge</t>
        </is>
      </c>
      <c r="C33" s="14" t="inlineStr">
        <is>
          <t>Marge unitaire = prix de vente - coût de revient. Taux de marge = marge / coût de revient. Taux de marque = marge / prix de vente. Prix minimum = coût de revient x (1 + marge cible).</t>
        </is>
      </c>
    </row>
    <row r="34" ht="46" customHeight="1">
      <c r="B34" s="15" t="inlineStr">
        <is>
          <t>Statut</t>
        </is>
      </c>
      <c r="C34" s="14" t="inlineStr">
        <is>
          <t>Vendu à perte : prix de vente inférieur au coût de revient. Sous la cible : prix de vente inférieur au prix minimum. OK : la marge cible est atteinte. Prix à saisir : pas de prix de vente. À corriger : voir la colonne Contrôle.</t>
        </is>
      </c>
    </row>
    <row r="36" ht="22" customHeight="1">
      <c r="B36" s="5" t="inlineStr">
        <is>
          <t>Couleurs et contrôles</t>
        </is>
      </c>
      <c r="C36" s="6" t="n"/>
      <c r="D36" s="6" t="n"/>
    </row>
    <row r="37" ht="18" customHeight="1">
      <c r="B37" s="15" t="inlineStr">
        <is>
          <t>Cellules blanches</t>
        </is>
      </c>
      <c r="C37" s="14" t="inlineStr">
        <is>
          <t>À remplir par vous.</t>
        </is>
      </c>
    </row>
    <row r="38" ht="18" customHeight="1">
      <c r="B38" s="15" t="inlineStr">
        <is>
          <t>Cellules grises</t>
        </is>
      </c>
      <c r="C38" s="14" t="inlineStr">
        <is>
          <t>Calculées par une formule. Ne tapez pas dedans.</t>
        </is>
      </c>
    </row>
    <row r="39" ht="32" customHeight="1">
      <c r="B39" s="15" t="inlineStr">
        <is>
          <t>Colonnes Contrôle</t>
        </is>
      </c>
      <c r="C39" s="14" t="inlineStr">
        <is>
          <t>Chaque ligne est vérifiée : référence en double ou inconnue, quantité ou prix invalide, perte hors de 0 à 99 %, poste sans taux. Un produit n'est chiffré que si sa nomenclature et sa gamme sont correctes.</t>
        </is>
      </c>
    </row>
    <row r="41" ht="22" customHeight="1">
      <c r="B41" s="5" t="inlineStr">
        <is>
          <t>Bonnes pratiques et limites</t>
        </is>
      </c>
      <c r="C41" s="6" t="n"/>
      <c r="D41" s="6" t="n"/>
    </row>
    <row r="42" ht="46" customHeight="1">
      <c r="B42" s="15" t="inlineStr">
        <is>
          <t>Nomenclature à un niveau</t>
        </is>
      </c>
      <c r="C42" s="14" t="inlineStr">
        <is>
          <t>Chaque produit est décrit directement en matières achetées. Un sous-ensemble fabriqué (un châssis soudé qui entre dans une remorque) se saisit comme une matière à son coût de revient, recopié de la feuille « Produits ».</t>
        </is>
      </c>
    </row>
    <row r="43" ht="32" customHeight="1">
      <c r="B43" s="15" t="inlineStr">
        <is>
          <t>Coût standard, pas coût réel</t>
        </is>
      </c>
      <c r="C43" s="14" t="inlineStr">
        <is>
          <t>Le fichier calcule ce qu'un produit devrait coûter avec vos temps et vos prix. Comparez de temps en temps avec les temps réellement passés et les factures d'achat.</t>
        </is>
      </c>
    </row>
    <row r="44" ht="32" customHeight="1">
      <c r="B44" s="15" t="inlineStr">
        <is>
          <t>Mettre à jour les prix</t>
        </is>
      </c>
      <c r="C44" s="14" t="inlineStr">
        <is>
          <t>La colonne « État du prix » des matières passe en « Ancien » quand le prix a plus de mois que l'âge maximum des Paramètres.</t>
        </is>
      </c>
    </row>
    <row r="45" ht="32" customHeight="1">
      <c r="B45" s="15" t="inlineStr">
        <is>
          <t>Capacité</t>
        </is>
      </c>
      <c r="C45" s="14" t="inlineStr">
        <is>
          <t>300 produits, 500 matières, 40 postes, 3 000 lignes de nomenclature et 2 000 opérations. La fiche de coût affiche 30 matières et 15 opérations par produit.</t>
        </is>
      </c>
    </row>
    <row r="46" ht="32" customHeight="1">
      <c r="B46" s="15" t="inlineStr">
        <is>
          <t>Compatibilité</t>
        </is>
      </c>
      <c r="C46" s="14" t="inlineStr">
        <is>
          <t>Excel 2010 et suivants (Windows, Mac), Excel en ligne, LibreOffice Calc et Google Sheets. Aucune macro, aucune feuille protégée.</t>
        </is>
      </c>
    </row>
    <row r="48">
      <c r="B48" s="16" t="inlineStr">
        <is>
          <t>Saisie</t>
        </is>
      </c>
      <c r="C48" s="17" t="inlineStr">
        <is>
          <t>Calcul auto</t>
        </is>
      </c>
    </row>
  </sheetData>
  <mergeCells count="32">
    <mergeCell ref="C34:D34"/>
    <mergeCell ref="C6:D6"/>
    <mergeCell ref="C24:D24"/>
    <mergeCell ref="C30:D30"/>
    <mergeCell ref="C33:D33"/>
    <mergeCell ref="C42:D42"/>
    <mergeCell ref="C14:D14"/>
    <mergeCell ref="C45:D45"/>
    <mergeCell ref="C20:D20"/>
    <mergeCell ref="C29:D29"/>
    <mergeCell ref="C10:D10"/>
    <mergeCell ref="C44:D44"/>
    <mergeCell ref="C22:D22"/>
    <mergeCell ref="C9:D9"/>
    <mergeCell ref="C31:D31"/>
    <mergeCell ref="C43:D43"/>
    <mergeCell ref="C12:D12"/>
    <mergeCell ref="C46:D46"/>
    <mergeCell ref="C21:D21"/>
    <mergeCell ref="C11:D11"/>
    <mergeCell ref="C27:D27"/>
    <mergeCell ref="C23:D23"/>
    <mergeCell ref="C39:D39"/>
    <mergeCell ref="C8:D8"/>
    <mergeCell ref="C32:D32"/>
    <mergeCell ref="C7:D7"/>
    <mergeCell ref="C38:D38"/>
    <mergeCell ref="C19:D19"/>
    <mergeCell ref="C37:D37"/>
    <mergeCell ref="C28:D28"/>
    <mergeCell ref="C13:D13"/>
    <mergeCell ref="C18:D18"/>
  </mergeCells>
  <hyperlinks>
    <hyperlink ref="B6" location="'Tableau de bord'!A1"/>
    <hyperlink ref="B7" location="'Produits'!A1"/>
    <hyperlink ref="B8" location="'Nomenclatures'!A1"/>
    <hyperlink ref="B9" location="'Gammes'!A1"/>
    <hyperlink ref="B10" location="'Fiche de coût'!A1"/>
    <hyperlink ref="B11" location="'Simulation'!A1"/>
    <hyperlink ref="B12" location="'Matières'!A1"/>
    <hyperlink ref="B13" location="'Postes'!A1"/>
    <hyperlink ref="B14" location="'Paramètres'!A1"/>
    <hyperlink ref="B18" location="'Paramètres'!A1"/>
    <hyperlink ref="B19" location="'Matières'!A1"/>
    <hyperlink ref="B20" location="'Postes'!A1"/>
    <hyperlink ref="B21" location="'Produits'!A1"/>
    <hyperlink ref="B22" location="'Nomenclatures'!A1"/>
    <hyperlink ref="B23" location="'Gammes'!A1"/>
    <hyperlink ref="B24" location="'Tableau de bord'!A1"/>
  </hyperlinks>
  <printOptions horizontalCentered="1"/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FF0F172A"/>
    <outlinePr summaryBelow="1" summaryRight="1"/>
    <pageSetUpPr fitToPage="1"/>
  </sheetPr>
  <dimension ref="A1:P63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2" customWidth="1" min="17" max="17"/>
  </cols>
  <sheetData>
    <row r="1" ht="38" customHeight="1">
      <c r="A1" s="1" t="n"/>
      <c r="B1" s="2" t="str">
        <f>"Coût de revient"&amp;IF(p_company&lt;&gt;""," : "&amp;p_company,"")</f>
        <v>Coût de revient</v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8" t="inlineStr">
        <is>
          <t>⌂ Mode d'emploi</t>
        </is>
      </c>
    </row>
    <row r="2" ht="22" customHeight="1">
      <c r="A2" s="3" t="n"/>
      <c r="B2" s="4" t="inlineStr">
        <is>
          <t>Tout se calcule depuis les feuilles « Produits », « Nomenclatures », « Gammes », « Matières » et « Postes ».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 ht="18" customHeight="1">
      <c r="N3" s="19" t="inlineStr">
        <is>
          <t>Situation au</t>
        </is>
      </c>
      <c r="P3" s="20">
        <f>TODAY()</f>
        <v>46331.0</v>
      </c>
    </row>
    <row r="5" ht="18" customHeight="1">
      <c r="B5" s="21" t="inlineStr">
        <is>
          <t>PRODUITS CHIFFRÉS</t>
        </is>
      </c>
      <c r="C5" s="22" t="n"/>
      <c r="D5" s="23" t="n"/>
      <c r="E5" s="24" t="inlineStr">
        <is>
          <t>VENDUS À PERTE</t>
        </is>
      </c>
      <c r="F5" s="22" t="n"/>
      <c r="G5" s="23" t="n"/>
      <c r="H5" s="25" t="inlineStr">
        <is>
          <t>SOUS LA MARGE CIBLE</t>
        </is>
      </c>
      <c r="I5" s="22" t="n"/>
      <c r="J5" s="23" t="n"/>
      <c r="K5" s="26" t="inlineStr">
        <is>
          <t>TAUX DE MARGE MOYEN</t>
        </is>
      </c>
      <c r="L5" s="22" t="n"/>
      <c r="M5" s="23" t="n"/>
      <c r="N5" s="27" t="inlineStr">
        <is>
          <t>MARGE ANNUELLE PRÉVUE</t>
        </is>
      </c>
      <c r="O5" s="22" t="n"/>
      <c r="P5" s="23" t="n"/>
    </row>
    <row r="6" ht="32" customHeight="1">
      <c r="B6" s="28">
        <f>COUNT(prod_cr)</f>
        <v>0.0</v>
      </c>
      <c r="C6" s="29" t="n"/>
      <c r="D6" s="30" t="n"/>
      <c r="E6" s="31">
        <f>COUNTIF(prod_stat,"Vendu à perte")</f>
        <v>0.0</v>
      </c>
      <c r="F6" s="29" t="n"/>
      <c r="G6" s="30" t="n"/>
      <c r="H6" s="32">
        <f>COUNTIF(prod_stat,"Sous la cible")</f>
        <v>0.0</v>
      </c>
      <c r="I6" s="29" t="n"/>
      <c r="J6" s="30" t="n"/>
      <c r="K6" s="33">
        <f>IF(SUM(prod_cc)=0,0,SUM(prod_ma)/SUM(prod_cc))</f>
        <v>0.0</v>
      </c>
      <c r="L6" s="29" t="n"/>
      <c r="M6" s="30" t="n"/>
      <c r="N6" s="34">
        <f>SUM(prod_ma)</f>
        <v>0.0</v>
      </c>
      <c r="O6" s="29" t="n"/>
      <c r="P6" s="30" t="n"/>
    </row>
    <row r="7" ht="16" customHeight="1">
      <c r="B7" s="35" t="inlineStr">
        <is>
          <t>Coût de revient calculé</t>
        </is>
      </c>
      <c r="C7" s="9" t="n"/>
      <c r="D7" s="36" t="n"/>
      <c r="E7" s="37" t="inlineStr">
        <is>
          <t>Prix de vente &lt; coût de revient</t>
        </is>
      </c>
      <c r="F7" s="9" t="n"/>
      <c r="G7" s="36" t="n"/>
      <c r="H7" s="38" t="inlineStr">
        <is>
          <t>Prix de vente &lt; prix minimum</t>
        </is>
      </c>
      <c r="I7" s="9" t="n"/>
      <c r="J7" s="36" t="n"/>
      <c r="K7" s="39" t="inlineStr">
        <is>
          <t>Pondéré par le volume annuel</t>
        </is>
      </c>
      <c r="L7" s="9" t="n"/>
      <c r="M7" s="36" t="n"/>
      <c r="N7" s="40" t="inlineStr">
        <is>
          <t>Marge unitaire x volume annuel</t>
        </is>
      </c>
      <c r="O7" s="9" t="n"/>
      <c r="P7" s="36" t="n"/>
    </row>
    <row r="9">
      <c r="B9" s="41" t="str">
        <f>IF((COUNTIF(prod_check,"?*")-COUNTIF(prod_check,"OK"))+(COUNTIF(bom_check,"?*")-COUNTIF(bom_check,"OK"))+(COUNTIF(gam_check,"?*")-COUNTIF(gam_check,"OK"))+(COUNTIF(mat_check,"?*")-COUNTIF(mat_check,"OK"))+(COUNTIF(po_check,"?*")-COUNTIF(po_check,"OK"))&gt;0,((COUNTIF(prod_check,"?*")-COUNTIF(prod_check,"OK"))+(COUNTIF(bom_check,"?*")-COUNTIF(bom_check,"OK"))+(COUNTIF(gam_check,"?*")-COUNTIF(gam_check,"OK"))+(COUNTIF(mat_check,"?*")-COUNTIF(mat_check,"OK"))+(COUNTIF(po_check,"?*")-COUNTIF(po_check,"OK")))&amp;" ligne(s) signalée(s) dans les colonnes Contrôle ("&amp;"Produits : "&amp;(COUNTIF(prod_check,"?*")-COUNTIF(prod_check,"OK"))&amp;", "&amp;"Nomenclatures : "&amp;(COUNTIF(bom_check,"?*")-COUNTIF(bom_check,"OK"))&amp;", "&amp;"Gammes : "&amp;(COUNTIF(gam_check,"?*")-COUNTIF(gam_check,"OK"))&amp;", "&amp;"Matières : "&amp;(COUNTIF(mat_check,"?*")-COUNTIF(mat_check,"OK"))&amp;", "&amp;"Postes : "&amp;(COUNTIF(po_check,"?*")-COUNTIF(po_check,"OK"))&amp;").","Toutes les lignes saisies sont valides.")</f>
        <v>Toutes les lignes saisies sont valides.</v>
      </c>
    </row>
    <row r="10">
      <c r="B10" s="41" t="str">
        <f>IF((COUNTIF(mat_age,"Ancien")+COUNTIF(mat_age,"Date à saisir"))&gt;0,(COUNTIF(mat_age,"Ancien")+COUNTIF(mat_age,"Date à saisir"))&amp;" prix matière à vérifier : plus de "&amp;N(p_age)&amp;" mois ou sans date (feuille « Matières »).","Tous les prix matières ont une date récente.")</f>
        <v>Tous les prix matières ont une date récente.</v>
      </c>
    </row>
    <row r="12" ht="22" customHeight="1">
      <c r="B12" s="5" t="inlineStr">
        <is>
          <t>Coût de revient par pièce : les 15 produits au plus fort chiffre d'affaires</t>
        </is>
      </c>
      <c r="C12" s="6" t="n"/>
      <c r="D12" s="6" t="n"/>
      <c r="E12" s="6" t="n"/>
      <c r="F12" s="6" t="n"/>
      <c r="G12" s="6" t="n"/>
      <c r="H12" s="6" t="n"/>
      <c r="I12" s="6" t="n"/>
      <c r="J12" s="6" t="n"/>
      <c r="L12" s="5" t="inlineStr">
        <is>
          <t>Structure des coûts (volume annuel)</t>
        </is>
      </c>
      <c r="M12" s="6" t="n"/>
      <c r="N12" s="6" t="n"/>
      <c r="O12" s="6" t="n"/>
      <c r="P12" s="6" t="n"/>
    </row>
    <row r="13" ht="32" customHeight="1">
      <c r="B13" s="42" t="inlineStr">
        <is>
          <t>Produit</t>
        </is>
      </c>
      <c r="C13" s="42" t="inlineStr">
        <is>
          <t>Matières</t>
        </is>
      </c>
      <c r="D13" s="42" t="inlineStr">
        <is>
          <t>Main-d'œuvre</t>
        </is>
      </c>
      <c r="E13" s="42" t="inlineStr">
        <is>
          <t>Machine</t>
        </is>
      </c>
      <c r="F13" s="42" t="inlineStr">
        <is>
          <t>Réglage</t>
        </is>
      </c>
      <c r="G13" s="42" t="inlineStr">
        <is>
          <t>Sous-trait. et autres</t>
        </is>
      </c>
      <c r="H13" s="42" t="inlineStr">
        <is>
          <t>Frais généraux</t>
        </is>
      </c>
      <c r="I13" s="42" t="inlineStr">
        <is>
          <t>Coût de revient</t>
        </is>
      </c>
      <c r="J13" s="42" t="inlineStr">
        <is>
          <t>Prix de vente</t>
        </is>
      </c>
      <c r="K13" s="42" t="inlineStr">
        <is>
          <t>Élément</t>
        </is>
      </c>
      <c r="L13" s="43" t="n"/>
      <c r="M13" s="44" t="n"/>
      <c r="N13" s="42" t="inlineStr">
        <is>
          <t>Montant annuel</t>
        </is>
      </c>
      <c r="O13" s="44" t="n"/>
      <c r="P13" s="42" t="inlineStr">
        <is>
          <t>Part</t>
        </is>
      </c>
    </row>
    <row r="14">
      <c r="B14" s="45" t="str">
        <f>IFERROR(INDEX(prod_ref,MATCH(1,prod_rk,0))&amp;"","")</f>
        <v/>
      </c>
      <c r="C14" s="46" t="str">
        <f>IFERROR(INDEX(prod_mat,MATCH(1,prod_rk,0)),"")</f>
        <v/>
      </c>
      <c r="D14" s="46" t="str">
        <f>IFERROR(INDEX(prod_mo,MATCH(1,prod_rk,0)),"")</f>
        <v/>
      </c>
      <c r="E14" s="46" t="str">
        <f>IFERROR(INDEX(prod_mac,MATCH(1,prod_rk,0)),"")</f>
        <v/>
      </c>
      <c r="F14" s="46" t="str">
        <f>IFERROR(INDEX(prod_reg,MATCH(1,prod_rk,0)),"")</f>
        <v/>
      </c>
      <c r="G14" s="46" t="str">
        <f>IFERROR(N(INDEX(prod_st,MATCH(1,prod_rk,0)))+N(INDEX(prod_emb,MATCH(1,prod_rk,0)))+N(INDEX(prod_tr,MATCH(1,prod_rk,0)))/INDEX(prod_lot,MATCH(1,prod_rk,0)),"")</f>
        <v/>
      </c>
      <c r="H14" s="46" t="str">
        <f>IFERROR(INDEX(prod_fg,MATCH(1,prod_rk,0)),"")</f>
        <v/>
      </c>
      <c r="I14" s="47" t="str">
        <f>IFERROR(INDEX(prod_cr,MATCH(1,prod_rk,0)),"")</f>
        <v/>
      </c>
      <c r="J14" s="46" t="str">
        <f>IFERROR(IF(N(INDEX(prod_pv,MATCH(1,prod_rk,0)))&gt;0,INDEX(prod_pv,MATCH(1,prod_rk,0)),""),"")</f>
        <v/>
      </c>
      <c r="K14" s="48" t="inlineStr">
        <is>
          <t>Matières</t>
        </is>
      </c>
      <c r="L14" s="48" t="n"/>
      <c r="M14" s="48" t="n"/>
      <c r="N14" s="49">
        <f>SUM(w_mat)</f>
        <v>0.0</v>
      </c>
      <c r="O14" s="50" t="n"/>
      <c r="P14" s="51" t="str">
        <f>IF(SUM($N$14:$N$19)=0,"",N14/SUM($N$14:$N$19))</f>
        <v/>
      </c>
    </row>
    <row r="15">
      <c r="B15" s="45" t="str">
        <f>IFERROR(INDEX(prod_ref,MATCH(2,prod_rk,0))&amp;"","")</f>
        <v/>
      </c>
      <c r="C15" s="46" t="str">
        <f>IFERROR(INDEX(prod_mat,MATCH(2,prod_rk,0)),"")</f>
        <v/>
      </c>
      <c r="D15" s="46" t="str">
        <f>IFERROR(INDEX(prod_mo,MATCH(2,prod_rk,0)),"")</f>
        <v/>
      </c>
      <c r="E15" s="46" t="str">
        <f>IFERROR(INDEX(prod_mac,MATCH(2,prod_rk,0)),"")</f>
        <v/>
      </c>
      <c r="F15" s="46" t="str">
        <f>IFERROR(INDEX(prod_reg,MATCH(2,prod_rk,0)),"")</f>
        <v/>
      </c>
      <c r="G15" s="46" t="str">
        <f>IFERROR(N(INDEX(prod_st,MATCH(2,prod_rk,0)))+N(INDEX(prod_emb,MATCH(2,prod_rk,0)))+N(INDEX(prod_tr,MATCH(2,prod_rk,0)))/INDEX(prod_lot,MATCH(2,prod_rk,0)),"")</f>
        <v/>
      </c>
      <c r="H15" s="46" t="str">
        <f>IFERROR(INDEX(prod_fg,MATCH(2,prod_rk,0)),"")</f>
        <v/>
      </c>
      <c r="I15" s="47" t="str">
        <f>IFERROR(INDEX(prod_cr,MATCH(2,prod_rk,0)),"")</f>
        <v/>
      </c>
      <c r="J15" s="46" t="str">
        <f>IFERROR(IF(N(INDEX(prod_pv,MATCH(2,prod_rk,0)))&gt;0,INDEX(prod_pv,MATCH(2,prod_rk,0)),""),"")</f>
        <v/>
      </c>
      <c r="K15" s="48" t="inlineStr">
        <is>
          <t>Main-d'œuvre</t>
        </is>
      </c>
      <c r="L15" s="48" t="n"/>
      <c r="M15" s="48" t="n"/>
      <c r="N15" s="49">
        <f>SUM(w_mo)</f>
        <v>0.0</v>
      </c>
      <c r="O15" s="50" t="n"/>
      <c r="P15" s="51" t="str">
        <f>IF(SUM($N$14:$N$19)=0,"",N15/SUM($N$14:$N$19))</f>
        <v/>
      </c>
    </row>
    <row r="16">
      <c r="B16" s="45" t="str">
        <f>IFERROR(INDEX(prod_ref,MATCH(3,prod_rk,0))&amp;"","")</f>
        <v/>
      </c>
      <c r="C16" s="46" t="str">
        <f>IFERROR(INDEX(prod_mat,MATCH(3,prod_rk,0)),"")</f>
        <v/>
      </c>
      <c r="D16" s="46" t="str">
        <f>IFERROR(INDEX(prod_mo,MATCH(3,prod_rk,0)),"")</f>
        <v/>
      </c>
      <c r="E16" s="46" t="str">
        <f>IFERROR(INDEX(prod_mac,MATCH(3,prod_rk,0)),"")</f>
        <v/>
      </c>
      <c r="F16" s="46" t="str">
        <f>IFERROR(INDEX(prod_reg,MATCH(3,prod_rk,0)),"")</f>
        <v/>
      </c>
      <c r="G16" s="46" t="str">
        <f>IFERROR(N(INDEX(prod_st,MATCH(3,prod_rk,0)))+N(INDEX(prod_emb,MATCH(3,prod_rk,0)))+N(INDEX(prod_tr,MATCH(3,prod_rk,0)))/INDEX(prod_lot,MATCH(3,prod_rk,0)),"")</f>
        <v/>
      </c>
      <c r="H16" s="46" t="str">
        <f>IFERROR(INDEX(prod_fg,MATCH(3,prod_rk,0)),"")</f>
        <v/>
      </c>
      <c r="I16" s="47" t="str">
        <f>IFERROR(INDEX(prod_cr,MATCH(3,prod_rk,0)),"")</f>
        <v/>
      </c>
      <c r="J16" s="46" t="str">
        <f>IFERROR(IF(N(INDEX(prod_pv,MATCH(3,prod_rk,0)))&gt;0,INDEX(prod_pv,MATCH(3,prod_rk,0)),""),"")</f>
        <v/>
      </c>
      <c r="K16" s="48" t="inlineStr">
        <is>
          <t>Machine</t>
        </is>
      </c>
      <c r="L16" s="48" t="n"/>
      <c r="M16" s="48" t="n"/>
      <c r="N16" s="49">
        <f>SUM(w_mac)</f>
        <v>0.0</v>
      </c>
      <c r="O16" s="50" t="n"/>
      <c r="P16" s="51" t="str">
        <f>IF(SUM($N$14:$N$19)=0,"",N16/SUM($N$14:$N$19))</f>
        <v/>
      </c>
    </row>
    <row r="17">
      <c r="B17" s="45" t="str">
        <f>IFERROR(INDEX(prod_ref,MATCH(4,prod_rk,0))&amp;"","")</f>
        <v/>
      </c>
      <c r="C17" s="46" t="str">
        <f>IFERROR(INDEX(prod_mat,MATCH(4,prod_rk,0)),"")</f>
        <v/>
      </c>
      <c r="D17" s="46" t="str">
        <f>IFERROR(INDEX(prod_mo,MATCH(4,prod_rk,0)),"")</f>
        <v/>
      </c>
      <c r="E17" s="46" t="str">
        <f>IFERROR(INDEX(prod_mac,MATCH(4,prod_rk,0)),"")</f>
        <v/>
      </c>
      <c r="F17" s="46" t="str">
        <f>IFERROR(INDEX(prod_reg,MATCH(4,prod_rk,0)),"")</f>
        <v/>
      </c>
      <c r="G17" s="46" t="str">
        <f>IFERROR(N(INDEX(prod_st,MATCH(4,prod_rk,0)))+N(INDEX(prod_emb,MATCH(4,prod_rk,0)))+N(INDEX(prod_tr,MATCH(4,prod_rk,0)))/INDEX(prod_lot,MATCH(4,prod_rk,0)),"")</f>
        <v/>
      </c>
      <c r="H17" s="46" t="str">
        <f>IFERROR(INDEX(prod_fg,MATCH(4,prod_rk,0)),"")</f>
        <v/>
      </c>
      <c r="I17" s="47" t="str">
        <f>IFERROR(INDEX(prod_cr,MATCH(4,prod_rk,0)),"")</f>
        <v/>
      </c>
      <c r="J17" s="46" t="str">
        <f>IFERROR(IF(N(INDEX(prod_pv,MATCH(4,prod_rk,0)))&gt;0,INDEX(prod_pv,MATCH(4,prod_rk,0)),""),"")</f>
        <v/>
      </c>
      <c r="K17" s="48" t="inlineStr">
        <is>
          <t>Réglage</t>
        </is>
      </c>
      <c r="L17" s="48" t="n"/>
      <c r="M17" s="48" t="n"/>
      <c r="N17" s="49">
        <f>SUM(w_reg)</f>
        <v>0.0</v>
      </c>
      <c r="O17" s="50" t="n"/>
      <c r="P17" s="51" t="str">
        <f>IF(SUM($N$14:$N$19)=0,"",N17/SUM($N$14:$N$19))</f>
        <v/>
      </c>
    </row>
    <row r="18">
      <c r="B18" s="45" t="str">
        <f>IFERROR(INDEX(prod_ref,MATCH(5,prod_rk,0))&amp;"","")</f>
        <v/>
      </c>
      <c r="C18" s="46" t="str">
        <f>IFERROR(INDEX(prod_mat,MATCH(5,prod_rk,0)),"")</f>
        <v/>
      </c>
      <c r="D18" s="46" t="str">
        <f>IFERROR(INDEX(prod_mo,MATCH(5,prod_rk,0)),"")</f>
        <v/>
      </c>
      <c r="E18" s="46" t="str">
        <f>IFERROR(INDEX(prod_mac,MATCH(5,prod_rk,0)),"")</f>
        <v/>
      </c>
      <c r="F18" s="46" t="str">
        <f>IFERROR(INDEX(prod_reg,MATCH(5,prod_rk,0)),"")</f>
        <v/>
      </c>
      <c r="G18" s="46" t="str">
        <f>IFERROR(N(INDEX(prod_st,MATCH(5,prod_rk,0)))+N(INDEX(prod_emb,MATCH(5,prod_rk,0)))+N(INDEX(prod_tr,MATCH(5,prod_rk,0)))/INDEX(prod_lot,MATCH(5,prod_rk,0)),"")</f>
        <v/>
      </c>
      <c r="H18" s="46" t="str">
        <f>IFERROR(INDEX(prod_fg,MATCH(5,prod_rk,0)),"")</f>
        <v/>
      </c>
      <c r="I18" s="47" t="str">
        <f>IFERROR(INDEX(prod_cr,MATCH(5,prod_rk,0)),"")</f>
        <v/>
      </c>
      <c r="J18" s="46" t="str">
        <f>IFERROR(IF(N(INDEX(prod_pv,MATCH(5,prod_rk,0)))&gt;0,INDEX(prod_pv,MATCH(5,prod_rk,0)),""),"")</f>
        <v/>
      </c>
      <c r="K18" s="48" t="inlineStr">
        <is>
          <t>Sous-traitance et autres</t>
        </is>
      </c>
      <c r="L18" s="48" t="n"/>
      <c r="M18" s="48" t="n"/>
      <c r="N18" s="49">
        <f>SUM(w_aut)</f>
        <v>0.0</v>
      </c>
      <c r="O18" s="50" t="n"/>
      <c r="P18" s="51" t="str">
        <f>IF(SUM($N$14:$N$19)=0,"",N18/SUM($N$14:$N$19))</f>
        <v/>
      </c>
    </row>
    <row r="19">
      <c r="B19" s="45" t="str">
        <f>IFERROR(INDEX(prod_ref,MATCH(6,prod_rk,0))&amp;"","")</f>
        <v/>
      </c>
      <c r="C19" s="46" t="str">
        <f>IFERROR(INDEX(prod_mat,MATCH(6,prod_rk,0)),"")</f>
        <v/>
      </c>
      <c r="D19" s="46" t="str">
        <f>IFERROR(INDEX(prod_mo,MATCH(6,prod_rk,0)),"")</f>
        <v/>
      </c>
      <c r="E19" s="46" t="str">
        <f>IFERROR(INDEX(prod_mac,MATCH(6,prod_rk,0)),"")</f>
        <v/>
      </c>
      <c r="F19" s="46" t="str">
        <f>IFERROR(INDEX(prod_reg,MATCH(6,prod_rk,0)),"")</f>
        <v/>
      </c>
      <c r="G19" s="46" t="str">
        <f>IFERROR(N(INDEX(prod_st,MATCH(6,prod_rk,0)))+N(INDEX(prod_emb,MATCH(6,prod_rk,0)))+N(INDEX(prod_tr,MATCH(6,prod_rk,0)))/INDEX(prod_lot,MATCH(6,prod_rk,0)),"")</f>
        <v/>
      </c>
      <c r="H19" s="46" t="str">
        <f>IFERROR(INDEX(prod_fg,MATCH(6,prod_rk,0)),"")</f>
        <v/>
      </c>
      <c r="I19" s="47" t="str">
        <f>IFERROR(INDEX(prod_cr,MATCH(6,prod_rk,0)),"")</f>
        <v/>
      </c>
      <c r="J19" s="46" t="str">
        <f>IFERROR(IF(N(INDEX(prod_pv,MATCH(6,prod_rk,0)))&gt;0,INDEX(prod_pv,MATCH(6,prod_rk,0)),""),"")</f>
        <v/>
      </c>
      <c r="K19" s="48" t="inlineStr">
        <is>
          <t>Frais généraux</t>
        </is>
      </c>
      <c r="L19" s="48" t="n"/>
      <c r="M19" s="48" t="n"/>
      <c r="N19" s="49">
        <f>SUM(w_fg)</f>
        <v>0.0</v>
      </c>
      <c r="O19" s="50" t="n"/>
      <c r="P19" s="51" t="str">
        <f>IF(SUM($N$14:$N$19)=0,"",N19/SUM($N$14:$N$19))</f>
        <v/>
      </c>
    </row>
    <row r="20">
      <c r="B20" s="45" t="str">
        <f>IFERROR(INDEX(prod_ref,MATCH(7,prod_rk,0))&amp;"","")</f>
        <v/>
      </c>
      <c r="C20" s="46" t="str">
        <f>IFERROR(INDEX(prod_mat,MATCH(7,prod_rk,0)),"")</f>
        <v/>
      </c>
      <c r="D20" s="46" t="str">
        <f>IFERROR(INDEX(prod_mo,MATCH(7,prod_rk,0)),"")</f>
        <v/>
      </c>
      <c r="E20" s="46" t="str">
        <f>IFERROR(INDEX(prod_mac,MATCH(7,prod_rk,0)),"")</f>
        <v/>
      </c>
      <c r="F20" s="46" t="str">
        <f>IFERROR(INDEX(prod_reg,MATCH(7,prod_rk,0)),"")</f>
        <v/>
      </c>
      <c r="G20" s="46" t="str">
        <f>IFERROR(N(INDEX(prod_st,MATCH(7,prod_rk,0)))+N(INDEX(prod_emb,MATCH(7,prod_rk,0)))+N(INDEX(prod_tr,MATCH(7,prod_rk,0)))/INDEX(prod_lot,MATCH(7,prod_rk,0)),"")</f>
        <v/>
      </c>
      <c r="H20" s="46" t="str">
        <f>IFERROR(INDEX(prod_fg,MATCH(7,prod_rk,0)),"")</f>
        <v/>
      </c>
      <c r="I20" s="47" t="str">
        <f>IFERROR(INDEX(prod_cr,MATCH(7,prod_rk,0)),"")</f>
        <v/>
      </c>
      <c r="J20" s="46" t="str">
        <f>IFERROR(IF(N(INDEX(prod_pv,MATCH(7,prod_rk,0)))&gt;0,INDEX(prod_pv,MATCH(7,prod_rk,0)),""),"")</f>
        <v/>
      </c>
      <c r="K20" s="52" t="inlineStr">
        <is>
          <t>Total</t>
        </is>
      </c>
      <c r="L20" s="52" t="n"/>
      <c r="M20" s="52" t="n"/>
      <c r="N20" s="53">
        <f>SUM(N14:N19)</f>
        <v>0.0</v>
      </c>
      <c r="O20" s="52" t="n"/>
      <c r="P20" s="52" t="n"/>
    </row>
    <row r="21">
      <c r="B21" s="45" t="str">
        <f>IFERROR(INDEX(prod_ref,MATCH(8,prod_rk,0))&amp;"","")</f>
        <v/>
      </c>
      <c r="C21" s="46" t="str">
        <f>IFERROR(INDEX(prod_mat,MATCH(8,prod_rk,0)),"")</f>
        <v/>
      </c>
      <c r="D21" s="46" t="str">
        <f>IFERROR(INDEX(prod_mo,MATCH(8,prod_rk,0)),"")</f>
        <v/>
      </c>
      <c r="E21" s="46" t="str">
        <f>IFERROR(INDEX(prod_mac,MATCH(8,prod_rk,0)),"")</f>
        <v/>
      </c>
      <c r="F21" s="46" t="str">
        <f>IFERROR(INDEX(prod_reg,MATCH(8,prod_rk,0)),"")</f>
        <v/>
      </c>
      <c r="G21" s="46" t="str">
        <f>IFERROR(N(INDEX(prod_st,MATCH(8,prod_rk,0)))+N(INDEX(prod_emb,MATCH(8,prod_rk,0)))+N(INDEX(prod_tr,MATCH(8,prod_rk,0)))/INDEX(prod_lot,MATCH(8,prod_rk,0)),"")</f>
        <v/>
      </c>
      <c r="H21" s="46" t="str">
        <f>IFERROR(INDEX(prod_fg,MATCH(8,prod_rk,0)),"")</f>
        <v/>
      </c>
      <c r="I21" s="47" t="str">
        <f>IFERROR(INDEX(prod_cr,MATCH(8,prod_rk,0)),"")</f>
        <v/>
      </c>
      <c r="J21" s="46" t="str">
        <f>IFERROR(IF(N(INDEX(prod_pv,MATCH(8,prod_rk,0)))&gt;0,INDEX(prod_pv,MATCH(8,prod_rk,0)),""),"")</f>
        <v/>
      </c>
      <c r="K21" s="54" t="inlineStr">
        <is>
          <t>Coût unitaire de chaque élément x volume annuel, pour les produits chiffrés. Saisissez le volume annuel dans « Produits ».</t>
        </is>
      </c>
    </row>
    <row r="22">
      <c r="B22" s="45" t="str">
        <f>IFERROR(INDEX(prod_ref,MATCH(9,prod_rk,0))&amp;"","")</f>
        <v/>
      </c>
      <c r="C22" s="46" t="str">
        <f>IFERROR(INDEX(prod_mat,MATCH(9,prod_rk,0)),"")</f>
        <v/>
      </c>
      <c r="D22" s="46" t="str">
        <f>IFERROR(INDEX(prod_mo,MATCH(9,prod_rk,0)),"")</f>
        <v/>
      </c>
      <c r="E22" s="46" t="str">
        <f>IFERROR(INDEX(prod_mac,MATCH(9,prod_rk,0)),"")</f>
        <v/>
      </c>
      <c r="F22" s="46" t="str">
        <f>IFERROR(INDEX(prod_reg,MATCH(9,prod_rk,0)),"")</f>
        <v/>
      </c>
      <c r="G22" s="46" t="str">
        <f>IFERROR(N(INDEX(prod_st,MATCH(9,prod_rk,0)))+N(INDEX(prod_emb,MATCH(9,prod_rk,0)))+N(INDEX(prod_tr,MATCH(9,prod_rk,0)))/INDEX(prod_lot,MATCH(9,prod_rk,0)),"")</f>
        <v/>
      </c>
      <c r="H22" s="46" t="str">
        <f>IFERROR(INDEX(prod_fg,MATCH(9,prod_rk,0)),"")</f>
        <v/>
      </c>
      <c r="I22" s="47" t="str">
        <f>IFERROR(INDEX(prod_cr,MATCH(9,prod_rk,0)),"")</f>
        <v/>
      </c>
      <c r="J22" s="46" t="str">
        <f>IFERROR(IF(N(INDEX(prod_pv,MATCH(9,prod_rk,0)))&gt;0,INDEX(prod_pv,MATCH(9,prod_rk,0)),""),"")</f>
        <v/>
      </c>
    </row>
    <row r="23">
      <c r="B23" s="45" t="str">
        <f>IFERROR(INDEX(prod_ref,MATCH(10,prod_rk,0))&amp;"","")</f>
        <v/>
      </c>
      <c r="C23" s="46" t="str">
        <f>IFERROR(INDEX(prod_mat,MATCH(10,prod_rk,0)),"")</f>
        <v/>
      </c>
      <c r="D23" s="46" t="str">
        <f>IFERROR(INDEX(prod_mo,MATCH(10,prod_rk,0)),"")</f>
        <v/>
      </c>
      <c r="E23" s="46" t="str">
        <f>IFERROR(INDEX(prod_mac,MATCH(10,prod_rk,0)),"")</f>
        <v/>
      </c>
      <c r="F23" s="46" t="str">
        <f>IFERROR(INDEX(prod_reg,MATCH(10,prod_rk,0)),"")</f>
        <v/>
      </c>
      <c r="G23" s="46" t="str">
        <f>IFERROR(N(INDEX(prod_st,MATCH(10,prod_rk,0)))+N(INDEX(prod_emb,MATCH(10,prod_rk,0)))+N(INDEX(prod_tr,MATCH(10,prod_rk,0)))/INDEX(prod_lot,MATCH(10,prod_rk,0)),"")</f>
        <v/>
      </c>
      <c r="H23" s="46" t="str">
        <f>IFERROR(INDEX(prod_fg,MATCH(10,prod_rk,0)),"")</f>
        <v/>
      </c>
      <c r="I23" s="47" t="str">
        <f>IFERROR(INDEX(prod_cr,MATCH(10,prod_rk,0)),"")</f>
        <v/>
      </c>
      <c r="J23" s="46" t="str">
        <f>IFERROR(IF(N(INDEX(prod_pv,MATCH(10,prod_rk,0)))&gt;0,INDEX(prod_pv,MATCH(10,prod_rk,0)),""),"")</f>
        <v/>
      </c>
    </row>
    <row r="24">
      <c r="B24" s="45" t="str">
        <f>IFERROR(INDEX(prod_ref,MATCH(11,prod_rk,0))&amp;"","")</f>
        <v/>
      </c>
      <c r="C24" s="46" t="str">
        <f>IFERROR(INDEX(prod_mat,MATCH(11,prod_rk,0)),"")</f>
        <v/>
      </c>
      <c r="D24" s="46" t="str">
        <f>IFERROR(INDEX(prod_mo,MATCH(11,prod_rk,0)),"")</f>
        <v/>
      </c>
      <c r="E24" s="46" t="str">
        <f>IFERROR(INDEX(prod_mac,MATCH(11,prod_rk,0)),"")</f>
        <v/>
      </c>
      <c r="F24" s="46" t="str">
        <f>IFERROR(INDEX(prod_reg,MATCH(11,prod_rk,0)),"")</f>
        <v/>
      </c>
      <c r="G24" s="46" t="str">
        <f>IFERROR(N(INDEX(prod_st,MATCH(11,prod_rk,0)))+N(INDEX(prod_emb,MATCH(11,prod_rk,0)))+N(INDEX(prod_tr,MATCH(11,prod_rk,0)))/INDEX(prod_lot,MATCH(11,prod_rk,0)),"")</f>
        <v/>
      </c>
      <c r="H24" s="46" t="str">
        <f>IFERROR(INDEX(prod_fg,MATCH(11,prod_rk,0)),"")</f>
        <v/>
      </c>
      <c r="I24" s="47" t="str">
        <f>IFERROR(INDEX(prod_cr,MATCH(11,prod_rk,0)),"")</f>
        <v/>
      </c>
      <c r="J24" s="46" t="str">
        <f>IFERROR(IF(N(INDEX(prod_pv,MATCH(11,prod_rk,0)))&gt;0,INDEX(prod_pv,MATCH(11,prod_rk,0)),""),"")</f>
        <v/>
      </c>
    </row>
    <row r="25">
      <c r="B25" s="45" t="str">
        <f>IFERROR(INDEX(prod_ref,MATCH(12,prod_rk,0))&amp;"","")</f>
        <v/>
      </c>
      <c r="C25" s="46" t="str">
        <f>IFERROR(INDEX(prod_mat,MATCH(12,prod_rk,0)),"")</f>
        <v/>
      </c>
      <c r="D25" s="46" t="str">
        <f>IFERROR(INDEX(prod_mo,MATCH(12,prod_rk,0)),"")</f>
        <v/>
      </c>
      <c r="E25" s="46" t="str">
        <f>IFERROR(INDEX(prod_mac,MATCH(12,prod_rk,0)),"")</f>
        <v/>
      </c>
      <c r="F25" s="46" t="str">
        <f>IFERROR(INDEX(prod_reg,MATCH(12,prod_rk,0)),"")</f>
        <v/>
      </c>
      <c r="G25" s="46" t="str">
        <f>IFERROR(N(INDEX(prod_st,MATCH(12,prod_rk,0)))+N(INDEX(prod_emb,MATCH(12,prod_rk,0)))+N(INDEX(prod_tr,MATCH(12,prod_rk,0)))/INDEX(prod_lot,MATCH(12,prod_rk,0)),"")</f>
        <v/>
      </c>
      <c r="H25" s="46" t="str">
        <f>IFERROR(INDEX(prod_fg,MATCH(12,prod_rk,0)),"")</f>
        <v/>
      </c>
      <c r="I25" s="47" t="str">
        <f>IFERROR(INDEX(prod_cr,MATCH(12,prod_rk,0)),"")</f>
        <v/>
      </c>
      <c r="J25" s="46" t="str">
        <f>IFERROR(IF(N(INDEX(prod_pv,MATCH(12,prod_rk,0)))&gt;0,INDEX(prod_pv,MATCH(12,prod_rk,0)),""),"")</f>
        <v/>
      </c>
    </row>
    <row r="26">
      <c r="B26" s="45" t="str">
        <f>IFERROR(INDEX(prod_ref,MATCH(13,prod_rk,0))&amp;"","")</f>
        <v/>
      </c>
      <c r="C26" s="46" t="str">
        <f>IFERROR(INDEX(prod_mat,MATCH(13,prod_rk,0)),"")</f>
        <v/>
      </c>
      <c r="D26" s="46" t="str">
        <f>IFERROR(INDEX(prod_mo,MATCH(13,prod_rk,0)),"")</f>
        <v/>
      </c>
      <c r="E26" s="46" t="str">
        <f>IFERROR(INDEX(prod_mac,MATCH(13,prod_rk,0)),"")</f>
        <v/>
      </c>
      <c r="F26" s="46" t="str">
        <f>IFERROR(INDEX(prod_reg,MATCH(13,prod_rk,0)),"")</f>
        <v/>
      </c>
      <c r="G26" s="46" t="str">
        <f>IFERROR(N(INDEX(prod_st,MATCH(13,prod_rk,0)))+N(INDEX(prod_emb,MATCH(13,prod_rk,0)))+N(INDEX(prod_tr,MATCH(13,prod_rk,0)))/INDEX(prod_lot,MATCH(13,prod_rk,0)),"")</f>
        <v/>
      </c>
      <c r="H26" s="46" t="str">
        <f>IFERROR(INDEX(prod_fg,MATCH(13,prod_rk,0)),"")</f>
        <v/>
      </c>
      <c r="I26" s="47" t="str">
        <f>IFERROR(INDEX(prod_cr,MATCH(13,prod_rk,0)),"")</f>
        <v/>
      </c>
      <c r="J26" s="46" t="str">
        <f>IFERROR(IF(N(INDEX(prod_pv,MATCH(13,prod_rk,0)))&gt;0,INDEX(prod_pv,MATCH(13,prod_rk,0)),""),"")</f>
        <v/>
      </c>
    </row>
    <row r="27">
      <c r="B27" s="45" t="str">
        <f>IFERROR(INDEX(prod_ref,MATCH(14,prod_rk,0))&amp;"","")</f>
        <v/>
      </c>
      <c r="C27" s="46" t="str">
        <f>IFERROR(INDEX(prod_mat,MATCH(14,prod_rk,0)),"")</f>
        <v/>
      </c>
      <c r="D27" s="46" t="str">
        <f>IFERROR(INDEX(prod_mo,MATCH(14,prod_rk,0)),"")</f>
        <v/>
      </c>
      <c r="E27" s="46" t="str">
        <f>IFERROR(INDEX(prod_mac,MATCH(14,prod_rk,0)),"")</f>
        <v/>
      </c>
      <c r="F27" s="46" t="str">
        <f>IFERROR(INDEX(prod_reg,MATCH(14,prod_rk,0)),"")</f>
        <v/>
      </c>
      <c r="G27" s="46" t="str">
        <f>IFERROR(N(INDEX(prod_st,MATCH(14,prod_rk,0)))+N(INDEX(prod_emb,MATCH(14,prod_rk,0)))+N(INDEX(prod_tr,MATCH(14,prod_rk,0)))/INDEX(prod_lot,MATCH(14,prod_rk,0)),"")</f>
        <v/>
      </c>
      <c r="H27" s="46" t="str">
        <f>IFERROR(INDEX(prod_fg,MATCH(14,prod_rk,0)),"")</f>
        <v/>
      </c>
      <c r="I27" s="47" t="str">
        <f>IFERROR(INDEX(prod_cr,MATCH(14,prod_rk,0)),"")</f>
        <v/>
      </c>
      <c r="J27" s="46" t="str">
        <f>IFERROR(IF(N(INDEX(prod_pv,MATCH(14,prod_rk,0)))&gt;0,INDEX(prod_pv,MATCH(14,prod_rk,0)),""),"")</f>
        <v/>
      </c>
    </row>
    <row r="28">
      <c r="B28" s="45" t="str">
        <f>IFERROR(INDEX(prod_ref,MATCH(15,prod_rk,0))&amp;"","")</f>
        <v/>
      </c>
      <c r="C28" s="46" t="str">
        <f>IFERROR(INDEX(prod_mat,MATCH(15,prod_rk,0)),"")</f>
        <v/>
      </c>
      <c r="D28" s="46" t="str">
        <f>IFERROR(INDEX(prod_mo,MATCH(15,prod_rk,0)),"")</f>
        <v/>
      </c>
      <c r="E28" s="46" t="str">
        <f>IFERROR(INDEX(prod_mac,MATCH(15,prod_rk,0)),"")</f>
        <v/>
      </c>
      <c r="F28" s="46" t="str">
        <f>IFERROR(INDEX(prod_reg,MATCH(15,prod_rk,0)),"")</f>
        <v/>
      </c>
      <c r="G28" s="46" t="str">
        <f>IFERROR(N(INDEX(prod_st,MATCH(15,prod_rk,0)))+N(INDEX(prod_emb,MATCH(15,prod_rk,0)))+N(INDEX(prod_tr,MATCH(15,prod_rk,0)))/INDEX(prod_lot,MATCH(15,prod_rk,0)),"")</f>
        <v/>
      </c>
      <c r="H28" s="46" t="str">
        <f>IFERROR(INDEX(prod_fg,MATCH(15,prod_rk,0)),"")</f>
        <v/>
      </c>
      <c r="I28" s="47" t="str">
        <f>IFERROR(INDEX(prod_cr,MATCH(15,prod_rk,0)),"")</f>
        <v/>
      </c>
      <c r="J28" s="46" t="str">
        <f>IFERROR(IF(N(INDEX(prod_pv,MATCH(15,prod_rk,0)))&gt;0,INDEX(prod_pv,MATCH(15,prod_rk,0)),""),"")</f>
        <v/>
      </c>
    </row>
    <row r="49" ht="22" customHeight="1">
      <c r="B49" s="5" t="inlineStr">
        <is>
          <t>Produits vendus à perte ou sous la marge cible (les 12 plus faibles marges)</t>
        </is>
      </c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</row>
    <row r="50">
      <c r="B50" s="55" t="inlineStr">
        <is>
          <t>Produit</t>
        </is>
      </c>
      <c r="C50" s="55" t="n"/>
      <c r="D50" s="55" t="inlineStr">
        <is>
          <t>Désignation</t>
        </is>
      </c>
      <c r="E50" s="55" t="n"/>
      <c r="F50" s="55" t="n"/>
      <c r="G50" s="55" t="inlineStr">
        <is>
          <t>Coût de revient</t>
        </is>
      </c>
      <c r="H50" s="55" t="n"/>
      <c r="I50" s="55" t="inlineStr">
        <is>
          <t>Prix de vente</t>
        </is>
      </c>
      <c r="J50" s="55" t="n"/>
      <c r="K50" s="55" t="inlineStr">
        <is>
          <t>Prix minimum</t>
        </is>
      </c>
      <c r="L50" s="55" t="n"/>
      <c r="M50" s="55" t="inlineStr">
        <is>
          <t>Taux de marge</t>
        </is>
      </c>
      <c r="N50" s="55" t="n"/>
      <c r="O50" s="55" t="inlineStr">
        <is>
          <t>Statut</t>
        </is>
      </c>
      <c r="P50" s="55" t="n"/>
    </row>
    <row r="51">
      <c r="B51" s="56" t="str">
        <f>IFERROR(INDEX(prod_ref,MATCH(1,prod_ark,0))&amp;"","")</f>
        <v/>
      </c>
      <c r="C51" s="56" t="n"/>
      <c r="D51" s="56" t="str">
        <f>IFERROR(INDEX(prod_des,MATCH(1,prod_ark,0))&amp;"","")</f>
        <v/>
      </c>
      <c r="E51" s="56" t="n"/>
      <c r="F51" s="56" t="n"/>
      <c r="G51" s="57" t="str">
        <f>IFERROR(INDEX(prod_cr,MATCH(1,prod_ark,0)),"")</f>
        <v/>
      </c>
      <c r="H51" s="58" t="n"/>
      <c r="I51" s="57" t="str">
        <f>IFERROR(INDEX(prod_pv,MATCH(1,prod_ark,0)),"")</f>
        <v/>
      </c>
      <c r="J51" s="58" t="n"/>
      <c r="K51" s="57" t="str">
        <f>IFERROR(INDEX(prod_min,MATCH(1,prod_ark,0)),"")</f>
        <v/>
      </c>
      <c r="L51" s="58" t="n"/>
      <c r="M51" s="59" t="str">
        <f>IFERROR(INDEX(prod_tm,MATCH(1,prod_ark,0)),"")</f>
        <v/>
      </c>
      <c r="N51" s="58" t="n"/>
      <c r="O51" s="58" t="str">
        <f>IFERROR(INDEX(prod_stat,MATCH(1,prod_ark,0))&amp;"","")</f>
        <v/>
      </c>
      <c r="P51" s="58" t="n"/>
    </row>
    <row r="52">
      <c r="B52" s="56" t="str">
        <f>IFERROR(INDEX(prod_ref,MATCH(2,prod_ark,0))&amp;"","")</f>
        <v/>
      </c>
      <c r="C52" s="56" t="n"/>
      <c r="D52" s="56" t="str">
        <f>IFERROR(INDEX(prod_des,MATCH(2,prod_ark,0))&amp;"","")</f>
        <v/>
      </c>
      <c r="E52" s="56" t="n"/>
      <c r="F52" s="56" t="n"/>
      <c r="G52" s="57" t="str">
        <f>IFERROR(INDEX(prod_cr,MATCH(2,prod_ark,0)),"")</f>
        <v/>
      </c>
      <c r="H52" s="58" t="n"/>
      <c r="I52" s="57" t="str">
        <f>IFERROR(INDEX(prod_pv,MATCH(2,prod_ark,0)),"")</f>
        <v/>
      </c>
      <c r="J52" s="58" t="n"/>
      <c r="K52" s="57" t="str">
        <f>IFERROR(INDEX(prod_min,MATCH(2,prod_ark,0)),"")</f>
        <v/>
      </c>
      <c r="L52" s="58" t="n"/>
      <c r="M52" s="59" t="str">
        <f>IFERROR(INDEX(prod_tm,MATCH(2,prod_ark,0)),"")</f>
        <v/>
      </c>
      <c r="N52" s="58" t="n"/>
      <c r="O52" s="58" t="str">
        <f>IFERROR(INDEX(prod_stat,MATCH(2,prod_ark,0))&amp;"","")</f>
        <v/>
      </c>
      <c r="P52" s="58" t="n"/>
    </row>
    <row r="53">
      <c r="B53" s="56" t="str">
        <f>IFERROR(INDEX(prod_ref,MATCH(3,prod_ark,0))&amp;"","")</f>
        <v/>
      </c>
      <c r="C53" s="56" t="n"/>
      <c r="D53" s="56" t="str">
        <f>IFERROR(INDEX(prod_des,MATCH(3,prod_ark,0))&amp;"","")</f>
        <v/>
      </c>
      <c r="E53" s="56" t="n"/>
      <c r="F53" s="56" t="n"/>
      <c r="G53" s="57" t="str">
        <f>IFERROR(INDEX(prod_cr,MATCH(3,prod_ark,0)),"")</f>
        <v/>
      </c>
      <c r="H53" s="58" t="n"/>
      <c r="I53" s="57" t="str">
        <f>IFERROR(INDEX(prod_pv,MATCH(3,prod_ark,0)),"")</f>
        <v/>
      </c>
      <c r="J53" s="58" t="n"/>
      <c r="K53" s="57" t="str">
        <f>IFERROR(INDEX(prod_min,MATCH(3,prod_ark,0)),"")</f>
        <v/>
      </c>
      <c r="L53" s="58" t="n"/>
      <c r="M53" s="59" t="str">
        <f>IFERROR(INDEX(prod_tm,MATCH(3,prod_ark,0)),"")</f>
        <v/>
      </c>
      <c r="N53" s="58" t="n"/>
      <c r="O53" s="58" t="str">
        <f>IFERROR(INDEX(prod_stat,MATCH(3,prod_ark,0))&amp;"","")</f>
        <v/>
      </c>
      <c r="P53" s="58" t="n"/>
    </row>
    <row r="54">
      <c r="B54" s="56" t="str">
        <f>IFERROR(INDEX(prod_ref,MATCH(4,prod_ark,0))&amp;"","")</f>
        <v/>
      </c>
      <c r="C54" s="56" t="n"/>
      <c r="D54" s="56" t="str">
        <f>IFERROR(INDEX(prod_des,MATCH(4,prod_ark,0))&amp;"","")</f>
        <v/>
      </c>
      <c r="E54" s="56" t="n"/>
      <c r="F54" s="56" t="n"/>
      <c r="G54" s="57" t="str">
        <f>IFERROR(INDEX(prod_cr,MATCH(4,prod_ark,0)),"")</f>
        <v/>
      </c>
      <c r="H54" s="58" t="n"/>
      <c r="I54" s="57" t="str">
        <f>IFERROR(INDEX(prod_pv,MATCH(4,prod_ark,0)),"")</f>
        <v/>
      </c>
      <c r="J54" s="58" t="n"/>
      <c r="K54" s="57" t="str">
        <f>IFERROR(INDEX(prod_min,MATCH(4,prod_ark,0)),"")</f>
        <v/>
      </c>
      <c r="L54" s="58" t="n"/>
      <c r="M54" s="59" t="str">
        <f>IFERROR(INDEX(prod_tm,MATCH(4,prod_ark,0)),"")</f>
        <v/>
      </c>
      <c r="N54" s="58" t="n"/>
      <c r="O54" s="58" t="str">
        <f>IFERROR(INDEX(prod_stat,MATCH(4,prod_ark,0))&amp;"","")</f>
        <v/>
      </c>
      <c r="P54" s="58" t="n"/>
    </row>
    <row r="55">
      <c r="B55" s="56" t="str">
        <f>IFERROR(INDEX(prod_ref,MATCH(5,prod_ark,0))&amp;"","")</f>
        <v/>
      </c>
      <c r="C55" s="56" t="n"/>
      <c r="D55" s="56" t="str">
        <f>IFERROR(INDEX(prod_des,MATCH(5,prod_ark,0))&amp;"","")</f>
        <v/>
      </c>
      <c r="E55" s="56" t="n"/>
      <c r="F55" s="56" t="n"/>
      <c r="G55" s="57" t="str">
        <f>IFERROR(INDEX(prod_cr,MATCH(5,prod_ark,0)),"")</f>
        <v/>
      </c>
      <c r="H55" s="58" t="n"/>
      <c r="I55" s="57" t="str">
        <f>IFERROR(INDEX(prod_pv,MATCH(5,prod_ark,0)),"")</f>
        <v/>
      </c>
      <c r="J55" s="58" t="n"/>
      <c r="K55" s="57" t="str">
        <f>IFERROR(INDEX(prod_min,MATCH(5,prod_ark,0)),"")</f>
        <v/>
      </c>
      <c r="L55" s="58" t="n"/>
      <c r="M55" s="59" t="str">
        <f>IFERROR(INDEX(prod_tm,MATCH(5,prod_ark,0)),"")</f>
        <v/>
      </c>
      <c r="N55" s="58" t="n"/>
      <c r="O55" s="58" t="str">
        <f>IFERROR(INDEX(prod_stat,MATCH(5,prod_ark,0))&amp;"","")</f>
        <v/>
      </c>
      <c r="P55" s="58" t="n"/>
    </row>
    <row r="56">
      <c r="B56" s="56" t="str">
        <f>IFERROR(INDEX(prod_ref,MATCH(6,prod_ark,0))&amp;"","")</f>
        <v/>
      </c>
      <c r="C56" s="56" t="n"/>
      <c r="D56" s="56" t="str">
        <f>IFERROR(INDEX(prod_des,MATCH(6,prod_ark,0))&amp;"","")</f>
        <v/>
      </c>
      <c r="E56" s="56" t="n"/>
      <c r="F56" s="56" t="n"/>
      <c r="G56" s="57" t="str">
        <f>IFERROR(INDEX(prod_cr,MATCH(6,prod_ark,0)),"")</f>
        <v/>
      </c>
      <c r="H56" s="58" t="n"/>
      <c r="I56" s="57" t="str">
        <f>IFERROR(INDEX(prod_pv,MATCH(6,prod_ark,0)),"")</f>
        <v/>
      </c>
      <c r="J56" s="58" t="n"/>
      <c r="K56" s="57" t="str">
        <f>IFERROR(INDEX(prod_min,MATCH(6,prod_ark,0)),"")</f>
        <v/>
      </c>
      <c r="L56" s="58" t="n"/>
      <c r="M56" s="59" t="str">
        <f>IFERROR(INDEX(prod_tm,MATCH(6,prod_ark,0)),"")</f>
        <v/>
      </c>
      <c r="N56" s="58" t="n"/>
      <c r="O56" s="58" t="str">
        <f>IFERROR(INDEX(prod_stat,MATCH(6,prod_ark,0))&amp;"","")</f>
        <v/>
      </c>
      <c r="P56" s="58" t="n"/>
    </row>
    <row r="57">
      <c r="B57" s="56" t="str">
        <f>IFERROR(INDEX(prod_ref,MATCH(7,prod_ark,0))&amp;"","")</f>
        <v/>
      </c>
      <c r="C57" s="56" t="n"/>
      <c r="D57" s="56" t="str">
        <f>IFERROR(INDEX(prod_des,MATCH(7,prod_ark,0))&amp;"","")</f>
        <v/>
      </c>
      <c r="E57" s="56" t="n"/>
      <c r="F57" s="56" t="n"/>
      <c r="G57" s="57" t="str">
        <f>IFERROR(INDEX(prod_cr,MATCH(7,prod_ark,0)),"")</f>
        <v/>
      </c>
      <c r="H57" s="58" t="n"/>
      <c r="I57" s="57" t="str">
        <f>IFERROR(INDEX(prod_pv,MATCH(7,prod_ark,0)),"")</f>
        <v/>
      </c>
      <c r="J57" s="58" t="n"/>
      <c r="K57" s="57" t="str">
        <f>IFERROR(INDEX(prod_min,MATCH(7,prod_ark,0)),"")</f>
        <v/>
      </c>
      <c r="L57" s="58" t="n"/>
      <c r="M57" s="59" t="str">
        <f>IFERROR(INDEX(prod_tm,MATCH(7,prod_ark,0)),"")</f>
        <v/>
      </c>
      <c r="N57" s="58" t="n"/>
      <c r="O57" s="58" t="str">
        <f>IFERROR(INDEX(prod_stat,MATCH(7,prod_ark,0))&amp;"","")</f>
        <v/>
      </c>
      <c r="P57" s="58" t="n"/>
    </row>
    <row r="58">
      <c r="B58" s="56" t="str">
        <f>IFERROR(INDEX(prod_ref,MATCH(8,prod_ark,0))&amp;"","")</f>
        <v/>
      </c>
      <c r="C58" s="56" t="n"/>
      <c r="D58" s="56" t="str">
        <f>IFERROR(INDEX(prod_des,MATCH(8,prod_ark,0))&amp;"","")</f>
        <v/>
      </c>
      <c r="E58" s="56" t="n"/>
      <c r="F58" s="56" t="n"/>
      <c r="G58" s="57" t="str">
        <f>IFERROR(INDEX(prod_cr,MATCH(8,prod_ark,0)),"")</f>
        <v/>
      </c>
      <c r="H58" s="58" t="n"/>
      <c r="I58" s="57" t="str">
        <f>IFERROR(INDEX(prod_pv,MATCH(8,prod_ark,0)),"")</f>
        <v/>
      </c>
      <c r="J58" s="58" t="n"/>
      <c r="K58" s="57" t="str">
        <f>IFERROR(INDEX(prod_min,MATCH(8,prod_ark,0)),"")</f>
        <v/>
      </c>
      <c r="L58" s="58" t="n"/>
      <c r="M58" s="59" t="str">
        <f>IFERROR(INDEX(prod_tm,MATCH(8,prod_ark,0)),"")</f>
        <v/>
      </c>
      <c r="N58" s="58" t="n"/>
      <c r="O58" s="58" t="str">
        <f>IFERROR(INDEX(prod_stat,MATCH(8,prod_ark,0))&amp;"","")</f>
        <v/>
      </c>
      <c r="P58" s="58" t="n"/>
    </row>
    <row r="59">
      <c r="B59" s="56" t="str">
        <f>IFERROR(INDEX(prod_ref,MATCH(9,prod_ark,0))&amp;"","")</f>
        <v/>
      </c>
      <c r="C59" s="56" t="n"/>
      <c r="D59" s="56" t="str">
        <f>IFERROR(INDEX(prod_des,MATCH(9,prod_ark,0))&amp;"","")</f>
        <v/>
      </c>
      <c r="E59" s="56" t="n"/>
      <c r="F59" s="56" t="n"/>
      <c r="G59" s="57" t="str">
        <f>IFERROR(INDEX(prod_cr,MATCH(9,prod_ark,0)),"")</f>
        <v/>
      </c>
      <c r="H59" s="58" t="n"/>
      <c r="I59" s="57" t="str">
        <f>IFERROR(INDEX(prod_pv,MATCH(9,prod_ark,0)),"")</f>
        <v/>
      </c>
      <c r="J59" s="58" t="n"/>
      <c r="K59" s="57" t="str">
        <f>IFERROR(INDEX(prod_min,MATCH(9,prod_ark,0)),"")</f>
        <v/>
      </c>
      <c r="L59" s="58" t="n"/>
      <c r="M59" s="59" t="str">
        <f>IFERROR(INDEX(prod_tm,MATCH(9,prod_ark,0)),"")</f>
        <v/>
      </c>
      <c r="N59" s="58" t="n"/>
      <c r="O59" s="58" t="str">
        <f>IFERROR(INDEX(prod_stat,MATCH(9,prod_ark,0))&amp;"","")</f>
        <v/>
      </c>
      <c r="P59" s="58" t="n"/>
    </row>
    <row r="60">
      <c r="B60" s="56" t="str">
        <f>IFERROR(INDEX(prod_ref,MATCH(10,prod_ark,0))&amp;"","")</f>
        <v/>
      </c>
      <c r="C60" s="56" t="n"/>
      <c r="D60" s="56" t="str">
        <f>IFERROR(INDEX(prod_des,MATCH(10,prod_ark,0))&amp;"","")</f>
        <v/>
      </c>
      <c r="E60" s="56" t="n"/>
      <c r="F60" s="56" t="n"/>
      <c r="G60" s="57" t="str">
        <f>IFERROR(INDEX(prod_cr,MATCH(10,prod_ark,0)),"")</f>
        <v/>
      </c>
      <c r="H60" s="58" t="n"/>
      <c r="I60" s="57" t="str">
        <f>IFERROR(INDEX(prod_pv,MATCH(10,prod_ark,0)),"")</f>
        <v/>
      </c>
      <c r="J60" s="58" t="n"/>
      <c r="K60" s="57" t="str">
        <f>IFERROR(INDEX(prod_min,MATCH(10,prod_ark,0)),"")</f>
        <v/>
      </c>
      <c r="L60" s="58" t="n"/>
      <c r="M60" s="59" t="str">
        <f>IFERROR(INDEX(prod_tm,MATCH(10,prod_ark,0)),"")</f>
        <v/>
      </c>
      <c r="N60" s="58" t="n"/>
      <c r="O60" s="58" t="str">
        <f>IFERROR(INDEX(prod_stat,MATCH(10,prod_ark,0))&amp;"","")</f>
        <v/>
      </c>
      <c r="P60" s="58" t="n"/>
    </row>
    <row r="61">
      <c r="B61" s="56" t="str">
        <f>IFERROR(INDEX(prod_ref,MATCH(11,prod_ark,0))&amp;"","")</f>
        <v/>
      </c>
      <c r="C61" s="56" t="n"/>
      <c r="D61" s="56" t="str">
        <f>IFERROR(INDEX(prod_des,MATCH(11,prod_ark,0))&amp;"","")</f>
        <v/>
      </c>
      <c r="E61" s="56" t="n"/>
      <c r="F61" s="56" t="n"/>
      <c r="G61" s="57" t="str">
        <f>IFERROR(INDEX(prod_cr,MATCH(11,prod_ark,0)),"")</f>
        <v/>
      </c>
      <c r="H61" s="58" t="n"/>
      <c r="I61" s="57" t="str">
        <f>IFERROR(INDEX(prod_pv,MATCH(11,prod_ark,0)),"")</f>
        <v/>
      </c>
      <c r="J61" s="58" t="n"/>
      <c r="K61" s="57" t="str">
        <f>IFERROR(INDEX(prod_min,MATCH(11,prod_ark,0)),"")</f>
        <v/>
      </c>
      <c r="L61" s="58" t="n"/>
      <c r="M61" s="59" t="str">
        <f>IFERROR(INDEX(prod_tm,MATCH(11,prod_ark,0)),"")</f>
        <v/>
      </c>
      <c r="N61" s="58" t="n"/>
      <c r="O61" s="58" t="str">
        <f>IFERROR(INDEX(prod_stat,MATCH(11,prod_ark,0))&amp;"","")</f>
        <v/>
      </c>
      <c r="P61" s="58" t="n"/>
    </row>
    <row r="62">
      <c r="B62" s="56" t="str">
        <f>IFERROR(INDEX(prod_ref,MATCH(12,prod_ark,0))&amp;"","")</f>
        <v/>
      </c>
      <c r="C62" s="56" t="n"/>
      <c r="D62" s="56" t="str">
        <f>IFERROR(INDEX(prod_des,MATCH(12,prod_ark,0))&amp;"","")</f>
        <v/>
      </c>
      <c r="E62" s="56" t="n"/>
      <c r="F62" s="56" t="n"/>
      <c r="G62" s="57" t="str">
        <f>IFERROR(INDEX(prod_cr,MATCH(12,prod_ark,0)),"")</f>
        <v/>
      </c>
      <c r="H62" s="58" t="n"/>
      <c r="I62" s="57" t="str">
        <f>IFERROR(INDEX(prod_pv,MATCH(12,prod_ark,0)),"")</f>
        <v/>
      </c>
      <c r="J62" s="58" t="n"/>
      <c r="K62" s="57" t="str">
        <f>IFERROR(INDEX(prod_min,MATCH(12,prod_ark,0)),"")</f>
        <v/>
      </c>
      <c r="L62" s="58" t="n"/>
      <c r="M62" s="59" t="str">
        <f>IFERROR(INDEX(prod_tm,MATCH(12,prod_ark,0)),"")</f>
        <v/>
      </c>
      <c r="N62" s="58" t="n"/>
      <c r="O62" s="58" t="str">
        <f>IFERROR(INDEX(prod_stat,MATCH(12,prod_ark,0))&amp;"","")</f>
        <v/>
      </c>
      <c r="P62" s="58" t="n"/>
    </row>
    <row r="63">
      <c r="B63" s="41" t="str">
        <f>IF(COUNT(prod_ark)=0,"Aucun produit sous la marge cible.",IF(COUNT(prod_ark)&gt;12,"Et "&amp;(COUNT(prod_ark)-12)&amp;" autre(s) : filtrez la colonne Statut de « Produits ».",""))</f>
        <v>Aucun produit sous la marge cible.</v>
      </c>
    </row>
  </sheetData>
  <mergeCells count="124">
    <mergeCell ref="N20:O20"/>
    <mergeCell ref="M59:N59"/>
    <mergeCell ref="O53:P53"/>
    <mergeCell ref="D53:F53"/>
    <mergeCell ref="N3:O3"/>
    <mergeCell ref="M60:N60"/>
    <mergeCell ref="M54:N54"/>
    <mergeCell ref="K50:L50"/>
    <mergeCell ref="O54:P54"/>
    <mergeCell ref="G57:H57"/>
    <mergeCell ref="B61:C61"/>
    <mergeCell ref="K17:M17"/>
    <mergeCell ref="E7:G7"/>
    <mergeCell ref="B6:D6"/>
    <mergeCell ref="N14:O14"/>
    <mergeCell ref="I58:J58"/>
    <mergeCell ref="K58:L58"/>
    <mergeCell ref="K52:L52"/>
    <mergeCell ref="O55:P55"/>
    <mergeCell ref="H5:J5"/>
    <mergeCell ref="G58:H58"/>
    <mergeCell ref="I52:J52"/>
    <mergeCell ref="K16:M16"/>
    <mergeCell ref="B55:C55"/>
    <mergeCell ref="O60:P60"/>
    <mergeCell ref="K53:L53"/>
    <mergeCell ref="N15:O15"/>
    <mergeCell ref="M62:N62"/>
    <mergeCell ref="K5:M5"/>
    <mergeCell ref="B51:C51"/>
    <mergeCell ref="M50:N50"/>
    <mergeCell ref="K20:M20"/>
    <mergeCell ref="K21:P23"/>
    <mergeCell ref="D57:F57"/>
    <mergeCell ref="G59:H59"/>
    <mergeCell ref="N16:O16"/>
    <mergeCell ref="G61:H61"/>
    <mergeCell ref="I61:J61"/>
    <mergeCell ref="K55:L55"/>
    <mergeCell ref="H7:J7"/>
    <mergeCell ref="E6:G6"/>
    <mergeCell ref="I57:J57"/>
    <mergeCell ref="K51:L51"/>
    <mergeCell ref="M51:N51"/>
    <mergeCell ref="I54:J54"/>
    <mergeCell ref="K14:M14"/>
    <mergeCell ref="G62:H62"/>
    <mergeCell ref="K7:M7"/>
    <mergeCell ref="B53:C53"/>
    <mergeCell ref="D55:F55"/>
    <mergeCell ref="I56:J56"/>
    <mergeCell ref="K56:L56"/>
    <mergeCell ref="B5:D5"/>
    <mergeCell ref="O51:P51"/>
    <mergeCell ref="D54:F54"/>
    <mergeCell ref="O62:P62"/>
    <mergeCell ref="K18:M18"/>
    <mergeCell ref="D60:F60"/>
    <mergeCell ref="O56:P56"/>
    <mergeCell ref="N13:O13"/>
    <mergeCell ref="O58:P58"/>
    <mergeCell ref="I59:J59"/>
    <mergeCell ref="O57:P57"/>
    <mergeCell ref="M53:N53"/>
    <mergeCell ref="G60:H60"/>
    <mergeCell ref="I60:J60"/>
    <mergeCell ref="H6:J6"/>
    <mergeCell ref="B54:C54"/>
    <mergeCell ref="M55:N55"/>
    <mergeCell ref="M52:N52"/>
    <mergeCell ref="B56:C56"/>
    <mergeCell ref="K54:L54"/>
    <mergeCell ref="B58:C58"/>
    <mergeCell ref="K60:L60"/>
    <mergeCell ref="B52:C52"/>
    <mergeCell ref="D58:F58"/>
    <mergeCell ref="N18:O18"/>
    <mergeCell ref="B60:C60"/>
    <mergeCell ref="B57:C57"/>
    <mergeCell ref="N17:O17"/>
    <mergeCell ref="D51:F51"/>
    <mergeCell ref="O59:P59"/>
    <mergeCell ref="K13:M13"/>
    <mergeCell ref="I62:J62"/>
    <mergeCell ref="D50:F50"/>
    <mergeCell ref="N19:O19"/>
    <mergeCell ref="D59:F59"/>
    <mergeCell ref="O61:P61"/>
    <mergeCell ref="K15:M15"/>
    <mergeCell ref="G51:H51"/>
    <mergeCell ref="I51:J51"/>
    <mergeCell ref="G54:H54"/>
    <mergeCell ref="K57:L57"/>
    <mergeCell ref="G50:H50"/>
    <mergeCell ref="I50:J50"/>
    <mergeCell ref="G56:H56"/>
    <mergeCell ref="M58:N58"/>
    <mergeCell ref="B62:C62"/>
    <mergeCell ref="G52:H52"/>
    <mergeCell ref="B59:C59"/>
    <mergeCell ref="D61:F61"/>
    <mergeCell ref="N5:P5"/>
    <mergeCell ref="D62:F62"/>
    <mergeCell ref="D56:F56"/>
    <mergeCell ref="G53:H53"/>
    <mergeCell ref="I53:J53"/>
    <mergeCell ref="N6:P6"/>
    <mergeCell ref="K59:L59"/>
    <mergeCell ref="K19:M19"/>
    <mergeCell ref="K6:M6"/>
    <mergeCell ref="O50:P50"/>
    <mergeCell ref="I55:J55"/>
    <mergeCell ref="K61:L61"/>
    <mergeCell ref="B7:D7"/>
    <mergeCell ref="M61:N61"/>
    <mergeCell ref="O52:P52"/>
    <mergeCell ref="G55:H55"/>
    <mergeCell ref="N7:P7"/>
    <mergeCell ref="M57:N57"/>
    <mergeCell ref="E5:G5"/>
    <mergeCell ref="B50:C50"/>
    <mergeCell ref="D52:F52"/>
    <mergeCell ref="K62:L62"/>
    <mergeCell ref="M56:N56"/>
  </mergeCells>
  <conditionalFormatting sqref="O51:P62">
    <cfRule type="expression" priority="1" dxfId="0">
      <formula>$O51="OK"</formula>
    </cfRule>
    <cfRule type="expression" priority="2" dxfId="1">
      <formula>$O51="Sous la cible"</formula>
    </cfRule>
    <cfRule type="expression" priority="3" dxfId="2">
      <formula>$O51="Vendu à perte"</formula>
    </cfRule>
    <cfRule type="expression" priority="4" dxfId="3">
      <formula>$O51="Prix à saisir"</formula>
    </cfRule>
    <cfRule type="expression" priority="5" dxfId="4">
      <formula>$O51="À corriger"</formula>
    </cfRule>
  </conditionalFormatting>
  <conditionalFormatting sqref="C14:J28">
    <cfRule type="expression" priority="6" dxfId="5">
      <formula>p_currency="MAD"</formula>
    </cfRule>
    <cfRule type="expression" priority="8" dxfId="6">
      <formula>p_currency="EUR"</formula>
    </cfRule>
    <cfRule type="expression" priority="10" dxfId="7">
      <formula>p_currency="USD"</formula>
    </cfRule>
  </conditionalFormatting>
  <conditionalFormatting sqref="G51:L62">
    <cfRule type="expression" priority="7" dxfId="5">
      <formula>p_currency="MAD"</formula>
    </cfRule>
    <cfRule type="expression" priority="9" dxfId="6">
      <formula>p_currency="EUR"</formula>
    </cfRule>
    <cfRule type="expression" priority="11" dxfId="7">
      <formula>p_currency="USD"</formula>
    </cfRule>
  </conditionalFormatting>
  <conditionalFormatting sqref="N6">
    <cfRule type="expression" priority="12" dxfId="8">
      <formula>p_currency="MAD"</formula>
    </cfRule>
    <cfRule type="expression" priority="14" dxfId="9">
      <formula>p_currency="EUR"</formula>
    </cfRule>
    <cfRule type="expression" priority="16" dxfId="10">
      <formula>p_currency="USD"</formula>
    </cfRule>
  </conditionalFormatting>
  <conditionalFormatting sqref="N14:N20">
    <cfRule type="expression" priority="13" dxfId="8">
      <formula>p_currency="MAD"</formula>
    </cfRule>
    <cfRule type="expression" priority="15" dxfId="9">
      <formula>p_currency="EUR"</formula>
    </cfRule>
    <cfRule type="expression" priority="17" dxfId="10">
      <formula>p_currency="USD"</formula>
    </cfRule>
  </conditionalFormatting>
  <hyperlinks>
    <hyperlink ref="P1" location="'Mode d''emploi'!A1"/>
  </hyperlinks>
  <printOptions horizontalCentered="1"/>
  <pageMargins left="0.4" right="0.4" top="0.5" bottom="0.5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AL305"/>
  <sheetViews>
    <sheetView showGridLines="0" tabSelected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1" customWidth="1" min="3" max="3"/>
    <col width="9" customWidth="1" min="4" max="4"/>
    <col width="10" customWidth="1" min="5" max="5"/>
    <col width="13" customWidth="1" min="6" max="6"/>
    <col width="12" customWidth="1" min="7" max="7"/>
    <col width="11" customWidth="1" min="8" max="8"/>
    <col width="12" customWidth="1" min="9" max="9"/>
    <col width="10" customWidth="1" min="10" max="10"/>
    <col width="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3" customWidth="1" min="17" max="17"/>
    <col width="13" customWidth="1" min="18" max="18"/>
    <col width="13" customWidth="1" min="19" max="19"/>
    <col width="12" customWidth="1" min="20" max="20"/>
    <col width="9" customWidth="1" min="21" max="21"/>
    <col width="9" customWidth="1" min="22" max="22"/>
    <col width="13" customWidth="1" min="23" max="23"/>
    <col width="24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</cols>
  <sheetData>
    <row r="1" ht="38" customHeight="1">
      <c r="A1" s="2" t="inlineStr">
        <is>
          <t>Produits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8" t="inlineStr">
        <is>
          <t>⌂ Mode d'emploi</t>
        </is>
      </c>
    </row>
    <row r="2" ht="22" customHeight="1">
      <c r="A2" s="4" t="inlineStr">
        <is>
          <t>Une ligne par produit fabriqué. Remplissez les colonnes blanches : le coût de revient, la marge et le statut se calculent.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</row>
    <row r="3" ht="18" customHeight="1">
      <c r="V3" s="16" t="inlineStr">
        <is>
          <t>Saisie</t>
        </is>
      </c>
      <c r="W3" s="17" t="inlineStr">
        <is>
          <t>Calcul auto</t>
        </is>
      </c>
    </row>
    <row r="5" ht="44" customHeight="1">
      <c r="A5" s="42" t="inlineStr">
        <is>
          <t>Référence</t>
        </is>
      </c>
      <c r="B5" s="42" t="inlineStr">
        <is>
          <t>Désignation</t>
        </is>
      </c>
      <c r="C5" s="42" t="inlineStr">
        <is>
          <t>Famille</t>
        </is>
      </c>
      <c r="D5" s="42" t="inlineStr">
        <is>
          <t>Taille de lot</t>
        </is>
      </c>
      <c r="E5" s="42" t="inlineStr">
        <is>
          <t>Volume annuel</t>
        </is>
      </c>
      <c r="F5" s="42" t="inlineStr">
        <is>
          <t>Prix de vente HT</t>
        </is>
      </c>
      <c r="G5" s="42" t="inlineStr">
        <is>
          <t>Sous-traitance / pièce</t>
        </is>
      </c>
      <c r="H5" s="42" t="inlineStr">
        <is>
          <t>Emballage / pièce</t>
        </is>
      </c>
      <c r="I5" s="42" t="inlineStr">
        <is>
          <t>Transport / lot</t>
        </is>
      </c>
      <c r="J5" s="42" t="inlineStr">
        <is>
          <t>Frais généraux %</t>
        </is>
      </c>
      <c r="K5" s="42" t="inlineStr">
        <is>
          <t>Marge cible %</t>
        </is>
      </c>
      <c r="L5" s="42" t="inlineStr">
        <is>
          <t>Matières / pièce</t>
        </is>
      </c>
      <c r="M5" s="42" t="inlineStr">
        <is>
          <t>Main-d'œuvre / pièce</t>
        </is>
      </c>
      <c r="N5" s="42" t="inlineStr">
        <is>
          <t>Machine / pièce</t>
        </is>
      </c>
      <c r="O5" s="42" t="inlineStr">
        <is>
          <t>Réglage / pièce</t>
        </is>
      </c>
      <c r="P5" s="42" t="inlineStr">
        <is>
          <t>Frais généraux / pièce</t>
        </is>
      </c>
      <c r="Q5" s="42" t="inlineStr">
        <is>
          <t>Coût de production</t>
        </is>
      </c>
      <c r="R5" s="42" t="inlineStr">
        <is>
          <t>Coût de revient</t>
        </is>
      </c>
      <c r="S5" s="42" t="inlineStr">
        <is>
          <t>Prix minimum</t>
        </is>
      </c>
      <c r="T5" s="42" t="inlineStr">
        <is>
          <t>Marge unitaire</t>
        </is>
      </c>
      <c r="U5" s="42" t="inlineStr">
        <is>
          <t>Taux de marge</t>
        </is>
      </c>
      <c r="V5" s="42" t="inlineStr">
        <is>
          <t>Taux de marque</t>
        </is>
      </c>
      <c r="W5" s="42" t="inlineStr">
        <is>
          <t>Statut</t>
        </is>
      </c>
      <c r="X5" s="42" t="inlineStr">
        <is>
          <t>Contrôle</t>
        </is>
      </c>
      <c r="Y5" s="42" t="inlineStr">
        <is>
          <t>FG retenu</t>
        </is>
      </c>
      <c r="Z5" s="42" t="inlineStr">
        <is>
          <t>Cible retenue</t>
        </is>
      </c>
      <c r="AA5" s="42" t="inlineStr">
        <is>
          <t>CA annuel</t>
        </is>
      </c>
      <c r="AB5" s="42" t="inlineStr">
        <is>
          <t>Marge annuelle</t>
        </is>
      </c>
      <c r="AC5" s="42" t="inlineStr">
        <is>
          <t>Coût annuel vendu</t>
        </is>
      </c>
      <c r="AD5" s="42" t="inlineStr">
        <is>
          <t>Matières x vol</t>
        </is>
      </c>
      <c r="AE5" s="42" t="inlineStr">
        <is>
          <t>MO x vol</t>
        </is>
      </c>
      <c r="AF5" s="42" t="inlineStr">
        <is>
          <t>Machine x vol</t>
        </is>
      </c>
      <c r="AG5" s="42" t="inlineStr">
        <is>
          <t>Réglage x vol</t>
        </is>
      </c>
      <c r="AH5" s="42" t="inlineStr">
        <is>
          <t>Autres x vol</t>
        </is>
      </c>
      <c r="AI5" s="42" t="inlineStr">
        <is>
          <t>FG x vol</t>
        </is>
      </c>
      <c r="AJ5" s="42" t="inlineStr">
        <is>
          <t>Rang CA</t>
        </is>
      </c>
      <c r="AK5" s="42" t="inlineStr">
        <is>
          <t>Clé alerte</t>
        </is>
      </c>
      <c r="AL5" s="42" t="inlineStr">
        <is>
          <t>Rang alerte</t>
        </is>
      </c>
    </row>
    <row r="6">
      <c r="A6" s="60" t="n"/>
      <c r="B6" s="60" t="n"/>
      <c r="C6" s="61" t="n"/>
      <c r="D6" s="62" t="n"/>
      <c r="E6" s="63" t="n"/>
      <c r="F6" s="64" t="n"/>
      <c r="G6" s="64" t="n"/>
      <c r="H6" s="64" t="n"/>
      <c r="I6" s="64" t="n"/>
      <c r="J6" s="65" t="n"/>
      <c r="K6" s="65" t="n"/>
      <c r="L6" s="66" t="str">
        <f>IF(X6="OK",SUMIF(bom_prod,A6,bom_cost),"")</f>
        <v/>
      </c>
      <c r="M6" s="66" t="str">
        <f>IF(X6="OK",SUMIF(gam_prod,A6,gam_mo),"")</f>
        <v/>
      </c>
      <c r="N6" s="66" t="str">
        <f>IF(X6="OK",SUMIF(gam_prod,A6,gam_mac),"")</f>
        <v/>
      </c>
      <c r="O6" s="66" t="str">
        <f>IF(X6="OK",SUMIF(gam_prod,A6,gam_setup)/D6,"")</f>
        <v/>
      </c>
      <c r="P6" s="66" t="str">
        <f>IF(X6="OK",(L6+M6+N6+O6+N(G6))*Y6,"")</f>
        <v/>
      </c>
      <c r="Q6" s="66" t="str">
        <f>IF(X6="OK",L6+M6+N6+O6+N(G6)+P6,"")</f>
        <v/>
      </c>
      <c r="R6" s="67" t="str">
        <f>IF(X6="OK",ROUND(Q6+N(H6)+N(I6)/D6,4),"")</f>
        <v/>
      </c>
      <c r="S6" s="66" t="str">
        <f>IF(X6="OK",ROUND(R6*(1+Z6),2),"")</f>
        <v/>
      </c>
      <c r="T6" s="66" t="str">
        <f>IF(AND(X6="OK",N(F6)&gt;0),F6-R6,"")</f>
        <v/>
      </c>
      <c r="U6" s="68" t="str">
        <f>IF(T6="","",IF(R6&lt;=0,"",T6/R6))</f>
        <v/>
      </c>
      <c r="V6" s="68" t="str">
        <f>IF(T6="","",T6/F6)</f>
        <v/>
      </c>
      <c r="W6" s="69" t="str">
        <f>IF(A6="","",IF(X6&lt;&gt;"OK","À corriger",IF(N(F6)&lt;=0,"Prix à saisir",IF(F6&lt;R6,"Vendu à perte",IF(F6&lt;S6,"Sous la cible","OK")))))</f>
        <v/>
      </c>
      <c r="X6" s="69" t="str">
        <f>IF(AND(A6="",COUNTA(B6:K6)=0),"",IF(A6="","Référence manquante",IF(COUNTIF($A$6:$A$305,A6)&gt;1,"Référence en double",IF(OR(NOT(ISNUMBER(D6)),N(D6)&lt;=0),"Taille de lot invalide",IF(AND(E6&lt;&gt;"",OR(NOT(ISNUMBER(E6)),N(E6)&lt;0)),"Volume annuel invalide",IF(AND(F6&lt;&gt;"",OR(NOT(ISNUMBER(F6)),N(F6)&lt;0)),"Prix de vente invalide",IF(OR(AND(G6&lt;&gt;"",OR(NOT(ISNUMBER(G6)),N(G6)&lt;0)),AND(H6&lt;&gt;"",OR(NOT(ISNUMBER(H6)),N(H6)&lt;0)),AND(I6&lt;&gt;"",OR(NOT(ISNUMBER(I6)),N(I6)&lt;0))),"Montant invalide",IF(OR(AND(J6&lt;&gt;"",OR(NOT(ISNUMBER(J6)),N(J6)&lt;0)),AND(K6&lt;&gt;"",OR(NOT(ISNUMBER(K6)),N(K6)&lt;0))),"Pourcentage invalide",IF(COUNTIF(bom_prod,A6)+COUNTIF(gam_prod,A6)=0,"Ni nomenclature ni gamme",IF(COUNTIFS(bom_prod,A6,bom_check,"&lt;&gt;OK")&gt;0,"Nomenclature à corriger",IF(COUNTIFS(gam_prod,A6,gam_check,"&lt;&gt;OK")&gt;0,"Gamme à corriger","OK")))))))))))</f>
        <v/>
      </c>
      <c r="Y6" s="70">
        <f>IF(J6="",N(p_fg),N(J6))</f>
        <v>0.15</v>
      </c>
      <c r="Z6" s="70">
        <f>IF(K6="",N(p_target),N(K6))</f>
        <v>0.25</v>
      </c>
      <c r="AA6" s="71" t="str">
        <f>IF(R6="","",IF(N(F6)&gt;0,ROUND(F6*N(E6),2),0))</f>
        <v/>
      </c>
      <c r="AB6" s="71">
        <f>IF(T6="",0,T6*N(E6))</f>
        <v>0.0</v>
      </c>
      <c r="AC6" s="71">
        <f>IF(T6="",0,R6*N(E6))</f>
        <v>0.0</v>
      </c>
      <c r="AD6" s="71">
        <f>IF(R6="",0,L6*N(E6))</f>
        <v>0.0</v>
      </c>
      <c r="AE6" s="71">
        <f>IF(R6="",0,M6*N(E6))</f>
        <v>0.0</v>
      </c>
      <c r="AF6" s="71">
        <f>IF(R6="",0,N6*N(E6))</f>
        <v>0.0</v>
      </c>
      <c r="AG6" s="71">
        <f>IF(R6="",0,O6*N(E6))</f>
        <v>0.0</v>
      </c>
      <c r="AH6" s="71">
        <f>IF(R6="",0,(N(G6)+N(H6)+N(I6)/D6)*N(E6))</f>
        <v>0.0</v>
      </c>
      <c r="AI6" s="71">
        <f>IF(R6="",0,P6*N(E6))</f>
        <v>0.0</v>
      </c>
      <c r="AJ6" s="71" t="str">
        <f>IF(AA6="","",COUNTIF(prod_ca,"&gt;"&amp;AA6)+COUNTIF(AA$6:AA6,AA6))</f>
        <v/>
      </c>
      <c r="AK6" s="71" t="str">
        <f>IF(OR(W6="Vendu à perte",W6="Sous la cible"),ROUND(U6,6),"")</f>
        <v/>
      </c>
      <c r="AL6" s="71" t="str">
        <f>IF(AK6="","",COUNTIF(prod_alk,"&lt;"&amp;AK6)+COUNTIF(AK$6:AK6,AK6))</f>
        <v/>
      </c>
    </row>
    <row r="7">
      <c r="A7" s="60" t="n"/>
      <c r="B7" s="60" t="n"/>
      <c r="C7" s="61" t="n"/>
      <c r="D7" s="62" t="n"/>
      <c r="E7" s="63" t="n"/>
      <c r="F7" s="64" t="n"/>
      <c r="G7" s="64" t="n"/>
      <c r="H7" s="64" t="n"/>
      <c r="I7" s="64" t="n"/>
      <c r="J7" s="65" t="n"/>
      <c r="K7" s="65" t="n"/>
      <c r="L7" s="66" t="str">
        <f>IF(X7="OK",SUMIF(bom_prod,A7,bom_cost),"")</f>
        <v/>
      </c>
      <c r="M7" s="66" t="str">
        <f>IF(X7="OK",SUMIF(gam_prod,A7,gam_mo),"")</f>
        <v/>
      </c>
      <c r="N7" s="66" t="str">
        <f>IF(X7="OK",SUMIF(gam_prod,A7,gam_mac),"")</f>
        <v/>
      </c>
      <c r="O7" s="66" t="str">
        <f>IF(X7="OK",SUMIF(gam_prod,A7,gam_setup)/D7,"")</f>
        <v/>
      </c>
      <c r="P7" s="66" t="str">
        <f>IF(X7="OK",(L7+M7+N7+O7+N(G7))*Y7,"")</f>
        <v/>
      </c>
      <c r="Q7" s="66" t="str">
        <f>IF(X7="OK",L7+M7+N7+O7+N(G7)+P7,"")</f>
        <v/>
      </c>
      <c r="R7" s="67" t="str">
        <f>IF(X7="OK",ROUND(Q7+N(H7)+N(I7)/D7,4),"")</f>
        <v/>
      </c>
      <c r="S7" s="66" t="str">
        <f>IF(X7="OK",ROUND(R7*(1+Z7),2),"")</f>
        <v/>
      </c>
      <c r="T7" s="66" t="str">
        <f>IF(AND(X7="OK",N(F7)&gt;0),F7-R7,"")</f>
        <v/>
      </c>
      <c r="U7" s="68" t="str">
        <f>IF(T7="","",IF(R7&lt;=0,"",T7/R7))</f>
        <v/>
      </c>
      <c r="V7" s="68" t="str">
        <f>IF(T7="","",T7/F7)</f>
        <v/>
      </c>
      <c r="W7" s="69" t="str">
        <f>IF(A7="","",IF(X7&lt;&gt;"OK","À corriger",IF(N(F7)&lt;=0,"Prix à saisir",IF(F7&lt;R7,"Vendu à perte",IF(F7&lt;S7,"Sous la cible","OK")))))</f>
        <v/>
      </c>
      <c r="X7" s="69" t="str">
        <f>IF(AND(A7="",COUNTA(B7:K7)=0),"",IF(A7="","Référence manquante",IF(COUNTIF($A$6:$A$305,A7)&gt;1,"Référence en double",IF(OR(NOT(ISNUMBER(D7)),N(D7)&lt;=0),"Taille de lot invalide",IF(AND(E7&lt;&gt;"",OR(NOT(ISNUMBER(E7)),N(E7)&lt;0)),"Volume annuel invalide",IF(AND(F7&lt;&gt;"",OR(NOT(ISNUMBER(F7)),N(F7)&lt;0)),"Prix de vente invalide",IF(OR(AND(G7&lt;&gt;"",OR(NOT(ISNUMBER(G7)),N(G7)&lt;0)),AND(H7&lt;&gt;"",OR(NOT(ISNUMBER(H7)),N(H7)&lt;0)),AND(I7&lt;&gt;"",OR(NOT(ISNUMBER(I7)),N(I7)&lt;0))),"Montant invalide",IF(OR(AND(J7&lt;&gt;"",OR(NOT(ISNUMBER(J7)),N(J7)&lt;0)),AND(K7&lt;&gt;"",OR(NOT(ISNUMBER(K7)),N(K7)&lt;0))),"Pourcentage invalide",IF(COUNTIF(bom_prod,A7)+COUNTIF(gam_prod,A7)=0,"Ni nomenclature ni gamme",IF(COUNTIFS(bom_prod,A7,bom_check,"&lt;&gt;OK")&gt;0,"Nomenclature à corriger",IF(COUNTIFS(gam_prod,A7,gam_check,"&lt;&gt;OK")&gt;0,"Gamme à corriger","OK")))))))))))</f>
        <v/>
      </c>
      <c r="Y7" s="70">
        <f>IF(J7="",N(p_fg),N(J7))</f>
        <v>0.15</v>
      </c>
      <c r="Z7" s="70">
        <f>IF(K7="",N(p_target),N(K7))</f>
        <v>0.25</v>
      </c>
      <c r="AA7" s="71" t="str">
        <f>IF(R7="","",IF(N(F7)&gt;0,ROUND(F7*N(E7),2),0))</f>
        <v/>
      </c>
      <c r="AB7" s="71">
        <f>IF(T7="",0,T7*N(E7))</f>
        <v>0.0</v>
      </c>
      <c r="AC7" s="71">
        <f>IF(T7="",0,R7*N(E7))</f>
        <v>0.0</v>
      </c>
      <c r="AD7" s="71">
        <f>IF(R7="",0,L7*N(E7))</f>
        <v>0.0</v>
      </c>
      <c r="AE7" s="71">
        <f>IF(R7="",0,M7*N(E7))</f>
        <v>0.0</v>
      </c>
      <c r="AF7" s="71">
        <f>IF(R7="",0,N7*N(E7))</f>
        <v>0.0</v>
      </c>
      <c r="AG7" s="71">
        <f>IF(R7="",0,O7*N(E7))</f>
        <v>0.0</v>
      </c>
      <c r="AH7" s="71">
        <f>IF(R7="",0,(N(G7)+N(H7)+N(I7)/D7)*N(E7))</f>
        <v>0.0</v>
      </c>
      <c r="AI7" s="71">
        <f>IF(R7="",0,P7*N(E7))</f>
        <v>0.0</v>
      </c>
      <c r="AJ7" s="71" t="str">
        <f>IF(AA7="","",COUNTIF(prod_ca,"&gt;"&amp;AA7)+COUNTIF(AA$6:AA7,AA7))</f>
        <v/>
      </c>
      <c r="AK7" s="71" t="str">
        <f>IF(OR(W7="Vendu à perte",W7="Sous la cible"),ROUND(U7,6),"")</f>
        <v/>
      </c>
      <c r="AL7" s="71" t="str">
        <f>IF(AK7="","",COUNTIF(prod_alk,"&lt;"&amp;AK7)+COUNTIF(AK$6:AK7,AK7))</f>
        <v/>
      </c>
    </row>
    <row r="8">
      <c r="A8" s="60" t="n"/>
      <c r="B8" s="60" t="n"/>
      <c r="C8" s="61" t="n"/>
      <c r="D8" s="62" t="n"/>
      <c r="E8" s="63" t="n"/>
      <c r="F8" s="64" t="n"/>
      <c r="G8" s="64" t="n"/>
      <c r="H8" s="64" t="n"/>
      <c r="I8" s="64" t="n"/>
      <c r="J8" s="65" t="n"/>
      <c r="K8" s="65" t="n"/>
      <c r="L8" s="66" t="str">
        <f>IF(X8="OK",SUMIF(bom_prod,A8,bom_cost),"")</f>
        <v/>
      </c>
      <c r="M8" s="66" t="str">
        <f>IF(X8="OK",SUMIF(gam_prod,A8,gam_mo),"")</f>
        <v/>
      </c>
      <c r="N8" s="66" t="str">
        <f>IF(X8="OK",SUMIF(gam_prod,A8,gam_mac),"")</f>
        <v/>
      </c>
      <c r="O8" s="66" t="str">
        <f>IF(X8="OK",SUMIF(gam_prod,A8,gam_setup)/D8,"")</f>
        <v/>
      </c>
      <c r="P8" s="66" t="str">
        <f>IF(X8="OK",(L8+M8+N8+O8+N(G8))*Y8,"")</f>
        <v/>
      </c>
      <c r="Q8" s="66" t="str">
        <f>IF(X8="OK",L8+M8+N8+O8+N(G8)+P8,"")</f>
        <v/>
      </c>
      <c r="R8" s="67" t="str">
        <f>IF(X8="OK",ROUND(Q8+N(H8)+N(I8)/D8,4),"")</f>
        <v/>
      </c>
      <c r="S8" s="66" t="str">
        <f>IF(X8="OK",ROUND(R8*(1+Z8),2),"")</f>
        <v/>
      </c>
      <c r="T8" s="66" t="str">
        <f>IF(AND(X8="OK",N(F8)&gt;0),F8-R8,"")</f>
        <v/>
      </c>
      <c r="U8" s="68" t="str">
        <f>IF(T8="","",IF(R8&lt;=0,"",T8/R8))</f>
        <v/>
      </c>
      <c r="V8" s="68" t="str">
        <f>IF(T8="","",T8/F8)</f>
        <v/>
      </c>
      <c r="W8" s="69" t="str">
        <f>IF(A8="","",IF(X8&lt;&gt;"OK","À corriger",IF(N(F8)&lt;=0,"Prix à saisir",IF(F8&lt;R8,"Vendu à perte",IF(F8&lt;S8,"Sous la cible","OK")))))</f>
        <v/>
      </c>
      <c r="X8" s="69" t="str">
        <f>IF(AND(A8="",COUNTA(B8:K8)=0),"",IF(A8="","Référence manquante",IF(COUNTIF($A$6:$A$305,A8)&gt;1,"Référence en double",IF(OR(NOT(ISNUMBER(D8)),N(D8)&lt;=0),"Taille de lot invalide",IF(AND(E8&lt;&gt;"",OR(NOT(ISNUMBER(E8)),N(E8)&lt;0)),"Volume annuel invalide",IF(AND(F8&lt;&gt;"",OR(NOT(ISNUMBER(F8)),N(F8)&lt;0)),"Prix de vente invalide",IF(OR(AND(G8&lt;&gt;"",OR(NOT(ISNUMBER(G8)),N(G8)&lt;0)),AND(H8&lt;&gt;"",OR(NOT(ISNUMBER(H8)),N(H8)&lt;0)),AND(I8&lt;&gt;"",OR(NOT(ISNUMBER(I8)),N(I8)&lt;0))),"Montant invalide",IF(OR(AND(J8&lt;&gt;"",OR(NOT(ISNUMBER(J8)),N(J8)&lt;0)),AND(K8&lt;&gt;"",OR(NOT(ISNUMBER(K8)),N(K8)&lt;0))),"Pourcentage invalide",IF(COUNTIF(bom_prod,A8)+COUNTIF(gam_prod,A8)=0,"Ni nomenclature ni gamme",IF(COUNTIFS(bom_prod,A8,bom_check,"&lt;&gt;OK")&gt;0,"Nomenclature à corriger",IF(COUNTIFS(gam_prod,A8,gam_check,"&lt;&gt;OK")&gt;0,"Gamme à corriger","OK")))))))))))</f>
        <v/>
      </c>
      <c r="Y8" s="70">
        <f>IF(J8="",N(p_fg),N(J8))</f>
        <v>0.15</v>
      </c>
      <c r="Z8" s="70">
        <f>IF(K8="",N(p_target),N(K8))</f>
        <v>0.25</v>
      </c>
      <c r="AA8" s="71" t="str">
        <f>IF(R8="","",IF(N(F8)&gt;0,ROUND(F8*N(E8),2),0))</f>
        <v/>
      </c>
      <c r="AB8" s="71">
        <f>IF(T8="",0,T8*N(E8))</f>
        <v>0.0</v>
      </c>
      <c r="AC8" s="71">
        <f>IF(T8="",0,R8*N(E8))</f>
        <v>0.0</v>
      </c>
      <c r="AD8" s="71">
        <f>IF(R8="",0,L8*N(E8))</f>
        <v>0.0</v>
      </c>
      <c r="AE8" s="71">
        <f>IF(R8="",0,M8*N(E8))</f>
        <v>0.0</v>
      </c>
      <c r="AF8" s="71">
        <f>IF(R8="",0,N8*N(E8))</f>
        <v>0.0</v>
      </c>
      <c r="AG8" s="71">
        <f>IF(R8="",0,O8*N(E8))</f>
        <v>0.0</v>
      </c>
      <c r="AH8" s="71">
        <f>IF(R8="",0,(N(G8)+N(H8)+N(I8)/D8)*N(E8))</f>
        <v>0.0</v>
      </c>
      <c r="AI8" s="71">
        <f>IF(R8="",0,P8*N(E8))</f>
        <v>0.0</v>
      </c>
      <c r="AJ8" s="71" t="str">
        <f>IF(AA8="","",COUNTIF(prod_ca,"&gt;"&amp;AA8)+COUNTIF(AA$6:AA8,AA8))</f>
        <v/>
      </c>
      <c r="AK8" s="71" t="str">
        <f>IF(OR(W8="Vendu à perte",W8="Sous la cible"),ROUND(U8,6),"")</f>
        <v/>
      </c>
      <c r="AL8" s="71" t="str">
        <f>IF(AK8="","",COUNTIF(prod_alk,"&lt;"&amp;AK8)+COUNTIF(AK$6:AK8,AK8))</f>
        <v/>
      </c>
    </row>
    <row r="9">
      <c r="A9" s="60" t="n"/>
      <c r="B9" s="60" t="n"/>
      <c r="C9" s="61" t="n"/>
      <c r="D9" s="62" t="n"/>
      <c r="E9" s="63" t="n"/>
      <c r="F9" s="64" t="n"/>
      <c r="G9" s="64" t="n"/>
      <c r="H9" s="64" t="n"/>
      <c r="I9" s="64" t="n"/>
      <c r="J9" s="65" t="n"/>
      <c r="K9" s="65" t="n"/>
      <c r="L9" s="66" t="str">
        <f>IF(X9="OK",SUMIF(bom_prod,A9,bom_cost),"")</f>
        <v/>
      </c>
      <c r="M9" s="66" t="str">
        <f>IF(X9="OK",SUMIF(gam_prod,A9,gam_mo),"")</f>
        <v/>
      </c>
      <c r="N9" s="66" t="str">
        <f>IF(X9="OK",SUMIF(gam_prod,A9,gam_mac),"")</f>
        <v/>
      </c>
      <c r="O9" s="66" t="str">
        <f>IF(X9="OK",SUMIF(gam_prod,A9,gam_setup)/D9,"")</f>
        <v/>
      </c>
      <c r="P9" s="66" t="str">
        <f>IF(X9="OK",(L9+M9+N9+O9+N(G9))*Y9,"")</f>
        <v/>
      </c>
      <c r="Q9" s="66" t="str">
        <f>IF(X9="OK",L9+M9+N9+O9+N(G9)+P9,"")</f>
        <v/>
      </c>
      <c r="R9" s="67" t="str">
        <f>IF(X9="OK",ROUND(Q9+N(H9)+N(I9)/D9,4),"")</f>
        <v/>
      </c>
      <c r="S9" s="66" t="str">
        <f>IF(X9="OK",ROUND(R9*(1+Z9),2),"")</f>
        <v/>
      </c>
      <c r="T9" s="66" t="str">
        <f>IF(AND(X9="OK",N(F9)&gt;0),F9-R9,"")</f>
        <v/>
      </c>
      <c r="U9" s="68" t="str">
        <f>IF(T9="","",IF(R9&lt;=0,"",T9/R9))</f>
        <v/>
      </c>
      <c r="V9" s="68" t="str">
        <f>IF(T9="","",T9/F9)</f>
        <v/>
      </c>
      <c r="W9" s="69" t="str">
        <f>IF(A9="","",IF(X9&lt;&gt;"OK","À corriger",IF(N(F9)&lt;=0,"Prix à saisir",IF(F9&lt;R9,"Vendu à perte",IF(F9&lt;S9,"Sous la cible","OK")))))</f>
        <v/>
      </c>
      <c r="X9" s="69" t="str">
        <f>IF(AND(A9="",COUNTA(B9:K9)=0),"",IF(A9="","Référence manquante",IF(COUNTIF($A$6:$A$305,A9)&gt;1,"Référence en double",IF(OR(NOT(ISNUMBER(D9)),N(D9)&lt;=0),"Taille de lot invalide",IF(AND(E9&lt;&gt;"",OR(NOT(ISNUMBER(E9)),N(E9)&lt;0)),"Volume annuel invalide",IF(AND(F9&lt;&gt;"",OR(NOT(ISNUMBER(F9)),N(F9)&lt;0)),"Prix de vente invalide",IF(OR(AND(G9&lt;&gt;"",OR(NOT(ISNUMBER(G9)),N(G9)&lt;0)),AND(H9&lt;&gt;"",OR(NOT(ISNUMBER(H9)),N(H9)&lt;0)),AND(I9&lt;&gt;"",OR(NOT(ISNUMBER(I9)),N(I9)&lt;0))),"Montant invalide",IF(OR(AND(J9&lt;&gt;"",OR(NOT(ISNUMBER(J9)),N(J9)&lt;0)),AND(K9&lt;&gt;"",OR(NOT(ISNUMBER(K9)),N(K9)&lt;0))),"Pourcentage invalide",IF(COUNTIF(bom_prod,A9)+COUNTIF(gam_prod,A9)=0,"Ni nomenclature ni gamme",IF(COUNTIFS(bom_prod,A9,bom_check,"&lt;&gt;OK")&gt;0,"Nomenclature à corriger",IF(COUNTIFS(gam_prod,A9,gam_check,"&lt;&gt;OK")&gt;0,"Gamme à corriger","OK")))))))))))</f>
        <v/>
      </c>
      <c r="Y9" s="70">
        <f>IF(J9="",N(p_fg),N(J9))</f>
        <v>0.15</v>
      </c>
      <c r="Z9" s="70">
        <f>IF(K9="",N(p_target),N(K9))</f>
        <v>0.25</v>
      </c>
      <c r="AA9" s="71" t="str">
        <f>IF(R9="","",IF(N(F9)&gt;0,ROUND(F9*N(E9),2),0))</f>
        <v/>
      </c>
      <c r="AB9" s="71">
        <f>IF(T9="",0,T9*N(E9))</f>
        <v>0.0</v>
      </c>
      <c r="AC9" s="71">
        <f>IF(T9="",0,R9*N(E9))</f>
        <v>0.0</v>
      </c>
      <c r="AD9" s="71">
        <f>IF(R9="",0,L9*N(E9))</f>
        <v>0.0</v>
      </c>
      <c r="AE9" s="71">
        <f>IF(R9="",0,M9*N(E9))</f>
        <v>0.0</v>
      </c>
      <c r="AF9" s="71">
        <f>IF(R9="",0,N9*N(E9))</f>
        <v>0.0</v>
      </c>
      <c r="AG9" s="71">
        <f>IF(R9="",0,O9*N(E9))</f>
        <v>0.0</v>
      </c>
      <c r="AH9" s="71">
        <f>IF(R9="",0,(N(G9)+N(H9)+N(I9)/D9)*N(E9))</f>
        <v>0.0</v>
      </c>
      <c r="AI9" s="71">
        <f>IF(R9="",0,P9*N(E9))</f>
        <v>0.0</v>
      </c>
      <c r="AJ9" s="71" t="str">
        <f>IF(AA9="","",COUNTIF(prod_ca,"&gt;"&amp;AA9)+COUNTIF(AA$6:AA9,AA9))</f>
        <v/>
      </c>
      <c r="AK9" s="71" t="str">
        <f>IF(OR(W9="Vendu à perte",W9="Sous la cible"),ROUND(U9,6),"")</f>
        <v/>
      </c>
      <c r="AL9" s="71" t="str">
        <f>IF(AK9="","",COUNTIF(prod_alk,"&lt;"&amp;AK9)+COUNTIF(AK$6:AK9,AK9))</f>
        <v/>
      </c>
    </row>
    <row r="10">
      <c r="A10" s="60" t="n"/>
      <c r="B10" s="60" t="n"/>
      <c r="C10" s="61" t="n"/>
      <c r="D10" s="62" t="n"/>
      <c r="E10" s="63" t="n"/>
      <c r="F10" s="64" t="n"/>
      <c r="G10" s="64" t="n"/>
      <c r="H10" s="64" t="n"/>
      <c r="I10" s="64" t="n"/>
      <c r="J10" s="65" t="n"/>
      <c r="K10" s="65" t="n"/>
      <c r="L10" s="66" t="str">
        <f>IF(X10="OK",SUMIF(bom_prod,A10,bom_cost),"")</f>
        <v/>
      </c>
      <c r="M10" s="66" t="str">
        <f>IF(X10="OK",SUMIF(gam_prod,A10,gam_mo),"")</f>
        <v/>
      </c>
      <c r="N10" s="66" t="str">
        <f>IF(X10="OK",SUMIF(gam_prod,A10,gam_mac),"")</f>
        <v/>
      </c>
      <c r="O10" s="66" t="str">
        <f>IF(X10="OK",SUMIF(gam_prod,A10,gam_setup)/D10,"")</f>
        <v/>
      </c>
      <c r="P10" s="66" t="str">
        <f>IF(X10="OK",(L10+M10+N10+O10+N(G10))*Y10,"")</f>
        <v/>
      </c>
      <c r="Q10" s="66" t="str">
        <f>IF(X10="OK",L10+M10+N10+O10+N(G10)+P10,"")</f>
        <v/>
      </c>
      <c r="R10" s="67" t="str">
        <f>IF(X10="OK",ROUND(Q10+N(H10)+N(I10)/D10,4),"")</f>
        <v/>
      </c>
      <c r="S10" s="66" t="str">
        <f>IF(X10="OK",ROUND(R10*(1+Z10),2),"")</f>
        <v/>
      </c>
      <c r="T10" s="66" t="str">
        <f>IF(AND(X10="OK",N(F10)&gt;0),F10-R10,"")</f>
        <v/>
      </c>
      <c r="U10" s="68" t="str">
        <f>IF(T10="","",IF(R10&lt;=0,"",T10/R10))</f>
        <v/>
      </c>
      <c r="V10" s="68" t="str">
        <f>IF(T10="","",T10/F10)</f>
        <v/>
      </c>
      <c r="W10" s="69" t="str">
        <f>IF(A10="","",IF(X10&lt;&gt;"OK","À corriger",IF(N(F10)&lt;=0,"Prix à saisir",IF(F10&lt;R10,"Vendu à perte",IF(F10&lt;S10,"Sous la cible","OK")))))</f>
        <v/>
      </c>
      <c r="X10" s="69" t="str">
        <f>IF(AND(A10="",COUNTA(B10:K10)=0),"",IF(A10="","Référence manquante",IF(COUNTIF($A$6:$A$305,A10)&gt;1,"Référence en double",IF(OR(NOT(ISNUMBER(D10)),N(D10)&lt;=0),"Taille de lot invalide",IF(AND(E10&lt;&gt;"",OR(NOT(ISNUMBER(E10)),N(E10)&lt;0)),"Volume annuel invalide",IF(AND(F10&lt;&gt;"",OR(NOT(ISNUMBER(F10)),N(F10)&lt;0)),"Prix de vente invalide",IF(OR(AND(G10&lt;&gt;"",OR(NOT(ISNUMBER(G10)),N(G10)&lt;0)),AND(H10&lt;&gt;"",OR(NOT(ISNUMBER(H10)),N(H10)&lt;0)),AND(I10&lt;&gt;"",OR(NOT(ISNUMBER(I10)),N(I10)&lt;0))),"Montant invalide",IF(OR(AND(J10&lt;&gt;"",OR(NOT(ISNUMBER(J10)),N(J10)&lt;0)),AND(K10&lt;&gt;"",OR(NOT(ISNUMBER(K10)),N(K10)&lt;0))),"Pourcentage invalide",IF(COUNTIF(bom_prod,A10)+COUNTIF(gam_prod,A10)=0,"Ni nomenclature ni gamme",IF(COUNTIFS(bom_prod,A10,bom_check,"&lt;&gt;OK")&gt;0,"Nomenclature à corriger",IF(COUNTIFS(gam_prod,A10,gam_check,"&lt;&gt;OK")&gt;0,"Gamme à corriger","OK")))))))))))</f>
        <v/>
      </c>
      <c r="Y10" s="70">
        <f>IF(J10="",N(p_fg),N(J10))</f>
        <v>0.15</v>
      </c>
      <c r="Z10" s="70">
        <f>IF(K10="",N(p_target),N(K10))</f>
        <v>0.25</v>
      </c>
      <c r="AA10" s="71" t="str">
        <f>IF(R10="","",IF(N(F10)&gt;0,ROUND(F10*N(E10),2),0))</f>
        <v/>
      </c>
      <c r="AB10" s="71">
        <f>IF(T10="",0,T10*N(E10))</f>
        <v>0.0</v>
      </c>
      <c r="AC10" s="71">
        <f>IF(T10="",0,R10*N(E10))</f>
        <v>0.0</v>
      </c>
      <c r="AD10" s="71">
        <f>IF(R10="",0,L10*N(E10))</f>
        <v>0.0</v>
      </c>
      <c r="AE10" s="71">
        <f>IF(R10="",0,M10*N(E10))</f>
        <v>0.0</v>
      </c>
      <c r="AF10" s="71">
        <f>IF(R10="",0,N10*N(E10))</f>
        <v>0.0</v>
      </c>
      <c r="AG10" s="71">
        <f>IF(R10="",0,O10*N(E10))</f>
        <v>0.0</v>
      </c>
      <c r="AH10" s="71">
        <f>IF(R10="",0,(N(G10)+N(H10)+N(I10)/D10)*N(E10))</f>
        <v>0.0</v>
      </c>
      <c r="AI10" s="71">
        <f>IF(R10="",0,P10*N(E10))</f>
        <v>0.0</v>
      </c>
      <c r="AJ10" s="71" t="str">
        <f>IF(AA10="","",COUNTIF(prod_ca,"&gt;"&amp;AA10)+COUNTIF(AA$6:AA10,AA10))</f>
        <v/>
      </c>
      <c r="AK10" s="71" t="str">
        <f>IF(OR(W10="Vendu à perte",W10="Sous la cible"),ROUND(U10,6),"")</f>
        <v/>
      </c>
      <c r="AL10" s="71" t="str">
        <f>IF(AK10="","",COUNTIF(prod_alk,"&lt;"&amp;AK10)+COUNTIF(AK$6:AK10,AK10))</f>
        <v/>
      </c>
    </row>
    <row r="11">
      <c r="A11" s="60" t="n"/>
      <c r="B11" s="60" t="n"/>
      <c r="C11" s="61" t="n"/>
      <c r="D11" s="62" t="n"/>
      <c r="E11" s="63" t="n"/>
      <c r="F11" s="64" t="n"/>
      <c r="G11" s="64" t="n"/>
      <c r="H11" s="64" t="n"/>
      <c r="I11" s="64" t="n"/>
      <c r="J11" s="65" t="n"/>
      <c r="K11" s="65" t="n"/>
      <c r="L11" s="66" t="str">
        <f>IF(X11="OK",SUMIF(bom_prod,A11,bom_cost),"")</f>
        <v/>
      </c>
      <c r="M11" s="66" t="str">
        <f>IF(X11="OK",SUMIF(gam_prod,A11,gam_mo),"")</f>
        <v/>
      </c>
      <c r="N11" s="66" t="str">
        <f>IF(X11="OK",SUMIF(gam_prod,A11,gam_mac),"")</f>
        <v/>
      </c>
      <c r="O11" s="66" t="str">
        <f>IF(X11="OK",SUMIF(gam_prod,A11,gam_setup)/D11,"")</f>
        <v/>
      </c>
      <c r="P11" s="66" t="str">
        <f>IF(X11="OK",(L11+M11+N11+O11+N(G11))*Y11,"")</f>
        <v/>
      </c>
      <c r="Q11" s="66" t="str">
        <f>IF(X11="OK",L11+M11+N11+O11+N(G11)+P11,"")</f>
        <v/>
      </c>
      <c r="R11" s="67" t="str">
        <f>IF(X11="OK",ROUND(Q11+N(H11)+N(I11)/D11,4),"")</f>
        <v/>
      </c>
      <c r="S11" s="66" t="str">
        <f>IF(X11="OK",ROUND(R11*(1+Z11),2),"")</f>
        <v/>
      </c>
      <c r="T11" s="66" t="str">
        <f>IF(AND(X11="OK",N(F11)&gt;0),F11-R11,"")</f>
        <v/>
      </c>
      <c r="U11" s="68" t="str">
        <f>IF(T11="","",IF(R11&lt;=0,"",T11/R11))</f>
        <v/>
      </c>
      <c r="V11" s="68" t="str">
        <f>IF(T11="","",T11/F11)</f>
        <v/>
      </c>
      <c r="W11" s="69" t="str">
        <f>IF(A11="","",IF(X11&lt;&gt;"OK","À corriger",IF(N(F11)&lt;=0,"Prix à saisir",IF(F11&lt;R11,"Vendu à perte",IF(F11&lt;S11,"Sous la cible","OK")))))</f>
        <v/>
      </c>
      <c r="X11" s="69" t="str">
        <f>IF(AND(A11="",COUNTA(B11:K11)=0),"",IF(A11="","Référence manquante",IF(COUNTIF($A$6:$A$305,A11)&gt;1,"Référence en double",IF(OR(NOT(ISNUMBER(D11)),N(D11)&lt;=0),"Taille de lot invalide",IF(AND(E11&lt;&gt;"",OR(NOT(ISNUMBER(E11)),N(E11)&lt;0)),"Volume annuel invalide",IF(AND(F11&lt;&gt;"",OR(NOT(ISNUMBER(F11)),N(F11)&lt;0)),"Prix de vente invalide",IF(OR(AND(G11&lt;&gt;"",OR(NOT(ISNUMBER(G11)),N(G11)&lt;0)),AND(H11&lt;&gt;"",OR(NOT(ISNUMBER(H11)),N(H11)&lt;0)),AND(I11&lt;&gt;"",OR(NOT(ISNUMBER(I11)),N(I11)&lt;0))),"Montant invalide",IF(OR(AND(J11&lt;&gt;"",OR(NOT(ISNUMBER(J11)),N(J11)&lt;0)),AND(K11&lt;&gt;"",OR(NOT(ISNUMBER(K11)),N(K11)&lt;0))),"Pourcentage invalide",IF(COUNTIF(bom_prod,A11)+COUNTIF(gam_prod,A11)=0,"Ni nomenclature ni gamme",IF(COUNTIFS(bom_prod,A11,bom_check,"&lt;&gt;OK")&gt;0,"Nomenclature à corriger",IF(COUNTIFS(gam_prod,A11,gam_check,"&lt;&gt;OK")&gt;0,"Gamme à corriger","OK")))))))))))</f>
        <v/>
      </c>
      <c r="Y11" s="70">
        <f>IF(J11="",N(p_fg),N(J11))</f>
        <v>0.15</v>
      </c>
      <c r="Z11" s="70">
        <f>IF(K11="",N(p_target),N(K11))</f>
        <v>0.25</v>
      </c>
      <c r="AA11" s="71" t="str">
        <f>IF(R11="","",IF(N(F11)&gt;0,ROUND(F11*N(E11),2),0))</f>
        <v/>
      </c>
      <c r="AB11" s="71">
        <f>IF(T11="",0,T11*N(E11))</f>
        <v>0.0</v>
      </c>
      <c r="AC11" s="71">
        <f>IF(T11="",0,R11*N(E11))</f>
        <v>0.0</v>
      </c>
      <c r="AD11" s="71">
        <f>IF(R11="",0,L11*N(E11))</f>
        <v>0.0</v>
      </c>
      <c r="AE11" s="71">
        <f>IF(R11="",0,M11*N(E11))</f>
        <v>0.0</v>
      </c>
      <c r="AF11" s="71">
        <f>IF(R11="",0,N11*N(E11))</f>
        <v>0.0</v>
      </c>
      <c r="AG11" s="71">
        <f>IF(R11="",0,O11*N(E11))</f>
        <v>0.0</v>
      </c>
      <c r="AH11" s="71">
        <f>IF(R11="",0,(N(G11)+N(H11)+N(I11)/D11)*N(E11))</f>
        <v>0.0</v>
      </c>
      <c r="AI11" s="71">
        <f>IF(R11="",0,P11*N(E11))</f>
        <v>0.0</v>
      </c>
      <c r="AJ11" s="71" t="str">
        <f>IF(AA11="","",COUNTIF(prod_ca,"&gt;"&amp;AA11)+COUNTIF(AA$6:AA11,AA11))</f>
        <v/>
      </c>
      <c r="AK11" s="71" t="str">
        <f>IF(OR(W11="Vendu à perte",W11="Sous la cible"),ROUND(U11,6),"")</f>
        <v/>
      </c>
      <c r="AL11" s="71" t="str">
        <f>IF(AK11="","",COUNTIF(prod_alk,"&lt;"&amp;AK11)+COUNTIF(AK$6:AK11,AK11))</f>
        <v/>
      </c>
    </row>
    <row r="12">
      <c r="A12" s="60" t="n"/>
      <c r="B12" s="60" t="n"/>
      <c r="C12" s="61" t="n"/>
      <c r="D12" s="62" t="n"/>
      <c r="E12" s="63" t="n"/>
      <c r="F12" s="64" t="n"/>
      <c r="G12" s="64" t="n"/>
      <c r="H12" s="64" t="n"/>
      <c r="I12" s="64" t="n"/>
      <c r="J12" s="65" t="n"/>
      <c r="K12" s="65" t="n"/>
      <c r="L12" s="66" t="str">
        <f>IF(X12="OK",SUMIF(bom_prod,A12,bom_cost),"")</f>
        <v/>
      </c>
      <c r="M12" s="66" t="str">
        <f>IF(X12="OK",SUMIF(gam_prod,A12,gam_mo),"")</f>
        <v/>
      </c>
      <c r="N12" s="66" t="str">
        <f>IF(X12="OK",SUMIF(gam_prod,A12,gam_mac),"")</f>
        <v/>
      </c>
      <c r="O12" s="66" t="str">
        <f>IF(X12="OK",SUMIF(gam_prod,A12,gam_setup)/D12,"")</f>
        <v/>
      </c>
      <c r="P12" s="66" t="str">
        <f>IF(X12="OK",(L12+M12+N12+O12+N(G12))*Y12,"")</f>
        <v/>
      </c>
      <c r="Q12" s="66" t="str">
        <f>IF(X12="OK",L12+M12+N12+O12+N(G12)+P12,"")</f>
        <v/>
      </c>
      <c r="R12" s="67" t="str">
        <f>IF(X12="OK",ROUND(Q12+N(H12)+N(I12)/D12,4),"")</f>
        <v/>
      </c>
      <c r="S12" s="66" t="str">
        <f>IF(X12="OK",ROUND(R12*(1+Z12),2),"")</f>
        <v/>
      </c>
      <c r="T12" s="66" t="str">
        <f>IF(AND(X12="OK",N(F12)&gt;0),F12-R12,"")</f>
        <v/>
      </c>
      <c r="U12" s="68" t="str">
        <f>IF(T12="","",IF(R12&lt;=0,"",T12/R12))</f>
        <v/>
      </c>
      <c r="V12" s="68" t="str">
        <f>IF(T12="","",T12/F12)</f>
        <v/>
      </c>
      <c r="W12" s="69" t="str">
        <f>IF(A12="","",IF(X12&lt;&gt;"OK","À corriger",IF(N(F12)&lt;=0,"Prix à saisir",IF(F12&lt;R12,"Vendu à perte",IF(F12&lt;S12,"Sous la cible","OK")))))</f>
        <v/>
      </c>
      <c r="X12" s="69" t="str">
        <f>IF(AND(A12="",COUNTA(B12:K12)=0),"",IF(A12="","Référence manquante",IF(COUNTIF($A$6:$A$305,A12)&gt;1,"Référence en double",IF(OR(NOT(ISNUMBER(D12)),N(D12)&lt;=0),"Taille de lot invalide",IF(AND(E12&lt;&gt;"",OR(NOT(ISNUMBER(E12)),N(E12)&lt;0)),"Volume annuel invalide",IF(AND(F12&lt;&gt;"",OR(NOT(ISNUMBER(F12)),N(F12)&lt;0)),"Prix de vente invalide",IF(OR(AND(G12&lt;&gt;"",OR(NOT(ISNUMBER(G12)),N(G12)&lt;0)),AND(H12&lt;&gt;"",OR(NOT(ISNUMBER(H12)),N(H12)&lt;0)),AND(I12&lt;&gt;"",OR(NOT(ISNUMBER(I12)),N(I12)&lt;0))),"Montant invalide",IF(OR(AND(J12&lt;&gt;"",OR(NOT(ISNUMBER(J12)),N(J12)&lt;0)),AND(K12&lt;&gt;"",OR(NOT(ISNUMBER(K12)),N(K12)&lt;0))),"Pourcentage invalide",IF(COUNTIF(bom_prod,A12)+COUNTIF(gam_prod,A12)=0,"Ni nomenclature ni gamme",IF(COUNTIFS(bom_prod,A12,bom_check,"&lt;&gt;OK")&gt;0,"Nomenclature à corriger",IF(COUNTIFS(gam_prod,A12,gam_check,"&lt;&gt;OK")&gt;0,"Gamme à corriger","OK")))))))))))</f>
        <v/>
      </c>
      <c r="Y12" s="70">
        <f>IF(J12="",N(p_fg),N(J12))</f>
        <v>0.15</v>
      </c>
      <c r="Z12" s="70">
        <f>IF(K12="",N(p_target),N(K12))</f>
        <v>0.25</v>
      </c>
      <c r="AA12" s="71" t="str">
        <f>IF(R12="","",IF(N(F12)&gt;0,ROUND(F12*N(E12),2),0))</f>
        <v/>
      </c>
      <c r="AB12" s="71">
        <f>IF(T12="",0,T12*N(E12))</f>
        <v>0.0</v>
      </c>
      <c r="AC12" s="71">
        <f>IF(T12="",0,R12*N(E12))</f>
        <v>0.0</v>
      </c>
      <c r="AD12" s="71">
        <f>IF(R12="",0,L12*N(E12))</f>
        <v>0.0</v>
      </c>
      <c r="AE12" s="71">
        <f>IF(R12="",0,M12*N(E12))</f>
        <v>0.0</v>
      </c>
      <c r="AF12" s="71">
        <f>IF(R12="",0,N12*N(E12))</f>
        <v>0.0</v>
      </c>
      <c r="AG12" s="71">
        <f>IF(R12="",0,O12*N(E12))</f>
        <v>0.0</v>
      </c>
      <c r="AH12" s="71">
        <f>IF(R12="",0,(N(G12)+N(H12)+N(I12)/D12)*N(E12))</f>
        <v>0.0</v>
      </c>
      <c r="AI12" s="71">
        <f>IF(R12="",0,P12*N(E12))</f>
        <v>0.0</v>
      </c>
      <c r="AJ12" s="71" t="str">
        <f>IF(AA12="","",COUNTIF(prod_ca,"&gt;"&amp;AA12)+COUNTIF(AA$6:AA12,AA12))</f>
        <v/>
      </c>
      <c r="AK12" s="71" t="str">
        <f>IF(OR(W12="Vendu à perte",W12="Sous la cible"),ROUND(U12,6),"")</f>
        <v/>
      </c>
      <c r="AL12" s="71" t="str">
        <f>IF(AK12="","",COUNTIF(prod_alk,"&lt;"&amp;AK12)+COUNTIF(AK$6:AK12,AK12))</f>
        <v/>
      </c>
    </row>
    <row r="13">
      <c r="A13" s="60" t="n"/>
      <c r="B13" s="60" t="n"/>
      <c r="C13" s="61" t="n"/>
      <c r="D13" s="62" t="n"/>
      <c r="E13" s="63" t="n"/>
      <c r="F13" s="64" t="n"/>
      <c r="G13" s="64" t="n"/>
      <c r="H13" s="64" t="n"/>
      <c r="I13" s="64" t="n"/>
      <c r="J13" s="65" t="n"/>
      <c r="K13" s="65" t="n"/>
      <c r="L13" s="66" t="str">
        <f>IF(X13="OK",SUMIF(bom_prod,A13,bom_cost),"")</f>
        <v/>
      </c>
      <c r="M13" s="66" t="str">
        <f>IF(X13="OK",SUMIF(gam_prod,A13,gam_mo),"")</f>
        <v/>
      </c>
      <c r="N13" s="66" t="str">
        <f>IF(X13="OK",SUMIF(gam_prod,A13,gam_mac),"")</f>
        <v/>
      </c>
      <c r="O13" s="66" t="str">
        <f>IF(X13="OK",SUMIF(gam_prod,A13,gam_setup)/D13,"")</f>
        <v/>
      </c>
      <c r="P13" s="66" t="str">
        <f>IF(X13="OK",(L13+M13+N13+O13+N(G13))*Y13,"")</f>
        <v/>
      </c>
      <c r="Q13" s="66" t="str">
        <f>IF(X13="OK",L13+M13+N13+O13+N(G13)+P13,"")</f>
        <v/>
      </c>
      <c r="R13" s="67" t="str">
        <f>IF(X13="OK",ROUND(Q13+N(H13)+N(I13)/D13,4),"")</f>
        <v/>
      </c>
      <c r="S13" s="66" t="str">
        <f>IF(X13="OK",ROUND(R13*(1+Z13),2),"")</f>
        <v/>
      </c>
      <c r="T13" s="66" t="str">
        <f>IF(AND(X13="OK",N(F13)&gt;0),F13-R13,"")</f>
        <v/>
      </c>
      <c r="U13" s="68" t="str">
        <f>IF(T13="","",IF(R13&lt;=0,"",T13/R13))</f>
        <v/>
      </c>
      <c r="V13" s="68" t="str">
        <f>IF(T13="","",T13/F13)</f>
        <v/>
      </c>
      <c r="W13" s="69" t="str">
        <f>IF(A13="","",IF(X13&lt;&gt;"OK","À corriger",IF(N(F13)&lt;=0,"Prix à saisir",IF(F13&lt;R13,"Vendu à perte",IF(F13&lt;S13,"Sous la cible","OK")))))</f>
        <v/>
      </c>
      <c r="X13" s="69" t="str">
        <f>IF(AND(A13="",COUNTA(B13:K13)=0),"",IF(A13="","Référence manquante",IF(COUNTIF($A$6:$A$305,A13)&gt;1,"Référence en double",IF(OR(NOT(ISNUMBER(D13)),N(D13)&lt;=0),"Taille de lot invalide",IF(AND(E13&lt;&gt;"",OR(NOT(ISNUMBER(E13)),N(E13)&lt;0)),"Volume annuel invalide",IF(AND(F13&lt;&gt;"",OR(NOT(ISNUMBER(F13)),N(F13)&lt;0)),"Prix de vente invalide",IF(OR(AND(G13&lt;&gt;"",OR(NOT(ISNUMBER(G13)),N(G13)&lt;0)),AND(H13&lt;&gt;"",OR(NOT(ISNUMBER(H13)),N(H13)&lt;0)),AND(I13&lt;&gt;"",OR(NOT(ISNUMBER(I13)),N(I13)&lt;0))),"Montant invalide",IF(OR(AND(J13&lt;&gt;"",OR(NOT(ISNUMBER(J13)),N(J13)&lt;0)),AND(K13&lt;&gt;"",OR(NOT(ISNUMBER(K13)),N(K13)&lt;0))),"Pourcentage invalide",IF(COUNTIF(bom_prod,A13)+COUNTIF(gam_prod,A13)=0,"Ni nomenclature ni gamme",IF(COUNTIFS(bom_prod,A13,bom_check,"&lt;&gt;OK")&gt;0,"Nomenclature à corriger",IF(COUNTIFS(gam_prod,A13,gam_check,"&lt;&gt;OK")&gt;0,"Gamme à corriger","OK")))))))))))</f>
        <v/>
      </c>
      <c r="Y13" s="70">
        <f>IF(J13="",N(p_fg),N(J13))</f>
        <v>0.15</v>
      </c>
      <c r="Z13" s="70">
        <f>IF(K13="",N(p_target),N(K13))</f>
        <v>0.25</v>
      </c>
      <c r="AA13" s="71" t="str">
        <f>IF(R13="","",IF(N(F13)&gt;0,ROUND(F13*N(E13),2),0))</f>
        <v/>
      </c>
      <c r="AB13" s="71">
        <f>IF(T13="",0,T13*N(E13))</f>
        <v>0.0</v>
      </c>
      <c r="AC13" s="71">
        <f>IF(T13="",0,R13*N(E13))</f>
        <v>0.0</v>
      </c>
      <c r="AD13" s="71">
        <f>IF(R13="",0,L13*N(E13))</f>
        <v>0.0</v>
      </c>
      <c r="AE13" s="71">
        <f>IF(R13="",0,M13*N(E13))</f>
        <v>0.0</v>
      </c>
      <c r="AF13" s="71">
        <f>IF(R13="",0,N13*N(E13))</f>
        <v>0.0</v>
      </c>
      <c r="AG13" s="71">
        <f>IF(R13="",0,O13*N(E13))</f>
        <v>0.0</v>
      </c>
      <c r="AH13" s="71">
        <f>IF(R13="",0,(N(G13)+N(H13)+N(I13)/D13)*N(E13))</f>
        <v>0.0</v>
      </c>
      <c r="AI13" s="71">
        <f>IF(R13="",0,P13*N(E13))</f>
        <v>0.0</v>
      </c>
      <c r="AJ13" s="71" t="str">
        <f>IF(AA13="","",COUNTIF(prod_ca,"&gt;"&amp;AA13)+COUNTIF(AA$6:AA13,AA13))</f>
        <v/>
      </c>
      <c r="AK13" s="71" t="str">
        <f>IF(OR(W13="Vendu à perte",W13="Sous la cible"),ROUND(U13,6),"")</f>
        <v/>
      </c>
      <c r="AL13" s="71" t="str">
        <f>IF(AK13="","",COUNTIF(prod_alk,"&lt;"&amp;AK13)+COUNTIF(AK$6:AK13,AK13))</f>
        <v/>
      </c>
    </row>
    <row r="14">
      <c r="A14" s="60" t="n"/>
      <c r="B14" s="60" t="n"/>
      <c r="C14" s="61" t="n"/>
      <c r="D14" s="62" t="n"/>
      <c r="E14" s="63" t="n"/>
      <c r="F14" s="64" t="n"/>
      <c r="G14" s="64" t="n"/>
      <c r="H14" s="64" t="n"/>
      <c r="I14" s="64" t="n"/>
      <c r="J14" s="65" t="n"/>
      <c r="K14" s="65" t="n"/>
      <c r="L14" s="66" t="str">
        <f>IF(X14="OK",SUMIF(bom_prod,A14,bom_cost),"")</f>
        <v/>
      </c>
      <c r="M14" s="66" t="str">
        <f>IF(X14="OK",SUMIF(gam_prod,A14,gam_mo),"")</f>
        <v/>
      </c>
      <c r="N14" s="66" t="str">
        <f>IF(X14="OK",SUMIF(gam_prod,A14,gam_mac),"")</f>
        <v/>
      </c>
      <c r="O14" s="66" t="str">
        <f>IF(X14="OK",SUMIF(gam_prod,A14,gam_setup)/D14,"")</f>
        <v/>
      </c>
      <c r="P14" s="66" t="str">
        <f>IF(X14="OK",(L14+M14+N14+O14+N(G14))*Y14,"")</f>
        <v/>
      </c>
      <c r="Q14" s="66" t="str">
        <f>IF(X14="OK",L14+M14+N14+O14+N(G14)+P14,"")</f>
        <v/>
      </c>
      <c r="R14" s="67" t="str">
        <f>IF(X14="OK",ROUND(Q14+N(H14)+N(I14)/D14,4),"")</f>
        <v/>
      </c>
      <c r="S14" s="66" t="str">
        <f>IF(X14="OK",ROUND(R14*(1+Z14),2),"")</f>
        <v/>
      </c>
      <c r="T14" s="66" t="str">
        <f>IF(AND(X14="OK",N(F14)&gt;0),F14-R14,"")</f>
        <v/>
      </c>
      <c r="U14" s="68" t="str">
        <f>IF(T14="","",IF(R14&lt;=0,"",T14/R14))</f>
        <v/>
      </c>
      <c r="V14" s="68" t="str">
        <f>IF(T14="","",T14/F14)</f>
        <v/>
      </c>
      <c r="W14" s="69" t="str">
        <f>IF(A14="","",IF(X14&lt;&gt;"OK","À corriger",IF(N(F14)&lt;=0,"Prix à saisir",IF(F14&lt;R14,"Vendu à perte",IF(F14&lt;S14,"Sous la cible","OK")))))</f>
        <v/>
      </c>
      <c r="X14" s="69" t="str">
        <f>IF(AND(A14="",COUNTA(B14:K14)=0),"",IF(A14="","Référence manquante",IF(COUNTIF($A$6:$A$305,A14)&gt;1,"Référence en double",IF(OR(NOT(ISNUMBER(D14)),N(D14)&lt;=0),"Taille de lot invalide",IF(AND(E14&lt;&gt;"",OR(NOT(ISNUMBER(E14)),N(E14)&lt;0)),"Volume annuel invalide",IF(AND(F14&lt;&gt;"",OR(NOT(ISNUMBER(F14)),N(F14)&lt;0)),"Prix de vente invalide",IF(OR(AND(G14&lt;&gt;"",OR(NOT(ISNUMBER(G14)),N(G14)&lt;0)),AND(H14&lt;&gt;"",OR(NOT(ISNUMBER(H14)),N(H14)&lt;0)),AND(I14&lt;&gt;"",OR(NOT(ISNUMBER(I14)),N(I14)&lt;0))),"Montant invalide",IF(OR(AND(J14&lt;&gt;"",OR(NOT(ISNUMBER(J14)),N(J14)&lt;0)),AND(K14&lt;&gt;"",OR(NOT(ISNUMBER(K14)),N(K14)&lt;0))),"Pourcentage invalide",IF(COUNTIF(bom_prod,A14)+COUNTIF(gam_prod,A14)=0,"Ni nomenclature ni gamme",IF(COUNTIFS(bom_prod,A14,bom_check,"&lt;&gt;OK")&gt;0,"Nomenclature à corriger",IF(COUNTIFS(gam_prod,A14,gam_check,"&lt;&gt;OK")&gt;0,"Gamme à corriger","OK")))))))))))</f>
        <v/>
      </c>
      <c r="Y14" s="70">
        <f>IF(J14="",N(p_fg),N(J14))</f>
        <v>0.15</v>
      </c>
      <c r="Z14" s="70">
        <f>IF(K14="",N(p_target),N(K14))</f>
        <v>0.25</v>
      </c>
      <c r="AA14" s="71" t="str">
        <f>IF(R14="","",IF(N(F14)&gt;0,ROUND(F14*N(E14),2),0))</f>
        <v/>
      </c>
      <c r="AB14" s="71">
        <f>IF(T14="",0,T14*N(E14))</f>
        <v>0.0</v>
      </c>
      <c r="AC14" s="71">
        <f>IF(T14="",0,R14*N(E14))</f>
        <v>0.0</v>
      </c>
      <c r="AD14" s="71">
        <f>IF(R14="",0,L14*N(E14))</f>
        <v>0.0</v>
      </c>
      <c r="AE14" s="71">
        <f>IF(R14="",0,M14*N(E14))</f>
        <v>0.0</v>
      </c>
      <c r="AF14" s="71">
        <f>IF(R14="",0,N14*N(E14))</f>
        <v>0.0</v>
      </c>
      <c r="AG14" s="71">
        <f>IF(R14="",0,O14*N(E14))</f>
        <v>0.0</v>
      </c>
      <c r="AH14" s="71">
        <f>IF(R14="",0,(N(G14)+N(H14)+N(I14)/D14)*N(E14))</f>
        <v>0.0</v>
      </c>
      <c r="AI14" s="71">
        <f>IF(R14="",0,P14*N(E14))</f>
        <v>0.0</v>
      </c>
      <c r="AJ14" s="71" t="str">
        <f>IF(AA14="","",COUNTIF(prod_ca,"&gt;"&amp;AA14)+COUNTIF(AA$6:AA14,AA14))</f>
        <v/>
      </c>
      <c r="AK14" s="71" t="str">
        <f>IF(OR(W14="Vendu à perte",W14="Sous la cible"),ROUND(U14,6),"")</f>
        <v/>
      </c>
      <c r="AL14" s="71" t="str">
        <f>IF(AK14="","",COUNTIF(prod_alk,"&lt;"&amp;AK14)+COUNTIF(AK$6:AK14,AK14))</f>
        <v/>
      </c>
    </row>
    <row r="15">
      <c r="A15" s="60" t="n"/>
      <c r="B15" s="60" t="n"/>
      <c r="C15" s="61" t="n"/>
      <c r="D15" s="62" t="n"/>
      <c r="E15" s="63" t="n"/>
      <c r="F15" s="64" t="n"/>
      <c r="G15" s="64" t="n"/>
      <c r="H15" s="64" t="n"/>
      <c r="I15" s="64" t="n"/>
      <c r="J15" s="65" t="n"/>
      <c r="K15" s="65" t="n"/>
      <c r="L15" s="66" t="str">
        <f>IF(X15="OK",SUMIF(bom_prod,A15,bom_cost),"")</f>
        <v/>
      </c>
      <c r="M15" s="66" t="str">
        <f>IF(X15="OK",SUMIF(gam_prod,A15,gam_mo),"")</f>
        <v/>
      </c>
      <c r="N15" s="66" t="str">
        <f>IF(X15="OK",SUMIF(gam_prod,A15,gam_mac),"")</f>
        <v/>
      </c>
      <c r="O15" s="66" t="str">
        <f>IF(X15="OK",SUMIF(gam_prod,A15,gam_setup)/D15,"")</f>
        <v/>
      </c>
      <c r="P15" s="66" t="str">
        <f>IF(X15="OK",(L15+M15+N15+O15+N(G15))*Y15,"")</f>
        <v/>
      </c>
      <c r="Q15" s="66" t="str">
        <f>IF(X15="OK",L15+M15+N15+O15+N(G15)+P15,"")</f>
        <v/>
      </c>
      <c r="R15" s="67" t="str">
        <f>IF(X15="OK",ROUND(Q15+N(H15)+N(I15)/D15,4),"")</f>
        <v/>
      </c>
      <c r="S15" s="66" t="str">
        <f>IF(X15="OK",ROUND(R15*(1+Z15),2),"")</f>
        <v/>
      </c>
      <c r="T15" s="66" t="str">
        <f>IF(AND(X15="OK",N(F15)&gt;0),F15-R15,"")</f>
        <v/>
      </c>
      <c r="U15" s="68" t="str">
        <f>IF(T15="","",IF(R15&lt;=0,"",T15/R15))</f>
        <v/>
      </c>
      <c r="V15" s="68" t="str">
        <f>IF(T15="","",T15/F15)</f>
        <v/>
      </c>
      <c r="W15" s="69" t="str">
        <f>IF(A15="","",IF(X15&lt;&gt;"OK","À corriger",IF(N(F15)&lt;=0,"Prix à saisir",IF(F15&lt;R15,"Vendu à perte",IF(F15&lt;S15,"Sous la cible","OK")))))</f>
        <v/>
      </c>
      <c r="X15" s="69" t="str">
        <f>IF(AND(A15="",COUNTA(B15:K15)=0),"",IF(A15="","Référence manquante",IF(COUNTIF($A$6:$A$305,A15)&gt;1,"Référence en double",IF(OR(NOT(ISNUMBER(D15)),N(D15)&lt;=0),"Taille de lot invalide",IF(AND(E15&lt;&gt;"",OR(NOT(ISNUMBER(E15)),N(E15)&lt;0)),"Volume annuel invalide",IF(AND(F15&lt;&gt;"",OR(NOT(ISNUMBER(F15)),N(F15)&lt;0)),"Prix de vente invalide",IF(OR(AND(G15&lt;&gt;"",OR(NOT(ISNUMBER(G15)),N(G15)&lt;0)),AND(H15&lt;&gt;"",OR(NOT(ISNUMBER(H15)),N(H15)&lt;0)),AND(I15&lt;&gt;"",OR(NOT(ISNUMBER(I15)),N(I15)&lt;0))),"Montant invalide",IF(OR(AND(J15&lt;&gt;"",OR(NOT(ISNUMBER(J15)),N(J15)&lt;0)),AND(K15&lt;&gt;"",OR(NOT(ISNUMBER(K15)),N(K15)&lt;0))),"Pourcentage invalide",IF(COUNTIF(bom_prod,A15)+COUNTIF(gam_prod,A15)=0,"Ni nomenclature ni gamme",IF(COUNTIFS(bom_prod,A15,bom_check,"&lt;&gt;OK")&gt;0,"Nomenclature à corriger",IF(COUNTIFS(gam_prod,A15,gam_check,"&lt;&gt;OK")&gt;0,"Gamme à corriger","OK")))))))))))</f>
        <v/>
      </c>
      <c r="Y15" s="70">
        <f>IF(J15="",N(p_fg),N(J15))</f>
        <v>0.15</v>
      </c>
      <c r="Z15" s="70">
        <f>IF(K15="",N(p_target),N(K15))</f>
        <v>0.25</v>
      </c>
      <c r="AA15" s="71" t="str">
        <f>IF(R15="","",IF(N(F15)&gt;0,ROUND(F15*N(E15),2),0))</f>
        <v/>
      </c>
      <c r="AB15" s="71">
        <f>IF(T15="",0,T15*N(E15))</f>
        <v>0.0</v>
      </c>
      <c r="AC15" s="71">
        <f>IF(T15="",0,R15*N(E15))</f>
        <v>0.0</v>
      </c>
      <c r="AD15" s="71">
        <f>IF(R15="",0,L15*N(E15))</f>
        <v>0.0</v>
      </c>
      <c r="AE15" s="71">
        <f>IF(R15="",0,M15*N(E15))</f>
        <v>0.0</v>
      </c>
      <c r="AF15" s="71">
        <f>IF(R15="",0,N15*N(E15))</f>
        <v>0.0</v>
      </c>
      <c r="AG15" s="71">
        <f>IF(R15="",0,O15*N(E15))</f>
        <v>0.0</v>
      </c>
      <c r="AH15" s="71">
        <f>IF(R15="",0,(N(G15)+N(H15)+N(I15)/D15)*N(E15))</f>
        <v>0.0</v>
      </c>
      <c r="AI15" s="71">
        <f>IF(R15="",0,P15*N(E15))</f>
        <v>0.0</v>
      </c>
      <c r="AJ15" s="71" t="str">
        <f>IF(AA15="","",COUNTIF(prod_ca,"&gt;"&amp;AA15)+COUNTIF(AA$6:AA15,AA15))</f>
        <v/>
      </c>
      <c r="AK15" s="71" t="str">
        <f>IF(OR(W15="Vendu à perte",W15="Sous la cible"),ROUND(U15,6),"")</f>
        <v/>
      </c>
      <c r="AL15" s="71" t="str">
        <f>IF(AK15="","",COUNTIF(prod_alk,"&lt;"&amp;AK15)+COUNTIF(AK$6:AK15,AK15))</f>
        <v/>
      </c>
    </row>
    <row r="16">
      <c r="A16" s="60" t="n"/>
      <c r="B16" s="60" t="n"/>
      <c r="C16" s="61" t="n"/>
      <c r="D16" s="62" t="n"/>
      <c r="E16" s="63" t="n"/>
      <c r="F16" s="64" t="n"/>
      <c r="G16" s="64" t="n"/>
      <c r="H16" s="64" t="n"/>
      <c r="I16" s="64" t="n"/>
      <c r="J16" s="65" t="n"/>
      <c r="K16" s="65" t="n"/>
      <c r="L16" s="66" t="str">
        <f>IF(X16="OK",SUMIF(bom_prod,A16,bom_cost),"")</f>
        <v/>
      </c>
      <c r="M16" s="66" t="str">
        <f>IF(X16="OK",SUMIF(gam_prod,A16,gam_mo),"")</f>
        <v/>
      </c>
      <c r="N16" s="66" t="str">
        <f>IF(X16="OK",SUMIF(gam_prod,A16,gam_mac),"")</f>
        <v/>
      </c>
      <c r="O16" s="66" t="str">
        <f>IF(X16="OK",SUMIF(gam_prod,A16,gam_setup)/D16,"")</f>
        <v/>
      </c>
      <c r="P16" s="66" t="str">
        <f>IF(X16="OK",(L16+M16+N16+O16+N(G16))*Y16,"")</f>
        <v/>
      </c>
      <c r="Q16" s="66" t="str">
        <f>IF(X16="OK",L16+M16+N16+O16+N(G16)+P16,"")</f>
        <v/>
      </c>
      <c r="R16" s="67" t="str">
        <f>IF(X16="OK",ROUND(Q16+N(H16)+N(I16)/D16,4),"")</f>
        <v/>
      </c>
      <c r="S16" s="66" t="str">
        <f>IF(X16="OK",ROUND(R16*(1+Z16),2),"")</f>
        <v/>
      </c>
      <c r="T16" s="66" t="str">
        <f>IF(AND(X16="OK",N(F16)&gt;0),F16-R16,"")</f>
        <v/>
      </c>
      <c r="U16" s="68" t="str">
        <f>IF(T16="","",IF(R16&lt;=0,"",T16/R16))</f>
        <v/>
      </c>
      <c r="V16" s="68" t="str">
        <f>IF(T16="","",T16/F16)</f>
        <v/>
      </c>
      <c r="W16" s="69" t="str">
        <f>IF(A16="","",IF(X16&lt;&gt;"OK","À corriger",IF(N(F16)&lt;=0,"Prix à saisir",IF(F16&lt;R16,"Vendu à perte",IF(F16&lt;S16,"Sous la cible","OK")))))</f>
        <v/>
      </c>
      <c r="X16" s="69" t="str">
        <f>IF(AND(A16="",COUNTA(B16:K16)=0),"",IF(A16="","Référence manquante",IF(COUNTIF($A$6:$A$305,A16)&gt;1,"Référence en double",IF(OR(NOT(ISNUMBER(D16)),N(D16)&lt;=0),"Taille de lot invalide",IF(AND(E16&lt;&gt;"",OR(NOT(ISNUMBER(E16)),N(E16)&lt;0)),"Volume annuel invalide",IF(AND(F16&lt;&gt;"",OR(NOT(ISNUMBER(F16)),N(F16)&lt;0)),"Prix de vente invalide",IF(OR(AND(G16&lt;&gt;"",OR(NOT(ISNUMBER(G16)),N(G16)&lt;0)),AND(H16&lt;&gt;"",OR(NOT(ISNUMBER(H16)),N(H16)&lt;0)),AND(I16&lt;&gt;"",OR(NOT(ISNUMBER(I16)),N(I16)&lt;0))),"Montant invalide",IF(OR(AND(J16&lt;&gt;"",OR(NOT(ISNUMBER(J16)),N(J16)&lt;0)),AND(K16&lt;&gt;"",OR(NOT(ISNUMBER(K16)),N(K16)&lt;0))),"Pourcentage invalide",IF(COUNTIF(bom_prod,A16)+COUNTIF(gam_prod,A16)=0,"Ni nomenclature ni gamme",IF(COUNTIFS(bom_prod,A16,bom_check,"&lt;&gt;OK")&gt;0,"Nomenclature à corriger",IF(COUNTIFS(gam_prod,A16,gam_check,"&lt;&gt;OK")&gt;0,"Gamme à corriger","OK")))))))))))</f>
        <v/>
      </c>
      <c r="Y16" s="70">
        <f>IF(J16="",N(p_fg),N(J16))</f>
        <v>0.15</v>
      </c>
      <c r="Z16" s="70">
        <f>IF(K16="",N(p_target),N(K16))</f>
        <v>0.25</v>
      </c>
      <c r="AA16" s="71" t="str">
        <f>IF(R16="","",IF(N(F16)&gt;0,ROUND(F16*N(E16),2),0))</f>
        <v/>
      </c>
      <c r="AB16" s="71">
        <f>IF(T16="",0,T16*N(E16))</f>
        <v>0.0</v>
      </c>
      <c r="AC16" s="71">
        <f>IF(T16="",0,R16*N(E16))</f>
        <v>0.0</v>
      </c>
      <c r="AD16" s="71">
        <f>IF(R16="",0,L16*N(E16))</f>
        <v>0.0</v>
      </c>
      <c r="AE16" s="71">
        <f>IF(R16="",0,M16*N(E16))</f>
        <v>0.0</v>
      </c>
      <c r="AF16" s="71">
        <f>IF(R16="",0,N16*N(E16))</f>
        <v>0.0</v>
      </c>
      <c r="AG16" s="71">
        <f>IF(R16="",0,O16*N(E16))</f>
        <v>0.0</v>
      </c>
      <c r="AH16" s="71">
        <f>IF(R16="",0,(N(G16)+N(H16)+N(I16)/D16)*N(E16))</f>
        <v>0.0</v>
      </c>
      <c r="AI16" s="71">
        <f>IF(R16="",0,P16*N(E16))</f>
        <v>0.0</v>
      </c>
      <c r="AJ16" s="71" t="str">
        <f>IF(AA16="","",COUNTIF(prod_ca,"&gt;"&amp;AA16)+COUNTIF(AA$6:AA16,AA16))</f>
        <v/>
      </c>
      <c r="AK16" s="71" t="str">
        <f>IF(OR(W16="Vendu à perte",W16="Sous la cible"),ROUND(U16,6),"")</f>
        <v/>
      </c>
      <c r="AL16" s="71" t="str">
        <f>IF(AK16="","",COUNTIF(prod_alk,"&lt;"&amp;AK16)+COUNTIF(AK$6:AK16,AK16))</f>
        <v/>
      </c>
    </row>
    <row r="17">
      <c r="A17" s="60" t="n"/>
      <c r="B17" s="60" t="n"/>
      <c r="C17" s="61" t="n"/>
      <c r="D17" s="62" t="n"/>
      <c r="E17" s="63" t="n"/>
      <c r="F17" s="64" t="n"/>
      <c r="G17" s="64" t="n"/>
      <c r="H17" s="64" t="n"/>
      <c r="I17" s="64" t="n"/>
      <c r="J17" s="65" t="n"/>
      <c r="K17" s="65" t="n"/>
      <c r="L17" s="66" t="str">
        <f>IF(X17="OK",SUMIF(bom_prod,A17,bom_cost),"")</f>
        <v/>
      </c>
      <c r="M17" s="66" t="str">
        <f>IF(X17="OK",SUMIF(gam_prod,A17,gam_mo),"")</f>
        <v/>
      </c>
      <c r="N17" s="66" t="str">
        <f>IF(X17="OK",SUMIF(gam_prod,A17,gam_mac),"")</f>
        <v/>
      </c>
      <c r="O17" s="66" t="str">
        <f>IF(X17="OK",SUMIF(gam_prod,A17,gam_setup)/D17,"")</f>
        <v/>
      </c>
      <c r="P17" s="66" t="str">
        <f>IF(X17="OK",(L17+M17+N17+O17+N(G17))*Y17,"")</f>
        <v/>
      </c>
      <c r="Q17" s="66" t="str">
        <f>IF(X17="OK",L17+M17+N17+O17+N(G17)+P17,"")</f>
        <v/>
      </c>
      <c r="R17" s="67" t="str">
        <f>IF(X17="OK",ROUND(Q17+N(H17)+N(I17)/D17,4),"")</f>
        <v/>
      </c>
      <c r="S17" s="66" t="str">
        <f>IF(X17="OK",ROUND(R17*(1+Z17),2),"")</f>
        <v/>
      </c>
      <c r="T17" s="66" t="str">
        <f>IF(AND(X17="OK",N(F17)&gt;0),F17-R17,"")</f>
        <v/>
      </c>
      <c r="U17" s="68" t="str">
        <f>IF(T17="","",IF(R17&lt;=0,"",T17/R17))</f>
        <v/>
      </c>
      <c r="V17" s="68" t="str">
        <f>IF(T17="","",T17/F17)</f>
        <v/>
      </c>
      <c r="W17" s="69" t="str">
        <f>IF(A17="","",IF(X17&lt;&gt;"OK","À corriger",IF(N(F17)&lt;=0,"Prix à saisir",IF(F17&lt;R17,"Vendu à perte",IF(F17&lt;S17,"Sous la cible","OK")))))</f>
        <v/>
      </c>
      <c r="X17" s="69" t="str">
        <f>IF(AND(A17="",COUNTA(B17:K17)=0),"",IF(A17="","Référence manquante",IF(COUNTIF($A$6:$A$305,A17)&gt;1,"Référence en double",IF(OR(NOT(ISNUMBER(D17)),N(D17)&lt;=0),"Taille de lot invalide",IF(AND(E17&lt;&gt;"",OR(NOT(ISNUMBER(E17)),N(E17)&lt;0)),"Volume annuel invalide",IF(AND(F17&lt;&gt;"",OR(NOT(ISNUMBER(F17)),N(F17)&lt;0)),"Prix de vente invalide",IF(OR(AND(G17&lt;&gt;"",OR(NOT(ISNUMBER(G17)),N(G17)&lt;0)),AND(H17&lt;&gt;"",OR(NOT(ISNUMBER(H17)),N(H17)&lt;0)),AND(I17&lt;&gt;"",OR(NOT(ISNUMBER(I17)),N(I17)&lt;0))),"Montant invalide",IF(OR(AND(J17&lt;&gt;"",OR(NOT(ISNUMBER(J17)),N(J17)&lt;0)),AND(K17&lt;&gt;"",OR(NOT(ISNUMBER(K17)),N(K17)&lt;0))),"Pourcentage invalide",IF(COUNTIF(bom_prod,A17)+COUNTIF(gam_prod,A17)=0,"Ni nomenclature ni gamme",IF(COUNTIFS(bom_prod,A17,bom_check,"&lt;&gt;OK")&gt;0,"Nomenclature à corriger",IF(COUNTIFS(gam_prod,A17,gam_check,"&lt;&gt;OK")&gt;0,"Gamme à corriger","OK")))))))))))</f>
        <v/>
      </c>
      <c r="Y17" s="70">
        <f>IF(J17="",N(p_fg),N(J17))</f>
        <v>0.15</v>
      </c>
      <c r="Z17" s="70">
        <f>IF(K17="",N(p_target),N(K17))</f>
        <v>0.25</v>
      </c>
      <c r="AA17" s="71" t="str">
        <f>IF(R17="","",IF(N(F17)&gt;0,ROUND(F17*N(E17),2),0))</f>
        <v/>
      </c>
      <c r="AB17" s="71">
        <f>IF(T17="",0,T17*N(E17))</f>
        <v>0.0</v>
      </c>
      <c r="AC17" s="71">
        <f>IF(T17="",0,R17*N(E17))</f>
        <v>0.0</v>
      </c>
      <c r="AD17" s="71">
        <f>IF(R17="",0,L17*N(E17))</f>
        <v>0.0</v>
      </c>
      <c r="AE17" s="71">
        <f>IF(R17="",0,M17*N(E17))</f>
        <v>0.0</v>
      </c>
      <c r="AF17" s="71">
        <f>IF(R17="",0,N17*N(E17))</f>
        <v>0.0</v>
      </c>
      <c r="AG17" s="71">
        <f>IF(R17="",0,O17*N(E17))</f>
        <v>0.0</v>
      </c>
      <c r="AH17" s="71">
        <f>IF(R17="",0,(N(G17)+N(H17)+N(I17)/D17)*N(E17))</f>
        <v>0.0</v>
      </c>
      <c r="AI17" s="71">
        <f>IF(R17="",0,P17*N(E17))</f>
        <v>0.0</v>
      </c>
      <c r="AJ17" s="71" t="str">
        <f>IF(AA17="","",COUNTIF(prod_ca,"&gt;"&amp;AA17)+COUNTIF(AA$6:AA17,AA17))</f>
        <v/>
      </c>
      <c r="AK17" s="71" t="str">
        <f>IF(OR(W17="Vendu à perte",W17="Sous la cible"),ROUND(U17,6),"")</f>
        <v/>
      </c>
      <c r="AL17" s="71" t="str">
        <f>IF(AK17="","",COUNTIF(prod_alk,"&lt;"&amp;AK17)+COUNTIF(AK$6:AK17,AK17))</f>
        <v/>
      </c>
    </row>
    <row r="18">
      <c r="A18" s="60" t="n"/>
      <c r="B18" s="60" t="n"/>
      <c r="C18" s="61" t="n"/>
      <c r="D18" s="62" t="n"/>
      <c r="E18" s="63" t="n"/>
      <c r="F18" s="64" t="n"/>
      <c r="G18" s="64" t="n"/>
      <c r="H18" s="64" t="n"/>
      <c r="I18" s="64" t="n"/>
      <c r="J18" s="65" t="n"/>
      <c r="K18" s="65" t="n"/>
      <c r="L18" s="66" t="str">
        <f>IF(X18="OK",SUMIF(bom_prod,A18,bom_cost),"")</f>
        <v/>
      </c>
      <c r="M18" s="66" t="str">
        <f>IF(X18="OK",SUMIF(gam_prod,A18,gam_mo),"")</f>
        <v/>
      </c>
      <c r="N18" s="66" t="str">
        <f>IF(X18="OK",SUMIF(gam_prod,A18,gam_mac),"")</f>
        <v/>
      </c>
      <c r="O18" s="66" t="str">
        <f>IF(X18="OK",SUMIF(gam_prod,A18,gam_setup)/D18,"")</f>
        <v/>
      </c>
      <c r="P18" s="66" t="str">
        <f>IF(X18="OK",(L18+M18+N18+O18+N(G18))*Y18,"")</f>
        <v/>
      </c>
      <c r="Q18" s="66" t="str">
        <f>IF(X18="OK",L18+M18+N18+O18+N(G18)+P18,"")</f>
        <v/>
      </c>
      <c r="R18" s="67" t="str">
        <f>IF(X18="OK",ROUND(Q18+N(H18)+N(I18)/D18,4),"")</f>
        <v/>
      </c>
      <c r="S18" s="66" t="str">
        <f>IF(X18="OK",ROUND(R18*(1+Z18),2),"")</f>
        <v/>
      </c>
      <c r="T18" s="66" t="str">
        <f>IF(AND(X18="OK",N(F18)&gt;0),F18-R18,"")</f>
        <v/>
      </c>
      <c r="U18" s="68" t="str">
        <f>IF(T18="","",IF(R18&lt;=0,"",T18/R18))</f>
        <v/>
      </c>
      <c r="V18" s="68" t="str">
        <f>IF(T18="","",T18/F18)</f>
        <v/>
      </c>
      <c r="W18" s="69" t="str">
        <f>IF(A18="","",IF(X18&lt;&gt;"OK","À corriger",IF(N(F18)&lt;=0,"Prix à saisir",IF(F18&lt;R18,"Vendu à perte",IF(F18&lt;S18,"Sous la cible","OK")))))</f>
        <v/>
      </c>
      <c r="X18" s="69" t="str">
        <f>IF(AND(A18="",COUNTA(B18:K18)=0),"",IF(A18="","Référence manquante",IF(COUNTIF($A$6:$A$305,A18)&gt;1,"Référence en double",IF(OR(NOT(ISNUMBER(D18)),N(D18)&lt;=0),"Taille de lot invalide",IF(AND(E18&lt;&gt;"",OR(NOT(ISNUMBER(E18)),N(E18)&lt;0)),"Volume annuel invalide",IF(AND(F18&lt;&gt;"",OR(NOT(ISNUMBER(F18)),N(F18)&lt;0)),"Prix de vente invalide",IF(OR(AND(G18&lt;&gt;"",OR(NOT(ISNUMBER(G18)),N(G18)&lt;0)),AND(H18&lt;&gt;"",OR(NOT(ISNUMBER(H18)),N(H18)&lt;0)),AND(I18&lt;&gt;"",OR(NOT(ISNUMBER(I18)),N(I18)&lt;0))),"Montant invalide",IF(OR(AND(J18&lt;&gt;"",OR(NOT(ISNUMBER(J18)),N(J18)&lt;0)),AND(K18&lt;&gt;"",OR(NOT(ISNUMBER(K18)),N(K18)&lt;0))),"Pourcentage invalide",IF(COUNTIF(bom_prod,A18)+COUNTIF(gam_prod,A18)=0,"Ni nomenclature ni gamme",IF(COUNTIFS(bom_prod,A18,bom_check,"&lt;&gt;OK")&gt;0,"Nomenclature à corriger",IF(COUNTIFS(gam_prod,A18,gam_check,"&lt;&gt;OK")&gt;0,"Gamme à corriger","OK")))))))))))</f>
        <v/>
      </c>
      <c r="Y18" s="70">
        <f>IF(J18="",N(p_fg),N(J18))</f>
        <v>0.15</v>
      </c>
      <c r="Z18" s="70">
        <f>IF(K18="",N(p_target),N(K18))</f>
        <v>0.25</v>
      </c>
      <c r="AA18" s="71" t="str">
        <f>IF(R18="","",IF(N(F18)&gt;0,ROUND(F18*N(E18),2),0))</f>
        <v/>
      </c>
      <c r="AB18" s="71">
        <f>IF(T18="",0,T18*N(E18))</f>
        <v>0.0</v>
      </c>
      <c r="AC18" s="71">
        <f>IF(T18="",0,R18*N(E18))</f>
        <v>0.0</v>
      </c>
      <c r="AD18" s="71">
        <f>IF(R18="",0,L18*N(E18))</f>
        <v>0.0</v>
      </c>
      <c r="AE18" s="71">
        <f>IF(R18="",0,M18*N(E18))</f>
        <v>0.0</v>
      </c>
      <c r="AF18" s="71">
        <f>IF(R18="",0,N18*N(E18))</f>
        <v>0.0</v>
      </c>
      <c r="AG18" s="71">
        <f>IF(R18="",0,O18*N(E18))</f>
        <v>0.0</v>
      </c>
      <c r="AH18" s="71">
        <f>IF(R18="",0,(N(G18)+N(H18)+N(I18)/D18)*N(E18))</f>
        <v>0.0</v>
      </c>
      <c r="AI18" s="71">
        <f>IF(R18="",0,P18*N(E18))</f>
        <v>0.0</v>
      </c>
      <c r="AJ18" s="71" t="str">
        <f>IF(AA18="","",COUNTIF(prod_ca,"&gt;"&amp;AA18)+COUNTIF(AA$6:AA18,AA18))</f>
        <v/>
      </c>
      <c r="AK18" s="71" t="str">
        <f>IF(OR(W18="Vendu à perte",W18="Sous la cible"),ROUND(U18,6),"")</f>
        <v/>
      </c>
      <c r="AL18" s="71" t="str">
        <f>IF(AK18="","",COUNTIF(prod_alk,"&lt;"&amp;AK18)+COUNTIF(AK$6:AK18,AK18))</f>
        <v/>
      </c>
    </row>
    <row r="19">
      <c r="A19" s="60" t="n"/>
      <c r="B19" s="60" t="n"/>
      <c r="C19" s="61" t="n"/>
      <c r="D19" s="62" t="n"/>
      <c r="E19" s="63" t="n"/>
      <c r="F19" s="64" t="n"/>
      <c r="G19" s="64" t="n"/>
      <c r="H19" s="64" t="n"/>
      <c r="I19" s="64" t="n"/>
      <c r="J19" s="65" t="n"/>
      <c r="K19" s="65" t="n"/>
      <c r="L19" s="66" t="str">
        <f>IF(X19="OK",SUMIF(bom_prod,A19,bom_cost),"")</f>
        <v/>
      </c>
      <c r="M19" s="66" t="str">
        <f>IF(X19="OK",SUMIF(gam_prod,A19,gam_mo),"")</f>
        <v/>
      </c>
      <c r="N19" s="66" t="str">
        <f>IF(X19="OK",SUMIF(gam_prod,A19,gam_mac),"")</f>
        <v/>
      </c>
      <c r="O19" s="66" t="str">
        <f>IF(X19="OK",SUMIF(gam_prod,A19,gam_setup)/D19,"")</f>
        <v/>
      </c>
      <c r="P19" s="66" t="str">
        <f>IF(X19="OK",(L19+M19+N19+O19+N(G19))*Y19,"")</f>
        <v/>
      </c>
      <c r="Q19" s="66" t="str">
        <f>IF(X19="OK",L19+M19+N19+O19+N(G19)+P19,"")</f>
        <v/>
      </c>
      <c r="R19" s="67" t="str">
        <f>IF(X19="OK",ROUND(Q19+N(H19)+N(I19)/D19,4),"")</f>
        <v/>
      </c>
      <c r="S19" s="66" t="str">
        <f>IF(X19="OK",ROUND(R19*(1+Z19),2),"")</f>
        <v/>
      </c>
      <c r="T19" s="66" t="str">
        <f>IF(AND(X19="OK",N(F19)&gt;0),F19-R19,"")</f>
        <v/>
      </c>
      <c r="U19" s="68" t="str">
        <f>IF(T19="","",IF(R19&lt;=0,"",T19/R19))</f>
        <v/>
      </c>
      <c r="V19" s="68" t="str">
        <f>IF(T19="","",T19/F19)</f>
        <v/>
      </c>
      <c r="W19" s="69" t="str">
        <f>IF(A19="","",IF(X19&lt;&gt;"OK","À corriger",IF(N(F19)&lt;=0,"Prix à saisir",IF(F19&lt;R19,"Vendu à perte",IF(F19&lt;S19,"Sous la cible","OK")))))</f>
        <v/>
      </c>
      <c r="X19" s="69" t="str">
        <f>IF(AND(A19="",COUNTA(B19:K19)=0),"",IF(A19="","Référence manquante",IF(COUNTIF($A$6:$A$305,A19)&gt;1,"Référence en double",IF(OR(NOT(ISNUMBER(D19)),N(D19)&lt;=0),"Taille de lot invalide",IF(AND(E19&lt;&gt;"",OR(NOT(ISNUMBER(E19)),N(E19)&lt;0)),"Volume annuel invalide",IF(AND(F19&lt;&gt;"",OR(NOT(ISNUMBER(F19)),N(F19)&lt;0)),"Prix de vente invalide",IF(OR(AND(G19&lt;&gt;"",OR(NOT(ISNUMBER(G19)),N(G19)&lt;0)),AND(H19&lt;&gt;"",OR(NOT(ISNUMBER(H19)),N(H19)&lt;0)),AND(I19&lt;&gt;"",OR(NOT(ISNUMBER(I19)),N(I19)&lt;0))),"Montant invalide",IF(OR(AND(J19&lt;&gt;"",OR(NOT(ISNUMBER(J19)),N(J19)&lt;0)),AND(K19&lt;&gt;"",OR(NOT(ISNUMBER(K19)),N(K19)&lt;0))),"Pourcentage invalide",IF(COUNTIF(bom_prod,A19)+COUNTIF(gam_prod,A19)=0,"Ni nomenclature ni gamme",IF(COUNTIFS(bom_prod,A19,bom_check,"&lt;&gt;OK")&gt;0,"Nomenclature à corriger",IF(COUNTIFS(gam_prod,A19,gam_check,"&lt;&gt;OK")&gt;0,"Gamme à corriger","OK")))))))))))</f>
        <v/>
      </c>
      <c r="Y19" s="70">
        <f>IF(J19="",N(p_fg),N(J19))</f>
        <v>0.15</v>
      </c>
      <c r="Z19" s="70">
        <f>IF(K19="",N(p_target),N(K19))</f>
        <v>0.25</v>
      </c>
      <c r="AA19" s="71" t="str">
        <f>IF(R19="","",IF(N(F19)&gt;0,ROUND(F19*N(E19),2),0))</f>
        <v/>
      </c>
      <c r="AB19" s="71">
        <f>IF(T19="",0,T19*N(E19))</f>
        <v>0.0</v>
      </c>
      <c r="AC19" s="71">
        <f>IF(T19="",0,R19*N(E19))</f>
        <v>0.0</v>
      </c>
      <c r="AD19" s="71">
        <f>IF(R19="",0,L19*N(E19))</f>
        <v>0.0</v>
      </c>
      <c r="AE19" s="71">
        <f>IF(R19="",0,M19*N(E19))</f>
        <v>0.0</v>
      </c>
      <c r="AF19" s="71">
        <f>IF(R19="",0,N19*N(E19))</f>
        <v>0.0</v>
      </c>
      <c r="AG19" s="71">
        <f>IF(R19="",0,O19*N(E19))</f>
        <v>0.0</v>
      </c>
      <c r="AH19" s="71">
        <f>IF(R19="",0,(N(G19)+N(H19)+N(I19)/D19)*N(E19))</f>
        <v>0.0</v>
      </c>
      <c r="AI19" s="71">
        <f>IF(R19="",0,P19*N(E19))</f>
        <v>0.0</v>
      </c>
      <c r="AJ19" s="71" t="str">
        <f>IF(AA19="","",COUNTIF(prod_ca,"&gt;"&amp;AA19)+COUNTIF(AA$6:AA19,AA19))</f>
        <v/>
      </c>
      <c r="AK19" s="71" t="str">
        <f>IF(OR(W19="Vendu à perte",W19="Sous la cible"),ROUND(U19,6),"")</f>
        <v/>
      </c>
      <c r="AL19" s="71" t="str">
        <f>IF(AK19="","",COUNTIF(prod_alk,"&lt;"&amp;AK19)+COUNTIF(AK$6:AK19,AK19))</f>
        <v/>
      </c>
    </row>
    <row r="20">
      <c r="A20" s="60" t="n"/>
      <c r="B20" s="60" t="n"/>
      <c r="C20" s="61" t="n"/>
      <c r="D20" s="62" t="n"/>
      <c r="E20" s="63" t="n"/>
      <c r="F20" s="64" t="n"/>
      <c r="G20" s="64" t="n"/>
      <c r="H20" s="64" t="n"/>
      <c r="I20" s="64" t="n"/>
      <c r="J20" s="65" t="n"/>
      <c r="K20" s="65" t="n"/>
      <c r="L20" s="66" t="str">
        <f>IF(X20="OK",SUMIF(bom_prod,A20,bom_cost),"")</f>
        <v/>
      </c>
      <c r="M20" s="66" t="str">
        <f>IF(X20="OK",SUMIF(gam_prod,A20,gam_mo),"")</f>
        <v/>
      </c>
      <c r="N20" s="66" t="str">
        <f>IF(X20="OK",SUMIF(gam_prod,A20,gam_mac),"")</f>
        <v/>
      </c>
      <c r="O20" s="66" t="str">
        <f>IF(X20="OK",SUMIF(gam_prod,A20,gam_setup)/D20,"")</f>
        <v/>
      </c>
      <c r="P20" s="66" t="str">
        <f>IF(X20="OK",(L20+M20+N20+O20+N(G20))*Y20,"")</f>
        <v/>
      </c>
      <c r="Q20" s="66" t="str">
        <f>IF(X20="OK",L20+M20+N20+O20+N(G20)+P20,"")</f>
        <v/>
      </c>
      <c r="R20" s="67" t="str">
        <f>IF(X20="OK",ROUND(Q20+N(H20)+N(I20)/D20,4),"")</f>
        <v/>
      </c>
      <c r="S20" s="66" t="str">
        <f>IF(X20="OK",ROUND(R20*(1+Z20),2),"")</f>
        <v/>
      </c>
      <c r="T20" s="66" t="str">
        <f>IF(AND(X20="OK",N(F20)&gt;0),F20-R20,"")</f>
        <v/>
      </c>
      <c r="U20" s="68" t="str">
        <f>IF(T20="","",IF(R20&lt;=0,"",T20/R20))</f>
        <v/>
      </c>
      <c r="V20" s="68" t="str">
        <f>IF(T20="","",T20/F20)</f>
        <v/>
      </c>
      <c r="W20" s="69" t="str">
        <f>IF(A20="","",IF(X20&lt;&gt;"OK","À corriger",IF(N(F20)&lt;=0,"Prix à saisir",IF(F20&lt;R20,"Vendu à perte",IF(F20&lt;S20,"Sous la cible","OK")))))</f>
        <v/>
      </c>
      <c r="X20" s="69" t="str">
        <f>IF(AND(A20="",COUNTA(B20:K20)=0),"",IF(A20="","Référence manquante",IF(COUNTIF($A$6:$A$305,A20)&gt;1,"Référence en double",IF(OR(NOT(ISNUMBER(D20)),N(D20)&lt;=0),"Taille de lot invalide",IF(AND(E20&lt;&gt;"",OR(NOT(ISNUMBER(E20)),N(E20)&lt;0)),"Volume annuel invalide",IF(AND(F20&lt;&gt;"",OR(NOT(ISNUMBER(F20)),N(F20)&lt;0)),"Prix de vente invalide",IF(OR(AND(G20&lt;&gt;"",OR(NOT(ISNUMBER(G20)),N(G20)&lt;0)),AND(H20&lt;&gt;"",OR(NOT(ISNUMBER(H20)),N(H20)&lt;0)),AND(I20&lt;&gt;"",OR(NOT(ISNUMBER(I20)),N(I20)&lt;0))),"Montant invalide",IF(OR(AND(J20&lt;&gt;"",OR(NOT(ISNUMBER(J20)),N(J20)&lt;0)),AND(K20&lt;&gt;"",OR(NOT(ISNUMBER(K20)),N(K20)&lt;0))),"Pourcentage invalide",IF(COUNTIF(bom_prod,A20)+COUNTIF(gam_prod,A20)=0,"Ni nomenclature ni gamme",IF(COUNTIFS(bom_prod,A20,bom_check,"&lt;&gt;OK")&gt;0,"Nomenclature à corriger",IF(COUNTIFS(gam_prod,A20,gam_check,"&lt;&gt;OK")&gt;0,"Gamme à corriger","OK")))))))))))</f>
        <v/>
      </c>
      <c r="Y20" s="70">
        <f>IF(J20="",N(p_fg),N(J20))</f>
        <v>0.15</v>
      </c>
      <c r="Z20" s="70">
        <f>IF(K20="",N(p_target),N(K20))</f>
        <v>0.25</v>
      </c>
      <c r="AA20" s="71" t="str">
        <f>IF(R20="","",IF(N(F20)&gt;0,ROUND(F20*N(E20),2),0))</f>
        <v/>
      </c>
      <c r="AB20" s="71">
        <f>IF(T20="",0,T20*N(E20))</f>
        <v>0.0</v>
      </c>
      <c r="AC20" s="71">
        <f>IF(T20="",0,R20*N(E20))</f>
        <v>0.0</v>
      </c>
      <c r="AD20" s="71">
        <f>IF(R20="",0,L20*N(E20))</f>
        <v>0.0</v>
      </c>
      <c r="AE20" s="71">
        <f>IF(R20="",0,M20*N(E20))</f>
        <v>0.0</v>
      </c>
      <c r="AF20" s="71">
        <f>IF(R20="",0,N20*N(E20))</f>
        <v>0.0</v>
      </c>
      <c r="AG20" s="71">
        <f>IF(R20="",0,O20*N(E20))</f>
        <v>0.0</v>
      </c>
      <c r="AH20" s="71">
        <f>IF(R20="",0,(N(G20)+N(H20)+N(I20)/D20)*N(E20))</f>
        <v>0.0</v>
      </c>
      <c r="AI20" s="71">
        <f>IF(R20="",0,P20*N(E20))</f>
        <v>0.0</v>
      </c>
      <c r="AJ20" s="71" t="str">
        <f>IF(AA20="","",COUNTIF(prod_ca,"&gt;"&amp;AA20)+COUNTIF(AA$6:AA20,AA20))</f>
        <v/>
      </c>
      <c r="AK20" s="71" t="str">
        <f>IF(OR(W20="Vendu à perte",W20="Sous la cible"),ROUND(U20,6),"")</f>
        <v/>
      </c>
      <c r="AL20" s="71" t="str">
        <f>IF(AK20="","",COUNTIF(prod_alk,"&lt;"&amp;AK20)+COUNTIF(AK$6:AK20,AK20))</f>
        <v/>
      </c>
    </row>
    <row r="21">
      <c r="A21" s="60" t="n"/>
      <c r="B21" s="60" t="n"/>
      <c r="C21" s="61" t="n"/>
      <c r="D21" s="62" t="n"/>
      <c r="E21" s="63" t="n"/>
      <c r="F21" s="64" t="n"/>
      <c r="G21" s="64" t="n"/>
      <c r="H21" s="64" t="n"/>
      <c r="I21" s="64" t="n"/>
      <c r="J21" s="65" t="n"/>
      <c r="K21" s="65" t="n"/>
      <c r="L21" s="66" t="str">
        <f>IF(X21="OK",SUMIF(bom_prod,A21,bom_cost),"")</f>
        <v/>
      </c>
      <c r="M21" s="66" t="str">
        <f>IF(X21="OK",SUMIF(gam_prod,A21,gam_mo),"")</f>
        <v/>
      </c>
      <c r="N21" s="66" t="str">
        <f>IF(X21="OK",SUMIF(gam_prod,A21,gam_mac),"")</f>
        <v/>
      </c>
      <c r="O21" s="66" t="str">
        <f>IF(X21="OK",SUMIF(gam_prod,A21,gam_setup)/D21,"")</f>
        <v/>
      </c>
      <c r="P21" s="66" t="str">
        <f>IF(X21="OK",(L21+M21+N21+O21+N(G21))*Y21,"")</f>
        <v/>
      </c>
      <c r="Q21" s="66" t="str">
        <f>IF(X21="OK",L21+M21+N21+O21+N(G21)+P21,"")</f>
        <v/>
      </c>
      <c r="R21" s="67" t="str">
        <f>IF(X21="OK",ROUND(Q21+N(H21)+N(I21)/D21,4),"")</f>
        <v/>
      </c>
      <c r="S21" s="66" t="str">
        <f>IF(X21="OK",ROUND(R21*(1+Z21),2),"")</f>
        <v/>
      </c>
      <c r="T21" s="66" t="str">
        <f>IF(AND(X21="OK",N(F21)&gt;0),F21-R21,"")</f>
        <v/>
      </c>
      <c r="U21" s="68" t="str">
        <f>IF(T21="","",IF(R21&lt;=0,"",T21/R21))</f>
        <v/>
      </c>
      <c r="V21" s="68" t="str">
        <f>IF(T21="","",T21/F21)</f>
        <v/>
      </c>
      <c r="W21" s="69" t="str">
        <f>IF(A21="","",IF(X21&lt;&gt;"OK","À corriger",IF(N(F21)&lt;=0,"Prix à saisir",IF(F21&lt;R21,"Vendu à perte",IF(F21&lt;S21,"Sous la cible","OK")))))</f>
        <v/>
      </c>
      <c r="X21" s="69" t="str">
        <f>IF(AND(A21="",COUNTA(B21:K21)=0),"",IF(A21="","Référence manquante",IF(COUNTIF($A$6:$A$305,A21)&gt;1,"Référence en double",IF(OR(NOT(ISNUMBER(D21)),N(D21)&lt;=0),"Taille de lot invalide",IF(AND(E21&lt;&gt;"",OR(NOT(ISNUMBER(E21)),N(E21)&lt;0)),"Volume annuel invalide",IF(AND(F21&lt;&gt;"",OR(NOT(ISNUMBER(F21)),N(F21)&lt;0)),"Prix de vente invalide",IF(OR(AND(G21&lt;&gt;"",OR(NOT(ISNUMBER(G21)),N(G21)&lt;0)),AND(H21&lt;&gt;"",OR(NOT(ISNUMBER(H21)),N(H21)&lt;0)),AND(I21&lt;&gt;"",OR(NOT(ISNUMBER(I21)),N(I21)&lt;0))),"Montant invalide",IF(OR(AND(J21&lt;&gt;"",OR(NOT(ISNUMBER(J21)),N(J21)&lt;0)),AND(K21&lt;&gt;"",OR(NOT(ISNUMBER(K21)),N(K21)&lt;0))),"Pourcentage invalide",IF(COUNTIF(bom_prod,A21)+COUNTIF(gam_prod,A21)=0,"Ni nomenclature ni gamme",IF(COUNTIFS(bom_prod,A21,bom_check,"&lt;&gt;OK")&gt;0,"Nomenclature à corriger",IF(COUNTIFS(gam_prod,A21,gam_check,"&lt;&gt;OK")&gt;0,"Gamme à corriger","OK")))))))))))</f>
        <v/>
      </c>
      <c r="Y21" s="70">
        <f>IF(J21="",N(p_fg),N(J21))</f>
        <v>0.15</v>
      </c>
      <c r="Z21" s="70">
        <f>IF(K21="",N(p_target),N(K21))</f>
        <v>0.25</v>
      </c>
      <c r="AA21" s="71" t="str">
        <f>IF(R21="","",IF(N(F21)&gt;0,ROUND(F21*N(E21),2),0))</f>
        <v/>
      </c>
      <c r="AB21" s="71">
        <f>IF(T21="",0,T21*N(E21))</f>
        <v>0.0</v>
      </c>
      <c r="AC21" s="71">
        <f>IF(T21="",0,R21*N(E21))</f>
        <v>0.0</v>
      </c>
      <c r="AD21" s="71">
        <f>IF(R21="",0,L21*N(E21))</f>
        <v>0.0</v>
      </c>
      <c r="AE21" s="71">
        <f>IF(R21="",0,M21*N(E21))</f>
        <v>0.0</v>
      </c>
      <c r="AF21" s="71">
        <f>IF(R21="",0,N21*N(E21))</f>
        <v>0.0</v>
      </c>
      <c r="AG21" s="71">
        <f>IF(R21="",0,O21*N(E21))</f>
        <v>0.0</v>
      </c>
      <c r="AH21" s="71">
        <f>IF(R21="",0,(N(G21)+N(H21)+N(I21)/D21)*N(E21))</f>
        <v>0.0</v>
      </c>
      <c r="AI21" s="71">
        <f>IF(R21="",0,P21*N(E21))</f>
        <v>0.0</v>
      </c>
      <c r="AJ21" s="71" t="str">
        <f>IF(AA21="","",COUNTIF(prod_ca,"&gt;"&amp;AA21)+COUNTIF(AA$6:AA21,AA21))</f>
        <v/>
      </c>
      <c r="AK21" s="71" t="str">
        <f>IF(OR(W21="Vendu à perte",W21="Sous la cible"),ROUND(U21,6),"")</f>
        <v/>
      </c>
      <c r="AL21" s="71" t="str">
        <f>IF(AK21="","",COUNTIF(prod_alk,"&lt;"&amp;AK21)+COUNTIF(AK$6:AK21,AK21))</f>
        <v/>
      </c>
    </row>
    <row r="22">
      <c r="A22" s="60" t="n"/>
      <c r="B22" s="60" t="n"/>
      <c r="C22" s="61" t="n"/>
      <c r="D22" s="62" t="n"/>
      <c r="E22" s="63" t="n"/>
      <c r="F22" s="64" t="n"/>
      <c r="G22" s="64" t="n"/>
      <c r="H22" s="64" t="n"/>
      <c r="I22" s="64" t="n"/>
      <c r="J22" s="65" t="n"/>
      <c r="K22" s="65" t="n"/>
      <c r="L22" s="66" t="str">
        <f>IF(X22="OK",SUMIF(bom_prod,A22,bom_cost),"")</f>
        <v/>
      </c>
      <c r="M22" s="66" t="str">
        <f>IF(X22="OK",SUMIF(gam_prod,A22,gam_mo),"")</f>
        <v/>
      </c>
      <c r="N22" s="66" t="str">
        <f>IF(X22="OK",SUMIF(gam_prod,A22,gam_mac),"")</f>
        <v/>
      </c>
      <c r="O22" s="66" t="str">
        <f>IF(X22="OK",SUMIF(gam_prod,A22,gam_setup)/D22,"")</f>
        <v/>
      </c>
      <c r="P22" s="66" t="str">
        <f>IF(X22="OK",(L22+M22+N22+O22+N(G22))*Y22,"")</f>
        <v/>
      </c>
      <c r="Q22" s="66" t="str">
        <f>IF(X22="OK",L22+M22+N22+O22+N(G22)+P22,"")</f>
        <v/>
      </c>
      <c r="R22" s="67" t="str">
        <f>IF(X22="OK",ROUND(Q22+N(H22)+N(I22)/D22,4),"")</f>
        <v/>
      </c>
      <c r="S22" s="66" t="str">
        <f>IF(X22="OK",ROUND(R22*(1+Z22),2),"")</f>
        <v/>
      </c>
      <c r="T22" s="66" t="str">
        <f>IF(AND(X22="OK",N(F22)&gt;0),F22-R22,"")</f>
        <v/>
      </c>
      <c r="U22" s="68" t="str">
        <f>IF(T22="","",IF(R22&lt;=0,"",T22/R22))</f>
        <v/>
      </c>
      <c r="V22" s="68" t="str">
        <f>IF(T22="","",T22/F22)</f>
        <v/>
      </c>
      <c r="W22" s="69" t="str">
        <f>IF(A22="","",IF(X22&lt;&gt;"OK","À corriger",IF(N(F22)&lt;=0,"Prix à saisir",IF(F22&lt;R22,"Vendu à perte",IF(F22&lt;S22,"Sous la cible","OK")))))</f>
        <v/>
      </c>
      <c r="X22" s="69" t="str">
        <f>IF(AND(A22="",COUNTA(B22:K22)=0),"",IF(A22="","Référence manquante",IF(COUNTIF($A$6:$A$305,A22)&gt;1,"Référence en double",IF(OR(NOT(ISNUMBER(D22)),N(D22)&lt;=0),"Taille de lot invalide",IF(AND(E22&lt;&gt;"",OR(NOT(ISNUMBER(E22)),N(E22)&lt;0)),"Volume annuel invalide",IF(AND(F22&lt;&gt;"",OR(NOT(ISNUMBER(F22)),N(F22)&lt;0)),"Prix de vente invalide",IF(OR(AND(G22&lt;&gt;"",OR(NOT(ISNUMBER(G22)),N(G22)&lt;0)),AND(H22&lt;&gt;"",OR(NOT(ISNUMBER(H22)),N(H22)&lt;0)),AND(I22&lt;&gt;"",OR(NOT(ISNUMBER(I22)),N(I22)&lt;0))),"Montant invalide",IF(OR(AND(J22&lt;&gt;"",OR(NOT(ISNUMBER(J22)),N(J22)&lt;0)),AND(K22&lt;&gt;"",OR(NOT(ISNUMBER(K22)),N(K22)&lt;0))),"Pourcentage invalide",IF(COUNTIF(bom_prod,A22)+COUNTIF(gam_prod,A22)=0,"Ni nomenclature ni gamme",IF(COUNTIFS(bom_prod,A22,bom_check,"&lt;&gt;OK")&gt;0,"Nomenclature à corriger",IF(COUNTIFS(gam_prod,A22,gam_check,"&lt;&gt;OK")&gt;0,"Gamme à corriger","OK")))))))))))</f>
        <v/>
      </c>
      <c r="Y22" s="70">
        <f>IF(J22="",N(p_fg),N(J22))</f>
        <v>0.15</v>
      </c>
      <c r="Z22" s="70">
        <f>IF(K22="",N(p_target),N(K22))</f>
        <v>0.25</v>
      </c>
      <c r="AA22" s="71" t="str">
        <f>IF(R22="","",IF(N(F22)&gt;0,ROUND(F22*N(E22),2),0))</f>
        <v/>
      </c>
      <c r="AB22" s="71">
        <f>IF(T22="",0,T22*N(E22))</f>
        <v>0.0</v>
      </c>
      <c r="AC22" s="71">
        <f>IF(T22="",0,R22*N(E22))</f>
        <v>0.0</v>
      </c>
      <c r="AD22" s="71">
        <f>IF(R22="",0,L22*N(E22))</f>
        <v>0.0</v>
      </c>
      <c r="AE22" s="71">
        <f>IF(R22="",0,M22*N(E22))</f>
        <v>0.0</v>
      </c>
      <c r="AF22" s="71">
        <f>IF(R22="",0,N22*N(E22))</f>
        <v>0.0</v>
      </c>
      <c r="AG22" s="71">
        <f>IF(R22="",0,O22*N(E22))</f>
        <v>0.0</v>
      </c>
      <c r="AH22" s="71">
        <f>IF(R22="",0,(N(G22)+N(H22)+N(I22)/D22)*N(E22))</f>
        <v>0.0</v>
      </c>
      <c r="AI22" s="71">
        <f>IF(R22="",0,P22*N(E22))</f>
        <v>0.0</v>
      </c>
      <c r="AJ22" s="71" t="str">
        <f>IF(AA22="","",COUNTIF(prod_ca,"&gt;"&amp;AA22)+COUNTIF(AA$6:AA22,AA22))</f>
        <v/>
      </c>
      <c r="AK22" s="71" t="str">
        <f>IF(OR(W22="Vendu à perte",W22="Sous la cible"),ROUND(U22,6),"")</f>
        <v/>
      </c>
      <c r="AL22" s="71" t="str">
        <f>IF(AK22="","",COUNTIF(prod_alk,"&lt;"&amp;AK22)+COUNTIF(AK$6:AK22,AK22))</f>
        <v/>
      </c>
    </row>
    <row r="23">
      <c r="A23" s="60" t="n"/>
      <c r="B23" s="60" t="n"/>
      <c r="C23" s="61" t="n"/>
      <c r="D23" s="62" t="n"/>
      <c r="E23" s="63" t="n"/>
      <c r="F23" s="64" t="n"/>
      <c r="G23" s="64" t="n"/>
      <c r="H23" s="64" t="n"/>
      <c r="I23" s="64" t="n"/>
      <c r="J23" s="65" t="n"/>
      <c r="K23" s="65" t="n"/>
      <c r="L23" s="66" t="str">
        <f>IF(X23="OK",SUMIF(bom_prod,A23,bom_cost),"")</f>
        <v/>
      </c>
      <c r="M23" s="66" t="str">
        <f>IF(X23="OK",SUMIF(gam_prod,A23,gam_mo),"")</f>
        <v/>
      </c>
      <c r="N23" s="66" t="str">
        <f>IF(X23="OK",SUMIF(gam_prod,A23,gam_mac),"")</f>
        <v/>
      </c>
      <c r="O23" s="66" t="str">
        <f>IF(X23="OK",SUMIF(gam_prod,A23,gam_setup)/D23,"")</f>
        <v/>
      </c>
      <c r="P23" s="66" t="str">
        <f>IF(X23="OK",(L23+M23+N23+O23+N(G23))*Y23,"")</f>
        <v/>
      </c>
      <c r="Q23" s="66" t="str">
        <f>IF(X23="OK",L23+M23+N23+O23+N(G23)+P23,"")</f>
        <v/>
      </c>
      <c r="R23" s="67" t="str">
        <f>IF(X23="OK",ROUND(Q23+N(H23)+N(I23)/D23,4),"")</f>
        <v/>
      </c>
      <c r="S23" s="66" t="str">
        <f>IF(X23="OK",ROUND(R23*(1+Z23),2),"")</f>
        <v/>
      </c>
      <c r="T23" s="66" t="str">
        <f>IF(AND(X23="OK",N(F23)&gt;0),F23-R23,"")</f>
        <v/>
      </c>
      <c r="U23" s="68" t="str">
        <f>IF(T23="","",IF(R23&lt;=0,"",T23/R23))</f>
        <v/>
      </c>
      <c r="V23" s="68" t="str">
        <f>IF(T23="","",T23/F23)</f>
        <v/>
      </c>
      <c r="W23" s="69" t="str">
        <f>IF(A23="","",IF(X23&lt;&gt;"OK","À corriger",IF(N(F23)&lt;=0,"Prix à saisir",IF(F23&lt;R23,"Vendu à perte",IF(F23&lt;S23,"Sous la cible","OK")))))</f>
        <v/>
      </c>
      <c r="X23" s="69" t="str">
        <f>IF(AND(A23="",COUNTA(B23:K23)=0),"",IF(A23="","Référence manquante",IF(COUNTIF($A$6:$A$305,A23)&gt;1,"Référence en double",IF(OR(NOT(ISNUMBER(D23)),N(D23)&lt;=0),"Taille de lot invalide",IF(AND(E23&lt;&gt;"",OR(NOT(ISNUMBER(E23)),N(E23)&lt;0)),"Volume annuel invalide",IF(AND(F23&lt;&gt;"",OR(NOT(ISNUMBER(F23)),N(F23)&lt;0)),"Prix de vente invalide",IF(OR(AND(G23&lt;&gt;"",OR(NOT(ISNUMBER(G23)),N(G23)&lt;0)),AND(H23&lt;&gt;"",OR(NOT(ISNUMBER(H23)),N(H23)&lt;0)),AND(I23&lt;&gt;"",OR(NOT(ISNUMBER(I23)),N(I23)&lt;0))),"Montant invalide",IF(OR(AND(J23&lt;&gt;"",OR(NOT(ISNUMBER(J23)),N(J23)&lt;0)),AND(K23&lt;&gt;"",OR(NOT(ISNUMBER(K23)),N(K23)&lt;0))),"Pourcentage invalide",IF(COUNTIF(bom_prod,A23)+COUNTIF(gam_prod,A23)=0,"Ni nomenclature ni gamme",IF(COUNTIFS(bom_prod,A23,bom_check,"&lt;&gt;OK")&gt;0,"Nomenclature à corriger",IF(COUNTIFS(gam_prod,A23,gam_check,"&lt;&gt;OK")&gt;0,"Gamme à corriger","OK")))))))))))</f>
        <v/>
      </c>
      <c r="Y23" s="70">
        <f>IF(J23="",N(p_fg),N(J23))</f>
        <v>0.15</v>
      </c>
      <c r="Z23" s="70">
        <f>IF(K23="",N(p_target),N(K23))</f>
        <v>0.25</v>
      </c>
      <c r="AA23" s="71" t="str">
        <f>IF(R23="","",IF(N(F23)&gt;0,ROUND(F23*N(E23),2),0))</f>
        <v/>
      </c>
      <c r="AB23" s="71">
        <f>IF(T23="",0,T23*N(E23))</f>
        <v>0.0</v>
      </c>
      <c r="AC23" s="71">
        <f>IF(T23="",0,R23*N(E23))</f>
        <v>0.0</v>
      </c>
      <c r="AD23" s="71">
        <f>IF(R23="",0,L23*N(E23))</f>
        <v>0.0</v>
      </c>
      <c r="AE23" s="71">
        <f>IF(R23="",0,M23*N(E23))</f>
        <v>0.0</v>
      </c>
      <c r="AF23" s="71">
        <f>IF(R23="",0,N23*N(E23))</f>
        <v>0.0</v>
      </c>
      <c r="AG23" s="71">
        <f>IF(R23="",0,O23*N(E23))</f>
        <v>0.0</v>
      </c>
      <c r="AH23" s="71">
        <f>IF(R23="",0,(N(G23)+N(H23)+N(I23)/D23)*N(E23))</f>
        <v>0.0</v>
      </c>
      <c r="AI23" s="71">
        <f>IF(R23="",0,P23*N(E23))</f>
        <v>0.0</v>
      </c>
      <c r="AJ23" s="71" t="str">
        <f>IF(AA23="","",COUNTIF(prod_ca,"&gt;"&amp;AA23)+COUNTIF(AA$6:AA23,AA23))</f>
        <v/>
      </c>
      <c r="AK23" s="71" t="str">
        <f>IF(OR(W23="Vendu à perte",W23="Sous la cible"),ROUND(U23,6),"")</f>
        <v/>
      </c>
      <c r="AL23" s="71" t="str">
        <f>IF(AK23="","",COUNTIF(prod_alk,"&lt;"&amp;AK23)+COUNTIF(AK$6:AK23,AK23))</f>
        <v/>
      </c>
    </row>
    <row r="24">
      <c r="A24" s="60" t="n"/>
      <c r="B24" s="60" t="n"/>
      <c r="C24" s="61" t="n"/>
      <c r="D24" s="62" t="n"/>
      <c r="E24" s="63" t="n"/>
      <c r="F24" s="64" t="n"/>
      <c r="G24" s="64" t="n"/>
      <c r="H24" s="64" t="n"/>
      <c r="I24" s="64" t="n"/>
      <c r="J24" s="65" t="n"/>
      <c r="K24" s="65" t="n"/>
      <c r="L24" s="66" t="str">
        <f>IF(X24="OK",SUMIF(bom_prod,A24,bom_cost),"")</f>
        <v/>
      </c>
      <c r="M24" s="66" t="str">
        <f>IF(X24="OK",SUMIF(gam_prod,A24,gam_mo),"")</f>
        <v/>
      </c>
      <c r="N24" s="66" t="str">
        <f>IF(X24="OK",SUMIF(gam_prod,A24,gam_mac),"")</f>
        <v/>
      </c>
      <c r="O24" s="66" t="str">
        <f>IF(X24="OK",SUMIF(gam_prod,A24,gam_setup)/D24,"")</f>
        <v/>
      </c>
      <c r="P24" s="66" t="str">
        <f>IF(X24="OK",(L24+M24+N24+O24+N(G24))*Y24,"")</f>
        <v/>
      </c>
      <c r="Q24" s="66" t="str">
        <f>IF(X24="OK",L24+M24+N24+O24+N(G24)+P24,"")</f>
        <v/>
      </c>
      <c r="R24" s="67" t="str">
        <f>IF(X24="OK",ROUND(Q24+N(H24)+N(I24)/D24,4),"")</f>
        <v/>
      </c>
      <c r="S24" s="66" t="str">
        <f>IF(X24="OK",ROUND(R24*(1+Z24),2),"")</f>
        <v/>
      </c>
      <c r="T24" s="66" t="str">
        <f>IF(AND(X24="OK",N(F24)&gt;0),F24-R24,"")</f>
        <v/>
      </c>
      <c r="U24" s="68" t="str">
        <f>IF(T24="","",IF(R24&lt;=0,"",T24/R24))</f>
        <v/>
      </c>
      <c r="V24" s="68" t="str">
        <f>IF(T24="","",T24/F24)</f>
        <v/>
      </c>
      <c r="W24" s="69" t="str">
        <f>IF(A24="","",IF(X24&lt;&gt;"OK","À corriger",IF(N(F24)&lt;=0,"Prix à saisir",IF(F24&lt;R24,"Vendu à perte",IF(F24&lt;S24,"Sous la cible","OK")))))</f>
        <v/>
      </c>
      <c r="X24" s="69" t="str">
        <f>IF(AND(A24="",COUNTA(B24:K24)=0),"",IF(A24="","Référence manquante",IF(COUNTIF($A$6:$A$305,A24)&gt;1,"Référence en double",IF(OR(NOT(ISNUMBER(D24)),N(D24)&lt;=0),"Taille de lot invalide",IF(AND(E24&lt;&gt;"",OR(NOT(ISNUMBER(E24)),N(E24)&lt;0)),"Volume annuel invalide",IF(AND(F24&lt;&gt;"",OR(NOT(ISNUMBER(F24)),N(F24)&lt;0)),"Prix de vente invalide",IF(OR(AND(G24&lt;&gt;"",OR(NOT(ISNUMBER(G24)),N(G24)&lt;0)),AND(H24&lt;&gt;"",OR(NOT(ISNUMBER(H24)),N(H24)&lt;0)),AND(I24&lt;&gt;"",OR(NOT(ISNUMBER(I24)),N(I24)&lt;0))),"Montant invalide",IF(OR(AND(J24&lt;&gt;"",OR(NOT(ISNUMBER(J24)),N(J24)&lt;0)),AND(K24&lt;&gt;"",OR(NOT(ISNUMBER(K24)),N(K24)&lt;0))),"Pourcentage invalide",IF(COUNTIF(bom_prod,A24)+COUNTIF(gam_prod,A24)=0,"Ni nomenclature ni gamme",IF(COUNTIFS(bom_prod,A24,bom_check,"&lt;&gt;OK")&gt;0,"Nomenclature à corriger",IF(COUNTIFS(gam_prod,A24,gam_check,"&lt;&gt;OK")&gt;0,"Gamme à corriger","OK")))))))))))</f>
        <v/>
      </c>
      <c r="Y24" s="70">
        <f>IF(J24="",N(p_fg),N(J24))</f>
        <v>0.15</v>
      </c>
      <c r="Z24" s="70">
        <f>IF(K24="",N(p_target),N(K24))</f>
        <v>0.25</v>
      </c>
      <c r="AA24" s="71" t="str">
        <f>IF(R24="","",IF(N(F24)&gt;0,ROUND(F24*N(E24),2),0))</f>
        <v/>
      </c>
      <c r="AB24" s="71">
        <f>IF(T24="",0,T24*N(E24))</f>
        <v>0.0</v>
      </c>
      <c r="AC24" s="71">
        <f>IF(T24="",0,R24*N(E24))</f>
        <v>0.0</v>
      </c>
      <c r="AD24" s="71">
        <f>IF(R24="",0,L24*N(E24))</f>
        <v>0.0</v>
      </c>
      <c r="AE24" s="71">
        <f>IF(R24="",0,M24*N(E24))</f>
        <v>0.0</v>
      </c>
      <c r="AF24" s="71">
        <f>IF(R24="",0,N24*N(E24))</f>
        <v>0.0</v>
      </c>
      <c r="AG24" s="71">
        <f>IF(R24="",0,O24*N(E24))</f>
        <v>0.0</v>
      </c>
      <c r="AH24" s="71">
        <f>IF(R24="",0,(N(G24)+N(H24)+N(I24)/D24)*N(E24))</f>
        <v>0.0</v>
      </c>
      <c r="AI24" s="71">
        <f>IF(R24="",0,P24*N(E24))</f>
        <v>0.0</v>
      </c>
      <c r="AJ24" s="71" t="str">
        <f>IF(AA24="","",COUNTIF(prod_ca,"&gt;"&amp;AA24)+COUNTIF(AA$6:AA24,AA24))</f>
        <v/>
      </c>
      <c r="AK24" s="71" t="str">
        <f>IF(OR(W24="Vendu à perte",W24="Sous la cible"),ROUND(U24,6),"")</f>
        <v/>
      </c>
      <c r="AL24" s="71" t="str">
        <f>IF(AK24="","",COUNTIF(prod_alk,"&lt;"&amp;AK24)+COUNTIF(AK$6:AK24,AK24))</f>
        <v/>
      </c>
    </row>
    <row r="25">
      <c r="A25" s="60" t="n"/>
      <c r="B25" s="60" t="n"/>
      <c r="C25" s="61" t="n"/>
      <c r="D25" s="62" t="n"/>
      <c r="E25" s="63" t="n"/>
      <c r="F25" s="64" t="n"/>
      <c r="G25" s="64" t="n"/>
      <c r="H25" s="64" t="n"/>
      <c r="I25" s="64" t="n"/>
      <c r="J25" s="65" t="n"/>
      <c r="K25" s="65" t="n"/>
      <c r="L25" s="66" t="str">
        <f>IF(X25="OK",SUMIF(bom_prod,A25,bom_cost),"")</f>
        <v/>
      </c>
      <c r="M25" s="66" t="str">
        <f>IF(X25="OK",SUMIF(gam_prod,A25,gam_mo),"")</f>
        <v/>
      </c>
      <c r="N25" s="66" t="str">
        <f>IF(X25="OK",SUMIF(gam_prod,A25,gam_mac),"")</f>
        <v/>
      </c>
      <c r="O25" s="66" t="str">
        <f>IF(X25="OK",SUMIF(gam_prod,A25,gam_setup)/D25,"")</f>
        <v/>
      </c>
      <c r="P25" s="66" t="str">
        <f>IF(X25="OK",(L25+M25+N25+O25+N(G25))*Y25,"")</f>
        <v/>
      </c>
      <c r="Q25" s="66" t="str">
        <f>IF(X25="OK",L25+M25+N25+O25+N(G25)+P25,"")</f>
        <v/>
      </c>
      <c r="R25" s="67" t="str">
        <f>IF(X25="OK",ROUND(Q25+N(H25)+N(I25)/D25,4),"")</f>
        <v/>
      </c>
      <c r="S25" s="66" t="str">
        <f>IF(X25="OK",ROUND(R25*(1+Z25),2),"")</f>
        <v/>
      </c>
      <c r="T25" s="66" t="str">
        <f>IF(AND(X25="OK",N(F25)&gt;0),F25-R25,"")</f>
        <v/>
      </c>
      <c r="U25" s="68" t="str">
        <f>IF(T25="","",IF(R25&lt;=0,"",T25/R25))</f>
        <v/>
      </c>
      <c r="V25" s="68" t="str">
        <f>IF(T25="","",T25/F25)</f>
        <v/>
      </c>
      <c r="W25" s="69" t="str">
        <f>IF(A25="","",IF(X25&lt;&gt;"OK","À corriger",IF(N(F25)&lt;=0,"Prix à saisir",IF(F25&lt;R25,"Vendu à perte",IF(F25&lt;S25,"Sous la cible","OK")))))</f>
        <v/>
      </c>
      <c r="X25" s="69" t="str">
        <f>IF(AND(A25="",COUNTA(B25:K25)=0),"",IF(A25="","Référence manquante",IF(COUNTIF($A$6:$A$305,A25)&gt;1,"Référence en double",IF(OR(NOT(ISNUMBER(D25)),N(D25)&lt;=0),"Taille de lot invalide",IF(AND(E25&lt;&gt;"",OR(NOT(ISNUMBER(E25)),N(E25)&lt;0)),"Volume annuel invalide",IF(AND(F25&lt;&gt;"",OR(NOT(ISNUMBER(F25)),N(F25)&lt;0)),"Prix de vente invalide",IF(OR(AND(G25&lt;&gt;"",OR(NOT(ISNUMBER(G25)),N(G25)&lt;0)),AND(H25&lt;&gt;"",OR(NOT(ISNUMBER(H25)),N(H25)&lt;0)),AND(I25&lt;&gt;"",OR(NOT(ISNUMBER(I25)),N(I25)&lt;0))),"Montant invalide",IF(OR(AND(J25&lt;&gt;"",OR(NOT(ISNUMBER(J25)),N(J25)&lt;0)),AND(K25&lt;&gt;"",OR(NOT(ISNUMBER(K25)),N(K25)&lt;0))),"Pourcentage invalide",IF(COUNTIF(bom_prod,A25)+COUNTIF(gam_prod,A25)=0,"Ni nomenclature ni gamme",IF(COUNTIFS(bom_prod,A25,bom_check,"&lt;&gt;OK")&gt;0,"Nomenclature à corriger",IF(COUNTIFS(gam_prod,A25,gam_check,"&lt;&gt;OK")&gt;0,"Gamme à corriger","OK")))))))))))</f>
        <v/>
      </c>
      <c r="Y25" s="70">
        <f>IF(J25="",N(p_fg),N(J25))</f>
        <v>0.15</v>
      </c>
      <c r="Z25" s="70">
        <f>IF(K25="",N(p_target),N(K25))</f>
        <v>0.25</v>
      </c>
      <c r="AA25" s="71" t="str">
        <f>IF(R25="","",IF(N(F25)&gt;0,ROUND(F25*N(E25),2),0))</f>
        <v/>
      </c>
      <c r="AB25" s="71">
        <f>IF(T25="",0,T25*N(E25))</f>
        <v>0.0</v>
      </c>
      <c r="AC25" s="71">
        <f>IF(T25="",0,R25*N(E25))</f>
        <v>0.0</v>
      </c>
      <c r="AD25" s="71">
        <f>IF(R25="",0,L25*N(E25))</f>
        <v>0.0</v>
      </c>
      <c r="AE25" s="71">
        <f>IF(R25="",0,M25*N(E25))</f>
        <v>0.0</v>
      </c>
      <c r="AF25" s="71">
        <f>IF(R25="",0,N25*N(E25))</f>
        <v>0.0</v>
      </c>
      <c r="AG25" s="71">
        <f>IF(R25="",0,O25*N(E25))</f>
        <v>0.0</v>
      </c>
      <c r="AH25" s="71">
        <f>IF(R25="",0,(N(G25)+N(H25)+N(I25)/D25)*N(E25))</f>
        <v>0.0</v>
      </c>
      <c r="AI25" s="71">
        <f>IF(R25="",0,P25*N(E25))</f>
        <v>0.0</v>
      </c>
      <c r="AJ25" s="71" t="str">
        <f>IF(AA25="","",COUNTIF(prod_ca,"&gt;"&amp;AA25)+COUNTIF(AA$6:AA25,AA25))</f>
        <v/>
      </c>
      <c r="AK25" s="71" t="str">
        <f>IF(OR(W25="Vendu à perte",W25="Sous la cible"),ROUND(U25,6),"")</f>
        <v/>
      </c>
      <c r="AL25" s="71" t="str">
        <f>IF(AK25="","",COUNTIF(prod_alk,"&lt;"&amp;AK25)+COUNTIF(AK$6:AK25,AK25))</f>
        <v/>
      </c>
    </row>
    <row r="26">
      <c r="A26" s="60" t="n"/>
      <c r="B26" s="60" t="n"/>
      <c r="C26" s="61" t="n"/>
      <c r="D26" s="62" t="n"/>
      <c r="E26" s="63" t="n"/>
      <c r="F26" s="64" t="n"/>
      <c r="G26" s="64" t="n"/>
      <c r="H26" s="64" t="n"/>
      <c r="I26" s="64" t="n"/>
      <c r="J26" s="65" t="n"/>
      <c r="K26" s="65" t="n"/>
      <c r="L26" s="66" t="str">
        <f>IF(X26="OK",SUMIF(bom_prod,A26,bom_cost),"")</f>
        <v/>
      </c>
      <c r="M26" s="66" t="str">
        <f>IF(X26="OK",SUMIF(gam_prod,A26,gam_mo),"")</f>
        <v/>
      </c>
      <c r="N26" s="66" t="str">
        <f>IF(X26="OK",SUMIF(gam_prod,A26,gam_mac),"")</f>
        <v/>
      </c>
      <c r="O26" s="66" t="str">
        <f>IF(X26="OK",SUMIF(gam_prod,A26,gam_setup)/D26,"")</f>
        <v/>
      </c>
      <c r="P26" s="66" t="str">
        <f>IF(X26="OK",(L26+M26+N26+O26+N(G26))*Y26,"")</f>
        <v/>
      </c>
      <c r="Q26" s="66" t="str">
        <f>IF(X26="OK",L26+M26+N26+O26+N(G26)+P26,"")</f>
        <v/>
      </c>
      <c r="R26" s="67" t="str">
        <f>IF(X26="OK",ROUND(Q26+N(H26)+N(I26)/D26,4),"")</f>
        <v/>
      </c>
      <c r="S26" s="66" t="str">
        <f>IF(X26="OK",ROUND(R26*(1+Z26),2),"")</f>
        <v/>
      </c>
      <c r="T26" s="66" t="str">
        <f>IF(AND(X26="OK",N(F26)&gt;0),F26-R26,"")</f>
        <v/>
      </c>
      <c r="U26" s="68" t="str">
        <f>IF(T26="","",IF(R26&lt;=0,"",T26/R26))</f>
        <v/>
      </c>
      <c r="V26" s="68" t="str">
        <f>IF(T26="","",T26/F26)</f>
        <v/>
      </c>
      <c r="W26" s="69" t="str">
        <f>IF(A26="","",IF(X26&lt;&gt;"OK","À corriger",IF(N(F26)&lt;=0,"Prix à saisir",IF(F26&lt;R26,"Vendu à perte",IF(F26&lt;S26,"Sous la cible","OK")))))</f>
        <v/>
      </c>
      <c r="X26" s="69" t="str">
        <f>IF(AND(A26="",COUNTA(B26:K26)=0),"",IF(A26="","Référence manquante",IF(COUNTIF($A$6:$A$305,A26)&gt;1,"Référence en double",IF(OR(NOT(ISNUMBER(D26)),N(D26)&lt;=0),"Taille de lot invalide",IF(AND(E26&lt;&gt;"",OR(NOT(ISNUMBER(E26)),N(E26)&lt;0)),"Volume annuel invalide",IF(AND(F26&lt;&gt;"",OR(NOT(ISNUMBER(F26)),N(F26)&lt;0)),"Prix de vente invalide",IF(OR(AND(G26&lt;&gt;"",OR(NOT(ISNUMBER(G26)),N(G26)&lt;0)),AND(H26&lt;&gt;"",OR(NOT(ISNUMBER(H26)),N(H26)&lt;0)),AND(I26&lt;&gt;"",OR(NOT(ISNUMBER(I26)),N(I26)&lt;0))),"Montant invalide",IF(OR(AND(J26&lt;&gt;"",OR(NOT(ISNUMBER(J26)),N(J26)&lt;0)),AND(K26&lt;&gt;"",OR(NOT(ISNUMBER(K26)),N(K26)&lt;0))),"Pourcentage invalide",IF(COUNTIF(bom_prod,A26)+COUNTIF(gam_prod,A26)=0,"Ni nomenclature ni gamme",IF(COUNTIFS(bom_prod,A26,bom_check,"&lt;&gt;OK")&gt;0,"Nomenclature à corriger",IF(COUNTIFS(gam_prod,A26,gam_check,"&lt;&gt;OK")&gt;0,"Gamme à corriger","OK")))))))))))</f>
        <v/>
      </c>
      <c r="Y26" s="70">
        <f>IF(J26="",N(p_fg),N(J26))</f>
        <v>0.15</v>
      </c>
      <c r="Z26" s="70">
        <f>IF(K26="",N(p_target),N(K26))</f>
        <v>0.25</v>
      </c>
      <c r="AA26" s="71" t="str">
        <f>IF(R26="","",IF(N(F26)&gt;0,ROUND(F26*N(E26),2),0))</f>
        <v/>
      </c>
      <c r="AB26" s="71">
        <f>IF(T26="",0,T26*N(E26))</f>
        <v>0.0</v>
      </c>
      <c r="AC26" s="71">
        <f>IF(T26="",0,R26*N(E26))</f>
        <v>0.0</v>
      </c>
      <c r="AD26" s="71">
        <f>IF(R26="",0,L26*N(E26))</f>
        <v>0.0</v>
      </c>
      <c r="AE26" s="71">
        <f>IF(R26="",0,M26*N(E26))</f>
        <v>0.0</v>
      </c>
      <c r="AF26" s="71">
        <f>IF(R26="",0,N26*N(E26))</f>
        <v>0.0</v>
      </c>
      <c r="AG26" s="71">
        <f>IF(R26="",0,O26*N(E26))</f>
        <v>0.0</v>
      </c>
      <c r="AH26" s="71">
        <f>IF(R26="",0,(N(G26)+N(H26)+N(I26)/D26)*N(E26))</f>
        <v>0.0</v>
      </c>
      <c r="AI26" s="71">
        <f>IF(R26="",0,P26*N(E26))</f>
        <v>0.0</v>
      </c>
      <c r="AJ26" s="71" t="str">
        <f>IF(AA26="","",COUNTIF(prod_ca,"&gt;"&amp;AA26)+COUNTIF(AA$6:AA26,AA26))</f>
        <v/>
      </c>
      <c r="AK26" s="71" t="str">
        <f>IF(OR(W26="Vendu à perte",W26="Sous la cible"),ROUND(U26,6),"")</f>
        <v/>
      </c>
      <c r="AL26" s="71" t="str">
        <f>IF(AK26="","",COUNTIF(prod_alk,"&lt;"&amp;AK26)+COUNTIF(AK$6:AK26,AK26))</f>
        <v/>
      </c>
    </row>
    <row r="27">
      <c r="A27" s="60" t="n"/>
      <c r="B27" s="60" t="n"/>
      <c r="C27" s="61" t="n"/>
      <c r="D27" s="62" t="n"/>
      <c r="E27" s="63" t="n"/>
      <c r="F27" s="64" t="n"/>
      <c r="G27" s="64" t="n"/>
      <c r="H27" s="64" t="n"/>
      <c r="I27" s="64" t="n"/>
      <c r="J27" s="65" t="n"/>
      <c r="K27" s="65" t="n"/>
      <c r="L27" s="66" t="str">
        <f>IF(X27="OK",SUMIF(bom_prod,A27,bom_cost),"")</f>
        <v/>
      </c>
      <c r="M27" s="66" t="str">
        <f>IF(X27="OK",SUMIF(gam_prod,A27,gam_mo),"")</f>
        <v/>
      </c>
      <c r="N27" s="66" t="str">
        <f>IF(X27="OK",SUMIF(gam_prod,A27,gam_mac),"")</f>
        <v/>
      </c>
      <c r="O27" s="66" t="str">
        <f>IF(X27="OK",SUMIF(gam_prod,A27,gam_setup)/D27,"")</f>
        <v/>
      </c>
      <c r="P27" s="66" t="str">
        <f>IF(X27="OK",(L27+M27+N27+O27+N(G27))*Y27,"")</f>
        <v/>
      </c>
      <c r="Q27" s="66" t="str">
        <f>IF(X27="OK",L27+M27+N27+O27+N(G27)+P27,"")</f>
        <v/>
      </c>
      <c r="R27" s="67" t="str">
        <f>IF(X27="OK",ROUND(Q27+N(H27)+N(I27)/D27,4),"")</f>
        <v/>
      </c>
      <c r="S27" s="66" t="str">
        <f>IF(X27="OK",ROUND(R27*(1+Z27),2),"")</f>
        <v/>
      </c>
      <c r="T27" s="66" t="str">
        <f>IF(AND(X27="OK",N(F27)&gt;0),F27-R27,"")</f>
        <v/>
      </c>
      <c r="U27" s="68" t="str">
        <f>IF(T27="","",IF(R27&lt;=0,"",T27/R27))</f>
        <v/>
      </c>
      <c r="V27" s="68" t="str">
        <f>IF(T27="","",T27/F27)</f>
        <v/>
      </c>
      <c r="W27" s="69" t="str">
        <f>IF(A27="","",IF(X27&lt;&gt;"OK","À corriger",IF(N(F27)&lt;=0,"Prix à saisir",IF(F27&lt;R27,"Vendu à perte",IF(F27&lt;S27,"Sous la cible","OK")))))</f>
        <v/>
      </c>
      <c r="X27" s="69" t="str">
        <f>IF(AND(A27="",COUNTA(B27:K27)=0),"",IF(A27="","Référence manquante",IF(COUNTIF($A$6:$A$305,A27)&gt;1,"Référence en double",IF(OR(NOT(ISNUMBER(D27)),N(D27)&lt;=0),"Taille de lot invalide",IF(AND(E27&lt;&gt;"",OR(NOT(ISNUMBER(E27)),N(E27)&lt;0)),"Volume annuel invalide",IF(AND(F27&lt;&gt;"",OR(NOT(ISNUMBER(F27)),N(F27)&lt;0)),"Prix de vente invalide",IF(OR(AND(G27&lt;&gt;"",OR(NOT(ISNUMBER(G27)),N(G27)&lt;0)),AND(H27&lt;&gt;"",OR(NOT(ISNUMBER(H27)),N(H27)&lt;0)),AND(I27&lt;&gt;"",OR(NOT(ISNUMBER(I27)),N(I27)&lt;0))),"Montant invalide",IF(OR(AND(J27&lt;&gt;"",OR(NOT(ISNUMBER(J27)),N(J27)&lt;0)),AND(K27&lt;&gt;"",OR(NOT(ISNUMBER(K27)),N(K27)&lt;0))),"Pourcentage invalide",IF(COUNTIF(bom_prod,A27)+COUNTIF(gam_prod,A27)=0,"Ni nomenclature ni gamme",IF(COUNTIFS(bom_prod,A27,bom_check,"&lt;&gt;OK")&gt;0,"Nomenclature à corriger",IF(COUNTIFS(gam_prod,A27,gam_check,"&lt;&gt;OK")&gt;0,"Gamme à corriger","OK")))))))))))</f>
        <v/>
      </c>
      <c r="Y27" s="70">
        <f>IF(J27="",N(p_fg),N(J27))</f>
        <v>0.15</v>
      </c>
      <c r="Z27" s="70">
        <f>IF(K27="",N(p_target),N(K27))</f>
        <v>0.25</v>
      </c>
      <c r="AA27" s="71" t="str">
        <f>IF(R27="","",IF(N(F27)&gt;0,ROUND(F27*N(E27),2),0))</f>
        <v/>
      </c>
      <c r="AB27" s="71">
        <f>IF(T27="",0,T27*N(E27))</f>
        <v>0.0</v>
      </c>
      <c r="AC27" s="71">
        <f>IF(T27="",0,R27*N(E27))</f>
        <v>0.0</v>
      </c>
      <c r="AD27" s="71">
        <f>IF(R27="",0,L27*N(E27))</f>
        <v>0.0</v>
      </c>
      <c r="AE27" s="71">
        <f>IF(R27="",0,M27*N(E27))</f>
        <v>0.0</v>
      </c>
      <c r="AF27" s="71">
        <f>IF(R27="",0,N27*N(E27))</f>
        <v>0.0</v>
      </c>
      <c r="AG27" s="71">
        <f>IF(R27="",0,O27*N(E27))</f>
        <v>0.0</v>
      </c>
      <c r="AH27" s="71">
        <f>IF(R27="",0,(N(G27)+N(H27)+N(I27)/D27)*N(E27))</f>
        <v>0.0</v>
      </c>
      <c r="AI27" s="71">
        <f>IF(R27="",0,P27*N(E27))</f>
        <v>0.0</v>
      </c>
      <c r="AJ27" s="71" t="str">
        <f>IF(AA27="","",COUNTIF(prod_ca,"&gt;"&amp;AA27)+COUNTIF(AA$6:AA27,AA27))</f>
        <v/>
      </c>
      <c r="AK27" s="71" t="str">
        <f>IF(OR(W27="Vendu à perte",W27="Sous la cible"),ROUND(U27,6),"")</f>
        <v/>
      </c>
      <c r="AL27" s="71" t="str">
        <f>IF(AK27="","",COUNTIF(prod_alk,"&lt;"&amp;AK27)+COUNTIF(AK$6:AK27,AK27))</f>
        <v/>
      </c>
    </row>
    <row r="28">
      <c r="A28" s="60" t="n"/>
      <c r="B28" s="60" t="n"/>
      <c r="C28" s="61" t="n"/>
      <c r="D28" s="62" t="n"/>
      <c r="E28" s="63" t="n"/>
      <c r="F28" s="64" t="n"/>
      <c r="G28" s="64" t="n"/>
      <c r="H28" s="64" t="n"/>
      <c r="I28" s="64" t="n"/>
      <c r="J28" s="65" t="n"/>
      <c r="K28" s="65" t="n"/>
      <c r="L28" s="66" t="str">
        <f>IF(X28="OK",SUMIF(bom_prod,A28,bom_cost),"")</f>
        <v/>
      </c>
      <c r="M28" s="66" t="str">
        <f>IF(X28="OK",SUMIF(gam_prod,A28,gam_mo),"")</f>
        <v/>
      </c>
      <c r="N28" s="66" t="str">
        <f>IF(X28="OK",SUMIF(gam_prod,A28,gam_mac),"")</f>
        <v/>
      </c>
      <c r="O28" s="66" t="str">
        <f>IF(X28="OK",SUMIF(gam_prod,A28,gam_setup)/D28,"")</f>
        <v/>
      </c>
      <c r="P28" s="66" t="str">
        <f>IF(X28="OK",(L28+M28+N28+O28+N(G28))*Y28,"")</f>
        <v/>
      </c>
      <c r="Q28" s="66" t="str">
        <f>IF(X28="OK",L28+M28+N28+O28+N(G28)+P28,"")</f>
        <v/>
      </c>
      <c r="R28" s="67" t="str">
        <f>IF(X28="OK",ROUND(Q28+N(H28)+N(I28)/D28,4),"")</f>
        <v/>
      </c>
      <c r="S28" s="66" t="str">
        <f>IF(X28="OK",ROUND(R28*(1+Z28),2),"")</f>
        <v/>
      </c>
      <c r="T28" s="66" t="str">
        <f>IF(AND(X28="OK",N(F28)&gt;0),F28-R28,"")</f>
        <v/>
      </c>
      <c r="U28" s="68" t="str">
        <f>IF(T28="","",IF(R28&lt;=0,"",T28/R28))</f>
        <v/>
      </c>
      <c r="V28" s="68" t="str">
        <f>IF(T28="","",T28/F28)</f>
        <v/>
      </c>
      <c r="W28" s="69" t="str">
        <f>IF(A28="","",IF(X28&lt;&gt;"OK","À corriger",IF(N(F28)&lt;=0,"Prix à saisir",IF(F28&lt;R28,"Vendu à perte",IF(F28&lt;S28,"Sous la cible","OK")))))</f>
        <v/>
      </c>
      <c r="X28" s="69" t="str">
        <f>IF(AND(A28="",COUNTA(B28:K28)=0),"",IF(A28="","Référence manquante",IF(COUNTIF($A$6:$A$305,A28)&gt;1,"Référence en double",IF(OR(NOT(ISNUMBER(D28)),N(D28)&lt;=0),"Taille de lot invalide",IF(AND(E28&lt;&gt;"",OR(NOT(ISNUMBER(E28)),N(E28)&lt;0)),"Volume annuel invalide",IF(AND(F28&lt;&gt;"",OR(NOT(ISNUMBER(F28)),N(F28)&lt;0)),"Prix de vente invalide",IF(OR(AND(G28&lt;&gt;"",OR(NOT(ISNUMBER(G28)),N(G28)&lt;0)),AND(H28&lt;&gt;"",OR(NOT(ISNUMBER(H28)),N(H28)&lt;0)),AND(I28&lt;&gt;"",OR(NOT(ISNUMBER(I28)),N(I28)&lt;0))),"Montant invalide",IF(OR(AND(J28&lt;&gt;"",OR(NOT(ISNUMBER(J28)),N(J28)&lt;0)),AND(K28&lt;&gt;"",OR(NOT(ISNUMBER(K28)),N(K28)&lt;0))),"Pourcentage invalide",IF(COUNTIF(bom_prod,A28)+COUNTIF(gam_prod,A28)=0,"Ni nomenclature ni gamme",IF(COUNTIFS(bom_prod,A28,bom_check,"&lt;&gt;OK")&gt;0,"Nomenclature à corriger",IF(COUNTIFS(gam_prod,A28,gam_check,"&lt;&gt;OK")&gt;0,"Gamme à corriger","OK")))))))))))</f>
        <v/>
      </c>
      <c r="Y28" s="70">
        <f>IF(J28="",N(p_fg),N(J28))</f>
        <v>0.15</v>
      </c>
      <c r="Z28" s="70">
        <f>IF(K28="",N(p_target),N(K28))</f>
        <v>0.25</v>
      </c>
      <c r="AA28" s="71" t="str">
        <f>IF(R28="","",IF(N(F28)&gt;0,ROUND(F28*N(E28),2),0))</f>
        <v/>
      </c>
      <c r="AB28" s="71">
        <f>IF(T28="",0,T28*N(E28))</f>
        <v>0.0</v>
      </c>
      <c r="AC28" s="71">
        <f>IF(T28="",0,R28*N(E28))</f>
        <v>0.0</v>
      </c>
      <c r="AD28" s="71">
        <f>IF(R28="",0,L28*N(E28))</f>
        <v>0.0</v>
      </c>
      <c r="AE28" s="71">
        <f>IF(R28="",0,M28*N(E28))</f>
        <v>0.0</v>
      </c>
      <c r="AF28" s="71">
        <f>IF(R28="",0,N28*N(E28))</f>
        <v>0.0</v>
      </c>
      <c r="AG28" s="71">
        <f>IF(R28="",0,O28*N(E28))</f>
        <v>0.0</v>
      </c>
      <c r="AH28" s="71">
        <f>IF(R28="",0,(N(G28)+N(H28)+N(I28)/D28)*N(E28))</f>
        <v>0.0</v>
      </c>
      <c r="AI28" s="71">
        <f>IF(R28="",0,P28*N(E28))</f>
        <v>0.0</v>
      </c>
      <c r="AJ28" s="71" t="str">
        <f>IF(AA28="","",COUNTIF(prod_ca,"&gt;"&amp;AA28)+COUNTIF(AA$6:AA28,AA28))</f>
        <v/>
      </c>
      <c r="AK28" s="71" t="str">
        <f>IF(OR(W28="Vendu à perte",W28="Sous la cible"),ROUND(U28,6),"")</f>
        <v/>
      </c>
      <c r="AL28" s="71" t="str">
        <f>IF(AK28="","",COUNTIF(prod_alk,"&lt;"&amp;AK28)+COUNTIF(AK$6:AK28,AK28))</f>
        <v/>
      </c>
    </row>
    <row r="29">
      <c r="A29" s="60" t="n"/>
      <c r="B29" s="60" t="n"/>
      <c r="C29" s="61" t="n"/>
      <c r="D29" s="62" t="n"/>
      <c r="E29" s="63" t="n"/>
      <c r="F29" s="64" t="n"/>
      <c r="G29" s="64" t="n"/>
      <c r="H29" s="64" t="n"/>
      <c r="I29" s="64" t="n"/>
      <c r="J29" s="65" t="n"/>
      <c r="K29" s="65" t="n"/>
      <c r="L29" s="66" t="str">
        <f>IF(X29="OK",SUMIF(bom_prod,A29,bom_cost),"")</f>
        <v/>
      </c>
      <c r="M29" s="66" t="str">
        <f>IF(X29="OK",SUMIF(gam_prod,A29,gam_mo),"")</f>
        <v/>
      </c>
      <c r="N29" s="66" t="str">
        <f>IF(X29="OK",SUMIF(gam_prod,A29,gam_mac),"")</f>
        <v/>
      </c>
      <c r="O29" s="66" t="str">
        <f>IF(X29="OK",SUMIF(gam_prod,A29,gam_setup)/D29,"")</f>
        <v/>
      </c>
      <c r="P29" s="66" t="str">
        <f>IF(X29="OK",(L29+M29+N29+O29+N(G29))*Y29,"")</f>
        <v/>
      </c>
      <c r="Q29" s="66" t="str">
        <f>IF(X29="OK",L29+M29+N29+O29+N(G29)+P29,"")</f>
        <v/>
      </c>
      <c r="R29" s="67" t="str">
        <f>IF(X29="OK",ROUND(Q29+N(H29)+N(I29)/D29,4),"")</f>
        <v/>
      </c>
      <c r="S29" s="66" t="str">
        <f>IF(X29="OK",ROUND(R29*(1+Z29),2),"")</f>
        <v/>
      </c>
      <c r="T29" s="66" t="str">
        <f>IF(AND(X29="OK",N(F29)&gt;0),F29-R29,"")</f>
        <v/>
      </c>
      <c r="U29" s="68" t="str">
        <f>IF(T29="","",IF(R29&lt;=0,"",T29/R29))</f>
        <v/>
      </c>
      <c r="V29" s="68" t="str">
        <f>IF(T29="","",T29/F29)</f>
        <v/>
      </c>
      <c r="W29" s="69" t="str">
        <f>IF(A29="","",IF(X29&lt;&gt;"OK","À corriger",IF(N(F29)&lt;=0,"Prix à saisir",IF(F29&lt;R29,"Vendu à perte",IF(F29&lt;S29,"Sous la cible","OK")))))</f>
        <v/>
      </c>
      <c r="X29" s="69" t="str">
        <f>IF(AND(A29="",COUNTA(B29:K29)=0),"",IF(A29="","Référence manquante",IF(COUNTIF($A$6:$A$305,A29)&gt;1,"Référence en double",IF(OR(NOT(ISNUMBER(D29)),N(D29)&lt;=0),"Taille de lot invalide",IF(AND(E29&lt;&gt;"",OR(NOT(ISNUMBER(E29)),N(E29)&lt;0)),"Volume annuel invalide",IF(AND(F29&lt;&gt;"",OR(NOT(ISNUMBER(F29)),N(F29)&lt;0)),"Prix de vente invalide",IF(OR(AND(G29&lt;&gt;"",OR(NOT(ISNUMBER(G29)),N(G29)&lt;0)),AND(H29&lt;&gt;"",OR(NOT(ISNUMBER(H29)),N(H29)&lt;0)),AND(I29&lt;&gt;"",OR(NOT(ISNUMBER(I29)),N(I29)&lt;0))),"Montant invalide",IF(OR(AND(J29&lt;&gt;"",OR(NOT(ISNUMBER(J29)),N(J29)&lt;0)),AND(K29&lt;&gt;"",OR(NOT(ISNUMBER(K29)),N(K29)&lt;0))),"Pourcentage invalide",IF(COUNTIF(bom_prod,A29)+COUNTIF(gam_prod,A29)=0,"Ni nomenclature ni gamme",IF(COUNTIFS(bom_prod,A29,bom_check,"&lt;&gt;OK")&gt;0,"Nomenclature à corriger",IF(COUNTIFS(gam_prod,A29,gam_check,"&lt;&gt;OK")&gt;0,"Gamme à corriger","OK")))))))))))</f>
        <v/>
      </c>
      <c r="Y29" s="70">
        <f>IF(J29="",N(p_fg),N(J29))</f>
        <v>0.15</v>
      </c>
      <c r="Z29" s="70">
        <f>IF(K29="",N(p_target),N(K29))</f>
        <v>0.25</v>
      </c>
      <c r="AA29" s="71" t="str">
        <f>IF(R29="","",IF(N(F29)&gt;0,ROUND(F29*N(E29),2),0))</f>
        <v/>
      </c>
      <c r="AB29" s="71">
        <f>IF(T29="",0,T29*N(E29))</f>
        <v>0.0</v>
      </c>
      <c r="AC29" s="71">
        <f>IF(T29="",0,R29*N(E29))</f>
        <v>0.0</v>
      </c>
      <c r="AD29" s="71">
        <f>IF(R29="",0,L29*N(E29))</f>
        <v>0.0</v>
      </c>
      <c r="AE29" s="71">
        <f>IF(R29="",0,M29*N(E29))</f>
        <v>0.0</v>
      </c>
      <c r="AF29" s="71">
        <f>IF(R29="",0,N29*N(E29))</f>
        <v>0.0</v>
      </c>
      <c r="AG29" s="71">
        <f>IF(R29="",0,O29*N(E29))</f>
        <v>0.0</v>
      </c>
      <c r="AH29" s="71">
        <f>IF(R29="",0,(N(G29)+N(H29)+N(I29)/D29)*N(E29))</f>
        <v>0.0</v>
      </c>
      <c r="AI29" s="71">
        <f>IF(R29="",0,P29*N(E29))</f>
        <v>0.0</v>
      </c>
      <c r="AJ29" s="71" t="str">
        <f>IF(AA29="","",COUNTIF(prod_ca,"&gt;"&amp;AA29)+COUNTIF(AA$6:AA29,AA29))</f>
        <v/>
      </c>
      <c r="AK29" s="71" t="str">
        <f>IF(OR(W29="Vendu à perte",W29="Sous la cible"),ROUND(U29,6),"")</f>
        <v/>
      </c>
      <c r="AL29" s="71" t="str">
        <f>IF(AK29="","",COUNTIF(prod_alk,"&lt;"&amp;AK29)+COUNTIF(AK$6:AK29,AK29))</f>
        <v/>
      </c>
    </row>
    <row r="30">
      <c r="A30" s="60" t="n"/>
      <c r="B30" s="60" t="n"/>
      <c r="C30" s="61" t="n"/>
      <c r="D30" s="62" t="n"/>
      <c r="E30" s="63" t="n"/>
      <c r="F30" s="64" t="n"/>
      <c r="G30" s="64" t="n"/>
      <c r="H30" s="64" t="n"/>
      <c r="I30" s="64" t="n"/>
      <c r="J30" s="65" t="n"/>
      <c r="K30" s="65" t="n"/>
      <c r="L30" s="66" t="str">
        <f>IF(X30="OK",SUMIF(bom_prod,A30,bom_cost),"")</f>
        <v/>
      </c>
      <c r="M30" s="66" t="str">
        <f>IF(X30="OK",SUMIF(gam_prod,A30,gam_mo),"")</f>
        <v/>
      </c>
      <c r="N30" s="66" t="str">
        <f>IF(X30="OK",SUMIF(gam_prod,A30,gam_mac),"")</f>
        <v/>
      </c>
      <c r="O30" s="66" t="str">
        <f>IF(X30="OK",SUMIF(gam_prod,A30,gam_setup)/D30,"")</f>
        <v/>
      </c>
      <c r="P30" s="66" t="str">
        <f>IF(X30="OK",(L30+M30+N30+O30+N(G30))*Y30,"")</f>
        <v/>
      </c>
      <c r="Q30" s="66" t="str">
        <f>IF(X30="OK",L30+M30+N30+O30+N(G30)+P30,"")</f>
        <v/>
      </c>
      <c r="R30" s="67" t="str">
        <f>IF(X30="OK",ROUND(Q30+N(H30)+N(I30)/D30,4),"")</f>
        <v/>
      </c>
      <c r="S30" s="66" t="str">
        <f>IF(X30="OK",ROUND(R30*(1+Z30),2),"")</f>
        <v/>
      </c>
      <c r="T30" s="66" t="str">
        <f>IF(AND(X30="OK",N(F30)&gt;0),F30-R30,"")</f>
        <v/>
      </c>
      <c r="U30" s="68" t="str">
        <f>IF(T30="","",IF(R30&lt;=0,"",T30/R30))</f>
        <v/>
      </c>
      <c r="V30" s="68" t="str">
        <f>IF(T30="","",T30/F30)</f>
        <v/>
      </c>
      <c r="W30" s="69" t="str">
        <f>IF(A30="","",IF(X30&lt;&gt;"OK","À corriger",IF(N(F30)&lt;=0,"Prix à saisir",IF(F30&lt;R30,"Vendu à perte",IF(F30&lt;S30,"Sous la cible","OK")))))</f>
        <v/>
      </c>
      <c r="X30" s="69" t="str">
        <f>IF(AND(A30="",COUNTA(B30:K30)=0),"",IF(A30="","Référence manquante",IF(COUNTIF($A$6:$A$305,A30)&gt;1,"Référence en double",IF(OR(NOT(ISNUMBER(D30)),N(D30)&lt;=0),"Taille de lot invalide",IF(AND(E30&lt;&gt;"",OR(NOT(ISNUMBER(E30)),N(E30)&lt;0)),"Volume annuel invalide",IF(AND(F30&lt;&gt;"",OR(NOT(ISNUMBER(F30)),N(F30)&lt;0)),"Prix de vente invalide",IF(OR(AND(G30&lt;&gt;"",OR(NOT(ISNUMBER(G30)),N(G30)&lt;0)),AND(H30&lt;&gt;"",OR(NOT(ISNUMBER(H30)),N(H30)&lt;0)),AND(I30&lt;&gt;"",OR(NOT(ISNUMBER(I30)),N(I30)&lt;0))),"Montant invalide",IF(OR(AND(J30&lt;&gt;"",OR(NOT(ISNUMBER(J30)),N(J30)&lt;0)),AND(K30&lt;&gt;"",OR(NOT(ISNUMBER(K30)),N(K30)&lt;0))),"Pourcentage invalide",IF(COUNTIF(bom_prod,A30)+COUNTIF(gam_prod,A30)=0,"Ni nomenclature ni gamme",IF(COUNTIFS(bom_prod,A30,bom_check,"&lt;&gt;OK")&gt;0,"Nomenclature à corriger",IF(COUNTIFS(gam_prod,A30,gam_check,"&lt;&gt;OK")&gt;0,"Gamme à corriger","OK")))))))))))</f>
        <v/>
      </c>
      <c r="Y30" s="70">
        <f>IF(J30="",N(p_fg),N(J30))</f>
        <v>0.15</v>
      </c>
      <c r="Z30" s="70">
        <f>IF(K30="",N(p_target),N(K30))</f>
        <v>0.25</v>
      </c>
      <c r="AA30" s="71" t="str">
        <f>IF(R30="","",IF(N(F30)&gt;0,ROUND(F30*N(E30),2),0))</f>
        <v/>
      </c>
      <c r="AB30" s="71">
        <f>IF(T30="",0,T30*N(E30))</f>
        <v>0.0</v>
      </c>
      <c r="AC30" s="71">
        <f>IF(T30="",0,R30*N(E30))</f>
        <v>0.0</v>
      </c>
      <c r="AD30" s="71">
        <f>IF(R30="",0,L30*N(E30))</f>
        <v>0.0</v>
      </c>
      <c r="AE30" s="71">
        <f>IF(R30="",0,M30*N(E30))</f>
        <v>0.0</v>
      </c>
      <c r="AF30" s="71">
        <f>IF(R30="",0,N30*N(E30))</f>
        <v>0.0</v>
      </c>
      <c r="AG30" s="71">
        <f>IF(R30="",0,O30*N(E30))</f>
        <v>0.0</v>
      </c>
      <c r="AH30" s="71">
        <f>IF(R30="",0,(N(G30)+N(H30)+N(I30)/D30)*N(E30))</f>
        <v>0.0</v>
      </c>
      <c r="AI30" s="71">
        <f>IF(R30="",0,P30*N(E30))</f>
        <v>0.0</v>
      </c>
      <c r="AJ30" s="71" t="str">
        <f>IF(AA30="","",COUNTIF(prod_ca,"&gt;"&amp;AA30)+COUNTIF(AA$6:AA30,AA30))</f>
        <v/>
      </c>
      <c r="AK30" s="71" t="str">
        <f>IF(OR(W30="Vendu à perte",W30="Sous la cible"),ROUND(U30,6),"")</f>
        <v/>
      </c>
      <c r="AL30" s="71" t="str">
        <f>IF(AK30="","",COUNTIF(prod_alk,"&lt;"&amp;AK30)+COUNTIF(AK$6:AK30,AK30))</f>
        <v/>
      </c>
    </row>
    <row r="31">
      <c r="A31" s="60" t="n"/>
      <c r="B31" s="60" t="n"/>
      <c r="C31" s="61" t="n"/>
      <c r="D31" s="62" t="n"/>
      <c r="E31" s="63" t="n"/>
      <c r="F31" s="64" t="n"/>
      <c r="G31" s="64" t="n"/>
      <c r="H31" s="64" t="n"/>
      <c r="I31" s="64" t="n"/>
      <c r="J31" s="65" t="n"/>
      <c r="K31" s="65" t="n"/>
      <c r="L31" s="66" t="str">
        <f>IF(X31="OK",SUMIF(bom_prod,A31,bom_cost),"")</f>
        <v/>
      </c>
      <c r="M31" s="66" t="str">
        <f>IF(X31="OK",SUMIF(gam_prod,A31,gam_mo),"")</f>
        <v/>
      </c>
      <c r="N31" s="66" t="str">
        <f>IF(X31="OK",SUMIF(gam_prod,A31,gam_mac),"")</f>
        <v/>
      </c>
      <c r="O31" s="66" t="str">
        <f>IF(X31="OK",SUMIF(gam_prod,A31,gam_setup)/D31,"")</f>
        <v/>
      </c>
      <c r="P31" s="66" t="str">
        <f>IF(X31="OK",(L31+M31+N31+O31+N(G31))*Y31,"")</f>
        <v/>
      </c>
      <c r="Q31" s="66" t="str">
        <f>IF(X31="OK",L31+M31+N31+O31+N(G31)+P31,"")</f>
        <v/>
      </c>
      <c r="R31" s="67" t="str">
        <f>IF(X31="OK",ROUND(Q31+N(H31)+N(I31)/D31,4),"")</f>
        <v/>
      </c>
      <c r="S31" s="66" t="str">
        <f>IF(X31="OK",ROUND(R31*(1+Z31),2),"")</f>
        <v/>
      </c>
      <c r="T31" s="66" t="str">
        <f>IF(AND(X31="OK",N(F31)&gt;0),F31-R31,"")</f>
        <v/>
      </c>
      <c r="U31" s="68" t="str">
        <f>IF(T31="","",IF(R31&lt;=0,"",T31/R31))</f>
        <v/>
      </c>
      <c r="V31" s="68" t="str">
        <f>IF(T31="","",T31/F31)</f>
        <v/>
      </c>
      <c r="W31" s="69" t="str">
        <f>IF(A31="","",IF(X31&lt;&gt;"OK","À corriger",IF(N(F31)&lt;=0,"Prix à saisir",IF(F31&lt;R31,"Vendu à perte",IF(F31&lt;S31,"Sous la cible","OK")))))</f>
        <v/>
      </c>
      <c r="X31" s="69" t="str">
        <f>IF(AND(A31="",COUNTA(B31:K31)=0),"",IF(A31="","Référence manquante",IF(COUNTIF($A$6:$A$305,A31)&gt;1,"Référence en double",IF(OR(NOT(ISNUMBER(D31)),N(D31)&lt;=0),"Taille de lot invalide",IF(AND(E31&lt;&gt;"",OR(NOT(ISNUMBER(E31)),N(E31)&lt;0)),"Volume annuel invalide",IF(AND(F31&lt;&gt;"",OR(NOT(ISNUMBER(F31)),N(F31)&lt;0)),"Prix de vente invalide",IF(OR(AND(G31&lt;&gt;"",OR(NOT(ISNUMBER(G31)),N(G31)&lt;0)),AND(H31&lt;&gt;"",OR(NOT(ISNUMBER(H31)),N(H31)&lt;0)),AND(I31&lt;&gt;"",OR(NOT(ISNUMBER(I31)),N(I31)&lt;0))),"Montant invalide",IF(OR(AND(J31&lt;&gt;"",OR(NOT(ISNUMBER(J31)),N(J31)&lt;0)),AND(K31&lt;&gt;"",OR(NOT(ISNUMBER(K31)),N(K31)&lt;0))),"Pourcentage invalide",IF(COUNTIF(bom_prod,A31)+COUNTIF(gam_prod,A31)=0,"Ni nomenclature ni gamme",IF(COUNTIFS(bom_prod,A31,bom_check,"&lt;&gt;OK")&gt;0,"Nomenclature à corriger",IF(COUNTIFS(gam_prod,A31,gam_check,"&lt;&gt;OK")&gt;0,"Gamme à corriger","OK")))))))))))</f>
        <v/>
      </c>
      <c r="Y31" s="70">
        <f>IF(J31="",N(p_fg),N(J31))</f>
        <v>0.15</v>
      </c>
      <c r="Z31" s="70">
        <f>IF(K31="",N(p_target),N(K31))</f>
        <v>0.25</v>
      </c>
      <c r="AA31" s="71" t="str">
        <f>IF(R31="","",IF(N(F31)&gt;0,ROUND(F31*N(E31),2),0))</f>
        <v/>
      </c>
      <c r="AB31" s="71">
        <f>IF(T31="",0,T31*N(E31))</f>
        <v>0.0</v>
      </c>
      <c r="AC31" s="71">
        <f>IF(T31="",0,R31*N(E31))</f>
        <v>0.0</v>
      </c>
      <c r="AD31" s="71">
        <f>IF(R31="",0,L31*N(E31))</f>
        <v>0.0</v>
      </c>
      <c r="AE31" s="71">
        <f>IF(R31="",0,M31*N(E31))</f>
        <v>0.0</v>
      </c>
      <c r="AF31" s="71">
        <f>IF(R31="",0,N31*N(E31))</f>
        <v>0.0</v>
      </c>
      <c r="AG31" s="71">
        <f>IF(R31="",0,O31*N(E31))</f>
        <v>0.0</v>
      </c>
      <c r="AH31" s="71">
        <f>IF(R31="",0,(N(G31)+N(H31)+N(I31)/D31)*N(E31))</f>
        <v>0.0</v>
      </c>
      <c r="AI31" s="71">
        <f>IF(R31="",0,P31*N(E31))</f>
        <v>0.0</v>
      </c>
      <c r="AJ31" s="71" t="str">
        <f>IF(AA31="","",COUNTIF(prod_ca,"&gt;"&amp;AA31)+COUNTIF(AA$6:AA31,AA31))</f>
        <v/>
      </c>
      <c r="AK31" s="71" t="str">
        <f>IF(OR(W31="Vendu à perte",W31="Sous la cible"),ROUND(U31,6),"")</f>
        <v/>
      </c>
      <c r="AL31" s="71" t="str">
        <f>IF(AK31="","",COUNTIF(prod_alk,"&lt;"&amp;AK31)+COUNTIF(AK$6:AK31,AK31))</f>
        <v/>
      </c>
    </row>
    <row r="32">
      <c r="A32" s="60" t="n"/>
      <c r="B32" s="60" t="n"/>
      <c r="C32" s="61" t="n"/>
      <c r="D32" s="62" t="n"/>
      <c r="E32" s="63" t="n"/>
      <c r="F32" s="64" t="n"/>
      <c r="G32" s="64" t="n"/>
      <c r="H32" s="64" t="n"/>
      <c r="I32" s="64" t="n"/>
      <c r="J32" s="65" t="n"/>
      <c r="K32" s="65" t="n"/>
      <c r="L32" s="66" t="str">
        <f>IF(X32="OK",SUMIF(bom_prod,A32,bom_cost),"")</f>
        <v/>
      </c>
      <c r="M32" s="66" t="str">
        <f>IF(X32="OK",SUMIF(gam_prod,A32,gam_mo),"")</f>
        <v/>
      </c>
      <c r="N32" s="66" t="str">
        <f>IF(X32="OK",SUMIF(gam_prod,A32,gam_mac),"")</f>
        <v/>
      </c>
      <c r="O32" s="66" t="str">
        <f>IF(X32="OK",SUMIF(gam_prod,A32,gam_setup)/D32,"")</f>
        <v/>
      </c>
      <c r="P32" s="66" t="str">
        <f>IF(X32="OK",(L32+M32+N32+O32+N(G32))*Y32,"")</f>
        <v/>
      </c>
      <c r="Q32" s="66" t="str">
        <f>IF(X32="OK",L32+M32+N32+O32+N(G32)+P32,"")</f>
        <v/>
      </c>
      <c r="R32" s="67" t="str">
        <f>IF(X32="OK",ROUND(Q32+N(H32)+N(I32)/D32,4),"")</f>
        <v/>
      </c>
      <c r="S32" s="66" t="str">
        <f>IF(X32="OK",ROUND(R32*(1+Z32),2),"")</f>
        <v/>
      </c>
      <c r="T32" s="66" t="str">
        <f>IF(AND(X32="OK",N(F32)&gt;0),F32-R32,"")</f>
        <v/>
      </c>
      <c r="U32" s="68" t="str">
        <f>IF(T32="","",IF(R32&lt;=0,"",T32/R32))</f>
        <v/>
      </c>
      <c r="V32" s="68" t="str">
        <f>IF(T32="","",T32/F32)</f>
        <v/>
      </c>
      <c r="W32" s="69" t="str">
        <f>IF(A32="","",IF(X32&lt;&gt;"OK","À corriger",IF(N(F32)&lt;=0,"Prix à saisir",IF(F32&lt;R32,"Vendu à perte",IF(F32&lt;S32,"Sous la cible","OK")))))</f>
        <v/>
      </c>
      <c r="X32" s="69" t="str">
        <f>IF(AND(A32="",COUNTA(B32:K32)=0),"",IF(A32="","Référence manquante",IF(COUNTIF($A$6:$A$305,A32)&gt;1,"Référence en double",IF(OR(NOT(ISNUMBER(D32)),N(D32)&lt;=0),"Taille de lot invalide",IF(AND(E32&lt;&gt;"",OR(NOT(ISNUMBER(E32)),N(E32)&lt;0)),"Volume annuel invalide",IF(AND(F32&lt;&gt;"",OR(NOT(ISNUMBER(F32)),N(F32)&lt;0)),"Prix de vente invalide",IF(OR(AND(G32&lt;&gt;"",OR(NOT(ISNUMBER(G32)),N(G32)&lt;0)),AND(H32&lt;&gt;"",OR(NOT(ISNUMBER(H32)),N(H32)&lt;0)),AND(I32&lt;&gt;"",OR(NOT(ISNUMBER(I32)),N(I32)&lt;0))),"Montant invalide",IF(OR(AND(J32&lt;&gt;"",OR(NOT(ISNUMBER(J32)),N(J32)&lt;0)),AND(K32&lt;&gt;"",OR(NOT(ISNUMBER(K32)),N(K32)&lt;0))),"Pourcentage invalide",IF(COUNTIF(bom_prod,A32)+COUNTIF(gam_prod,A32)=0,"Ni nomenclature ni gamme",IF(COUNTIFS(bom_prod,A32,bom_check,"&lt;&gt;OK")&gt;0,"Nomenclature à corriger",IF(COUNTIFS(gam_prod,A32,gam_check,"&lt;&gt;OK")&gt;0,"Gamme à corriger","OK")))))))))))</f>
        <v/>
      </c>
      <c r="Y32" s="70">
        <f>IF(J32="",N(p_fg),N(J32))</f>
        <v>0.15</v>
      </c>
      <c r="Z32" s="70">
        <f>IF(K32="",N(p_target),N(K32))</f>
        <v>0.25</v>
      </c>
      <c r="AA32" s="71" t="str">
        <f>IF(R32="","",IF(N(F32)&gt;0,ROUND(F32*N(E32),2),0))</f>
        <v/>
      </c>
      <c r="AB32" s="71">
        <f>IF(T32="",0,T32*N(E32))</f>
        <v>0.0</v>
      </c>
      <c r="AC32" s="71">
        <f>IF(T32="",0,R32*N(E32))</f>
        <v>0.0</v>
      </c>
      <c r="AD32" s="71">
        <f>IF(R32="",0,L32*N(E32))</f>
        <v>0.0</v>
      </c>
      <c r="AE32" s="71">
        <f>IF(R32="",0,M32*N(E32))</f>
        <v>0.0</v>
      </c>
      <c r="AF32" s="71">
        <f>IF(R32="",0,N32*N(E32))</f>
        <v>0.0</v>
      </c>
      <c r="AG32" s="71">
        <f>IF(R32="",0,O32*N(E32))</f>
        <v>0.0</v>
      </c>
      <c r="AH32" s="71">
        <f>IF(R32="",0,(N(G32)+N(H32)+N(I32)/D32)*N(E32))</f>
        <v>0.0</v>
      </c>
      <c r="AI32" s="71">
        <f>IF(R32="",0,P32*N(E32))</f>
        <v>0.0</v>
      </c>
      <c r="AJ32" s="71" t="str">
        <f>IF(AA32="","",COUNTIF(prod_ca,"&gt;"&amp;AA32)+COUNTIF(AA$6:AA32,AA32))</f>
        <v/>
      </c>
      <c r="AK32" s="71" t="str">
        <f>IF(OR(W32="Vendu à perte",W32="Sous la cible"),ROUND(U32,6),"")</f>
        <v/>
      </c>
      <c r="AL32" s="71" t="str">
        <f>IF(AK32="","",COUNTIF(prod_alk,"&lt;"&amp;AK32)+COUNTIF(AK$6:AK32,AK32))</f>
        <v/>
      </c>
    </row>
    <row r="33">
      <c r="A33" s="60" t="n"/>
      <c r="B33" s="60" t="n"/>
      <c r="C33" s="61" t="n"/>
      <c r="D33" s="62" t="n"/>
      <c r="E33" s="63" t="n"/>
      <c r="F33" s="64" t="n"/>
      <c r="G33" s="64" t="n"/>
      <c r="H33" s="64" t="n"/>
      <c r="I33" s="64" t="n"/>
      <c r="J33" s="65" t="n"/>
      <c r="K33" s="65" t="n"/>
      <c r="L33" s="66" t="str">
        <f>IF(X33="OK",SUMIF(bom_prod,A33,bom_cost),"")</f>
        <v/>
      </c>
      <c r="M33" s="66" t="str">
        <f>IF(X33="OK",SUMIF(gam_prod,A33,gam_mo),"")</f>
        <v/>
      </c>
      <c r="N33" s="66" t="str">
        <f>IF(X33="OK",SUMIF(gam_prod,A33,gam_mac),"")</f>
        <v/>
      </c>
      <c r="O33" s="66" t="str">
        <f>IF(X33="OK",SUMIF(gam_prod,A33,gam_setup)/D33,"")</f>
        <v/>
      </c>
      <c r="P33" s="66" t="str">
        <f>IF(X33="OK",(L33+M33+N33+O33+N(G33))*Y33,"")</f>
        <v/>
      </c>
      <c r="Q33" s="66" t="str">
        <f>IF(X33="OK",L33+M33+N33+O33+N(G33)+P33,"")</f>
        <v/>
      </c>
      <c r="R33" s="67" t="str">
        <f>IF(X33="OK",ROUND(Q33+N(H33)+N(I33)/D33,4),"")</f>
        <v/>
      </c>
      <c r="S33" s="66" t="str">
        <f>IF(X33="OK",ROUND(R33*(1+Z33),2),"")</f>
        <v/>
      </c>
      <c r="T33" s="66" t="str">
        <f>IF(AND(X33="OK",N(F33)&gt;0),F33-R33,"")</f>
        <v/>
      </c>
      <c r="U33" s="68" t="str">
        <f>IF(T33="","",IF(R33&lt;=0,"",T33/R33))</f>
        <v/>
      </c>
      <c r="V33" s="68" t="str">
        <f>IF(T33="","",T33/F33)</f>
        <v/>
      </c>
      <c r="W33" s="69" t="str">
        <f>IF(A33="","",IF(X33&lt;&gt;"OK","À corriger",IF(N(F33)&lt;=0,"Prix à saisir",IF(F33&lt;R33,"Vendu à perte",IF(F33&lt;S33,"Sous la cible","OK")))))</f>
        <v/>
      </c>
      <c r="X33" s="69" t="str">
        <f>IF(AND(A33="",COUNTA(B33:K33)=0),"",IF(A33="","Référence manquante",IF(COUNTIF($A$6:$A$305,A33)&gt;1,"Référence en double",IF(OR(NOT(ISNUMBER(D33)),N(D33)&lt;=0),"Taille de lot invalide",IF(AND(E33&lt;&gt;"",OR(NOT(ISNUMBER(E33)),N(E33)&lt;0)),"Volume annuel invalide",IF(AND(F33&lt;&gt;"",OR(NOT(ISNUMBER(F33)),N(F33)&lt;0)),"Prix de vente invalide",IF(OR(AND(G33&lt;&gt;"",OR(NOT(ISNUMBER(G33)),N(G33)&lt;0)),AND(H33&lt;&gt;"",OR(NOT(ISNUMBER(H33)),N(H33)&lt;0)),AND(I33&lt;&gt;"",OR(NOT(ISNUMBER(I33)),N(I33)&lt;0))),"Montant invalide",IF(OR(AND(J33&lt;&gt;"",OR(NOT(ISNUMBER(J33)),N(J33)&lt;0)),AND(K33&lt;&gt;"",OR(NOT(ISNUMBER(K33)),N(K33)&lt;0))),"Pourcentage invalide",IF(COUNTIF(bom_prod,A33)+COUNTIF(gam_prod,A33)=0,"Ni nomenclature ni gamme",IF(COUNTIFS(bom_prod,A33,bom_check,"&lt;&gt;OK")&gt;0,"Nomenclature à corriger",IF(COUNTIFS(gam_prod,A33,gam_check,"&lt;&gt;OK")&gt;0,"Gamme à corriger","OK")))))))))))</f>
        <v/>
      </c>
      <c r="Y33" s="70">
        <f>IF(J33="",N(p_fg),N(J33))</f>
        <v>0.15</v>
      </c>
      <c r="Z33" s="70">
        <f>IF(K33="",N(p_target),N(K33))</f>
        <v>0.25</v>
      </c>
      <c r="AA33" s="71" t="str">
        <f>IF(R33="","",IF(N(F33)&gt;0,ROUND(F33*N(E33),2),0))</f>
        <v/>
      </c>
      <c r="AB33" s="71">
        <f>IF(T33="",0,T33*N(E33))</f>
        <v>0.0</v>
      </c>
      <c r="AC33" s="71">
        <f>IF(T33="",0,R33*N(E33))</f>
        <v>0.0</v>
      </c>
      <c r="AD33" s="71">
        <f>IF(R33="",0,L33*N(E33))</f>
        <v>0.0</v>
      </c>
      <c r="AE33" s="71">
        <f>IF(R33="",0,M33*N(E33))</f>
        <v>0.0</v>
      </c>
      <c r="AF33" s="71">
        <f>IF(R33="",0,N33*N(E33))</f>
        <v>0.0</v>
      </c>
      <c r="AG33" s="71">
        <f>IF(R33="",0,O33*N(E33))</f>
        <v>0.0</v>
      </c>
      <c r="AH33" s="71">
        <f>IF(R33="",0,(N(G33)+N(H33)+N(I33)/D33)*N(E33))</f>
        <v>0.0</v>
      </c>
      <c r="AI33" s="71">
        <f>IF(R33="",0,P33*N(E33))</f>
        <v>0.0</v>
      </c>
      <c r="AJ33" s="71" t="str">
        <f>IF(AA33="","",COUNTIF(prod_ca,"&gt;"&amp;AA33)+COUNTIF(AA$6:AA33,AA33))</f>
        <v/>
      </c>
      <c r="AK33" s="71" t="str">
        <f>IF(OR(W33="Vendu à perte",W33="Sous la cible"),ROUND(U33,6),"")</f>
        <v/>
      </c>
      <c r="AL33" s="71" t="str">
        <f>IF(AK33="","",COUNTIF(prod_alk,"&lt;"&amp;AK33)+COUNTIF(AK$6:AK33,AK33))</f>
        <v/>
      </c>
    </row>
    <row r="34">
      <c r="A34" s="60" t="n"/>
      <c r="B34" s="60" t="n"/>
      <c r="C34" s="61" t="n"/>
      <c r="D34" s="62" t="n"/>
      <c r="E34" s="63" t="n"/>
      <c r="F34" s="64" t="n"/>
      <c r="G34" s="64" t="n"/>
      <c r="H34" s="64" t="n"/>
      <c r="I34" s="64" t="n"/>
      <c r="J34" s="65" t="n"/>
      <c r="K34" s="65" t="n"/>
      <c r="L34" s="66" t="str">
        <f>IF(X34="OK",SUMIF(bom_prod,A34,bom_cost),"")</f>
        <v/>
      </c>
      <c r="M34" s="66" t="str">
        <f>IF(X34="OK",SUMIF(gam_prod,A34,gam_mo),"")</f>
        <v/>
      </c>
      <c r="N34" s="66" t="str">
        <f>IF(X34="OK",SUMIF(gam_prod,A34,gam_mac),"")</f>
        <v/>
      </c>
      <c r="O34" s="66" t="str">
        <f>IF(X34="OK",SUMIF(gam_prod,A34,gam_setup)/D34,"")</f>
        <v/>
      </c>
      <c r="P34" s="66" t="str">
        <f>IF(X34="OK",(L34+M34+N34+O34+N(G34))*Y34,"")</f>
        <v/>
      </c>
      <c r="Q34" s="66" t="str">
        <f>IF(X34="OK",L34+M34+N34+O34+N(G34)+P34,"")</f>
        <v/>
      </c>
      <c r="R34" s="67" t="str">
        <f>IF(X34="OK",ROUND(Q34+N(H34)+N(I34)/D34,4),"")</f>
        <v/>
      </c>
      <c r="S34" s="66" t="str">
        <f>IF(X34="OK",ROUND(R34*(1+Z34),2),"")</f>
        <v/>
      </c>
      <c r="T34" s="66" t="str">
        <f>IF(AND(X34="OK",N(F34)&gt;0),F34-R34,"")</f>
        <v/>
      </c>
      <c r="U34" s="68" t="str">
        <f>IF(T34="","",IF(R34&lt;=0,"",T34/R34))</f>
        <v/>
      </c>
      <c r="V34" s="68" t="str">
        <f>IF(T34="","",T34/F34)</f>
        <v/>
      </c>
      <c r="W34" s="69" t="str">
        <f>IF(A34="","",IF(X34&lt;&gt;"OK","À corriger",IF(N(F34)&lt;=0,"Prix à saisir",IF(F34&lt;R34,"Vendu à perte",IF(F34&lt;S34,"Sous la cible","OK")))))</f>
        <v/>
      </c>
      <c r="X34" s="69" t="str">
        <f>IF(AND(A34="",COUNTA(B34:K34)=0),"",IF(A34="","Référence manquante",IF(COUNTIF($A$6:$A$305,A34)&gt;1,"Référence en double",IF(OR(NOT(ISNUMBER(D34)),N(D34)&lt;=0),"Taille de lot invalide",IF(AND(E34&lt;&gt;"",OR(NOT(ISNUMBER(E34)),N(E34)&lt;0)),"Volume annuel invalide",IF(AND(F34&lt;&gt;"",OR(NOT(ISNUMBER(F34)),N(F34)&lt;0)),"Prix de vente invalide",IF(OR(AND(G34&lt;&gt;"",OR(NOT(ISNUMBER(G34)),N(G34)&lt;0)),AND(H34&lt;&gt;"",OR(NOT(ISNUMBER(H34)),N(H34)&lt;0)),AND(I34&lt;&gt;"",OR(NOT(ISNUMBER(I34)),N(I34)&lt;0))),"Montant invalide",IF(OR(AND(J34&lt;&gt;"",OR(NOT(ISNUMBER(J34)),N(J34)&lt;0)),AND(K34&lt;&gt;"",OR(NOT(ISNUMBER(K34)),N(K34)&lt;0))),"Pourcentage invalide",IF(COUNTIF(bom_prod,A34)+COUNTIF(gam_prod,A34)=0,"Ni nomenclature ni gamme",IF(COUNTIFS(bom_prod,A34,bom_check,"&lt;&gt;OK")&gt;0,"Nomenclature à corriger",IF(COUNTIFS(gam_prod,A34,gam_check,"&lt;&gt;OK")&gt;0,"Gamme à corriger","OK")))))))))))</f>
        <v/>
      </c>
      <c r="Y34" s="70">
        <f>IF(J34="",N(p_fg),N(J34))</f>
        <v>0.15</v>
      </c>
      <c r="Z34" s="70">
        <f>IF(K34="",N(p_target),N(K34))</f>
        <v>0.25</v>
      </c>
      <c r="AA34" s="71" t="str">
        <f>IF(R34="","",IF(N(F34)&gt;0,ROUND(F34*N(E34),2),0))</f>
        <v/>
      </c>
      <c r="AB34" s="71">
        <f>IF(T34="",0,T34*N(E34))</f>
        <v>0.0</v>
      </c>
      <c r="AC34" s="71">
        <f>IF(T34="",0,R34*N(E34))</f>
        <v>0.0</v>
      </c>
      <c r="AD34" s="71">
        <f>IF(R34="",0,L34*N(E34))</f>
        <v>0.0</v>
      </c>
      <c r="AE34" s="71">
        <f>IF(R34="",0,M34*N(E34))</f>
        <v>0.0</v>
      </c>
      <c r="AF34" s="71">
        <f>IF(R34="",0,N34*N(E34))</f>
        <v>0.0</v>
      </c>
      <c r="AG34" s="71">
        <f>IF(R34="",0,O34*N(E34))</f>
        <v>0.0</v>
      </c>
      <c r="AH34" s="71">
        <f>IF(R34="",0,(N(G34)+N(H34)+N(I34)/D34)*N(E34))</f>
        <v>0.0</v>
      </c>
      <c r="AI34" s="71">
        <f>IF(R34="",0,P34*N(E34))</f>
        <v>0.0</v>
      </c>
      <c r="AJ34" s="71" t="str">
        <f>IF(AA34="","",COUNTIF(prod_ca,"&gt;"&amp;AA34)+COUNTIF(AA$6:AA34,AA34))</f>
        <v/>
      </c>
      <c r="AK34" s="71" t="str">
        <f>IF(OR(W34="Vendu à perte",W34="Sous la cible"),ROUND(U34,6),"")</f>
        <v/>
      </c>
      <c r="AL34" s="71" t="str">
        <f>IF(AK34="","",COUNTIF(prod_alk,"&lt;"&amp;AK34)+COUNTIF(AK$6:AK34,AK34))</f>
        <v/>
      </c>
    </row>
    <row r="35">
      <c r="A35" s="60" t="n"/>
      <c r="B35" s="60" t="n"/>
      <c r="C35" s="61" t="n"/>
      <c r="D35" s="62" t="n"/>
      <c r="E35" s="63" t="n"/>
      <c r="F35" s="64" t="n"/>
      <c r="G35" s="64" t="n"/>
      <c r="H35" s="64" t="n"/>
      <c r="I35" s="64" t="n"/>
      <c r="J35" s="65" t="n"/>
      <c r="K35" s="65" t="n"/>
      <c r="L35" s="66" t="str">
        <f>IF(X35="OK",SUMIF(bom_prod,A35,bom_cost),"")</f>
        <v/>
      </c>
      <c r="M35" s="66" t="str">
        <f>IF(X35="OK",SUMIF(gam_prod,A35,gam_mo),"")</f>
        <v/>
      </c>
      <c r="N35" s="66" t="str">
        <f>IF(X35="OK",SUMIF(gam_prod,A35,gam_mac),"")</f>
        <v/>
      </c>
      <c r="O35" s="66" t="str">
        <f>IF(X35="OK",SUMIF(gam_prod,A35,gam_setup)/D35,"")</f>
        <v/>
      </c>
      <c r="P35" s="66" t="str">
        <f>IF(X35="OK",(L35+M35+N35+O35+N(G35))*Y35,"")</f>
        <v/>
      </c>
      <c r="Q35" s="66" t="str">
        <f>IF(X35="OK",L35+M35+N35+O35+N(G35)+P35,"")</f>
        <v/>
      </c>
      <c r="R35" s="67" t="str">
        <f>IF(X35="OK",ROUND(Q35+N(H35)+N(I35)/D35,4),"")</f>
        <v/>
      </c>
      <c r="S35" s="66" t="str">
        <f>IF(X35="OK",ROUND(R35*(1+Z35),2),"")</f>
        <v/>
      </c>
      <c r="T35" s="66" t="str">
        <f>IF(AND(X35="OK",N(F35)&gt;0),F35-R35,"")</f>
        <v/>
      </c>
      <c r="U35" s="68" t="str">
        <f>IF(T35="","",IF(R35&lt;=0,"",T35/R35))</f>
        <v/>
      </c>
      <c r="V35" s="68" t="str">
        <f>IF(T35="","",T35/F35)</f>
        <v/>
      </c>
      <c r="W35" s="69" t="str">
        <f>IF(A35="","",IF(X35&lt;&gt;"OK","À corriger",IF(N(F35)&lt;=0,"Prix à saisir",IF(F35&lt;R35,"Vendu à perte",IF(F35&lt;S35,"Sous la cible","OK")))))</f>
        <v/>
      </c>
      <c r="X35" s="69" t="str">
        <f>IF(AND(A35="",COUNTA(B35:K35)=0),"",IF(A35="","Référence manquante",IF(COUNTIF($A$6:$A$305,A35)&gt;1,"Référence en double",IF(OR(NOT(ISNUMBER(D35)),N(D35)&lt;=0),"Taille de lot invalide",IF(AND(E35&lt;&gt;"",OR(NOT(ISNUMBER(E35)),N(E35)&lt;0)),"Volume annuel invalide",IF(AND(F35&lt;&gt;"",OR(NOT(ISNUMBER(F35)),N(F35)&lt;0)),"Prix de vente invalide",IF(OR(AND(G35&lt;&gt;"",OR(NOT(ISNUMBER(G35)),N(G35)&lt;0)),AND(H35&lt;&gt;"",OR(NOT(ISNUMBER(H35)),N(H35)&lt;0)),AND(I35&lt;&gt;"",OR(NOT(ISNUMBER(I35)),N(I35)&lt;0))),"Montant invalide",IF(OR(AND(J35&lt;&gt;"",OR(NOT(ISNUMBER(J35)),N(J35)&lt;0)),AND(K35&lt;&gt;"",OR(NOT(ISNUMBER(K35)),N(K35)&lt;0))),"Pourcentage invalide",IF(COUNTIF(bom_prod,A35)+COUNTIF(gam_prod,A35)=0,"Ni nomenclature ni gamme",IF(COUNTIFS(bom_prod,A35,bom_check,"&lt;&gt;OK")&gt;0,"Nomenclature à corriger",IF(COUNTIFS(gam_prod,A35,gam_check,"&lt;&gt;OK")&gt;0,"Gamme à corriger","OK")))))))))))</f>
        <v/>
      </c>
      <c r="Y35" s="70">
        <f>IF(J35="",N(p_fg),N(J35))</f>
        <v>0.15</v>
      </c>
      <c r="Z35" s="70">
        <f>IF(K35="",N(p_target),N(K35))</f>
        <v>0.25</v>
      </c>
      <c r="AA35" s="71" t="str">
        <f>IF(R35="","",IF(N(F35)&gt;0,ROUND(F35*N(E35),2),0))</f>
        <v/>
      </c>
      <c r="AB35" s="71">
        <f>IF(T35="",0,T35*N(E35))</f>
        <v>0.0</v>
      </c>
      <c r="AC35" s="71">
        <f>IF(T35="",0,R35*N(E35))</f>
        <v>0.0</v>
      </c>
      <c r="AD35" s="71">
        <f>IF(R35="",0,L35*N(E35))</f>
        <v>0.0</v>
      </c>
      <c r="AE35" s="71">
        <f>IF(R35="",0,M35*N(E35))</f>
        <v>0.0</v>
      </c>
      <c r="AF35" s="71">
        <f>IF(R35="",0,N35*N(E35))</f>
        <v>0.0</v>
      </c>
      <c r="AG35" s="71">
        <f>IF(R35="",0,O35*N(E35))</f>
        <v>0.0</v>
      </c>
      <c r="AH35" s="71">
        <f>IF(R35="",0,(N(G35)+N(H35)+N(I35)/D35)*N(E35))</f>
        <v>0.0</v>
      </c>
      <c r="AI35" s="71">
        <f>IF(R35="",0,P35*N(E35))</f>
        <v>0.0</v>
      </c>
      <c r="AJ35" s="71" t="str">
        <f>IF(AA35="","",COUNTIF(prod_ca,"&gt;"&amp;AA35)+COUNTIF(AA$6:AA35,AA35))</f>
        <v/>
      </c>
      <c r="AK35" s="71" t="str">
        <f>IF(OR(W35="Vendu à perte",W35="Sous la cible"),ROUND(U35,6),"")</f>
        <v/>
      </c>
      <c r="AL35" s="71" t="str">
        <f>IF(AK35="","",COUNTIF(prod_alk,"&lt;"&amp;AK35)+COUNTIF(AK$6:AK35,AK35))</f>
        <v/>
      </c>
    </row>
    <row r="36">
      <c r="A36" s="60" t="n"/>
      <c r="B36" s="60" t="n"/>
      <c r="C36" s="61" t="n"/>
      <c r="D36" s="62" t="n"/>
      <c r="E36" s="63" t="n"/>
      <c r="F36" s="64" t="n"/>
      <c r="G36" s="64" t="n"/>
      <c r="H36" s="64" t="n"/>
      <c r="I36" s="64" t="n"/>
      <c r="J36" s="65" t="n"/>
      <c r="K36" s="65" t="n"/>
      <c r="L36" s="66" t="str">
        <f>IF(X36="OK",SUMIF(bom_prod,A36,bom_cost),"")</f>
        <v/>
      </c>
      <c r="M36" s="66" t="str">
        <f>IF(X36="OK",SUMIF(gam_prod,A36,gam_mo),"")</f>
        <v/>
      </c>
      <c r="N36" s="66" t="str">
        <f>IF(X36="OK",SUMIF(gam_prod,A36,gam_mac),"")</f>
        <v/>
      </c>
      <c r="O36" s="66" t="str">
        <f>IF(X36="OK",SUMIF(gam_prod,A36,gam_setup)/D36,"")</f>
        <v/>
      </c>
      <c r="P36" s="66" t="str">
        <f>IF(X36="OK",(L36+M36+N36+O36+N(G36))*Y36,"")</f>
        <v/>
      </c>
      <c r="Q36" s="66" t="str">
        <f>IF(X36="OK",L36+M36+N36+O36+N(G36)+P36,"")</f>
        <v/>
      </c>
      <c r="R36" s="67" t="str">
        <f>IF(X36="OK",ROUND(Q36+N(H36)+N(I36)/D36,4),"")</f>
        <v/>
      </c>
      <c r="S36" s="66" t="str">
        <f>IF(X36="OK",ROUND(R36*(1+Z36),2),"")</f>
        <v/>
      </c>
      <c r="T36" s="66" t="str">
        <f>IF(AND(X36="OK",N(F36)&gt;0),F36-R36,"")</f>
        <v/>
      </c>
      <c r="U36" s="68" t="str">
        <f>IF(T36="","",IF(R36&lt;=0,"",T36/R36))</f>
        <v/>
      </c>
      <c r="V36" s="68" t="str">
        <f>IF(T36="","",T36/F36)</f>
        <v/>
      </c>
      <c r="W36" s="69" t="str">
        <f>IF(A36="","",IF(X36&lt;&gt;"OK","À corriger",IF(N(F36)&lt;=0,"Prix à saisir",IF(F36&lt;R36,"Vendu à perte",IF(F36&lt;S36,"Sous la cible","OK")))))</f>
        <v/>
      </c>
      <c r="X36" s="69" t="str">
        <f>IF(AND(A36="",COUNTA(B36:K36)=0),"",IF(A36="","Référence manquante",IF(COUNTIF($A$6:$A$305,A36)&gt;1,"Référence en double",IF(OR(NOT(ISNUMBER(D36)),N(D36)&lt;=0),"Taille de lot invalide",IF(AND(E36&lt;&gt;"",OR(NOT(ISNUMBER(E36)),N(E36)&lt;0)),"Volume annuel invalide",IF(AND(F36&lt;&gt;"",OR(NOT(ISNUMBER(F36)),N(F36)&lt;0)),"Prix de vente invalide",IF(OR(AND(G36&lt;&gt;"",OR(NOT(ISNUMBER(G36)),N(G36)&lt;0)),AND(H36&lt;&gt;"",OR(NOT(ISNUMBER(H36)),N(H36)&lt;0)),AND(I36&lt;&gt;"",OR(NOT(ISNUMBER(I36)),N(I36)&lt;0))),"Montant invalide",IF(OR(AND(J36&lt;&gt;"",OR(NOT(ISNUMBER(J36)),N(J36)&lt;0)),AND(K36&lt;&gt;"",OR(NOT(ISNUMBER(K36)),N(K36)&lt;0))),"Pourcentage invalide",IF(COUNTIF(bom_prod,A36)+COUNTIF(gam_prod,A36)=0,"Ni nomenclature ni gamme",IF(COUNTIFS(bom_prod,A36,bom_check,"&lt;&gt;OK")&gt;0,"Nomenclature à corriger",IF(COUNTIFS(gam_prod,A36,gam_check,"&lt;&gt;OK")&gt;0,"Gamme à corriger","OK")))))))))))</f>
        <v/>
      </c>
      <c r="Y36" s="70">
        <f>IF(J36="",N(p_fg),N(J36))</f>
        <v>0.15</v>
      </c>
      <c r="Z36" s="70">
        <f>IF(K36="",N(p_target),N(K36))</f>
        <v>0.25</v>
      </c>
      <c r="AA36" s="71" t="str">
        <f>IF(R36="","",IF(N(F36)&gt;0,ROUND(F36*N(E36),2),0))</f>
        <v/>
      </c>
      <c r="AB36" s="71">
        <f>IF(T36="",0,T36*N(E36))</f>
        <v>0.0</v>
      </c>
      <c r="AC36" s="71">
        <f>IF(T36="",0,R36*N(E36))</f>
        <v>0.0</v>
      </c>
      <c r="AD36" s="71">
        <f>IF(R36="",0,L36*N(E36))</f>
        <v>0.0</v>
      </c>
      <c r="AE36" s="71">
        <f>IF(R36="",0,M36*N(E36))</f>
        <v>0.0</v>
      </c>
      <c r="AF36" s="71">
        <f>IF(R36="",0,N36*N(E36))</f>
        <v>0.0</v>
      </c>
      <c r="AG36" s="71">
        <f>IF(R36="",0,O36*N(E36))</f>
        <v>0.0</v>
      </c>
      <c r="AH36" s="71">
        <f>IF(R36="",0,(N(G36)+N(H36)+N(I36)/D36)*N(E36))</f>
        <v>0.0</v>
      </c>
      <c r="AI36" s="71">
        <f>IF(R36="",0,P36*N(E36))</f>
        <v>0.0</v>
      </c>
      <c r="AJ36" s="71" t="str">
        <f>IF(AA36="","",COUNTIF(prod_ca,"&gt;"&amp;AA36)+COUNTIF(AA$6:AA36,AA36))</f>
        <v/>
      </c>
      <c r="AK36" s="71" t="str">
        <f>IF(OR(W36="Vendu à perte",W36="Sous la cible"),ROUND(U36,6),"")</f>
        <v/>
      </c>
      <c r="AL36" s="71" t="str">
        <f>IF(AK36="","",COUNTIF(prod_alk,"&lt;"&amp;AK36)+COUNTIF(AK$6:AK36,AK36))</f>
        <v/>
      </c>
    </row>
    <row r="37">
      <c r="A37" s="60" t="n"/>
      <c r="B37" s="60" t="n"/>
      <c r="C37" s="61" t="n"/>
      <c r="D37" s="62" t="n"/>
      <c r="E37" s="63" t="n"/>
      <c r="F37" s="64" t="n"/>
      <c r="G37" s="64" t="n"/>
      <c r="H37" s="64" t="n"/>
      <c r="I37" s="64" t="n"/>
      <c r="J37" s="65" t="n"/>
      <c r="K37" s="65" t="n"/>
      <c r="L37" s="66" t="str">
        <f>IF(X37="OK",SUMIF(bom_prod,A37,bom_cost),"")</f>
        <v/>
      </c>
      <c r="M37" s="66" t="str">
        <f>IF(X37="OK",SUMIF(gam_prod,A37,gam_mo),"")</f>
        <v/>
      </c>
      <c r="N37" s="66" t="str">
        <f>IF(X37="OK",SUMIF(gam_prod,A37,gam_mac),"")</f>
        <v/>
      </c>
      <c r="O37" s="66" t="str">
        <f>IF(X37="OK",SUMIF(gam_prod,A37,gam_setup)/D37,"")</f>
        <v/>
      </c>
      <c r="P37" s="66" t="str">
        <f>IF(X37="OK",(L37+M37+N37+O37+N(G37))*Y37,"")</f>
        <v/>
      </c>
      <c r="Q37" s="66" t="str">
        <f>IF(X37="OK",L37+M37+N37+O37+N(G37)+P37,"")</f>
        <v/>
      </c>
      <c r="R37" s="67" t="str">
        <f>IF(X37="OK",ROUND(Q37+N(H37)+N(I37)/D37,4),"")</f>
        <v/>
      </c>
      <c r="S37" s="66" t="str">
        <f>IF(X37="OK",ROUND(R37*(1+Z37),2),"")</f>
        <v/>
      </c>
      <c r="T37" s="66" t="str">
        <f>IF(AND(X37="OK",N(F37)&gt;0),F37-R37,"")</f>
        <v/>
      </c>
      <c r="U37" s="68" t="str">
        <f>IF(T37="","",IF(R37&lt;=0,"",T37/R37))</f>
        <v/>
      </c>
      <c r="V37" s="68" t="str">
        <f>IF(T37="","",T37/F37)</f>
        <v/>
      </c>
      <c r="W37" s="69" t="str">
        <f>IF(A37="","",IF(X37&lt;&gt;"OK","À corriger",IF(N(F37)&lt;=0,"Prix à saisir",IF(F37&lt;R37,"Vendu à perte",IF(F37&lt;S37,"Sous la cible","OK")))))</f>
        <v/>
      </c>
      <c r="X37" s="69" t="str">
        <f>IF(AND(A37="",COUNTA(B37:K37)=0),"",IF(A37="","Référence manquante",IF(COUNTIF($A$6:$A$305,A37)&gt;1,"Référence en double",IF(OR(NOT(ISNUMBER(D37)),N(D37)&lt;=0),"Taille de lot invalide",IF(AND(E37&lt;&gt;"",OR(NOT(ISNUMBER(E37)),N(E37)&lt;0)),"Volume annuel invalide",IF(AND(F37&lt;&gt;"",OR(NOT(ISNUMBER(F37)),N(F37)&lt;0)),"Prix de vente invalide",IF(OR(AND(G37&lt;&gt;"",OR(NOT(ISNUMBER(G37)),N(G37)&lt;0)),AND(H37&lt;&gt;"",OR(NOT(ISNUMBER(H37)),N(H37)&lt;0)),AND(I37&lt;&gt;"",OR(NOT(ISNUMBER(I37)),N(I37)&lt;0))),"Montant invalide",IF(OR(AND(J37&lt;&gt;"",OR(NOT(ISNUMBER(J37)),N(J37)&lt;0)),AND(K37&lt;&gt;"",OR(NOT(ISNUMBER(K37)),N(K37)&lt;0))),"Pourcentage invalide",IF(COUNTIF(bom_prod,A37)+COUNTIF(gam_prod,A37)=0,"Ni nomenclature ni gamme",IF(COUNTIFS(bom_prod,A37,bom_check,"&lt;&gt;OK")&gt;0,"Nomenclature à corriger",IF(COUNTIFS(gam_prod,A37,gam_check,"&lt;&gt;OK")&gt;0,"Gamme à corriger","OK")))))))))))</f>
        <v/>
      </c>
      <c r="Y37" s="70">
        <f>IF(J37="",N(p_fg),N(J37))</f>
        <v>0.15</v>
      </c>
      <c r="Z37" s="70">
        <f>IF(K37="",N(p_target),N(K37))</f>
        <v>0.25</v>
      </c>
      <c r="AA37" s="71" t="str">
        <f>IF(R37="","",IF(N(F37)&gt;0,ROUND(F37*N(E37),2),0))</f>
        <v/>
      </c>
      <c r="AB37" s="71">
        <f>IF(T37="",0,T37*N(E37))</f>
        <v>0.0</v>
      </c>
      <c r="AC37" s="71">
        <f>IF(T37="",0,R37*N(E37))</f>
        <v>0.0</v>
      </c>
      <c r="AD37" s="71">
        <f>IF(R37="",0,L37*N(E37))</f>
        <v>0.0</v>
      </c>
      <c r="AE37" s="71">
        <f>IF(R37="",0,M37*N(E37))</f>
        <v>0.0</v>
      </c>
      <c r="AF37" s="71">
        <f>IF(R37="",0,N37*N(E37))</f>
        <v>0.0</v>
      </c>
      <c r="AG37" s="71">
        <f>IF(R37="",0,O37*N(E37))</f>
        <v>0.0</v>
      </c>
      <c r="AH37" s="71">
        <f>IF(R37="",0,(N(G37)+N(H37)+N(I37)/D37)*N(E37))</f>
        <v>0.0</v>
      </c>
      <c r="AI37" s="71">
        <f>IF(R37="",0,P37*N(E37))</f>
        <v>0.0</v>
      </c>
      <c r="AJ37" s="71" t="str">
        <f>IF(AA37="","",COUNTIF(prod_ca,"&gt;"&amp;AA37)+COUNTIF(AA$6:AA37,AA37))</f>
        <v/>
      </c>
      <c r="AK37" s="71" t="str">
        <f>IF(OR(W37="Vendu à perte",W37="Sous la cible"),ROUND(U37,6),"")</f>
        <v/>
      </c>
      <c r="AL37" s="71" t="str">
        <f>IF(AK37="","",COUNTIF(prod_alk,"&lt;"&amp;AK37)+COUNTIF(AK$6:AK37,AK37))</f>
        <v/>
      </c>
    </row>
    <row r="38">
      <c r="A38" s="60" t="n"/>
      <c r="B38" s="60" t="n"/>
      <c r="C38" s="61" t="n"/>
      <c r="D38" s="62" t="n"/>
      <c r="E38" s="63" t="n"/>
      <c r="F38" s="64" t="n"/>
      <c r="G38" s="64" t="n"/>
      <c r="H38" s="64" t="n"/>
      <c r="I38" s="64" t="n"/>
      <c r="J38" s="65" t="n"/>
      <c r="K38" s="65" t="n"/>
      <c r="L38" s="66" t="str">
        <f>IF(X38="OK",SUMIF(bom_prod,A38,bom_cost),"")</f>
        <v/>
      </c>
      <c r="M38" s="66" t="str">
        <f>IF(X38="OK",SUMIF(gam_prod,A38,gam_mo),"")</f>
        <v/>
      </c>
      <c r="N38" s="66" t="str">
        <f>IF(X38="OK",SUMIF(gam_prod,A38,gam_mac),"")</f>
        <v/>
      </c>
      <c r="O38" s="66" t="str">
        <f>IF(X38="OK",SUMIF(gam_prod,A38,gam_setup)/D38,"")</f>
        <v/>
      </c>
      <c r="P38" s="66" t="str">
        <f>IF(X38="OK",(L38+M38+N38+O38+N(G38))*Y38,"")</f>
        <v/>
      </c>
      <c r="Q38" s="66" t="str">
        <f>IF(X38="OK",L38+M38+N38+O38+N(G38)+P38,"")</f>
        <v/>
      </c>
      <c r="R38" s="67" t="str">
        <f>IF(X38="OK",ROUND(Q38+N(H38)+N(I38)/D38,4),"")</f>
        <v/>
      </c>
      <c r="S38" s="66" t="str">
        <f>IF(X38="OK",ROUND(R38*(1+Z38),2),"")</f>
        <v/>
      </c>
      <c r="T38" s="66" t="str">
        <f>IF(AND(X38="OK",N(F38)&gt;0),F38-R38,"")</f>
        <v/>
      </c>
      <c r="U38" s="68" t="str">
        <f>IF(T38="","",IF(R38&lt;=0,"",T38/R38))</f>
        <v/>
      </c>
      <c r="V38" s="68" t="str">
        <f>IF(T38="","",T38/F38)</f>
        <v/>
      </c>
      <c r="W38" s="69" t="str">
        <f>IF(A38="","",IF(X38&lt;&gt;"OK","À corriger",IF(N(F38)&lt;=0,"Prix à saisir",IF(F38&lt;R38,"Vendu à perte",IF(F38&lt;S38,"Sous la cible","OK")))))</f>
        <v/>
      </c>
      <c r="X38" s="69" t="str">
        <f>IF(AND(A38="",COUNTA(B38:K38)=0),"",IF(A38="","Référence manquante",IF(COUNTIF($A$6:$A$305,A38)&gt;1,"Référence en double",IF(OR(NOT(ISNUMBER(D38)),N(D38)&lt;=0),"Taille de lot invalide",IF(AND(E38&lt;&gt;"",OR(NOT(ISNUMBER(E38)),N(E38)&lt;0)),"Volume annuel invalide",IF(AND(F38&lt;&gt;"",OR(NOT(ISNUMBER(F38)),N(F38)&lt;0)),"Prix de vente invalide",IF(OR(AND(G38&lt;&gt;"",OR(NOT(ISNUMBER(G38)),N(G38)&lt;0)),AND(H38&lt;&gt;"",OR(NOT(ISNUMBER(H38)),N(H38)&lt;0)),AND(I38&lt;&gt;"",OR(NOT(ISNUMBER(I38)),N(I38)&lt;0))),"Montant invalide",IF(OR(AND(J38&lt;&gt;"",OR(NOT(ISNUMBER(J38)),N(J38)&lt;0)),AND(K38&lt;&gt;"",OR(NOT(ISNUMBER(K38)),N(K38)&lt;0))),"Pourcentage invalide",IF(COUNTIF(bom_prod,A38)+COUNTIF(gam_prod,A38)=0,"Ni nomenclature ni gamme",IF(COUNTIFS(bom_prod,A38,bom_check,"&lt;&gt;OK")&gt;0,"Nomenclature à corriger",IF(COUNTIFS(gam_prod,A38,gam_check,"&lt;&gt;OK")&gt;0,"Gamme à corriger","OK")))))))))))</f>
        <v/>
      </c>
      <c r="Y38" s="70">
        <f>IF(J38="",N(p_fg),N(J38))</f>
        <v>0.15</v>
      </c>
      <c r="Z38" s="70">
        <f>IF(K38="",N(p_target),N(K38))</f>
        <v>0.25</v>
      </c>
      <c r="AA38" s="71" t="str">
        <f>IF(R38="","",IF(N(F38)&gt;0,ROUND(F38*N(E38),2),0))</f>
        <v/>
      </c>
      <c r="AB38" s="71">
        <f>IF(T38="",0,T38*N(E38))</f>
        <v>0.0</v>
      </c>
      <c r="AC38" s="71">
        <f>IF(T38="",0,R38*N(E38))</f>
        <v>0.0</v>
      </c>
      <c r="AD38" s="71">
        <f>IF(R38="",0,L38*N(E38))</f>
        <v>0.0</v>
      </c>
      <c r="AE38" s="71">
        <f>IF(R38="",0,M38*N(E38))</f>
        <v>0.0</v>
      </c>
      <c r="AF38" s="71">
        <f>IF(R38="",0,N38*N(E38))</f>
        <v>0.0</v>
      </c>
      <c r="AG38" s="71">
        <f>IF(R38="",0,O38*N(E38))</f>
        <v>0.0</v>
      </c>
      <c r="AH38" s="71">
        <f>IF(R38="",0,(N(G38)+N(H38)+N(I38)/D38)*N(E38))</f>
        <v>0.0</v>
      </c>
      <c r="AI38" s="71">
        <f>IF(R38="",0,P38*N(E38))</f>
        <v>0.0</v>
      </c>
      <c r="AJ38" s="71" t="str">
        <f>IF(AA38="","",COUNTIF(prod_ca,"&gt;"&amp;AA38)+COUNTIF(AA$6:AA38,AA38))</f>
        <v/>
      </c>
      <c r="AK38" s="71" t="str">
        <f>IF(OR(W38="Vendu à perte",W38="Sous la cible"),ROUND(U38,6),"")</f>
        <v/>
      </c>
      <c r="AL38" s="71" t="str">
        <f>IF(AK38="","",COUNTIF(prod_alk,"&lt;"&amp;AK38)+COUNTIF(AK$6:AK38,AK38))</f>
        <v/>
      </c>
    </row>
    <row r="39">
      <c r="A39" s="60" t="n"/>
      <c r="B39" s="60" t="n"/>
      <c r="C39" s="61" t="n"/>
      <c r="D39" s="62" t="n"/>
      <c r="E39" s="63" t="n"/>
      <c r="F39" s="64" t="n"/>
      <c r="G39" s="64" t="n"/>
      <c r="H39" s="64" t="n"/>
      <c r="I39" s="64" t="n"/>
      <c r="J39" s="65" t="n"/>
      <c r="K39" s="65" t="n"/>
      <c r="L39" s="66" t="str">
        <f>IF(X39="OK",SUMIF(bom_prod,A39,bom_cost),"")</f>
        <v/>
      </c>
      <c r="M39" s="66" t="str">
        <f>IF(X39="OK",SUMIF(gam_prod,A39,gam_mo),"")</f>
        <v/>
      </c>
      <c r="N39" s="66" t="str">
        <f>IF(X39="OK",SUMIF(gam_prod,A39,gam_mac),"")</f>
        <v/>
      </c>
      <c r="O39" s="66" t="str">
        <f>IF(X39="OK",SUMIF(gam_prod,A39,gam_setup)/D39,"")</f>
        <v/>
      </c>
      <c r="P39" s="66" t="str">
        <f>IF(X39="OK",(L39+M39+N39+O39+N(G39))*Y39,"")</f>
        <v/>
      </c>
      <c r="Q39" s="66" t="str">
        <f>IF(X39="OK",L39+M39+N39+O39+N(G39)+P39,"")</f>
        <v/>
      </c>
      <c r="R39" s="67" t="str">
        <f>IF(X39="OK",ROUND(Q39+N(H39)+N(I39)/D39,4),"")</f>
        <v/>
      </c>
      <c r="S39" s="66" t="str">
        <f>IF(X39="OK",ROUND(R39*(1+Z39),2),"")</f>
        <v/>
      </c>
      <c r="T39" s="66" t="str">
        <f>IF(AND(X39="OK",N(F39)&gt;0),F39-R39,"")</f>
        <v/>
      </c>
      <c r="U39" s="68" t="str">
        <f>IF(T39="","",IF(R39&lt;=0,"",T39/R39))</f>
        <v/>
      </c>
      <c r="V39" s="68" t="str">
        <f>IF(T39="","",T39/F39)</f>
        <v/>
      </c>
      <c r="W39" s="69" t="str">
        <f>IF(A39="","",IF(X39&lt;&gt;"OK","À corriger",IF(N(F39)&lt;=0,"Prix à saisir",IF(F39&lt;R39,"Vendu à perte",IF(F39&lt;S39,"Sous la cible","OK")))))</f>
        <v/>
      </c>
      <c r="X39" s="69" t="str">
        <f>IF(AND(A39="",COUNTA(B39:K39)=0),"",IF(A39="","Référence manquante",IF(COUNTIF($A$6:$A$305,A39)&gt;1,"Référence en double",IF(OR(NOT(ISNUMBER(D39)),N(D39)&lt;=0),"Taille de lot invalide",IF(AND(E39&lt;&gt;"",OR(NOT(ISNUMBER(E39)),N(E39)&lt;0)),"Volume annuel invalide",IF(AND(F39&lt;&gt;"",OR(NOT(ISNUMBER(F39)),N(F39)&lt;0)),"Prix de vente invalide",IF(OR(AND(G39&lt;&gt;"",OR(NOT(ISNUMBER(G39)),N(G39)&lt;0)),AND(H39&lt;&gt;"",OR(NOT(ISNUMBER(H39)),N(H39)&lt;0)),AND(I39&lt;&gt;"",OR(NOT(ISNUMBER(I39)),N(I39)&lt;0))),"Montant invalide",IF(OR(AND(J39&lt;&gt;"",OR(NOT(ISNUMBER(J39)),N(J39)&lt;0)),AND(K39&lt;&gt;"",OR(NOT(ISNUMBER(K39)),N(K39)&lt;0))),"Pourcentage invalide",IF(COUNTIF(bom_prod,A39)+COUNTIF(gam_prod,A39)=0,"Ni nomenclature ni gamme",IF(COUNTIFS(bom_prod,A39,bom_check,"&lt;&gt;OK")&gt;0,"Nomenclature à corriger",IF(COUNTIFS(gam_prod,A39,gam_check,"&lt;&gt;OK")&gt;0,"Gamme à corriger","OK")))))))))))</f>
        <v/>
      </c>
      <c r="Y39" s="70">
        <f>IF(J39="",N(p_fg),N(J39))</f>
        <v>0.15</v>
      </c>
      <c r="Z39" s="70">
        <f>IF(K39="",N(p_target),N(K39))</f>
        <v>0.25</v>
      </c>
      <c r="AA39" s="71" t="str">
        <f>IF(R39="","",IF(N(F39)&gt;0,ROUND(F39*N(E39),2),0))</f>
        <v/>
      </c>
      <c r="AB39" s="71">
        <f>IF(T39="",0,T39*N(E39))</f>
        <v>0.0</v>
      </c>
      <c r="AC39" s="71">
        <f>IF(T39="",0,R39*N(E39))</f>
        <v>0.0</v>
      </c>
      <c r="AD39" s="71">
        <f>IF(R39="",0,L39*N(E39))</f>
        <v>0.0</v>
      </c>
      <c r="AE39" s="71">
        <f>IF(R39="",0,M39*N(E39))</f>
        <v>0.0</v>
      </c>
      <c r="AF39" s="71">
        <f>IF(R39="",0,N39*N(E39))</f>
        <v>0.0</v>
      </c>
      <c r="AG39" s="71">
        <f>IF(R39="",0,O39*N(E39))</f>
        <v>0.0</v>
      </c>
      <c r="AH39" s="71">
        <f>IF(R39="",0,(N(G39)+N(H39)+N(I39)/D39)*N(E39))</f>
        <v>0.0</v>
      </c>
      <c r="AI39" s="71">
        <f>IF(R39="",0,P39*N(E39))</f>
        <v>0.0</v>
      </c>
      <c r="AJ39" s="71" t="str">
        <f>IF(AA39="","",COUNTIF(prod_ca,"&gt;"&amp;AA39)+COUNTIF(AA$6:AA39,AA39))</f>
        <v/>
      </c>
      <c r="AK39" s="71" t="str">
        <f>IF(OR(W39="Vendu à perte",W39="Sous la cible"),ROUND(U39,6),"")</f>
        <v/>
      </c>
      <c r="AL39" s="71" t="str">
        <f>IF(AK39="","",COUNTIF(prod_alk,"&lt;"&amp;AK39)+COUNTIF(AK$6:AK39,AK39))</f>
        <v/>
      </c>
    </row>
    <row r="40">
      <c r="A40" s="60" t="n"/>
      <c r="B40" s="60" t="n"/>
      <c r="C40" s="61" t="n"/>
      <c r="D40" s="62" t="n"/>
      <c r="E40" s="63" t="n"/>
      <c r="F40" s="64" t="n"/>
      <c r="G40" s="64" t="n"/>
      <c r="H40" s="64" t="n"/>
      <c r="I40" s="64" t="n"/>
      <c r="J40" s="65" t="n"/>
      <c r="K40" s="65" t="n"/>
      <c r="L40" s="66" t="str">
        <f>IF(X40="OK",SUMIF(bom_prod,A40,bom_cost),"")</f>
        <v/>
      </c>
      <c r="M40" s="66" t="str">
        <f>IF(X40="OK",SUMIF(gam_prod,A40,gam_mo),"")</f>
        <v/>
      </c>
      <c r="N40" s="66" t="str">
        <f>IF(X40="OK",SUMIF(gam_prod,A40,gam_mac),"")</f>
        <v/>
      </c>
      <c r="O40" s="66" t="str">
        <f>IF(X40="OK",SUMIF(gam_prod,A40,gam_setup)/D40,"")</f>
        <v/>
      </c>
      <c r="P40" s="66" t="str">
        <f>IF(X40="OK",(L40+M40+N40+O40+N(G40))*Y40,"")</f>
        <v/>
      </c>
      <c r="Q40" s="66" t="str">
        <f>IF(X40="OK",L40+M40+N40+O40+N(G40)+P40,"")</f>
        <v/>
      </c>
      <c r="R40" s="67" t="str">
        <f>IF(X40="OK",ROUND(Q40+N(H40)+N(I40)/D40,4),"")</f>
        <v/>
      </c>
      <c r="S40" s="66" t="str">
        <f>IF(X40="OK",ROUND(R40*(1+Z40),2),"")</f>
        <v/>
      </c>
      <c r="T40" s="66" t="str">
        <f>IF(AND(X40="OK",N(F40)&gt;0),F40-R40,"")</f>
        <v/>
      </c>
      <c r="U40" s="68" t="str">
        <f>IF(T40="","",IF(R40&lt;=0,"",T40/R40))</f>
        <v/>
      </c>
      <c r="V40" s="68" t="str">
        <f>IF(T40="","",T40/F40)</f>
        <v/>
      </c>
      <c r="W40" s="69" t="str">
        <f>IF(A40="","",IF(X40&lt;&gt;"OK","À corriger",IF(N(F40)&lt;=0,"Prix à saisir",IF(F40&lt;R40,"Vendu à perte",IF(F40&lt;S40,"Sous la cible","OK")))))</f>
        <v/>
      </c>
      <c r="X40" s="69" t="str">
        <f>IF(AND(A40="",COUNTA(B40:K40)=0),"",IF(A40="","Référence manquante",IF(COUNTIF($A$6:$A$305,A40)&gt;1,"Référence en double",IF(OR(NOT(ISNUMBER(D40)),N(D40)&lt;=0),"Taille de lot invalide",IF(AND(E40&lt;&gt;"",OR(NOT(ISNUMBER(E40)),N(E40)&lt;0)),"Volume annuel invalide",IF(AND(F40&lt;&gt;"",OR(NOT(ISNUMBER(F40)),N(F40)&lt;0)),"Prix de vente invalide",IF(OR(AND(G40&lt;&gt;"",OR(NOT(ISNUMBER(G40)),N(G40)&lt;0)),AND(H40&lt;&gt;"",OR(NOT(ISNUMBER(H40)),N(H40)&lt;0)),AND(I40&lt;&gt;"",OR(NOT(ISNUMBER(I40)),N(I40)&lt;0))),"Montant invalide",IF(OR(AND(J40&lt;&gt;"",OR(NOT(ISNUMBER(J40)),N(J40)&lt;0)),AND(K40&lt;&gt;"",OR(NOT(ISNUMBER(K40)),N(K40)&lt;0))),"Pourcentage invalide",IF(COUNTIF(bom_prod,A40)+COUNTIF(gam_prod,A40)=0,"Ni nomenclature ni gamme",IF(COUNTIFS(bom_prod,A40,bom_check,"&lt;&gt;OK")&gt;0,"Nomenclature à corriger",IF(COUNTIFS(gam_prod,A40,gam_check,"&lt;&gt;OK")&gt;0,"Gamme à corriger","OK")))))))))))</f>
        <v/>
      </c>
      <c r="Y40" s="70">
        <f>IF(J40="",N(p_fg),N(J40))</f>
        <v>0.15</v>
      </c>
      <c r="Z40" s="70">
        <f>IF(K40="",N(p_target),N(K40))</f>
        <v>0.25</v>
      </c>
      <c r="AA40" s="71" t="str">
        <f>IF(R40="","",IF(N(F40)&gt;0,ROUND(F40*N(E40),2),0))</f>
        <v/>
      </c>
      <c r="AB40" s="71">
        <f>IF(T40="",0,T40*N(E40))</f>
        <v>0.0</v>
      </c>
      <c r="AC40" s="71">
        <f>IF(T40="",0,R40*N(E40))</f>
        <v>0.0</v>
      </c>
      <c r="AD40" s="71">
        <f>IF(R40="",0,L40*N(E40))</f>
        <v>0.0</v>
      </c>
      <c r="AE40" s="71">
        <f>IF(R40="",0,M40*N(E40))</f>
        <v>0.0</v>
      </c>
      <c r="AF40" s="71">
        <f>IF(R40="",0,N40*N(E40))</f>
        <v>0.0</v>
      </c>
      <c r="AG40" s="71">
        <f>IF(R40="",0,O40*N(E40))</f>
        <v>0.0</v>
      </c>
      <c r="AH40" s="71">
        <f>IF(R40="",0,(N(G40)+N(H40)+N(I40)/D40)*N(E40))</f>
        <v>0.0</v>
      </c>
      <c r="AI40" s="71">
        <f>IF(R40="",0,P40*N(E40))</f>
        <v>0.0</v>
      </c>
      <c r="AJ40" s="71" t="str">
        <f>IF(AA40="","",COUNTIF(prod_ca,"&gt;"&amp;AA40)+COUNTIF(AA$6:AA40,AA40))</f>
        <v/>
      </c>
      <c r="AK40" s="71" t="str">
        <f>IF(OR(W40="Vendu à perte",W40="Sous la cible"),ROUND(U40,6),"")</f>
        <v/>
      </c>
      <c r="AL40" s="71" t="str">
        <f>IF(AK40="","",COUNTIF(prod_alk,"&lt;"&amp;AK40)+COUNTIF(AK$6:AK40,AK40))</f>
        <v/>
      </c>
    </row>
    <row r="41">
      <c r="A41" s="60" t="n"/>
      <c r="B41" s="60" t="n"/>
      <c r="C41" s="61" t="n"/>
      <c r="D41" s="62" t="n"/>
      <c r="E41" s="63" t="n"/>
      <c r="F41" s="64" t="n"/>
      <c r="G41" s="64" t="n"/>
      <c r="H41" s="64" t="n"/>
      <c r="I41" s="64" t="n"/>
      <c r="J41" s="65" t="n"/>
      <c r="K41" s="65" t="n"/>
      <c r="L41" s="66" t="str">
        <f>IF(X41="OK",SUMIF(bom_prod,A41,bom_cost),"")</f>
        <v/>
      </c>
      <c r="M41" s="66" t="str">
        <f>IF(X41="OK",SUMIF(gam_prod,A41,gam_mo),"")</f>
        <v/>
      </c>
      <c r="N41" s="66" t="str">
        <f>IF(X41="OK",SUMIF(gam_prod,A41,gam_mac),"")</f>
        <v/>
      </c>
      <c r="O41" s="66" t="str">
        <f>IF(X41="OK",SUMIF(gam_prod,A41,gam_setup)/D41,"")</f>
        <v/>
      </c>
      <c r="P41" s="66" t="str">
        <f>IF(X41="OK",(L41+M41+N41+O41+N(G41))*Y41,"")</f>
        <v/>
      </c>
      <c r="Q41" s="66" t="str">
        <f>IF(X41="OK",L41+M41+N41+O41+N(G41)+P41,"")</f>
        <v/>
      </c>
      <c r="R41" s="67" t="str">
        <f>IF(X41="OK",ROUND(Q41+N(H41)+N(I41)/D41,4),"")</f>
        <v/>
      </c>
      <c r="S41" s="66" t="str">
        <f>IF(X41="OK",ROUND(R41*(1+Z41),2),"")</f>
        <v/>
      </c>
      <c r="T41" s="66" t="str">
        <f>IF(AND(X41="OK",N(F41)&gt;0),F41-R41,"")</f>
        <v/>
      </c>
      <c r="U41" s="68" t="str">
        <f>IF(T41="","",IF(R41&lt;=0,"",T41/R41))</f>
        <v/>
      </c>
      <c r="V41" s="68" t="str">
        <f>IF(T41="","",T41/F41)</f>
        <v/>
      </c>
      <c r="W41" s="69" t="str">
        <f>IF(A41="","",IF(X41&lt;&gt;"OK","À corriger",IF(N(F41)&lt;=0,"Prix à saisir",IF(F41&lt;R41,"Vendu à perte",IF(F41&lt;S41,"Sous la cible","OK")))))</f>
        <v/>
      </c>
      <c r="X41" s="69" t="str">
        <f>IF(AND(A41="",COUNTA(B41:K41)=0),"",IF(A41="","Référence manquante",IF(COUNTIF($A$6:$A$305,A41)&gt;1,"Référence en double",IF(OR(NOT(ISNUMBER(D41)),N(D41)&lt;=0),"Taille de lot invalide",IF(AND(E41&lt;&gt;"",OR(NOT(ISNUMBER(E41)),N(E41)&lt;0)),"Volume annuel invalide",IF(AND(F41&lt;&gt;"",OR(NOT(ISNUMBER(F41)),N(F41)&lt;0)),"Prix de vente invalide",IF(OR(AND(G41&lt;&gt;"",OR(NOT(ISNUMBER(G41)),N(G41)&lt;0)),AND(H41&lt;&gt;"",OR(NOT(ISNUMBER(H41)),N(H41)&lt;0)),AND(I41&lt;&gt;"",OR(NOT(ISNUMBER(I41)),N(I41)&lt;0))),"Montant invalide",IF(OR(AND(J41&lt;&gt;"",OR(NOT(ISNUMBER(J41)),N(J41)&lt;0)),AND(K41&lt;&gt;"",OR(NOT(ISNUMBER(K41)),N(K41)&lt;0))),"Pourcentage invalide",IF(COUNTIF(bom_prod,A41)+COUNTIF(gam_prod,A41)=0,"Ni nomenclature ni gamme",IF(COUNTIFS(bom_prod,A41,bom_check,"&lt;&gt;OK")&gt;0,"Nomenclature à corriger",IF(COUNTIFS(gam_prod,A41,gam_check,"&lt;&gt;OK")&gt;0,"Gamme à corriger","OK")))))))))))</f>
        <v/>
      </c>
      <c r="Y41" s="70">
        <f>IF(J41="",N(p_fg),N(J41))</f>
        <v>0.15</v>
      </c>
      <c r="Z41" s="70">
        <f>IF(K41="",N(p_target),N(K41))</f>
        <v>0.25</v>
      </c>
      <c r="AA41" s="71" t="str">
        <f>IF(R41="","",IF(N(F41)&gt;0,ROUND(F41*N(E41),2),0))</f>
        <v/>
      </c>
      <c r="AB41" s="71">
        <f>IF(T41="",0,T41*N(E41))</f>
        <v>0.0</v>
      </c>
      <c r="AC41" s="71">
        <f>IF(T41="",0,R41*N(E41))</f>
        <v>0.0</v>
      </c>
      <c r="AD41" s="71">
        <f>IF(R41="",0,L41*N(E41))</f>
        <v>0.0</v>
      </c>
      <c r="AE41" s="71">
        <f>IF(R41="",0,M41*N(E41))</f>
        <v>0.0</v>
      </c>
      <c r="AF41" s="71">
        <f>IF(R41="",0,N41*N(E41))</f>
        <v>0.0</v>
      </c>
      <c r="AG41" s="71">
        <f>IF(R41="",0,O41*N(E41))</f>
        <v>0.0</v>
      </c>
      <c r="AH41" s="71">
        <f>IF(R41="",0,(N(G41)+N(H41)+N(I41)/D41)*N(E41))</f>
        <v>0.0</v>
      </c>
      <c r="AI41" s="71">
        <f>IF(R41="",0,P41*N(E41))</f>
        <v>0.0</v>
      </c>
      <c r="AJ41" s="71" t="str">
        <f>IF(AA41="","",COUNTIF(prod_ca,"&gt;"&amp;AA41)+COUNTIF(AA$6:AA41,AA41))</f>
        <v/>
      </c>
      <c r="AK41" s="71" t="str">
        <f>IF(OR(W41="Vendu à perte",W41="Sous la cible"),ROUND(U41,6),"")</f>
        <v/>
      </c>
      <c r="AL41" s="71" t="str">
        <f>IF(AK41="","",COUNTIF(prod_alk,"&lt;"&amp;AK41)+COUNTIF(AK$6:AK41,AK41))</f>
        <v/>
      </c>
    </row>
    <row r="42">
      <c r="A42" s="60" t="n"/>
      <c r="B42" s="60" t="n"/>
      <c r="C42" s="61" t="n"/>
      <c r="D42" s="62" t="n"/>
      <c r="E42" s="63" t="n"/>
      <c r="F42" s="64" t="n"/>
      <c r="G42" s="64" t="n"/>
      <c r="H42" s="64" t="n"/>
      <c r="I42" s="64" t="n"/>
      <c r="J42" s="65" t="n"/>
      <c r="K42" s="65" t="n"/>
      <c r="L42" s="66" t="str">
        <f>IF(X42="OK",SUMIF(bom_prod,A42,bom_cost),"")</f>
        <v/>
      </c>
      <c r="M42" s="66" t="str">
        <f>IF(X42="OK",SUMIF(gam_prod,A42,gam_mo),"")</f>
        <v/>
      </c>
      <c r="N42" s="66" t="str">
        <f>IF(X42="OK",SUMIF(gam_prod,A42,gam_mac),"")</f>
        <v/>
      </c>
      <c r="O42" s="66" t="str">
        <f>IF(X42="OK",SUMIF(gam_prod,A42,gam_setup)/D42,"")</f>
        <v/>
      </c>
      <c r="P42" s="66" t="str">
        <f>IF(X42="OK",(L42+M42+N42+O42+N(G42))*Y42,"")</f>
        <v/>
      </c>
      <c r="Q42" s="66" t="str">
        <f>IF(X42="OK",L42+M42+N42+O42+N(G42)+P42,"")</f>
        <v/>
      </c>
      <c r="R42" s="67" t="str">
        <f>IF(X42="OK",ROUND(Q42+N(H42)+N(I42)/D42,4),"")</f>
        <v/>
      </c>
      <c r="S42" s="66" t="str">
        <f>IF(X42="OK",ROUND(R42*(1+Z42),2),"")</f>
        <v/>
      </c>
      <c r="T42" s="66" t="str">
        <f>IF(AND(X42="OK",N(F42)&gt;0),F42-R42,"")</f>
        <v/>
      </c>
      <c r="U42" s="68" t="str">
        <f>IF(T42="","",IF(R42&lt;=0,"",T42/R42))</f>
        <v/>
      </c>
      <c r="V42" s="68" t="str">
        <f>IF(T42="","",T42/F42)</f>
        <v/>
      </c>
      <c r="W42" s="69" t="str">
        <f>IF(A42="","",IF(X42&lt;&gt;"OK","À corriger",IF(N(F42)&lt;=0,"Prix à saisir",IF(F42&lt;R42,"Vendu à perte",IF(F42&lt;S42,"Sous la cible","OK")))))</f>
        <v/>
      </c>
      <c r="X42" s="69" t="str">
        <f>IF(AND(A42="",COUNTA(B42:K42)=0),"",IF(A42="","Référence manquante",IF(COUNTIF($A$6:$A$305,A42)&gt;1,"Référence en double",IF(OR(NOT(ISNUMBER(D42)),N(D42)&lt;=0),"Taille de lot invalide",IF(AND(E42&lt;&gt;"",OR(NOT(ISNUMBER(E42)),N(E42)&lt;0)),"Volume annuel invalide",IF(AND(F42&lt;&gt;"",OR(NOT(ISNUMBER(F42)),N(F42)&lt;0)),"Prix de vente invalide",IF(OR(AND(G42&lt;&gt;"",OR(NOT(ISNUMBER(G42)),N(G42)&lt;0)),AND(H42&lt;&gt;"",OR(NOT(ISNUMBER(H42)),N(H42)&lt;0)),AND(I42&lt;&gt;"",OR(NOT(ISNUMBER(I42)),N(I42)&lt;0))),"Montant invalide",IF(OR(AND(J42&lt;&gt;"",OR(NOT(ISNUMBER(J42)),N(J42)&lt;0)),AND(K42&lt;&gt;"",OR(NOT(ISNUMBER(K42)),N(K42)&lt;0))),"Pourcentage invalide",IF(COUNTIF(bom_prod,A42)+COUNTIF(gam_prod,A42)=0,"Ni nomenclature ni gamme",IF(COUNTIFS(bom_prod,A42,bom_check,"&lt;&gt;OK")&gt;0,"Nomenclature à corriger",IF(COUNTIFS(gam_prod,A42,gam_check,"&lt;&gt;OK")&gt;0,"Gamme à corriger","OK")))))))))))</f>
        <v/>
      </c>
      <c r="Y42" s="70">
        <f>IF(J42="",N(p_fg),N(J42))</f>
        <v>0.15</v>
      </c>
      <c r="Z42" s="70">
        <f>IF(K42="",N(p_target),N(K42))</f>
        <v>0.25</v>
      </c>
      <c r="AA42" s="71" t="str">
        <f>IF(R42="","",IF(N(F42)&gt;0,ROUND(F42*N(E42),2),0))</f>
        <v/>
      </c>
      <c r="AB42" s="71">
        <f>IF(T42="",0,T42*N(E42))</f>
        <v>0.0</v>
      </c>
      <c r="AC42" s="71">
        <f>IF(T42="",0,R42*N(E42))</f>
        <v>0.0</v>
      </c>
      <c r="AD42" s="71">
        <f>IF(R42="",0,L42*N(E42))</f>
        <v>0.0</v>
      </c>
      <c r="AE42" s="71">
        <f>IF(R42="",0,M42*N(E42))</f>
        <v>0.0</v>
      </c>
      <c r="AF42" s="71">
        <f>IF(R42="",0,N42*N(E42))</f>
        <v>0.0</v>
      </c>
      <c r="AG42" s="71">
        <f>IF(R42="",0,O42*N(E42))</f>
        <v>0.0</v>
      </c>
      <c r="AH42" s="71">
        <f>IF(R42="",0,(N(G42)+N(H42)+N(I42)/D42)*N(E42))</f>
        <v>0.0</v>
      </c>
      <c r="AI42" s="71">
        <f>IF(R42="",0,P42*N(E42))</f>
        <v>0.0</v>
      </c>
      <c r="AJ42" s="71" t="str">
        <f>IF(AA42="","",COUNTIF(prod_ca,"&gt;"&amp;AA42)+COUNTIF(AA$6:AA42,AA42))</f>
        <v/>
      </c>
      <c r="AK42" s="71" t="str">
        <f>IF(OR(W42="Vendu à perte",W42="Sous la cible"),ROUND(U42,6),"")</f>
        <v/>
      </c>
      <c r="AL42" s="71" t="str">
        <f>IF(AK42="","",COUNTIF(prod_alk,"&lt;"&amp;AK42)+COUNTIF(AK$6:AK42,AK42))</f>
        <v/>
      </c>
    </row>
    <row r="43">
      <c r="A43" s="60" t="n"/>
      <c r="B43" s="60" t="n"/>
      <c r="C43" s="61" t="n"/>
      <c r="D43" s="62" t="n"/>
      <c r="E43" s="63" t="n"/>
      <c r="F43" s="64" t="n"/>
      <c r="G43" s="64" t="n"/>
      <c r="H43" s="64" t="n"/>
      <c r="I43" s="64" t="n"/>
      <c r="J43" s="65" t="n"/>
      <c r="K43" s="65" t="n"/>
      <c r="L43" s="66" t="str">
        <f>IF(X43="OK",SUMIF(bom_prod,A43,bom_cost),"")</f>
        <v/>
      </c>
      <c r="M43" s="66" t="str">
        <f>IF(X43="OK",SUMIF(gam_prod,A43,gam_mo),"")</f>
        <v/>
      </c>
      <c r="N43" s="66" t="str">
        <f>IF(X43="OK",SUMIF(gam_prod,A43,gam_mac),"")</f>
        <v/>
      </c>
      <c r="O43" s="66" t="str">
        <f>IF(X43="OK",SUMIF(gam_prod,A43,gam_setup)/D43,"")</f>
        <v/>
      </c>
      <c r="P43" s="66" t="str">
        <f>IF(X43="OK",(L43+M43+N43+O43+N(G43))*Y43,"")</f>
        <v/>
      </c>
      <c r="Q43" s="66" t="str">
        <f>IF(X43="OK",L43+M43+N43+O43+N(G43)+P43,"")</f>
        <v/>
      </c>
      <c r="R43" s="67" t="str">
        <f>IF(X43="OK",ROUND(Q43+N(H43)+N(I43)/D43,4),"")</f>
        <v/>
      </c>
      <c r="S43" s="66" t="str">
        <f>IF(X43="OK",ROUND(R43*(1+Z43),2),"")</f>
        <v/>
      </c>
      <c r="T43" s="66" t="str">
        <f>IF(AND(X43="OK",N(F43)&gt;0),F43-R43,"")</f>
        <v/>
      </c>
      <c r="U43" s="68" t="str">
        <f>IF(T43="","",IF(R43&lt;=0,"",T43/R43))</f>
        <v/>
      </c>
      <c r="V43" s="68" t="str">
        <f>IF(T43="","",T43/F43)</f>
        <v/>
      </c>
      <c r="W43" s="69" t="str">
        <f>IF(A43="","",IF(X43&lt;&gt;"OK","À corriger",IF(N(F43)&lt;=0,"Prix à saisir",IF(F43&lt;R43,"Vendu à perte",IF(F43&lt;S43,"Sous la cible","OK")))))</f>
        <v/>
      </c>
      <c r="X43" s="69" t="str">
        <f>IF(AND(A43="",COUNTA(B43:K43)=0),"",IF(A43="","Référence manquante",IF(COUNTIF($A$6:$A$305,A43)&gt;1,"Référence en double",IF(OR(NOT(ISNUMBER(D43)),N(D43)&lt;=0),"Taille de lot invalide",IF(AND(E43&lt;&gt;"",OR(NOT(ISNUMBER(E43)),N(E43)&lt;0)),"Volume annuel invalide",IF(AND(F43&lt;&gt;"",OR(NOT(ISNUMBER(F43)),N(F43)&lt;0)),"Prix de vente invalide",IF(OR(AND(G43&lt;&gt;"",OR(NOT(ISNUMBER(G43)),N(G43)&lt;0)),AND(H43&lt;&gt;"",OR(NOT(ISNUMBER(H43)),N(H43)&lt;0)),AND(I43&lt;&gt;"",OR(NOT(ISNUMBER(I43)),N(I43)&lt;0))),"Montant invalide",IF(OR(AND(J43&lt;&gt;"",OR(NOT(ISNUMBER(J43)),N(J43)&lt;0)),AND(K43&lt;&gt;"",OR(NOT(ISNUMBER(K43)),N(K43)&lt;0))),"Pourcentage invalide",IF(COUNTIF(bom_prod,A43)+COUNTIF(gam_prod,A43)=0,"Ni nomenclature ni gamme",IF(COUNTIFS(bom_prod,A43,bom_check,"&lt;&gt;OK")&gt;0,"Nomenclature à corriger",IF(COUNTIFS(gam_prod,A43,gam_check,"&lt;&gt;OK")&gt;0,"Gamme à corriger","OK")))))))))))</f>
        <v/>
      </c>
      <c r="Y43" s="70">
        <f>IF(J43="",N(p_fg),N(J43))</f>
        <v>0.15</v>
      </c>
      <c r="Z43" s="70">
        <f>IF(K43="",N(p_target),N(K43))</f>
        <v>0.25</v>
      </c>
      <c r="AA43" s="71" t="str">
        <f>IF(R43="","",IF(N(F43)&gt;0,ROUND(F43*N(E43),2),0))</f>
        <v/>
      </c>
      <c r="AB43" s="71">
        <f>IF(T43="",0,T43*N(E43))</f>
        <v>0.0</v>
      </c>
      <c r="AC43" s="71">
        <f>IF(T43="",0,R43*N(E43))</f>
        <v>0.0</v>
      </c>
      <c r="AD43" s="71">
        <f>IF(R43="",0,L43*N(E43))</f>
        <v>0.0</v>
      </c>
      <c r="AE43" s="71">
        <f>IF(R43="",0,M43*N(E43))</f>
        <v>0.0</v>
      </c>
      <c r="AF43" s="71">
        <f>IF(R43="",0,N43*N(E43))</f>
        <v>0.0</v>
      </c>
      <c r="AG43" s="71">
        <f>IF(R43="",0,O43*N(E43))</f>
        <v>0.0</v>
      </c>
      <c r="AH43" s="71">
        <f>IF(R43="",0,(N(G43)+N(H43)+N(I43)/D43)*N(E43))</f>
        <v>0.0</v>
      </c>
      <c r="AI43" s="71">
        <f>IF(R43="",0,P43*N(E43))</f>
        <v>0.0</v>
      </c>
      <c r="AJ43" s="71" t="str">
        <f>IF(AA43="","",COUNTIF(prod_ca,"&gt;"&amp;AA43)+COUNTIF(AA$6:AA43,AA43))</f>
        <v/>
      </c>
      <c r="AK43" s="71" t="str">
        <f>IF(OR(W43="Vendu à perte",W43="Sous la cible"),ROUND(U43,6),"")</f>
        <v/>
      </c>
      <c r="AL43" s="71" t="str">
        <f>IF(AK43="","",COUNTIF(prod_alk,"&lt;"&amp;AK43)+COUNTIF(AK$6:AK43,AK43))</f>
        <v/>
      </c>
    </row>
    <row r="44">
      <c r="A44" s="60" t="n"/>
      <c r="B44" s="60" t="n"/>
      <c r="C44" s="61" t="n"/>
      <c r="D44" s="62" t="n"/>
      <c r="E44" s="63" t="n"/>
      <c r="F44" s="64" t="n"/>
      <c r="G44" s="64" t="n"/>
      <c r="H44" s="64" t="n"/>
      <c r="I44" s="64" t="n"/>
      <c r="J44" s="65" t="n"/>
      <c r="K44" s="65" t="n"/>
      <c r="L44" s="66" t="str">
        <f>IF(X44="OK",SUMIF(bom_prod,A44,bom_cost),"")</f>
        <v/>
      </c>
      <c r="M44" s="66" t="str">
        <f>IF(X44="OK",SUMIF(gam_prod,A44,gam_mo),"")</f>
        <v/>
      </c>
      <c r="N44" s="66" t="str">
        <f>IF(X44="OK",SUMIF(gam_prod,A44,gam_mac),"")</f>
        <v/>
      </c>
      <c r="O44" s="66" t="str">
        <f>IF(X44="OK",SUMIF(gam_prod,A44,gam_setup)/D44,"")</f>
        <v/>
      </c>
      <c r="P44" s="66" t="str">
        <f>IF(X44="OK",(L44+M44+N44+O44+N(G44))*Y44,"")</f>
        <v/>
      </c>
      <c r="Q44" s="66" t="str">
        <f>IF(X44="OK",L44+M44+N44+O44+N(G44)+P44,"")</f>
        <v/>
      </c>
      <c r="R44" s="67" t="str">
        <f>IF(X44="OK",ROUND(Q44+N(H44)+N(I44)/D44,4),"")</f>
        <v/>
      </c>
      <c r="S44" s="66" t="str">
        <f>IF(X44="OK",ROUND(R44*(1+Z44),2),"")</f>
        <v/>
      </c>
      <c r="T44" s="66" t="str">
        <f>IF(AND(X44="OK",N(F44)&gt;0),F44-R44,"")</f>
        <v/>
      </c>
      <c r="U44" s="68" t="str">
        <f>IF(T44="","",IF(R44&lt;=0,"",T44/R44))</f>
        <v/>
      </c>
      <c r="V44" s="68" t="str">
        <f>IF(T44="","",T44/F44)</f>
        <v/>
      </c>
      <c r="W44" s="69" t="str">
        <f>IF(A44="","",IF(X44&lt;&gt;"OK","À corriger",IF(N(F44)&lt;=0,"Prix à saisir",IF(F44&lt;R44,"Vendu à perte",IF(F44&lt;S44,"Sous la cible","OK")))))</f>
        <v/>
      </c>
      <c r="X44" s="69" t="str">
        <f>IF(AND(A44="",COUNTA(B44:K44)=0),"",IF(A44="","Référence manquante",IF(COUNTIF($A$6:$A$305,A44)&gt;1,"Référence en double",IF(OR(NOT(ISNUMBER(D44)),N(D44)&lt;=0),"Taille de lot invalide",IF(AND(E44&lt;&gt;"",OR(NOT(ISNUMBER(E44)),N(E44)&lt;0)),"Volume annuel invalide",IF(AND(F44&lt;&gt;"",OR(NOT(ISNUMBER(F44)),N(F44)&lt;0)),"Prix de vente invalide",IF(OR(AND(G44&lt;&gt;"",OR(NOT(ISNUMBER(G44)),N(G44)&lt;0)),AND(H44&lt;&gt;"",OR(NOT(ISNUMBER(H44)),N(H44)&lt;0)),AND(I44&lt;&gt;"",OR(NOT(ISNUMBER(I44)),N(I44)&lt;0))),"Montant invalide",IF(OR(AND(J44&lt;&gt;"",OR(NOT(ISNUMBER(J44)),N(J44)&lt;0)),AND(K44&lt;&gt;"",OR(NOT(ISNUMBER(K44)),N(K44)&lt;0))),"Pourcentage invalide",IF(COUNTIF(bom_prod,A44)+COUNTIF(gam_prod,A44)=0,"Ni nomenclature ni gamme",IF(COUNTIFS(bom_prod,A44,bom_check,"&lt;&gt;OK")&gt;0,"Nomenclature à corriger",IF(COUNTIFS(gam_prod,A44,gam_check,"&lt;&gt;OK")&gt;0,"Gamme à corriger","OK")))))))))))</f>
        <v/>
      </c>
      <c r="Y44" s="70">
        <f>IF(J44="",N(p_fg),N(J44))</f>
        <v>0.15</v>
      </c>
      <c r="Z44" s="70">
        <f>IF(K44="",N(p_target),N(K44))</f>
        <v>0.25</v>
      </c>
      <c r="AA44" s="71" t="str">
        <f>IF(R44="","",IF(N(F44)&gt;0,ROUND(F44*N(E44),2),0))</f>
        <v/>
      </c>
      <c r="AB44" s="71">
        <f>IF(T44="",0,T44*N(E44))</f>
        <v>0.0</v>
      </c>
      <c r="AC44" s="71">
        <f>IF(T44="",0,R44*N(E44))</f>
        <v>0.0</v>
      </c>
      <c r="AD44" s="71">
        <f>IF(R44="",0,L44*N(E44))</f>
        <v>0.0</v>
      </c>
      <c r="AE44" s="71">
        <f>IF(R44="",0,M44*N(E44))</f>
        <v>0.0</v>
      </c>
      <c r="AF44" s="71">
        <f>IF(R44="",0,N44*N(E44))</f>
        <v>0.0</v>
      </c>
      <c r="AG44" s="71">
        <f>IF(R44="",0,O44*N(E44))</f>
        <v>0.0</v>
      </c>
      <c r="AH44" s="71">
        <f>IF(R44="",0,(N(G44)+N(H44)+N(I44)/D44)*N(E44))</f>
        <v>0.0</v>
      </c>
      <c r="AI44" s="71">
        <f>IF(R44="",0,P44*N(E44))</f>
        <v>0.0</v>
      </c>
      <c r="AJ44" s="71" t="str">
        <f>IF(AA44="","",COUNTIF(prod_ca,"&gt;"&amp;AA44)+COUNTIF(AA$6:AA44,AA44))</f>
        <v/>
      </c>
      <c r="AK44" s="71" t="str">
        <f>IF(OR(W44="Vendu à perte",W44="Sous la cible"),ROUND(U44,6),"")</f>
        <v/>
      </c>
      <c r="AL44" s="71" t="str">
        <f>IF(AK44="","",COUNTIF(prod_alk,"&lt;"&amp;AK44)+COUNTIF(AK$6:AK44,AK44))</f>
        <v/>
      </c>
    </row>
    <row r="45">
      <c r="A45" s="60" t="n"/>
      <c r="B45" s="60" t="n"/>
      <c r="C45" s="61" t="n"/>
      <c r="D45" s="62" t="n"/>
      <c r="E45" s="63" t="n"/>
      <c r="F45" s="64" t="n"/>
      <c r="G45" s="64" t="n"/>
      <c r="H45" s="64" t="n"/>
      <c r="I45" s="64" t="n"/>
      <c r="J45" s="65" t="n"/>
      <c r="K45" s="65" t="n"/>
      <c r="L45" s="66" t="str">
        <f>IF(X45="OK",SUMIF(bom_prod,A45,bom_cost),"")</f>
        <v/>
      </c>
      <c r="M45" s="66" t="str">
        <f>IF(X45="OK",SUMIF(gam_prod,A45,gam_mo),"")</f>
        <v/>
      </c>
      <c r="N45" s="66" t="str">
        <f>IF(X45="OK",SUMIF(gam_prod,A45,gam_mac),"")</f>
        <v/>
      </c>
      <c r="O45" s="66" t="str">
        <f>IF(X45="OK",SUMIF(gam_prod,A45,gam_setup)/D45,"")</f>
        <v/>
      </c>
      <c r="P45" s="66" t="str">
        <f>IF(X45="OK",(L45+M45+N45+O45+N(G45))*Y45,"")</f>
        <v/>
      </c>
      <c r="Q45" s="66" t="str">
        <f>IF(X45="OK",L45+M45+N45+O45+N(G45)+P45,"")</f>
        <v/>
      </c>
      <c r="R45" s="67" t="str">
        <f>IF(X45="OK",ROUND(Q45+N(H45)+N(I45)/D45,4),"")</f>
        <v/>
      </c>
      <c r="S45" s="66" t="str">
        <f>IF(X45="OK",ROUND(R45*(1+Z45),2),"")</f>
        <v/>
      </c>
      <c r="T45" s="66" t="str">
        <f>IF(AND(X45="OK",N(F45)&gt;0),F45-R45,"")</f>
        <v/>
      </c>
      <c r="U45" s="68" t="str">
        <f>IF(T45="","",IF(R45&lt;=0,"",T45/R45))</f>
        <v/>
      </c>
      <c r="V45" s="68" t="str">
        <f>IF(T45="","",T45/F45)</f>
        <v/>
      </c>
      <c r="W45" s="69" t="str">
        <f>IF(A45="","",IF(X45&lt;&gt;"OK","À corriger",IF(N(F45)&lt;=0,"Prix à saisir",IF(F45&lt;R45,"Vendu à perte",IF(F45&lt;S45,"Sous la cible","OK")))))</f>
        <v/>
      </c>
      <c r="X45" s="69" t="str">
        <f>IF(AND(A45="",COUNTA(B45:K45)=0),"",IF(A45="","Référence manquante",IF(COUNTIF($A$6:$A$305,A45)&gt;1,"Référence en double",IF(OR(NOT(ISNUMBER(D45)),N(D45)&lt;=0),"Taille de lot invalide",IF(AND(E45&lt;&gt;"",OR(NOT(ISNUMBER(E45)),N(E45)&lt;0)),"Volume annuel invalide",IF(AND(F45&lt;&gt;"",OR(NOT(ISNUMBER(F45)),N(F45)&lt;0)),"Prix de vente invalide",IF(OR(AND(G45&lt;&gt;"",OR(NOT(ISNUMBER(G45)),N(G45)&lt;0)),AND(H45&lt;&gt;"",OR(NOT(ISNUMBER(H45)),N(H45)&lt;0)),AND(I45&lt;&gt;"",OR(NOT(ISNUMBER(I45)),N(I45)&lt;0))),"Montant invalide",IF(OR(AND(J45&lt;&gt;"",OR(NOT(ISNUMBER(J45)),N(J45)&lt;0)),AND(K45&lt;&gt;"",OR(NOT(ISNUMBER(K45)),N(K45)&lt;0))),"Pourcentage invalide",IF(COUNTIF(bom_prod,A45)+COUNTIF(gam_prod,A45)=0,"Ni nomenclature ni gamme",IF(COUNTIFS(bom_prod,A45,bom_check,"&lt;&gt;OK")&gt;0,"Nomenclature à corriger",IF(COUNTIFS(gam_prod,A45,gam_check,"&lt;&gt;OK")&gt;0,"Gamme à corriger","OK")))))))))))</f>
        <v/>
      </c>
      <c r="Y45" s="70">
        <f>IF(J45="",N(p_fg),N(J45))</f>
        <v>0.15</v>
      </c>
      <c r="Z45" s="70">
        <f>IF(K45="",N(p_target),N(K45))</f>
        <v>0.25</v>
      </c>
      <c r="AA45" s="71" t="str">
        <f>IF(R45="","",IF(N(F45)&gt;0,ROUND(F45*N(E45),2),0))</f>
        <v/>
      </c>
      <c r="AB45" s="71">
        <f>IF(T45="",0,T45*N(E45))</f>
        <v>0.0</v>
      </c>
      <c r="AC45" s="71">
        <f>IF(T45="",0,R45*N(E45))</f>
        <v>0.0</v>
      </c>
      <c r="AD45" s="71">
        <f>IF(R45="",0,L45*N(E45))</f>
        <v>0.0</v>
      </c>
      <c r="AE45" s="71">
        <f>IF(R45="",0,M45*N(E45))</f>
        <v>0.0</v>
      </c>
      <c r="AF45" s="71">
        <f>IF(R45="",0,N45*N(E45))</f>
        <v>0.0</v>
      </c>
      <c r="AG45" s="71">
        <f>IF(R45="",0,O45*N(E45))</f>
        <v>0.0</v>
      </c>
      <c r="AH45" s="71">
        <f>IF(R45="",0,(N(G45)+N(H45)+N(I45)/D45)*N(E45))</f>
        <v>0.0</v>
      </c>
      <c r="AI45" s="71">
        <f>IF(R45="",0,P45*N(E45))</f>
        <v>0.0</v>
      </c>
      <c r="AJ45" s="71" t="str">
        <f>IF(AA45="","",COUNTIF(prod_ca,"&gt;"&amp;AA45)+COUNTIF(AA$6:AA45,AA45))</f>
        <v/>
      </c>
      <c r="AK45" s="71" t="str">
        <f>IF(OR(W45="Vendu à perte",W45="Sous la cible"),ROUND(U45,6),"")</f>
        <v/>
      </c>
      <c r="AL45" s="71" t="str">
        <f>IF(AK45="","",COUNTIF(prod_alk,"&lt;"&amp;AK45)+COUNTIF(AK$6:AK45,AK45))</f>
        <v/>
      </c>
    </row>
    <row r="46">
      <c r="A46" s="60" t="n"/>
      <c r="B46" s="60" t="n"/>
      <c r="C46" s="61" t="n"/>
      <c r="D46" s="62" t="n"/>
      <c r="E46" s="63" t="n"/>
      <c r="F46" s="64" t="n"/>
      <c r="G46" s="64" t="n"/>
      <c r="H46" s="64" t="n"/>
      <c r="I46" s="64" t="n"/>
      <c r="J46" s="65" t="n"/>
      <c r="K46" s="65" t="n"/>
      <c r="L46" s="66" t="str">
        <f>IF(X46="OK",SUMIF(bom_prod,A46,bom_cost),"")</f>
        <v/>
      </c>
      <c r="M46" s="66" t="str">
        <f>IF(X46="OK",SUMIF(gam_prod,A46,gam_mo),"")</f>
        <v/>
      </c>
      <c r="N46" s="66" t="str">
        <f>IF(X46="OK",SUMIF(gam_prod,A46,gam_mac),"")</f>
        <v/>
      </c>
      <c r="O46" s="66" t="str">
        <f>IF(X46="OK",SUMIF(gam_prod,A46,gam_setup)/D46,"")</f>
        <v/>
      </c>
      <c r="P46" s="66" t="str">
        <f>IF(X46="OK",(L46+M46+N46+O46+N(G46))*Y46,"")</f>
        <v/>
      </c>
      <c r="Q46" s="66" t="str">
        <f>IF(X46="OK",L46+M46+N46+O46+N(G46)+P46,"")</f>
        <v/>
      </c>
      <c r="R46" s="67" t="str">
        <f>IF(X46="OK",ROUND(Q46+N(H46)+N(I46)/D46,4),"")</f>
        <v/>
      </c>
      <c r="S46" s="66" t="str">
        <f>IF(X46="OK",ROUND(R46*(1+Z46),2),"")</f>
        <v/>
      </c>
      <c r="T46" s="66" t="str">
        <f>IF(AND(X46="OK",N(F46)&gt;0),F46-R46,"")</f>
        <v/>
      </c>
      <c r="U46" s="68" t="str">
        <f>IF(T46="","",IF(R46&lt;=0,"",T46/R46))</f>
        <v/>
      </c>
      <c r="V46" s="68" t="str">
        <f>IF(T46="","",T46/F46)</f>
        <v/>
      </c>
      <c r="W46" s="69" t="str">
        <f>IF(A46="","",IF(X46&lt;&gt;"OK","À corriger",IF(N(F46)&lt;=0,"Prix à saisir",IF(F46&lt;R46,"Vendu à perte",IF(F46&lt;S46,"Sous la cible","OK")))))</f>
        <v/>
      </c>
      <c r="X46" s="69" t="str">
        <f>IF(AND(A46="",COUNTA(B46:K46)=0),"",IF(A46="","Référence manquante",IF(COUNTIF($A$6:$A$305,A46)&gt;1,"Référence en double",IF(OR(NOT(ISNUMBER(D46)),N(D46)&lt;=0),"Taille de lot invalide",IF(AND(E46&lt;&gt;"",OR(NOT(ISNUMBER(E46)),N(E46)&lt;0)),"Volume annuel invalide",IF(AND(F46&lt;&gt;"",OR(NOT(ISNUMBER(F46)),N(F46)&lt;0)),"Prix de vente invalide",IF(OR(AND(G46&lt;&gt;"",OR(NOT(ISNUMBER(G46)),N(G46)&lt;0)),AND(H46&lt;&gt;"",OR(NOT(ISNUMBER(H46)),N(H46)&lt;0)),AND(I46&lt;&gt;"",OR(NOT(ISNUMBER(I46)),N(I46)&lt;0))),"Montant invalide",IF(OR(AND(J46&lt;&gt;"",OR(NOT(ISNUMBER(J46)),N(J46)&lt;0)),AND(K46&lt;&gt;"",OR(NOT(ISNUMBER(K46)),N(K46)&lt;0))),"Pourcentage invalide",IF(COUNTIF(bom_prod,A46)+COUNTIF(gam_prod,A46)=0,"Ni nomenclature ni gamme",IF(COUNTIFS(bom_prod,A46,bom_check,"&lt;&gt;OK")&gt;0,"Nomenclature à corriger",IF(COUNTIFS(gam_prod,A46,gam_check,"&lt;&gt;OK")&gt;0,"Gamme à corriger","OK")))))))))))</f>
        <v/>
      </c>
      <c r="Y46" s="70">
        <f>IF(J46="",N(p_fg),N(J46))</f>
        <v>0.15</v>
      </c>
      <c r="Z46" s="70">
        <f>IF(K46="",N(p_target),N(K46))</f>
        <v>0.25</v>
      </c>
      <c r="AA46" s="71" t="str">
        <f>IF(R46="","",IF(N(F46)&gt;0,ROUND(F46*N(E46),2),0))</f>
        <v/>
      </c>
      <c r="AB46" s="71">
        <f>IF(T46="",0,T46*N(E46))</f>
        <v>0.0</v>
      </c>
      <c r="AC46" s="71">
        <f>IF(T46="",0,R46*N(E46))</f>
        <v>0.0</v>
      </c>
      <c r="AD46" s="71">
        <f>IF(R46="",0,L46*N(E46))</f>
        <v>0.0</v>
      </c>
      <c r="AE46" s="71">
        <f>IF(R46="",0,M46*N(E46))</f>
        <v>0.0</v>
      </c>
      <c r="AF46" s="71">
        <f>IF(R46="",0,N46*N(E46))</f>
        <v>0.0</v>
      </c>
      <c r="AG46" s="71">
        <f>IF(R46="",0,O46*N(E46))</f>
        <v>0.0</v>
      </c>
      <c r="AH46" s="71">
        <f>IF(R46="",0,(N(G46)+N(H46)+N(I46)/D46)*N(E46))</f>
        <v>0.0</v>
      </c>
      <c r="AI46" s="71">
        <f>IF(R46="",0,P46*N(E46))</f>
        <v>0.0</v>
      </c>
      <c r="AJ46" s="71" t="str">
        <f>IF(AA46="","",COUNTIF(prod_ca,"&gt;"&amp;AA46)+COUNTIF(AA$6:AA46,AA46))</f>
        <v/>
      </c>
      <c r="AK46" s="71" t="str">
        <f>IF(OR(W46="Vendu à perte",W46="Sous la cible"),ROUND(U46,6),"")</f>
        <v/>
      </c>
      <c r="AL46" s="71" t="str">
        <f>IF(AK46="","",COUNTIF(prod_alk,"&lt;"&amp;AK46)+COUNTIF(AK$6:AK46,AK46))</f>
        <v/>
      </c>
    </row>
    <row r="47">
      <c r="A47" s="60" t="n"/>
      <c r="B47" s="60" t="n"/>
      <c r="C47" s="61" t="n"/>
      <c r="D47" s="62" t="n"/>
      <c r="E47" s="63" t="n"/>
      <c r="F47" s="64" t="n"/>
      <c r="G47" s="64" t="n"/>
      <c r="H47" s="64" t="n"/>
      <c r="I47" s="64" t="n"/>
      <c r="J47" s="65" t="n"/>
      <c r="K47" s="65" t="n"/>
      <c r="L47" s="66" t="str">
        <f>IF(X47="OK",SUMIF(bom_prod,A47,bom_cost),"")</f>
        <v/>
      </c>
      <c r="M47" s="66" t="str">
        <f>IF(X47="OK",SUMIF(gam_prod,A47,gam_mo),"")</f>
        <v/>
      </c>
      <c r="N47" s="66" t="str">
        <f>IF(X47="OK",SUMIF(gam_prod,A47,gam_mac),"")</f>
        <v/>
      </c>
      <c r="O47" s="66" t="str">
        <f>IF(X47="OK",SUMIF(gam_prod,A47,gam_setup)/D47,"")</f>
        <v/>
      </c>
      <c r="P47" s="66" t="str">
        <f>IF(X47="OK",(L47+M47+N47+O47+N(G47))*Y47,"")</f>
        <v/>
      </c>
      <c r="Q47" s="66" t="str">
        <f>IF(X47="OK",L47+M47+N47+O47+N(G47)+P47,"")</f>
        <v/>
      </c>
      <c r="R47" s="67" t="str">
        <f>IF(X47="OK",ROUND(Q47+N(H47)+N(I47)/D47,4),"")</f>
        <v/>
      </c>
      <c r="S47" s="66" t="str">
        <f>IF(X47="OK",ROUND(R47*(1+Z47),2),"")</f>
        <v/>
      </c>
      <c r="T47" s="66" t="str">
        <f>IF(AND(X47="OK",N(F47)&gt;0),F47-R47,"")</f>
        <v/>
      </c>
      <c r="U47" s="68" t="str">
        <f>IF(T47="","",IF(R47&lt;=0,"",T47/R47))</f>
        <v/>
      </c>
      <c r="V47" s="68" t="str">
        <f>IF(T47="","",T47/F47)</f>
        <v/>
      </c>
      <c r="W47" s="69" t="str">
        <f>IF(A47="","",IF(X47&lt;&gt;"OK","À corriger",IF(N(F47)&lt;=0,"Prix à saisir",IF(F47&lt;R47,"Vendu à perte",IF(F47&lt;S47,"Sous la cible","OK")))))</f>
        <v/>
      </c>
      <c r="X47" s="69" t="str">
        <f>IF(AND(A47="",COUNTA(B47:K47)=0),"",IF(A47="","Référence manquante",IF(COUNTIF($A$6:$A$305,A47)&gt;1,"Référence en double",IF(OR(NOT(ISNUMBER(D47)),N(D47)&lt;=0),"Taille de lot invalide",IF(AND(E47&lt;&gt;"",OR(NOT(ISNUMBER(E47)),N(E47)&lt;0)),"Volume annuel invalide",IF(AND(F47&lt;&gt;"",OR(NOT(ISNUMBER(F47)),N(F47)&lt;0)),"Prix de vente invalide",IF(OR(AND(G47&lt;&gt;"",OR(NOT(ISNUMBER(G47)),N(G47)&lt;0)),AND(H47&lt;&gt;"",OR(NOT(ISNUMBER(H47)),N(H47)&lt;0)),AND(I47&lt;&gt;"",OR(NOT(ISNUMBER(I47)),N(I47)&lt;0))),"Montant invalide",IF(OR(AND(J47&lt;&gt;"",OR(NOT(ISNUMBER(J47)),N(J47)&lt;0)),AND(K47&lt;&gt;"",OR(NOT(ISNUMBER(K47)),N(K47)&lt;0))),"Pourcentage invalide",IF(COUNTIF(bom_prod,A47)+COUNTIF(gam_prod,A47)=0,"Ni nomenclature ni gamme",IF(COUNTIFS(bom_prod,A47,bom_check,"&lt;&gt;OK")&gt;0,"Nomenclature à corriger",IF(COUNTIFS(gam_prod,A47,gam_check,"&lt;&gt;OK")&gt;0,"Gamme à corriger","OK")))))))))))</f>
        <v/>
      </c>
      <c r="Y47" s="70">
        <f>IF(J47="",N(p_fg),N(J47))</f>
        <v>0.15</v>
      </c>
      <c r="Z47" s="70">
        <f>IF(K47="",N(p_target),N(K47))</f>
        <v>0.25</v>
      </c>
      <c r="AA47" s="71" t="str">
        <f>IF(R47="","",IF(N(F47)&gt;0,ROUND(F47*N(E47),2),0))</f>
        <v/>
      </c>
      <c r="AB47" s="71">
        <f>IF(T47="",0,T47*N(E47))</f>
        <v>0.0</v>
      </c>
      <c r="AC47" s="71">
        <f>IF(T47="",0,R47*N(E47))</f>
        <v>0.0</v>
      </c>
      <c r="AD47" s="71">
        <f>IF(R47="",0,L47*N(E47))</f>
        <v>0.0</v>
      </c>
      <c r="AE47" s="71">
        <f>IF(R47="",0,M47*N(E47))</f>
        <v>0.0</v>
      </c>
      <c r="AF47" s="71">
        <f>IF(R47="",0,N47*N(E47))</f>
        <v>0.0</v>
      </c>
      <c r="AG47" s="71">
        <f>IF(R47="",0,O47*N(E47))</f>
        <v>0.0</v>
      </c>
      <c r="AH47" s="71">
        <f>IF(R47="",0,(N(G47)+N(H47)+N(I47)/D47)*N(E47))</f>
        <v>0.0</v>
      </c>
      <c r="AI47" s="71">
        <f>IF(R47="",0,P47*N(E47))</f>
        <v>0.0</v>
      </c>
      <c r="AJ47" s="71" t="str">
        <f>IF(AA47="","",COUNTIF(prod_ca,"&gt;"&amp;AA47)+COUNTIF(AA$6:AA47,AA47))</f>
        <v/>
      </c>
      <c r="AK47" s="71" t="str">
        <f>IF(OR(W47="Vendu à perte",W47="Sous la cible"),ROUND(U47,6),"")</f>
        <v/>
      </c>
      <c r="AL47" s="71" t="str">
        <f>IF(AK47="","",COUNTIF(prod_alk,"&lt;"&amp;AK47)+COUNTIF(AK$6:AK47,AK47))</f>
        <v/>
      </c>
    </row>
    <row r="48">
      <c r="A48" s="60" t="n"/>
      <c r="B48" s="60" t="n"/>
      <c r="C48" s="61" t="n"/>
      <c r="D48" s="62" t="n"/>
      <c r="E48" s="63" t="n"/>
      <c r="F48" s="64" t="n"/>
      <c r="G48" s="64" t="n"/>
      <c r="H48" s="64" t="n"/>
      <c r="I48" s="64" t="n"/>
      <c r="J48" s="65" t="n"/>
      <c r="K48" s="65" t="n"/>
      <c r="L48" s="66" t="str">
        <f>IF(X48="OK",SUMIF(bom_prod,A48,bom_cost),"")</f>
        <v/>
      </c>
      <c r="M48" s="66" t="str">
        <f>IF(X48="OK",SUMIF(gam_prod,A48,gam_mo),"")</f>
        <v/>
      </c>
      <c r="N48" s="66" t="str">
        <f>IF(X48="OK",SUMIF(gam_prod,A48,gam_mac),"")</f>
        <v/>
      </c>
      <c r="O48" s="66" t="str">
        <f>IF(X48="OK",SUMIF(gam_prod,A48,gam_setup)/D48,"")</f>
        <v/>
      </c>
      <c r="P48" s="66" t="str">
        <f>IF(X48="OK",(L48+M48+N48+O48+N(G48))*Y48,"")</f>
        <v/>
      </c>
      <c r="Q48" s="66" t="str">
        <f>IF(X48="OK",L48+M48+N48+O48+N(G48)+P48,"")</f>
        <v/>
      </c>
      <c r="R48" s="67" t="str">
        <f>IF(X48="OK",ROUND(Q48+N(H48)+N(I48)/D48,4),"")</f>
        <v/>
      </c>
      <c r="S48" s="66" t="str">
        <f>IF(X48="OK",ROUND(R48*(1+Z48),2),"")</f>
        <v/>
      </c>
      <c r="T48" s="66" t="str">
        <f>IF(AND(X48="OK",N(F48)&gt;0),F48-R48,"")</f>
        <v/>
      </c>
      <c r="U48" s="68" t="str">
        <f>IF(T48="","",IF(R48&lt;=0,"",T48/R48))</f>
        <v/>
      </c>
      <c r="V48" s="68" t="str">
        <f>IF(T48="","",T48/F48)</f>
        <v/>
      </c>
      <c r="W48" s="69" t="str">
        <f>IF(A48="","",IF(X48&lt;&gt;"OK","À corriger",IF(N(F48)&lt;=0,"Prix à saisir",IF(F48&lt;R48,"Vendu à perte",IF(F48&lt;S48,"Sous la cible","OK")))))</f>
        <v/>
      </c>
      <c r="X48" s="69" t="str">
        <f>IF(AND(A48="",COUNTA(B48:K48)=0),"",IF(A48="","Référence manquante",IF(COUNTIF($A$6:$A$305,A48)&gt;1,"Référence en double",IF(OR(NOT(ISNUMBER(D48)),N(D48)&lt;=0),"Taille de lot invalide",IF(AND(E48&lt;&gt;"",OR(NOT(ISNUMBER(E48)),N(E48)&lt;0)),"Volume annuel invalide",IF(AND(F48&lt;&gt;"",OR(NOT(ISNUMBER(F48)),N(F48)&lt;0)),"Prix de vente invalide",IF(OR(AND(G48&lt;&gt;"",OR(NOT(ISNUMBER(G48)),N(G48)&lt;0)),AND(H48&lt;&gt;"",OR(NOT(ISNUMBER(H48)),N(H48)&lt;0)),AND(I48&lt;&gt;"",OR(NOT(ISNUMBER(I48)),N(I48)&lt;0))),"Montant invalide",IF(OR(AND(J48&lt;&gt;"",OR(NOT(ISNUMBER(J48)),N(J48)&lt;0)),AND(K48&lt;&gt;"",OR(NOT(ISNUMBER(K48)),N(K48)&lt;0))),"Pourcentage invalide",IF(COUNTIF(bom_prod,A48)+COUNTIF(gam_prod,A48)=0,"Ni nomenclature ni gamme",IF(COUNTIFS(bom_prod,A48,bom_check,"&lt;&gt;OK")&gt;0,"Nomenclature à corriger",IF(COUNTIFS(gam_prod,A48,gam_check,"&lt;&gt;OK")&gt;0,"Gamme à corriger","OK")))))))))))</f>
        <v/>
      </c>
      <c r="Y48" s="70">
        <f>IF(J48="",N(p_fg),N(J48))</f>
        <v>0.15</v>
      </c>
      <c r="Z48" s="70">
        <f>IF(K48="",N(p_target),N(K48))</f>
        <v>0.25</v>
      </c>
      <c r="AA48" s="71" t="str">
        <f>IF(R48="","",IF(N(F48)&gt;0,ROUND(F48*N(E48),2),0))</f>
        <v/>
      </c>
      <c r="AB48" s="71">
        <f>IF(T48="",0,T48*N(E48))</f>
        <v>0.0</v>
      </c>
      <c r="AC48" s="71">
        <f>IF(T48="",0,R48*N(E48))</f>
        <v>0.0</v>
      </c>
      <c r="AD48" s="71">
        <f>IF(R48="",0,L48*N(E48))</f>
        <v>0.0</v>
      </c>
      <c r="AE48" s="71">
        <f>IF(R48="",0,M48*N(E48))</f>
        <v>0.0</v>
      </c>
      <c r="AF48" s="71">
        <f>IF(R48="",0,N48*N(E48))</f>
        <v>0.0</v>
      </c>
      <c r="AG48" s="71">
        <f>IF(R48="",0,O48*N(E48))</f>
        <v>0.0</v>
      </c>
      <c r="AH48" s="71">
        <f>IF(R48="",0,(N(G48)+N(H48)+N(I48)/D48)*N(E48))</f>
        <v>0.0</v>
      </c>
      <c r="AI48" s="71">
        <f>IF(R48="",0,P48*N(E48))</f>
        <v>0.0</v>
      </c>
      <c r="AJ48" s="71" t="str">
        <f>IF(AA48="","",COUNTIF(prod_ca,"&gt;"&amp;AA48)+COUNTIF(AA$6:AA48,AA48))</f>
        <v/>
      </c>
      <c r="AK48" s="71" t="str">
        <f>IF(OR(W48="Vendu à perte",W48="Sous la cible"),ROUND(U48,6),"")</f>
        <v/>
      </c>
      <c r="AL48" s="71" t="str">
        <f>IF(AK48="","",COUNTIF(prod_alk,"&lt;"&amp;AK48)+COUNTIF(AK$6:AK48,AK48))</f>
        <v/>
      </c>
    </row>
    <row r="49">
      <c r="A49" s="60" t="n"/>
      <c r="B49" s="60" t="n"/>
      <c r="C49" s="61" t="n"/>
      <c r="D49" s="62" t="n"/>
      <c r="E49" s="63" t="n"/>
      <c r="F49" s="64" t="n"/>
      <c r="G49" s="64" t="n"/>
      <c r="H49" s="64" t="n"/>
      <c r="I49" s="64" t="n"/>
      <c r="J49" s="65" t="n"/>
      <c r="K49" s="65" t="n"/>
      <c r="L49" s="66" t="str">
        <f>IF(X49="OK",SUMIF(bom_prod,A49,bom_cost),"")</f>
        <v/>
      </c>
      <c r="M49" s="66" t="str">
        <f>IF(X49="OK",SUMIF(gam_prod,A49,gam_mo),"")</f>
        <v/>
      </c>
      <c r="N49" s="66" t="str">
        <f>IF(X49="OK",SUMIF(gam_prod,A49,gam_mac),"")</f>
        <v/>
      </c>
      <c r="O49" s="66" t="str">
        <f>IF(X49="OK",SUMIF(gam_prod,A49,gam_setup)/D49,"")</f>
        <v/>
      </c>
      <c r="P49" s="66" t="str">
        <f>IF(X49="OK",(L49+M49+N49+O49+N(G49))*Y49,"")</f>
        <v/>
      </c>
      <c r="Q49" s="66" t="str">
        <f>IF(X49="OK",L49+M49+N49+O49+N(G49)+P49,"")</f>
        <v/>
      </c>
      <c r="R49" s="67" t="str">
        <f>IF(X49="OK",ROUND(Q49+N(H49)+N(I49)/D49,4),"")</f>
        <v/>
      </c>
      <c r="S49" s="66" t="str">
        <f>IF(X49="OK",ROUND(R49*(1+Z49),2),"")</f>
        <v/>
      </c>
      <c r="T49" s="66" t="str">
        <f>IF(AND(X49="OK",N(F49)&gt;0),F49-R49,"")</f>
        <v/>
      </c>
      <c r="U49" s="68" t="str">
        <f>IF(T49="","",IF(R49&lt;=0,"",T49/R49))</f>
        <v/>
      </c>
      <c r="V49" s="68" t="str">
        <f>IF(T49="","",T49/F49)</f>
        <v/>
      </c>
      <c r="W49" s="69" t="str">
        <f>IF(A49="","",IF(X49&lt;&gt;"OK","À corriger",IF(N(F49)&lt;=0,"Prix à saisir",IF(F49&lt;R49,"Vendu à perte",IF(F49&lt;S49,"Sous la cible","OK")))))</f>
        <v/>
      </c>
      <c r="X49" s="69" t="str">
        <f>IF(AND(A49="",COUNTA(B49:K49)=0),"",IF(A49="","Référence manquante",IF(COUNTIF($A$6:$A$305,A49)&gt;1,"Référence en double",IF(OR(NOT(ISNUMBER(D49)),N(D49)&lt;=0),"Taille de lot invalide",IF(AND(E49&lt;&gt;"",OR(NOT(ISNUMBER(E49)),N(E49)&lt;0)),"Volume annuel invalide",IF(AND(F49&lt;&gt;"",OR(NOT(ISNUMBER(F49)),N(F49)&lt;0)),"Prix de vente invalide",IF(OR(AND(G49&lt;&gt;"",OR(NOT(ISNUMBER(G49)),N(G49)&lt;0)),AND(H49&lt;&gt;"",OR(NOT(ISNUMBER(H49)),N(H49)&lt;0)),AND(I49&lt;&gt;"",OR(NOT(ISNUMBER(I49)),N(I49)&lt;0))),"Montant invalide",IF(OR(AND(J49&lt;&gt;"",OR(NOT(ISNUMBER(J49)),N(J49)&lt;0)),AND(K49&lt;&gt;"",OR(NOT(ISNUMBER(K49)),N(K49)&lt;0))),"Pourcentage invalide",IF(COUNTIF(bom_prod,A49)+COUNTIF(gam_prod,A49)=0,"Ni nomenclature ni gamme",IF(COUNTIFS(bom_prod,A49,bom_check,"&lt;&gt;OK")&gt;0,"Nomenclature à corriger",IF(COUNTIFS(gam_prod,A49,gam_check,"&lt;&gt;OK")&gt;0,"Gamme à corriger","OK")))))))))))</f>
        <v/>
      </c>
      <c r="Y49" s="70">
        <f>IF(J49="",N(p_fg),N(J49))</f>
        <v>0.15</v>
      </c>
      <c r="Z49" s="70">
        <f>IF(K49="",N(p_target),N(K49))</f>
        <v>0.25</v>
      </c>
      <c r="AA49" s="71" t="str">
        <f>IF(R49="","",IF(N(F49)&gt;0,ROUND(F49*N(E49),2),0))</f>
        <v/>
      </c>
      <c r="AB49" s="71">
        <f>IF(T49="",0,T49*N(E49))</f>
        <v>0.0</v>
      </c>
      <c r="AC49" s="71">
        <f>IF(T49="",0,R49*N(E49))</f>
        <v>0.0</v>
      </c>
      <c r="AD49" s="71">
        <f>IF(R49="",0,L49*N(E49))</f>
        <v>0.0</v>
      </c>
      <c r="AE49" s="71">
        <f>IF(R49="",0,M49*N(E49))</f>
        <v>0.0</v>
      </c>
      <c r="AF49" s="71">
        <f>IF(R49="",0,N49*N(E49))</f>
        <v>0.0</v>
      </c>
      <c r="AG49" s="71">
        <f>IF(R49="",0,O49*N(E49))</f>
        <v>0.0</v>
      </c>
      <c r="AH49" s="71">
        <f>IF(R49="",0,(N(G49)+N(H49)+N(I49)/D49)*N(E49))</f>
        <v>0.0</v>
      </c>
      <c r="AI49" s="71">
        <f>IF(R49="",0,P49*N(E49))</f>
        <v>0.0</v>
      </c>
      <c r="AJ49" s="71" t="str">
        <f>IF(AA49="","",COUNTIF(prod_ca,"&gt;"&amp;AA49)+COUNTIF(AA$6:AA49,AA49))</f>
        <v/>
      </c>
      <c r="AK49" s="71" t="str">
        <f>IF(OR(W49="Vendu à perte",W49="Sous la cible"),ROUND(U49,6),"")</f>
        <v/>
      </c>
      <c r="AL49" s="71" t="str">
        <f>IF(AK49="","",COUNTIF(prod_alk,"&lt;"&amp;AK49)+COUNTIF(AK$6:AK49,AK49))</f>
        <v/>
      </c>
    </row>
    <row r="50">
      <c r="A50" s="60" t="n"/>
      <c r="B50" s="60" t="n"/>
      <c r="C50" s="61" t="n"/>
      <c r="D50" s="62" t="n"/>
      <c r="E50" s="63" t="n"/>
      <c r="F50" s="64" t="n"/>
      <c r="G50" s="64" t="n"/>
      <c r="H50" s="64" t="n"/>
      <c r="I50" s="64" t="n"/>
      <c r="J50" s="65" t="n"/>
      <c r="K50" s="65" t="n"/>
      <c r="L50" s="66" t="str">
        <f>IF(X50="OK",SUMIF(bom_prod,A50,bom_cost),"")</f>
        <v/>
      </c>
      <c r="M50" s="66" t="str">
        <f>IF(X50="OK",SUMIF(gam_prod,A50,gam_mo),"")</f>
        <v/>
      </c>
      <c r="N50" s="66" t="str">
        <f>IF(X50="OK",SUMIF(gam_prod,A50,gam_mac),"")</f>
        <v/>
      </c>
      <c r="O50" s="66" t="str">
        <f>IF(X50="OK",SUMIF(gam_prod,A50,gam_setup)/D50,"")</f>
        <v/>
      </c>
      <c r="P50" s="66" t="str">
        <f>IF(X50="OK",(L50+M50+N50+O50+N(G50))*Y50,"")</f>
        <v/>
      </c>
      <c r="Q50" s="66" t="str">
        <f>IF(X50="OK",L50+M50+N50+O50+N(G50)+P50,"")</f>
        <v/>
      </c>
      <c r="R50" s="67" t="str">
        <f>IF(X50="OK",ROUND(Q50+N(H50)+N(I50)/D50,4),"")</f>
        <v/>
      </c>
      <c r="S50" s="66" t="str">
        <f>IF(X50="OK",ROUND(R50*(1+Z50),2),"")</f>
        <v/>
      </c>
      <c r="T50" s="66" t="str">
        <f>IF(AND(X50="OK",N(F50)&gt;0),F50-R50,"")</f>
        <v/>
      </c>
      <c r="U50" s="68" t="str">
        <f>IF(T50="","",IF(R50&lt;=0,"",T50/R50))</f>
        <v/>
      </c>
      <c r="V50" s="68" t="str">
        <f>IF(T50="","",T50/F50)</f>
        <v/>
      </c>
      <c r="W50" s="69" t="str">
        <f>IF(A50="","",IF(X50&lt;&gt;"OK","À corriger",IF(N(F50)&lt;=0,"Prix à saisir",IF(F50&lt;R50,"Vendu à perte",IF(F50&lt;S50,"Sous la cible","OK")))))</f>
        <v/>
      </c>
      <c r="X50" s="69" t="str">
        <f>IF(AND(A50="",COUNTA(B50:K50)=0),"",IF(A50="","Référence manquante",IF(COUNTIF($A$6:$A$305,A50)&gt;1,"Référence en double",IF(OR(NOT(ISNUMBER(D50)),N(D50)&lt;=0),"Taille de lot invalide",IF(AND(E50&lt;&gt;"",OR(NOT(ISNUMBER(E50)),N(E50)&lt;0)),"Volume annuel invalide",IF(AND(F50&lt;&gt;"",OR(NOT(ISNUMBER(F50)),N(F50)&lt;0)),"Prix de vente invalide",IF(OR(AND(G50&lt;&gt;"",OR(NOT(ISNUMBER(G50)),N(G50)&lt;0)),AND(H50&lt;&gt;"",OR(NOT(ISNUMBER(H50)),N(H50)&lt;0)),AND(I50&lt;&gt;"",OR(NOT(ISNUMBER(I50)),N(I50)&lt;0))),"Montant invalide",IF(OR(AND(J50&lt;&gt;"",OR(NOT(ISNUMBER(J50)),N(J50)&lt;0)),AND(K50&lt;&gt;"",OR(NOT(ISNUMBER(K50)),N(K50)&lt;0))),"Pourcentage invalide",IF(COUNTIF(bom_prod,A50)+COUNTIF(gam_prod,A50)=0,"Ni nomenclature ni gamme",IF(COUNTIFS(bom_prod,A50,bom_check,"&lt;&gt;OK")&gt;0,"Nomenclature à corriger",IF(COUNTIFS(gam_prod,A50,gam_check,"&lt;&gt;OK")&gt;0,"Gamme à corriger","OK")))))))))))</f>
        <v/>
      </c>
      <c r="Y50" s="70">
        <f>IF(J50="",N(p_fg),N(J50))</f>
        <v>0.15</v>
      </c>
      <c r="Z50" s="70">
        <f>IF(K50="",N(p_target),N(K50))</f>
        <v>0.25</v>
      </c>
      <c r="AA50" s="71" t="str">
        <f>IF(R50="","",IF(N(F50)&gt;0,ROUND(F50*N(E50),2),0))</f>
        <v/>
      </c>
      <c r="AB50" s="71">
        <f>IF(T50="",0,T50*N(E50))</f>
        <v>0.0</v>
      </c>
      <c r="AC50" s="71">
        <f>IF(T50="",0,R50*N(E50))</f>
        <v>0.0</v>
      </c>
      <c r="AD50" s="71">
        <f>IF(R50="",0,L50*N(E50))</f>
        <v>0.0</v>
      </c>
      <c r="AE50" s="71">
        <f>IF(R50="",0,M50*N(E50))</f>
        <v>0.0</v>
      </c>
      <c r="AF50" s="71">
        <f>IF(R50="",0,N50*N(E50))</f>
        <v>0.0</v>
      </c>
      <c r="AG50" s="71">
        <f>IF(R50="",0,O50*N(E50))</f>
        <v>0.0</v>
      </c>
      <c r="AH50" s="71">
        <f>IF(R50="",0,(N(G50)+N(H50)+N(I50)/D50)*N(E50))</f>
        <v>0.0</v>
      </c>
      <c r="AI50" s="71">
        <f>IF(R50="",0,P50*N(E50))</f>
        <v>0.0</v>
      </c>
      <c r="AJ50" s="71" t="str">
        <f>IF(AA50="","",COUNTIF(prod_ca,"&gt;"&amp;AA50)+COUNTIF(AA$6:AA50,AA50))</f>
        <v/>
      </c>
      <c r="AK50" s="71" t="str">
        <f>IF(OR(W50="Vendu à perte",W50="Sous la cible"),ROUND(U50,6),"")</f>
        <v/>
      </c>
      <c r="AL50" s="71" t="str">
        <f>IF(AK50="","",COUNTIF(prod_alk,"&lt;"&amp;AK50)+COUNTIF(AK$6:AK50,AK50))</f>
        <v/>
      </c>
    </row>
    <row r="51">
      <c r="A51" s="60" t="n"/>
      <c r="B51" s="60" t="n"/>
      <c r="C51" s="61" t="n"/>
      <c r="D51" s="62" t="n"/>
      <c r="E51" s="63" t="n"/>
      <c r="F51" s="64" t="n"/>
      <c r="G51" s="64" t="n"/>
      <c r="H51" s="64" t="n"/>
      <c r="I51" s="64" t="n"/>
      <c r="J51" s="65" t="n"/>
      <c r="K51" s="65" t="n"/>
      <c r="L51" s="66" t="str">
        <f>IF(X51="OK",SUMIF(bom_prod,A51,bom_cost),"")</f>
        <v/>
      </c>
      <c r="M51" s="66" t="str">
        <f>IF(X51="OK",SUMIF(gam_prod,A51,gam_mo),"")</f>
        <v/>
      </c>
      <c r="N51" s="66" t="str">
        <f>IF(X51="OK",SUMIF(gam_prod,A51,gam_mac),"")</f>
        <v/>
      </c>
      <c r="O51" s="66" t="str">
        <f>IF(X51="OK",SUMIF(gam_prod,A51,gam_setup)/D51,"")</f>
        <v/>
      </c>
      <c r="P51" s="66" t="str">
        <f>IF(X51="OK",(L51+M51+N51+O51+N(G51))*Y51,"")</f>
        <v/>
      </c>
      <c r="Q51" s="66" t="str">
        <f>IF(X51="OK",L51+M51+N51+O51+N(G51)+P51,"")</f>
        <v/>
      </c>
      <c r="R51" s="67" t="str">
        <f>IF(X51="OK",ROUND(Q51+N(H51)+N(I51)/D51,4),"")</f>
        <v/>
      </c>
      <c r="S51" s="66" t="str">
        <f>IF(X51="OK",ROUND(R51*(1+Z51),2),"")</f>
        <v/>
      </c>
      <c r="T51" s="66" t="str">
        <f>IF(AND(X51="OK",N(F51)&gt;0),F51-R51,"")</f>
        <v/>
      </c>
      <c r="U51" s="68" t="str">
        <f>IF(T51="","",IF(R51&lt;=0,"",T51/R51))</f>
        <v/>
      </c>
      <c r="V51" s="68" t="str">
        <f>IF(T51="","",T51/F51)</f>
        <v/>
      </c>
      <c r="W51" s="69" t="str">
        <f>IF(A51="","",IF(X51&lt;&gt;"OK","À corriger",IF(N(F51)&lt;=0,"Prix à saisir",IF(F51&lt;R51,"Vendu à perte",IF(F51&lt;S51,"Sous la cible","OK")))))</f>
        <v/>
      </c>
      <c r="X51" s="69" t="str">
        <f>IF(AND(A51="",COUNTA(B51:K51)=0),"",IF(A51="","Référence manquante",IF(COUNTIF($A$6:$A$305,A51)&gt;1,"Référence en double",IF(OR(NOT(ISNUMBER(D51)),N(D51)&lt;=0),"Taille de lot invalide",IF(AND(E51&lt;&gt;"",OR(NOT(ISNUMBER(E51)),N(E51)&lt;0)),"Volume annuel invalide",IF(AND(F51&lt;&gt;"",OR(NOT(ISNUMBER(F51)),N(F51)&lt;0)),"Prix de vente invalide",IF(OR(AND(G51&lt;&gt;"",OR(NOT(ISNUMBER(G51)),N(G51)&lt;0)),AND(H51&lt;&gt;"",OR(NOT(ISNUMBER(H51)),N(H51)&lt;0)),AND(I51&lt;&gt;"",OR(NOT(ISNUMBER(I51)),N(I51)&lt;0))),"Montant invalide",IF(OR(AND(J51&lt;&gt;"",OR(NOT(ISNUMBER(J51)),N(J51)&lt;0)),AND(K51&lt;&gt;"",OR(NOT(ISNUMBER(K51)),N(K51)&lt;0))),"Pourcentage invalide",IF(COUNTIF(bom_prod,A51)+COUNTIF(gam_prod,A51)=0,"Ni nomenclature ni gamme",IF(COUNTIFS(bom_prod,A51,bom_check,"&lt;&gt;OK")&gt;0,"Nomenclature à corriger",IF(COUNTIFS(gam_prod,A51,gam_check,"&lt;&gt;OK")&gt;0,"Gamme à corriger","OK")))))))))))</f>
        <v/>
      </c>
      <c r="Y51" s="70">
        <f>IF(J51="",N(p_fg),N(J51))</f>
        <v>0.15</v>
      </c>
      <c r="Z51" s="70">
        <f>IF(K51="",N(p_target),N(K51))</f>
        <v>0.25</v>
      </c>
      <c r="AA51" s="71" t="str">
        <f>IF(R51="","",IF(N(F51)&gt;0,ROUND(F51*N(E51),2),0))</f>
        <v/>
      </c>
      <c r="AB51" s="71">
        <f>IF(T51="",0,T51*N(E51))</f>
        <v>0.0</v>
      </c>
      <c r="AC51" s="71">
        <f>IF(T51="",0,R51*N(E51))</f>
        <v>0.0</v>
      </c>
      <c r="AD51" s="71">
        <f>IF(R51="",0,L51*N(E51))</f>
        <v>0.0</v>
      </c>
      <c r="AE51" s="71">
        <f>IF(R51="",0,M51*N(E51))</f>
        <v>0.0</v>
      </c>
      <c r="AF51" s="71">
        <f>IF(R51="",0,N51*N(E51))</f>
        <v>0.0</v>
      </c>
      <c r="AG51" s="71">
        <f>IF(R51="",0,O51*N(E51))</f>
        <v>0.0</v>
      </c>
      <c r="AH51" s="71">
        <f>IF(R51="",0,(N(G51)+N(H51)+N(I51)/D51)*N(E51))</f>
        <v>0.0</v>
      </c>
      <c r="AI51" s="71">
        <f>IF(R51="",0,P51*N(E51))</f>
        <v>0.0</v>
      </c>
      <c r="AJ51" s="71" t="str">
        <f>IF(AA51="","",COUNTIF(prod_ca,"&gt;"&amp;AA51)+COUNTIF(AA$6:AA51,AA51))</f>
        <v/>
      </c>
      <c r="AK51" s="71" t="str">
        <f>IF(OR(W51="Vendu à perte",W51="Sous la cible"),ROUND(U51,6),"")</f>
        <v/>
      </c>
      <c r="AL51" s="71" t="str">
        <f>IF(AK51="","",COUNTIF(prod_alk,"&lt;"&amp;AK51)+COUNTIF(AK$6:AK51,AK51))</f>
        <v/>
      </c>
    </row>
    <row r="52">
      <c r="A52" s="60" t="n"/>
      <c r="B52" s="60" t="n"/>
      <c r="C52" s="61" t="n"/>
      <c r="D52" s="62" t="n"/>
      <c r="E52" s="63" t="n"/>
      <c r="F52" s="64" t="n"/>
      <c r="G52" s="64" t="n"/>
      <c r="H52" s="64" t="n"/>
      <c r="I52" s="64" t="n"/>
      <c r="J52" s="65" t="n"/>
      <c r="K52" s="65" t="n"/>
      <c r="L52" s="66" t="str">
        <f>IF(X52="OK",SUMIF(bom_prod,A52,bom_cost),"")</f>
        <v/>
      </c>
      <c r="M52" s="66" t="str">
        <f>IF(X52="OK",SUMIF(gam_prod,A52,gam_mo),"")</f>
        <v/>
      </c>
      <c r="N52" s="66" t="str">
        <f>IF(X52="OK",SUMIF(gam_prod,A52,gam_mac),"")</f>
        <v/>
      </c>
      <c r="O52" s="66" t="str">
        <f>IF(X52="OK",SUMIF(gam_prod,A52,gam_setup)/D52,"")</f>
        <v/>
      </c>
      <c r="P52" s="66" t="str">
        <f>IF(X52="OK",(L52+M52+N52+O52+N(G52))*Y52,"")</f>
        <v/>
      </c>
      <c r="Q52" s="66" t="str">
        <f>IF(X52="OK",L52+M52+N52+O52+N(G52)+P52,"")</f>
        <v/>
      </c>
      <c r="R52" s="67" t="str">
        <f>IF(X52="OK",ROUND(Q52+N(H52)+N(I52)/D52,4),"")</f>
        <v/>
      </c>
      <c r="S52" s="66" t="str">
        <f>IF(X52="OK",ROUND(R52*(1+Z52),2),"")</f>
        <v/>
      </c>
      <c r="T52" s="66" t="str">
        <f>IF(AND(X52="OK",N(F52)&gt;0),F52-R52,"")</f>
        <v/>
      </c>
      <c r="U52" s="68" t="str">
        <f>IF(T52="","",IF(R52&lt;=0,"",T52/R52))</f>
        <v/>
      </c>
      <c r="V52" s="68" t="str">
        <f>IF(T52="","",T52/F52)</f>
        <v/>
      </c>
      <c r="W52" s="69" t="str">
        <f>IF(A52="","",IF(X52&lt;&gt;"OK","À corriger",IF(N(F52)&lt;=0,"Prix à saisir",IF(F52&lt;R52,"Vendu à perte",IF(F52&lt;S52,"Sous la cible","OK")))))</f>
        <v/>
      </c>
      <c r="X52" s="69" t="str">
        <f>IF(AND(A52="",COUNTA(B52:K52)=0),"",IF(A52="","Référence manquante",IF(COUNTIF($A$6:$A$305,A52)&gt;1,"Référence en double",IF(OR(NOT(ISNUMBER(D52)),N(D52)&lt;=0),"Taille de lot invalide",IF(AND(E52&lt;&gt;"",OR(NOT(ISNUMBER(E52)),N(E52)&lt;0)),"Volume annuel invalide",IF(AND(F52&lt;&gt;"",OR(NOT(ISNUMBER(F52)),N(F52)&lt;0)),"Prix de vente invalide",IF(OR(AND(G52&lt;&gt;"",OR(NOT(ISNUMBER(G52)),N(G52)&lt;0)),AND(H52&lt;&gt;"",OR(NOT(ISNUMBER(H52)),N(H52)&lt;0)),AND(I52&lt;&gt;"",OR(NOT(ISNUMBER(I52)),N(I52)&lt;0))),"Montant invalide",IF(OR(AND(J52&lt;&gt;"",OR(NOT(ISNUMBER(J52)),N(J52)&lt;0)),AND(K52&lt;&gt;"",OR(NOT(ISNUMBER(K52)),N(K52)&lt;0))),"Pourcentage invalide",IF(COUNTIF(bom_prod,A52)+COUNTIF(gam_prod,A52)=0,"Ni nomenclature ni gamme",IF(COUNTIFS(bom_prod,A52,bom_check,"&lt;&gt;OK")&gt;0,"Nomenclature à corriger",IF(COUNTIFS(gam_prod,A52,gam_check,"&lt;&gt;OK")&gt;0,"Gamme à corriger","OK")))))))))))</f>
        <v/>
      </c>
      <c r="Y52" s="70">
        <f>IF(J52="",N(p_fg),N(J52))</f>
        <v>0.15</v>
      </c>
      <c r="Z52" s="70">
        <f>IF(K52="",N(p_target),N(K52))</f>
        <v>0.25</v>
      </c>
      <c r="AA52" s="71" t="str">
        <f>IF(R52="","",IF(N(F52)&gt;0,ROUND(F52*N(E52),2),0))</f>
        <v/>
      </c>
      <c r="AB52" s="71">
        <f>IF(T52="",0,T52*N(E52))</f>
        <v>0.0</v>
      </c>
      <c r="AC52" s="71">
        <f>IF(T52="",0,R52*N(E52))</f>
        <v>0.0</v>
      </c>
      <c r="AD52" s="71">
        <f>IF(R52="",0,L52*N(E52))</f>
        <v>0.0</v>
      </c>
      <c r="AE52" s="71">
        <f>IF(R52="",0,M52*N(E52))</f>
        <v>0.0</v>
      </c>
      <c r="AF52" s="71">
        <f>IF(R52="",0,N52*N(E52))</f>
        <v>0.0</v>
      </c>
      <c r="AG52" s="71">
        <f>IF(R52="",0,O52*N(E52))</f>
        <v>0.0</v>
      </c>
      <c r="AH52" s="71">
        <f>IF(R52="",0,(N(G52)+N(H52)+N(I52)/D52)*N(E52))</f>
        <v>0.0</v>
      </c>
      <c r="AI52" s="71">
        <f>IF(R52="",0,P52*N(E52))</f>
        <v>0.0</v>
      </c>
      <c r="AJ52" s="71" t="str">
        <f>IF(AA52="","",COUNTIF(prod_ca,"&gt;"&amp;AA52)+COUNTIF(AA$6:AA52,AA52))</f>
        <v/>
      </c>
      <c r="AK52" s="71" t="str">
        <f>IF(OR(W52="Vendu à perte",W52="Sous la cible"),ROUND(U52,6),"")</f>
        <v/>
      </c>
      <c r="AL52" s="71" t="str">
        <f>IF(AK52="","",COUNTIF(prod_alk,"&lt;"&amp;AK52)+COUNTIF(AK$6:AK52,AK52))</f>
        <v/>
      </c>
    </row>
    <row r="53">
      <c r="A53" s="60" t="n"/>
      <c r="B53" s="60" t="n"/>
      <c r="C53" s="61" t="n"/>
      <c r="D53" s="62" t="n"/>
      <c r="E53" s="63" t="n"/>
      <c r="F53" s="64" t="n"/>
      <c r="G53" s="64" t="n"/>
      <c r="H53" s="64" t="n"/>
      <c r="I53" s="64" t="n"/>
      <c r="J53" s="65" t="n"/>
      <c r="K53" s="65" t="n"/>
      <c r="L53" s="66" t="str">
        <f>IF(X53="OK",SUMIF(bom_prod,A53,bom_cost),"")</f>
        <v/>
      </c>
      <c r="M53" s="66" t="str">
        <f>IF(X53="OK",SUMIF(gam_prod,A53,gam_mo),"")</f>
        <v/>
      </c>
      <c r="N53" s="66" t="str">
        <f>IF(X53="OK",SUMIF(gam_prod,A53,gam_mac),"")</f>
        <v/>
      </c>
      <c r="O53" s="66" t="str">
        <f>IF(X53="OK",SUMIF(gam_prod,A53,gam_setup)/D53,"")</f>
        <v/>
      </c>
      <c r="P53" s="66" t="str">
        <f>IF(X53="OK",(L53+M53+N53+O53+N(G53))*Y53,"")</f>
        <v/>
      </c>
      <c r="Q53" s="66" t="str">
        <f>IF(X53="OK",L53+M53+N53+O53+N(G53)+P53,"")</f>
        <v/>
      </c>
      <c r="R53" s="67" t="str">
        <f>IF(X53="OK",ROUND(Q53+N(H53)+N(I53)/D53,4),"")</f>
        <v/>
      </c>
      <c r="S53" s="66" t="str">
        <f>IF(X53="OK",ROUND(R53*(1+Z53),2),"")</f>
        <v/>
      </c>
      <c r="T53" s="66" t="str">
        <f>IF(AND(X53="OK",N(F53)&gt;0),F53-R53,"")</f>
        <v/>
      </c>
      <c r="U53" s="68" t="str">
        <f>IF(T53="","",IF(R53&lt;=0,"",T53/R53))</f>
        <v/>
      </c>
      <c r="V53" s="68" t="str">
        <f>IF(T53="","",T53/F53)</f>
        <v/>
      </c>
      <c r="W53" s="69" t="str">
        <f>IF(A53="","",IF(X53&lt;&gt;"OK","À corriger",IF(N(F53)&lt;=0,"Prix à saisir",IF(F53&lt;R53,"Vendu à perte",IF(F53&lt;S53,"Sous la cible","OK")))))</f>
        <v/>
      </c>
      <c r="X53" s="69" t="str">
        <f>IF(AND(A53="",COUNTA(B53:K53)=0),"",IF(A53="","Référence manquante",IF(COUNTIF($A$6:$A$305,A53)&gt;1,"Référence en double",IF(OR(NOT(ISNUMBER(D53)),N(D53)&lt;=0),"Taille de lot invalide",IF(AND(E53&lt;&gt;"",OR(NOT(ISNUMBER(E53)),N(E53)&lt;0)),"Volume annuel invalide",IF(AND(F53&lt;&gt;"",OR(NOT(ISNUMBER(F53)),N(F53)&lt;0)),"Prix de vente invalide",IF(OR(AND(G53&lt;&gt;"",OR(NOT(ISNUMBER(G53)),N(G53)&lt;0)),AND(H53&lt;&gt;"",OR(NOT(ISNUMBER(H53)),N(H53)&lt;0)),AND(I53&lt;&gt;"",OR(NOT(ISNUMBER(I53)),N(I53)&lt;0))),"Montant invalide",IF(OR(AND(J53&lt;&gt;"",OR(NOT(ISNUMBER(J53)),N(J53)&lt;0)),AND(K53&lt;&gt;"",OR(NOT(ISNUMBER(K53)),N(K53)&lt;0))),"Pourcentage invalide",IF(COUNTIF(bom_prod,A53)+COUNTIF(gam_prod,A53)=0,"Ni nomenclature ni gamme",IF(COUNTIFS(bom_prod,A53,bom_check,"&lt;&gt;OK")&gt;0,"Nomenclature à corriger",IF(COUNTIFS(gam_prod,A53,gam_check,"&lt;&gt;OK")&gt;0,"Gamme à corriger","OK")))))))))))</f>
        <v/>
      </c>
      <c r="Y53" s="70">
        <f>IF(J53="",N(p_fg),N(J53))</f>
        <v>0.15</v>
      </c>
      <c r="Z53" s="70">
        <f>IF(K53="",N(p_target),N(K53))</f>
        <v>0.25</v>
      </c>
      <c r="AA53" s="71" t="str">
        <f>IF(R53="","",IF(N(F53)&gt;0,ROUND(F53*N(E53),2),0))</f>
        <v/>
      </c>
      <c r="AB53" s="71">
        <f>IF(T53="",0,T53*N(E53))</f>
        <v>0.0</v>
      </c>
      <c r="AC53" s="71">
        <f>IF(T53="",0,R53*N(E53))</f>
        <v>0.0</v>
      </c>
      <c r="AD53" s="71">
        <f>IF(R53="",0,L53*N(E53))</f>
        <v>0.0</v>
      </c>
      <c r="AE53" s="71">
        <f>IF(R53="",0,M53*N(E53))</f>
        <v>0.0</v>
      </c>
      <c r="AF53" s="71">
        <f>IF(R53="",0,N53*N(E53))</f>
        <v>0.0</v>
      </c>
      <c r="AG53" s="71">
        <f>IF(R53="",0,O53*N(E53))</f>
        <v>0.0</v>
      </c>
      <c r="AH53" s="71">
        <f>IF(R53="",0,(N(G53)+N(H53)+N(I53)/D53)*N(E53))</f>
        <v>0.0</v>
      </c>
      <c r="AI53" s="71">
        <f>IF(R53="",0,P53*N(E53))</f>
        <v>0.0</v>
      </c>
      <c r="AJ53" s="71" t="str">
        <f>IF(AA53="","",COUNTIF(prod_ca,"&gt;"&amp;AA53)+COUNTIF(AA$6:AA53,AA53))</f>
        <v/>
      </c>
      <c r="AK53" s="71" t="str">
        <f>IF(OR(W53="Vendu à perte",W53="Sous la cible"),ROUND(U53,6),"")</f>
        <v/>
      </c>
      <c r="AL53" s="71" t="str">
        <f>IF(AK53="","",COUNTIF(prod_alk,"&lt;"&amp;AK53)+COUNTIF(AK$6:AK53,AK53))</f>
        <v/>
      </c>
    </row>
    <row r="54">
      <c r="A54" s="60" t="n"/>
      <c r="B54" s="60" t="n"/>
      <c r="C54" s="61" t="n"/>
      <c r="D54" s="62" t="n"/>
      <c r="E54" s="63" t="n"/>
      <c r="F54" s="64" t="n"/>
      <c r="G54" s="64" t="n"/>
      <c r="H54" s="64" t="n"/>
      <c r="I54" s="64" t="n"/>
      <c r="J54" s="65" t="n"/>
      <c r="K54" s="65" t="n"/>
      <c r="L54" s="66" t="str">
        <f>IF(X54="OK",SUMIF(bom_prod,A54,bom_cost),"")</f>
        <v/>
      </c>
      <c r="M54" s="66" t="str">
        <f>IF(X54="OK",SUMIF(gam_prod,A54,gam_mo),"")</f>
        <v/>
      </c>
      <c r="N54" s="66" t="str">
        <f>IF(X54="OK",SUMIF(gam_prod,A54,gam_mac),"")</f>
        <v/>
      </c>
      <c r="O54" s="66" t="str">
        <f>IF(X54="OK",SUMIF(gam_prod,A54,gam_setup)/D54,"")</f>
        <v/>
      </c>
      <c r="P54" s="66" t="str">
        <f>IF(X54="OK",(L54+M54+N54+O54+N(G54))*Y54,"")</f>
        <v/>
      </c>
      <c r="Q54" s="66" t="str">
        <f>IF(X54="OK",L54+M54+N54+O54+N(G54)+P54,"")</f>
        <v/>
      </c>
      <c r="R54" s="67" t="str">
        <f>IF(X54="OK",ROUND(Q54+N(H54)+N(I54)/D54,4),"")</f>
        <v/>
      </c>
      <c r="S54" s="66" t="str">
        <f>IF(X54="OK",ROUND(R54*(1+Z54),2),"")</f>
        <v/>
      </c>
      <c r="T54" s="66" t="str">
        <f>IF(AND(X54="OK",N(F54)&gt;0),F54-R54,"")</f>
        <v/>
      </c>
      <c r="U54" s="68" t="str">
        <f>IF(T54="","",IF(R54&lt;=0,"",T54/R54))</f>
        <v/>
      </c>
      <c r="V54" s="68" t="str">
        <f>IF(T54="","",T54/F54)</f>
        <v/>
      </c>
      <c r="W54" s="69" t="str">
        <f>IF(A54="","",IF(X54&lt;&gt;"OK","À corriger",IF(N(F54)&lt;=0,"Prix à saisir",IF(F54&lt;R54,"Vendu à perte",IF(F54&lt;S54,"Sous la cible","OK")))))</f>
        <v/>
      </c>
      <c r="X54" s="69" t="str">
        <f>IF(AND(A54="",COUNTA(B54:K54)=0),"",IF(A54="","Référence manquante",IF(COUNTIF($A$6:$A$305,A54)&gt;1,"Référence en double",IF(OR(NOT(ISNUMBER(D54)),N(D54)&lt;=0),"Taille de lot invalide",IF(AND(E54&lt;&gt;"",OR(NOT(ISNUMBER(E54)),N(E54)&lt;0)),"Volume annuel invalide",IF(AND(F54&lt;&gt;"",OR(NOT(ISNUMBER(F54)),N(F54)&lt;0)),"Prix de vente invalide",IF(OR(AND(G54&lt;&gt;"",OR(NOT(ISNUMBER(G54)),N(G54)&lt;0)),AND(H54&lt;&gt;"",OR(NOT(ISNUMBER(H54)),N(H54)&lt;0)),AND(I54&lt;&gt;"",OR(NOT(ISNUMBER(I54)),N(I54)&lt;0))),"Montant invalide",IF(OR(AND(J54&lt;&gt;"",OR(NOT(ISNUMBER(J54)),N(J54)&lt;0)),AND(K54&lt;&gt;"",OR(NOT(ISNUMBER(K54)),N(K54)&lt;0))),"Pourcentage invalide",IF(COUNTIF(bom_prod,A54)+COUNTIF(gam_prod,A54)=0,"Ni nomenclature ni gamme",IF(COUNTIFS(bom_prod,A54,bom_check,"&lt;&gt;OK")&gt;0,"Nomenclature à corriger",IF(COUNTIFS(gam_prod,A54,gam_check,"&lt;&gt;OK")&gt;0,"Gamme à corriger","OK")))))))))))</f>
        <v/>
      </c>
      <c r="Y54" s="70">
        <f>IF(J54="",N(p_fg),N(J54))</f>
        <v>0.15</v>
      </c>
      <c r="Z54" s="70">
        <f>IF(K54="",N(p_target),N(K54))</f>
        <v>0.25</v>
      </c>
      <c r="AA54" s="71" t="str">
        <f>IF(R54="","",IF(N(F54)&gt;0,ROUND(F54*N(E54),2),0))</f>
        <v/>
      </c>
      <c r="AB54" s="71">
        <f>IF(T54="",0,T54*N(E54))</f>
        <v>0.0</v>
      </c>
      <c r="AC54" s="71">
        <f>IF(T54="",0,R54*N(E54))</f>
        <v>0.0</v>
      </c>
      <c r="AD54" s="71">
        <f>IF(R54="",0,L54*N(E54))</f>
        <v>0.0</v>
      </c>
      <c r="AE54" s="71">
        <f>IF(R54="",0,M54*N(E54))</f>
        <v>0.0</v>
      </c>
      <c r="AF54" s="71">
        <f>IF(R54="",0,N54*N(E54))</f>
        <v>0.0</v>
      </c>
      <c r="AG54" s="71">
        <f>IF(R54="",0,O54*N(E54))</f>
        <v>0.0</v>
      </c>
      <c r="AH54" s="71">
        <f>IF(R54="",0,(N(G54)+N(H54)+N(I54)/D54)*N(E54))</f>
        <v>0.0</v>
      </c>
      <c r="AI54" s="71">
        <f>IF(R54="",0,P54*N(E54))</f>
        <v>0.0</v>
      </c>
      <c r="AJ54" s="71" t="str">
        <f>IF(AA54="","",COUNTIF(prod_ca,"&gt;"&amp;AA54)+COUNTIF(AA$6:AA54,AA54))</f>
        <v/>
      </c>
      <c r="AK54" s="71" t="str">
        <f>IF(OR(W54="Vendu à perte",W54="Sous la cible"),ROUND(U54,6),"")</f>
        <v/>
      </c>
      <c r="AL54" s="71" t="str">
        <f>IF(AK54="","",COUNTIF(prod_alk,"&lt;"&amp;AK54)+COUNTIF(AK$6:AK54,AK54))</f>
        <v/>
      </c>
    </row>
    <row r="55">
      <c r="A55" s="60" t="n"/>
      <c r="B55" s="60" t="n"/>
      <c r="C55" s="61" t="n"/>
      <c r="D55" s="62" t="n"/>
      <c r="E55" s="63" t="n"/>
      <c r="F55" s="64" t="n"/>
      <c r="G55" s="64" t="n"/>
      <c r="H55" s="64" t="n"/>
      <c r="I55" s="64" t="n"/>
      <c r="J55" s="65" t="n"/>
      <c r="K55" s="65" t="n"/>
      <c r="L55" s="66" t="str">
        <f>IF(X55="OK",SUMIF(bom_prod,A55,bom_cost),"")</f>
        <v/>
      </c>
      <c r="M55" s="66" t="str">
        <f>IF(X55="OK",SUMIF(gam_prod,A55,gam_mo),"")</f>
        <v/>
      </c>
      <c r="N55" s="66" t="str">
        <f>IF(X55="OK",SUMIF(gam_prod,A55,gam_mac),"")</f>
        <v/>
      </c>
      <c r="O55" s="66" t="str">
        <f>IF(X55="OK",SUMIF(gam_prod,A55,gam_setup)/D55,"")</f>
        <v/>
      </c>
      <c r="P55" s="66" t="str">
        <f>IF(X55="OK",(L55+M55+N55+O55+N(G55))*Y55,"")</f>
        <v/>
      </c>
      <c r="Q55" s="66" t="str">
        <f>IF(X55="OK",L55+M55+N55+O55+N(G55)+P55,"")</f>
        <v/>
      </c>
      <c r="R55" s="67" t="str">
        <f>IF(X55="OK",ROUND(Q55+N(H55)+N(I55)/D55,4),"")</f>
        <v/>
      </c>
      <c r="S55" s="66" t="str">
        <f>IF(X55="OK",ROUND(R55*(1+Z55),2),"")</f>
        <v/>
      </c>
      <c r="T55" s="66" t="str">
        <f>IF(AND(X55="OK",N(F55)&gt;0),F55-R55,"")</f>
        <v/>
      </c>
      <c r="U55" s="68" t="str">
        <f>IF(T55="","",IF(R55&lt;=0,"",T55/R55))</f>
        <v/>
      </c>
      <c r="V55" s="68" t="str">
        <f>IF(T55="","",T55/F55)</f>
        <v/>
      </c>
      <c r="W55" s="69" t="str">
        <f>IF(A55="","",IF(X55&lt;&gt;"OK","À corriger",IF(N(F55)&lt;=0,"Prix à saisir",IF(F55&lt;R55,"Vendu à perte",IF(F55&lt;S55,"Sous la cible","OK")))))</f>
        <v/>
      </c>
      <c r="X55" s="69" t="str">
        <f>IF(AND(A55="",COUNTA(B55:K55)=0),"",IF(A55="","Référence manquante",IF(COUNTIF($A$6:$A$305,A55)&gt;1,"Référence en double",IF(OR(NOT(ISNUMBER(D55)),N(D55)&lt;=0),"Taille de lot invalide",IF(AND(E55&lt;&gt;"",OR(NOT(ISNUMBER(E55)),N(E55)&lt;0)),"Volume annuel invalide",IF(AND(F55&lt;&gt;"",OR(NOT(ISNUMBER(F55)),N(F55)&lt;0)),"Prix de vente invalide",IF(OR(AND(G55&lt;&gt;"",OR(NOT(ISNUMBER(G55)),N(G55)&lt;0)),AND(H55&lt;&gt;"",OR(NOT(ISNUMBER(H55)),N(H55)&lt;0)),AND(I55&lt;&gt;"",OR(NOT(ISNUMBER(I55)),N(I55)&lt;0))),"Montant invalide",IF(OR(AND(J55&lt;&gt;"",OR(NOT(ISNUMBER(J55)),N(J55)&lt;0)),AND(K55&lt;&gt;"",OR(NOT(ISNUMBER(K55)),N(K55)&lt;0))),"Pourcentage invalide",IF(COUNTIF(bom_prod,A55)+COUNTIF(gam_prod,A55)=0,"Ni nomenclature ni gamme",IF(COUNTIFS(bom_prod,A55,bom_check,"&lt;&gt;OK")&gt;0,"Nomenclature à corriger",IF(COUNTIFS(gam_prod,A55,gam_check,"&lt;&gt;OK")&gt;0,"Gamme à corriger","OK")))))))))))</f>
        <v/>
      </c>
      <c r="Y55" s="70">
        <f>IF(J55="",N(p_fg),N(J55))</f>
        <v>0.15</v>
      </c>
      <c r="Z55" s="70">
        <f>IF(K55="",N(p_target),N(K55))</f>
        <v>0.25</v>
      </c>
      <c r="AA55" s="71" t="str">
        <f>IF(R55="","",IF(N(F55)&gt;0,ROUND(F55*N(E55),2),0))</f>
        <v/>
      </c>
      <c r="AB55" s="71">
        <f>IF(T55="",0,T55*N(E55))</f>
        <v>0.0</v>
      </c>
      <c r="AC55" s="71">
        <f>IF(T55="",0,R55*N(E55))</f>
        <v>0.0</v>
      </c>
      <c r="AD55" s="71">
        <f>IF(R55="",0,L55*N(E55))</f>
        <v>0.0</v>
      </c>
      <c r="AE55" s="71">
        <f>IF(R55="",0,M55*N(E55))</f>
        <v>0.0</v>
      </c>
      <c r="AF55" s="71">
        <f>IF(R55="",0,N55*N(E55))</f>
        <v>0.0</v>
      </c>
      <c r="AG55" s="71">
        <f>IF(R55="",0,O55*N(E55))</f>
        <v>0.0</v>
      </c>
      <c r="AH55" s="71">
        <f>IF(R55="",0,(N(G55)+N(H55)+N(I55)/D55)*N(E55))</f>
        <v>0.0</v>
      </c>
      <c r="AI55" s="71">
        <f>IF(R55="",0,P55*N(E55))</f>
        <v>0.0</v>
      </c>
      <c r="AJ55" s="71" t="str">
        <f>IF(AA55="","",COUNTIF(prod_ca,"&gt;"&amp;AA55)+COUNTIF(AA$6:AA55,AA55))</f>
        <v/>
      </c>
      <c r="AK55" s="71" t="str">
        <f>IF(OR(W55="Vendu à perte",W55="Sous la cible"),ROUND(U55,6),"")</f>
        <v/>
      </c>
      <c r="AL55" s="71" t="str">
        <f>IF(AK55="","",COUNTIF(prod_alk,"&lt;"&amp;AK55)+COUNTIF(AK$6:AK55,AK55))</f>
        <v/>
      </c>
    </row>
    <row r="56">
      <c r="A56" s="60" t="n"/>
      <c r="B56" s="60" t="n"/>
      <c r="C56" s="61" t="n"/>
      <c r="D56" s="62" t="n"/>
      <c r="E56" s="63" t="n"/>
      <c r="F56" s="64" t="n"/>
      <c r="G56" s="64" t="n"/>
      <c r="H56" s="64" t="n"/>
      <c r="I56" s="64" t="n"/>
      <c r="J56" s="65" t="n"/>
      <c r="K56" s="65" t="n"/>
      <c r="L56" s="66" t="str">
        <f>IF(X56="OK",SUMIF(bom_prod,A56,bom_cost),"")</f>
        <v/>
      </c>
      <c r="M56" s="66" t="str">
        <f>IF(X56="OK",SUMIF(gam_prod,A56,gam_mo),"")</f>
        <v/>
      </c>
      <c r="N56" s="66" t="str">
        <f>IF(X56="OK",SUMIF(gam_prod,A56,gam_mac),"")</f>
        <v/>
      </c>
      <c r="O56" s="66" t="str">
        <f>IF(X56="OK",SUMIF(gam_prod,A56,gam_setup)/D56,"")</f>
        <v/>
      </c>
      <c r="P56" s="66" t="str">
        <f>IF(X56="OK",(L56+M56+N56+O56+N(G56))*Y56,"")</f>
        <v/>
      </c>
      <c r="Q56" s="66" t="str">
        <f>IF(X56="OK",L56+M56+N56+O56+N(G56)+P56,"")</f>
        <v/>
      </c>
      <c r="R56" s="67" t="str">
        <f>IF(X56="OK",ROUND(Q56+N(H56)+N(I56)/D56,4),"")</f>
        <v/>
      </c>
      <c r="S56" s="66" t="str">
        <f>IF(X56="OK",ROUND(R56*(1+Z56),2),"")</f>
        <v/>
      </c>
      <c r="T56" s="66" t="str">
        <f>IF(AND(X56="OK",N(F56)&gt;0),F56-R56,"")</f>
        <v/>
      </c>
      <c r="U56" s="68" t="str">
        <f>IF(T56="","",IF(R56&lt;=0,"",T56/R56))</f>
        <v/>
      </c>
      <c r="V56" s="68" t="str">
        <f>IF(T56="","",T56/F56)</f>
        <v/>
      </c>
      <c r="W56" s="69" t="str">
        <f>IF(A56="","",IF(X56&lt;&gt;"OK","À corriger",IF(N(F56)&lt;=0,"Prix à saisir",IF(F56&lt;R56,"Vendu à perte",IF(F56&lt;S56,"Sous la cible","OK")))))</f>
        <v/>
      </c>
      <c r="X56" s="69" t="str">
        <f>IF(AND(A56="",COUNTA(B56:K56)=0),"",IF(A56="","Référence manquante",IF(COUNTIF($A$6:$A$305,A56)&gt;1,"Référence en double",IF(OR(NOT(ISNUMBER(D56)),N(D56)&lt;=0),"Taille de lot invalide",IF(AND(E56&lt;&gt;"",OR(NOT(ISNUMBER(E56)),N(E56)&lt;0)),"Volume annuel invalide",IF(AND(F56&lt;&gt;"",OR(NOT(ISNUMBER(F56)),N(F56)&lt;0)),"Prix de vente invalide",IF(OR(AND(G56&lt;&gt;"",OR(NOT(ISNUMBER(G56)),N(G56)&lt;0)),AND(H56&lt;&gt;"",OR(NOT(ISNUMBER(H56)),N(H56)&lt;0)),AND(I56&lt;&gt;"",OR(NOT(ISNUMBER(I56)),N(I56)&lt;0))),"Montant invalide",IF(OR(AND(J56&lt;&gt;"",OR(NOT(ISNUMBER(J56)),N(J56)&lt;0)),AND(K56&lt;&gt;"",OR(NOT(ISNUMBER(K56)),N(K56)&lt;0))),"Pourcentage invalide",IF(COUNTIF(bom_prod,A56)+COUNTIF(gam_prod,A56)=0,"Ni nomenclature ni gamme",IF(COUNTIFS(bom_prod,A56,bom_check,"&lt;&gt;OK")&gt;0,"Nomenclature à corriger",IF(COUNTIFS(gam_prod,A56,gam_check,"&lt;&gt;OK")&gt;0,"Gamme à corriger","OK")))))))))))</f>
        <v/>
      </c>
      <c r="Y56" s="70">
        <f>IF(J56="",N(p_fg),N(J56))</f>
        <v>0.15</v>
      </c>
      <c r="Z56" s="70">
        <f>IF(K56="",N(p_target),N(K56))</f>
        <v>0.25</v>
      </c>
      <c r="AA56" s="71" t="str">
        <f>IF(R56="","",IF(N(F56)&gt;0,ROUND(F56*N(E56),2),0))</f>
        <v/>
      </c>
      <c r="AB56" s="71">
        <f>IF(T56="",0,T56*N(E56))</f>
        <v>0.0</v>
      </c>
      <c r="AC56" s="71">
        <f>IF(T56="",0,R56*N(E56))</f>
        <v>0.0</v>
      </c>
      <c r="AD56" s="71">
        <f>IF(R56="",0,L56*N(E56))</f>
        <v>0.0</v>
      </c>
      <c r="AE56" s="71">
        <f>IF(R56="",0,M56*N(E56))</f>
        <v>0.0</v>
      </c>
      <c r="AF56" s="71">
        <f>IF(R56="",0,N56*N(E56))</f>
        <v>0.0</v>
      </c>
      <c r="AG56" s="71">
        <f>IF(R56="",0,O56*N(E56))</f>
        <v>0.0</v>
      </c>
      <c r="AH56" s="71">
        <f>IF(R56="",0,(N(G56)+N(H56)+N(I56)/D56)*N(E56))</f>
        <v>0.0</v>
      </c>
      <c r="AI56" s="71">
        <f>IF(R56="",0,P56*N(E56))</f>
        <v>0.0</v>
      </c>
      <c r="AJ56" s="71" t="str">
        <f>IF(AA56="","",COUNTIF(prod_ca,"&gt;"&amp;AA56)+COUNTIF(AA$6:AA56,AA56))</f>
        <v/>
      </c>
      <c r="AK56" s="71" t="str">
        <f>IF(OR(W56="Vendu à perte",W56="Sous la cible"),ROUND(U56,6),"")</f>
        <v/>
      </c>
      <c r="AL56" s="71" t="str">
        <f>IF(AK56="","",COUNTIF(prod_alk,"&lt;"&amp;AK56)+COUNTIF(AK$6:AK56,AK56))</f>
        <v/>
      </c>
    </row>
    <row r="57">
      <c r="A57" s="60" t="n"/>
      <c r="B57" s="60" t="n"/>
      <c r="C57" s="61" t="n"/>
      <c r="D57" s="62" t="n"/>
      <c r="E57" s="63" t="n"/>
      <c r="F57" s="64" t="n"/>
      <c r="G57" s="64" t="n"/>
      <c r="H57" s="64" t="n"/>
      <c r="I57" s="64" t="n"/>
      <c r="J57" s="65" t="n"/>
      <c r="K57" s="65" t="n"/>
      <c r="L57" s="66" t="str">
        <f>IF(X57="OK",SUMIF(bom_prod,A57,bom_cost),"")</f>
        <v/>
      </c>
      <c r="M57" s="66" t="str">
        <f>IF(X57="OK",SUMIF(gam_prod,A57,gam_mo),"")</f>
        <v/>
      </c>
      <c r="N57" s="66" t="str">
        <f>IF(X57="OK",SUMIF(gam_prod,A57,gam_mac),"")</f>
        <v/>
      </c>
      <c r="O57" s="66" t="str">
        <f>IF(X57="OK",SUMIF(gam_prod,A57,gam_setup)/D57,"")</f>
        <v/>
      </c>
      <c r="P57" s="66" t="str">
        <f>IF(X57="OK",(L57+M57+N57+O57+N(G57))*Y57,"")</f>
        <v/>
      </c>
      <c r="Q57" s="66" t="str">
        <f>IF(X57="OK",L57+M57+N57+O57+N(G57)+P57,"")</f>
        <v/>
      </c>
      <c r="R57" s="67" t="str">
        <f>IF(X57="OK",ROUND(Q57+N(H57)+N(I57)/D57,4),"")</f>
        <v/>
      </c>
      <c r="S57" s="66" t="str">
        <f>IF(X57="OK",ROUND(R57*(1+Z57),2),"")</f>
        <v/>
      </c>
      <c r="T57" s="66" t="str">
        <f>IF(AND(X57="OK",N(F57)&gt;0),F57-R57,"")</f>
        <v/>
      </c>
      <c r="U57" s="68" t="str">
        <f>IF(T57="","",IF(R57&lt;=0,"",T57/R57))</f>
        <v/>
      </c>
      <c r="V57" s="68" t="str">
        <f>IF(T57="","",T57/F57)</f>
        <v/>
      </c>
      <c r="W57" s="69" t="str">
        <f>IF(A57="","",IF(X57&lt;&gt;"OK","À corriger",IF(N(F57)&lt;=0,"Prix à saisir",IF(F57&lt;R57,"Vendu à perte",IF(F57&lt;S57,"Sous la cible","OK")))))</f>
        <v/>
      </c>
      <c r="X57" s="69" t="str">
        <f>IF(AND(A57="",COUNTA(B57:K57)=0),"",IF(A57="","Référence manquante",IF(COUNTIF($A$6:$A$305,A57)&gt;1,"Référence en double",IF(OR(NOT(ISNUMBER(D57)),N(D57)&lt;=0),"Taille de lot invalide",IF(AND(E57&lt;&gt;"",OR(NOT(ISNUMBER(E57)),N(E57)&lt;0)),"Volume annuel invalide",IF(AND(F57&lt;&gt;"",OR(NOT(ISNUMBER(F57)),N(F57)&lt;0)),"Prix de vente invalide",IF(OR(AND(G57&lt;&gt;"",OR(NOT(ISNUMBER(G57)),N(G57)&lt;0)),AND(H57&lt;&gt;"",OR(NOT(ISNUMBER(H57)),N(H57)&lt;0)),AND(I57&lt;&gt;"",OR(NOT(ISNUMBER(I57)),N(I57)&lt;0))),"Montant invalide",IF(OR(AND(J57&lt;&gt;"",OR(NOT(ISNUMBER(J57)),N(J57)&lt;0)),AND(K57&lt;&gt;"",OR(NOT(ISNUMBER(K57)),N(K57)&lt;0))),"Pourcentage invalide",IF(COUNTIF(bom_prod,A57)+COUNTIF(gam_prod,A57)=0,"Ni nomenclature ni gamme",IF(COUNTIFS(bom_prod,A57,bom_check,"&lt;&gt;OK")&gt;0,"Nomenclature à corriger",IF(COUNTIFS(gam_prod,A57,gam_check,"&lt;&gt;OK")&gt;0,"Gamme à corriger","OK")))))))))))</f>
        <v/>
      </c>
      <c r="Y57" s="70">
        <f>IF(J57="",N(p_fg),N(J57))</f>
        <v>0.15</v>
      </c>
      <c r="Z57" s="70">
        <f>IF(K57="",N(p_target),N(K57))</f>
        <v>0.25</v>
      </c>
      <c r="AA57" s="71" t="str">
        <f>IF(R57="","",IF(N(F57)&gt;0,ROUND(F57*N(E57),2),0))</f>
        <v/>
      </c>
      <c r="AB57" s="71">
        <f>IF(T57="",0,T57*N(E57))</f>
        <v>0.0</v>
      </c>
      <c r="AC57" s="71">
        <f>IF(T57="",0,R57*N(E57))</f>
        <v>0.0</v>
      </c>
      <c r="AD57" s="71">
        <f>IF(R57="",0,L57*N(E57))</f>
        <v>0.0</v>
      </c>
      <c r="AE57" s="71">
        <f>IF(R57="",0,M57*N(E57))</f>
        <v>0.0</v>
      </c>
      <c r="AF57" s="71">
        <f>IF(R57="",0,N57*N(E57))</f>
        <v>0.0</v>
      </c>
      <c r="AG57" s="71">
        <f>IF(R57="",0,O57*N(E57))</f>
        <v>0.0</v>
      </c>
      <c r="AH57" s="71">
        <f>IF(R57="",0,(N(G57)+N(H57)+N(I57)/D57)*N(E57))</f>
        <v>0.0</v>
      </c>
      <c r="AI57" s="71">
        <f>IF(R57="",0,P57*N(E57))</f>
        <v>0.0</v>
      </c>
      <c r="AJ57" s="71" t="str">
        <f>IF(AA57="","",COUNTIF(prod_ca,"&gt;"&amp;AA57)+COUNTIF(AA$6:AA57,AA57))</f>
        <v/>
      </c>
      <c r="AK57" s="71" t="str">
        <f>IF(OR(W57="Vendu à perte",W57="Sous la cible"),ROUND(U57,6),"")</f>
        <v/>
      </c>
      <c r="AL57" s="71" t="str">
        <f>IF(AK57="","",COUNTIF(prod_alk,"&lt;"&amp;AK57)+COUNTIF(AK$6:AK57,AK57))</f>
        <v/>
      </c>
    </row>
    <row r="58">
      <c r="A58" s="60" t="n"/>
      <c r="B58" s="60" t="n"/>
      <c r="C58" s="61" t="n"/>
      <c r="D58" s="62" t="n"/>
      <c r="E58" s="63" t="n"/>
      <c r="F58" s="64" t="n"/>
      <c r="G58" s="64" t="n"/>
      <c r="H58" s="64" t="n"/>
      <c r="I58" s="64" t="n"/>
      <c r="J58" s="65" t="n"/>
      <c r="K58" s="65" t="n"/>
      <c r="L58" s="66" t="str">
        <f>IF(X58="OK",SUMIF(bom_prod,A58,bom_cost),"")</f>
        <v/>
      </c>
      <c r="M58" s="66" t="str">
        <f>IF(X58="OK",SUMIF(gam_prod,A58,gam_mo),"")</f>
        <v/>
      </c>
      <c r="N58" s="66" t="str">
        <f>IF(X58="OK",SUMIF(gam_prod,A58,gam_mac),"")</f>
        <v/>
      </c>
      <c r="O58" s="66" t="str">
        <f>IF(X58="OK",SUMIF(gam_prod,A58,gam_setup)/D58,"")</f>
        <v/>
      </c>
      <c r="P58" s="66" t="str">
        <f>IF(X58="OK",(L58+M58+N58+O58+N(G58))*Y58,"")</f>
        <v/>
      </c>
      <c r="Q58" s="66" t="str">
        <f>IF(X58="OK",L58+M58+N58+O58+N(G58)+P58,"")</f>
        <v/>
      </c>
      <c r="R58" s="67" t="str">
        <f>IF(X58="OK",ROUND(Q58+N(H58)+N(I58)/D58,4),"")</f>
        <v/>
      </c>
      <c r="S58" s="66" t="str">
        <f>IF(X58="OK",ROUND(R58*(1+Z58),2),"")</f>
        <v/>
      </c>
      <c r="T58" s="66" t="str">
        <f>IF(AND(X58="OK",N(F58)&gt;0),F58-R58,"")</f>
        <v/>
      </c>
      <c r="U58" s="68" t="str">
        <f>IF(T58="","",IF(R58&lt;=0,"",T58/R58))</f>
        <v/>
      </c>
      <c r="V58" s="68" t="str">
        <f>IF(T58="","",T58/F58)</f>
        <v/>
      </c>
      <c r="W58" s="69" t="str">
        <f>IF(A58="","",IF(X58&lt;&gt;"OK","À corriger",IF(N(F58)&lt;=0,"Prix à saisir",IF(F58&lt;R58,"Vendu à perte",IF(F58&lt;S58,"Sous la cible","OK")))))</f>
        <v/>
      </c>
      <c r="X58" s="69" t="str">
        <f>IF(AND(A58="",COUNTA(B58:K58)=0),"",IF(A58="","Référence manquante",IF(COUNTIF($A$6:$A$305,A58)&gt;1,"Référence en double",IF(OR(NOT(ISNUMBER(D58)),N(D58)&lt;=0),"Taille de lot invalide",IF(AND(E58&lt;&gt;"",OR(NOT(ISNUMBER(E58)),N(E58)&lt;0)),"Volume annuel invalide",IF(AND(F58&lt;&gt;"",OR(NOT(ISNUMBER(F58)),N(F58)&lt;0)),"Prix de vente invalide",IF(OR(AND(G58&lt;&gt;"",OR(NOT(ISNUMBER(G58)),N(G58)&lt;0)),AND(H58&lt;&gt;"",OR(NOT(ISNUMBER(H58)),N(H58)&lt;0)),AND(I58&lt;&gt;"",OR(NOT(ISNUMBER(I58)),N(I58)&lt;0))),"Montant invalide",IF(OR(AND(J58&lt;&gt;"",OR(NOT(ISNUMBER(J58)),N(J58)&lt;0)),AND(K58&lt;&gt;"",OR(NOT(ISNUMBER(K58)),N(K58)&lt;0))),"Pourcentage invalide",IF(COUNTIF(bom_prod,A58)+COUNTIF(gam_prod,A58)=0,"Ni nomenclature ni gamme",IF(COUNTIFS(bom_prod,A58,bom_check,"&lt;&gt;OK")&gt;0,"Nomenclature à corriger",IF(COUNTIFS(gam_prod,A58,gam_check,"&lt;&gt;OK")&gt;0,"Gamme à corriger","OK")))))))))))</f>
        <v/>
      </c>
      <c r="Y58" s="70">
        <f>IF(J58="",N(p_fg),N(J58))</f>
        <v>0.15</v>
      </c>
      <c r="Z58" s="70">
        <f>IF(K58="",N(p_target),N(K58))</f>
        <v>0.25</v>
      </c>
      <c r="AA58" s="71" t="str">
        <f>IF(R58="","",IF(N(F58)&gt;0,ROUND(F58*N(E58),2),0))</f>
        <v/>
      </c>
      <c r="AB58" s="71">
        <f>IF(T58="",0,T58*N(E58))</f>
        <v>0.0</v>
      </c>
      <c r="AC58" s="71">
        <f>IF(T58="",0,R58*N(E58))</f>
        <v>0.0</v>
      </c>
      <c r="AD58" s="71">
        <f>IF(R58="",0,L58*N(E58))</f>
        <v>0.0</v>
      </c>
      <c r="AE58" s="71">
        <f>IF(R58="",0,M58*N(E58))</f>
        <v>0.0</v>
      </c>
      <c r="AF58" s="71">
        <f>IF(R58="",0,N58*N(E58))</f>
        <v>0.0</v>
      </c>
      <c r="AG58" s="71">
        <f>IF(R58="",0,O58*N(E58))</f>
        <v>0.0</v>
      </c>
      <c r="AH58" s="71">
        <f>IF(R58="",0,(N(G58)+N(H58)+N(I58)/D58)*N(E58))</f>
        <v>0.0</v>
      </c>
      <c r="AI58" s="71">
        <f>IF(R58="",0,P58*N(E58))</f>
        <v>0.0</v>
      </c>
      <c r="AJ58" s="71" t="str">
        <f>IF(AA58="","",COUNTIF(prod_ca,"&gt;"&amp;AA58)+COUNTIF(AA$6:AA58,AA58))</f>
        <v/>
      </c>
      <c r="AK58" s="71" t="str">
        <f>IF(OR(W58="Vendu à perte",W58="Sous la cible"),ROUND(U58,6),"")</f>
        <v/>
      </c>
      <c r="AL58" s="71" t="str">
        <f>IF(AK58="","",COUNTIF(prod_alk,"&lt;"&amp;AK58)+COUNTIF(AK$6:AK58,AK58))</f>
        <v/>
      </c>
    </row>
    <row r="59">
      <c r="A59" s="60" t="n"/>
      <c r="B59" s="60" t="n"/>
      <c r="C59" s="61" t="n"/>
      <c r="D59" s="62" t="n"/>
      <c r="E59" s="63" t="n"/>
      <c r="F59" s="64" t="n"/>
      <c r="G59" s="64" t="n"/>
      <c r="H59" s="64" t="n"/>
      <c r="I59" s="64" t="n"/>
      <c r="J59" s="65" t="n"/>
      <c r="K59" s="65" t="n"/>
      <c r="L59" s="66" t="str">
        <f>IF(X59="OK",SUMIF(bom_prod,A59,bom_cost),"")</f>
        <v/>
      </c>
      <c r="M59" s="66" t="str">
        <f>IF(X59="OK",SUMIF(gam_prod,A59,gam_mo),"")</f>
        <v/>
      </c>
      <c r="N59" s="66" t="str">
        <f>IF(X59="OK",SUMIF(gam_prod,A59,gam_mac),"")</f>
        <v/>
      </c>
      <c r="O59" s="66" t="str">
        <f>IF(X59="OK",SUMIF(gam_prod,A59,gam_setup)/D59,"")</f>
        <v/>
      </c>
      <c r="P59" s="66" t="str">
        <f>IF(X59="OK",(L59+M59+N59+O59+N(G59))*Y59,"")</f>
        <v/>
      </c>
      <c r="Q59" s="66" t="str">
        <f>IF(X59="OK",L59+M59+N59+O59+N(G59)+P59,"")</f>
        <v/>
      </c>
      <c r="R59" s="67" t="str">
        <f>IF(X59="OK",ROUND(Q59+N(H59)+N(I59)/D59,4),"")</f>
        <v/>
      </c>
      <c r="S59" s="66" t="str">
        <f>IF(X59="OK",ROUND(R59*(1+Z59),2),"")</f>
        <v/>
      </c>
      <c r="T59" s="66" t="str">
        <f>IF(AND(X59="OK",N(F59)&gt;0),F59-R59,"")</f>
        <v/>
      </c>
      <c r="U59" s="68" t="str">
        <f>IF(T59="","",IF(R59&lt;=0,"",T59/R59))</f>
        <v/>
      </c>
      <c r="V59" s="68" t="str">
        <f>IF(T59="","",T59/F59)</f>
        <v/>
      </c>
      <c r="W59" s="69" t="str">
        <f>IF(A59="","",IF(X59&lt;&gt;"OK","À corriger",IF(N(F59)&lt;=0,"Prix à saisir",IF(F59&lt;R59,"Vendu à perte",IF(F59&lt;S59,"Sous la cible","OK")))))</f>
        <v/>
      </c>
      <c r="X59" s="69" t="str">
        <f>IF(AND(A59="",COUNTA(B59:K59)=0),"",IF(A59="","Référence manquante",IF(COUNTIF($A$6:$A$305,A59)&gt;1,"Référence en double",IF(OR(NOT(ISNUMBER(D59)),N(D59)&lt;=0),"Taille de lot invalide",IF(AND(E59&lt;&gt;"",OR(NOT(ISNUMBER(E59)),N(E59)&lt;0)),"Volume annuel invalide",IF(AND(F59&lt;&gt;"",OR(NOT(ISNUMBER(F59)),N(F59)&lt;0)),"Prix de vente invalide",IF(OR(AND(G59&lt;&gt;"",OR(NOT(ISNUMBER(G59)),N(G59)&lt;0)),AND(H59&lt;&gt;"",OR(NOT(ISNUMBER(H59)),N(H59)&lt;0)),AND(I59&lt;&gt;"",OR(NOT(ISNUMBER(I59)),N(I59)&lt;0))),"Montant invalide",IF(OR(AND(J59&lt;&gt;"",OR(NOT(ISNUMBER(J59)),N(J59)&lt;0)),AND(K59&lt;&gt;"",OR(NOT(ISNUMBER(K59)),N(K59)&lt;0))),"Pourcentage invalide",IF(COUNTIF(bom_prod,A59)+COUNTIF(gam_prod,A59)=0,"Ni nomenclature ni gamme",IF(COUNTIFS(bom_prod,A59,bom_check,"&lt;&gt;OK")&gt;0,"Nomenclature à corriger",IF(COUNTIFS(gam_prod,A59,gam_check,"&lt;&gt;OK")&gt;0,"Gamme à corriger","OK")))))))))))</f>
        <v/>
      </c>
      <c r="Y59" s="70">
        <f>IF(J59="",N(p_fg),N(J59))</f>
        <v>0.15</v>
      </c>
      <c r="Z59" s="70">
        <f>IF(K59="",N(p_target),N(K59))</f>
        <v>0.25</v>
      </c>
      <c r="AA59" s="71" t="str">
        <f>IF(R59="","",IF(N(F59)&gt;0,ROUND(F59*N(E59),2),0))</f>
        <v/>
      </c>
      <c r="AB59" s="71">
        <f>IF(T59="",0,T59*N(E59))</f>
        <v>0.0</v>
      </c>
      <c r="AC59" s="71">
        <f>IF(T59="",0,R59*N(E59))</f>
        <v>0.0</v>
      </c>
      <c r="AD59" s="71">
        <f>IF(R59="",0,L59*N(E59))</f>
        <v>0.0</v>
      </c>
      <c r="AE59" s="71">
        <f>IF(R59="",0,M59*N(E59))</f>
        <v>0.0</v>
      </c>
      <c r="AF59" s="71">
        <f>IF(R59="",0,N59*N(E59))</f>
        <v>0.0</v>
      </c>
      <c r="AG59" s="71">
        <f>IF(R59="",0,O59*N(E59))</f>
        <v>0.0</v>
      </c>
      <c r="AH59" s="71">
        <f>IF(R59="",0,(N(G59)+N(H59)+N(I59)/D59)*N(E59))</f>
        <v>0.0</v>
      </c>
      <c r="AI59" s="71">
        <f>IF(R59="",0,P59*N(E59))</f>
        <v>0.0</v>
      </c>
      <c r="AJ59" s="71" t="str">
        <f>IF(AA59="","",COUNTIF(prod_ca,"&gt;"&amp;AA59)+COUNTIF(AA$6:AA59,AA59))</f>
        <v/>
      </c>
      <c r="AK59" s="71" t="str">
        <f>IF(OR(W59="Vendu à perte",W59="Sous la cible"),ROUND(U59,6),"")</f>
        <v/>
      </c>
      <c r="AL59" s="71" t="str">
        <f>IF(AK59="","",COUNTIF(prod_alk,"&lt;"&amp;AK59)+COUNTIF(AK$6:AK59,AK59))</f>
        <v/>
      </c>
    </row>
    <row r="60">
      <c r="A60" s="60" t="n"/>
      <c r="B60" s="60" t="n"/>
      <c r="C60" s="61" t="n"/>
      <c r="D60" s="62" t="n"/>
      <c r="E60" s="63" t="n"/>
      <c r="F60" s="64" t="n"/>
      <c r="G60" s="64" t="n"/>
      <c r="H60" s="64" t="n"/>
      <c r="I60" s="64" t="n"/>
      <c r="J60" s="65" t="n"/>
      <c r="K60" s="65" t="n"/>
      <c r="L60" s="66" t="str">
        <f>IF(X60="OK",SUMIF(bom_prod,A60,bom_cost),"")</f>
        <v/>
      </c>
      <c r="M60" s="66" t="str">
        <f>IF(X60="OK",SUMIF(gam_prod,A60,gam_mo),"")</f>
        <v/>
      </c>
      <c r="N60" s="66" t="str">
        <f>IF(X60="OK",SUMIF(gam_prod,A60,gam_mac),"")</f>
        <v/>
      </c>
      <c r="O60" s="66" t="str">
        <f>IF(X60="OK",SUMIF(gam_prod,A60,gam_setup)/D60,"")</f>
        <v/>
      </c>
      <c r="P60" s="66" t="str">
        <f>IF(X60="OK",(L60+M60+N60+O60+N(G60))*Y60,"")</f>
        <v/>
      </c>
      <c r="Q60" s="66" t="str">
        <f>IF(X60="OK",L60+M60+N60+O60+N(G60)+P60,"")</f>
        <v/>
      </c>
      <c r="R60" s="67" t="str">
        <f>IF(X60="OK",ROUND(Q60+N(H60)+N(I60)/D60,4),"")</f>
        <v/>
      </c>
      <c r="S60" s="66" t="str">
        <f>IF(X60="OK",ROUND(R60*(1+Z60),2),"")</f>
        <v/>
      </c>
      <c r="T60" s="66" t="str">
        <f>IF(AND(X60="OK",N(F60)&gt;0),F60-R60,"")</f>
        <v/>
      </c>
      <c r="U60" s="68" t="str">
        <f>IF(T60="","",IF(R60&lt;=0,"",T60/R60))</f>
        <v/>
      </c>
      <c r="V60" s="68" t="str">
        <f>IF(T60="","",T60/F60)</f>
        <v/>
      </c>
      <c r="W60" s="69" t="str">
        <f>IF(A60="","",IF(X60&lt;&gt;"OK","À corriger",IF(N(F60)&lt;=0,"Prix à saisir",IF(F60&lt;R60,"Vendu à perte",IF(F60&lt;S60,"Sous la cible","OK")))))</f>
        <v/>
      </c>
      <c r="X60" s="69" t="str">
        <f>IF(AND(A60="",COUNTA(B60:K60)=0),"",IF(A60="","Référence manquante",IF(COUNTIF($A$6:$A$305,A60)&gt;1,"Référence en double",IF(OR(NOT(ISNUMBER(D60)),N(D60)&lt;=0),"Taille de lot invalide",IF(AND(E60&lt;&gt;"",OR(NOT(ISNUMBER(E60)),N(E60)&lt;0)),"Volume annuel invalide",IF(AND(F60&lt;&gt;"",OR(NOT(ISNUMBER(F60)),N(F60)&lt;0)),"Prix de vente invalide",IF(OR(AND(G60&lt;&gt;"",OR(NOT(ISNUMBER(G60)),N(G60)&lt;0)),AND(H60&lt;&gt;"",OR(NOT(ISNUMBER(H60)),N(H60)&lt;0)),AND(I60&lt;&gt;"",OR(NOT(ISNUMBER(I60)),N(I60)&lt;0))),"Montant invalide",IF(OR(AND(J60&lt;&gt;"",OR(NOT(ISNUMBER(J60)),N(J60)&lt;0)),AND(K60&lt;&gt;"",OR(NOT(ISNUMBER(K60)),N(K60)&lt;0))),"Pourcentage invalide",IF(COUNTIF(bom_prod,A60)+COUNTIF(gam_prod,A60)=0,"Ni nomenclature ni gamme",IF(COUNTIFS(bom_prod,A60,bom_check,"&lt;&gt;OK")&gt;0,"Nomenclature à corriger",IF(COUNTIFS(gam_prod,A60,gam_check,"&lt;&gt;OK")&gt;0,"Gamme à corriger","OK")))))))))))</f>
        <v/>
      </c>
      <c r="Y60" s="70">
        <f>IF(J60="",N(p_fg),N(J60))</f>
        <v>0.15</v>
      </c>
      <c r="Z60" s="70">
        <f>IF(K60="",N(p_target),N(K60))</f>
        <v>0.25</v>
      </c>
      <c r="AA60" s="71" t="str">
        <f>IF(R60="","",IF(N(F60)&gt;0,ROUND(F60*N(E60),2),0))</f>
        <v/>
      </c>
      <c r="AB60" s="71">
        <f>IF(T60="",0,T60*N(E60))</f>
        <v>0.0</v>
      </c>
      <c r="AC60" s="71">
        <f>IF(T60="",0,R60*N(E60))</f>
        <v>0.0</v>
      </c>
      <c r="AD60" s="71">
        <f>IF(R60="",0,L60*N(E60))</f>
        <v>0.0</v>
      </c>
      <c r="AE60" s="71">
        <f>IF(R60="",0,M60*N(E60))</f>
        <v>0.0</v>
      </c>
      <c r="AF60" s="71">
        <f>IF(R60="",0,N60*N(E60))</f>
        <v>0.0</v>
      </c>
      <c r="AG60" s="71">
        <f>IF(R60="",0,O60*N(E60))</f>
        <v>0.0</v>
      </c>
      <c r="AH60" s="71">
        <f>IF(R60="",0,(N(G60)+N(H60)+N(I60)/D60)*N(E60))</f>
        <v>0.0</v>
      </c>
      <c r="AI60" s="71">
        <f>IF(R60="",0,P60*N(E60))</f>
        <v>0.0</v>
      </c>
      <c r="AJ60" s="71" t="str">
        <f>IF(AA60="","",COUNTIF(prod_ca,"&gt;"&amp;AA60)+COUNTIF(AA$6:AA60,AA60))</f>
        <v/>
      </c>
      <c r="AK60" s="71" t="str">
        <f>IF(OR(W60="Vendu à perte",W60="Sous la cible"),ROUND(U60,6),"")</f>
        <v/>
      </c>
      <c r="AL60" s="71" t="str">
        <f>IF(AK60="","",COUNTIF(prod_alk,"&lt;"&amp;AK60)+COUNTIF(AK$6:AK60,AK60))</f>
        <v/>
      </c>
    </row>
    <row r="61">
      <c r="A61" s="60" t="n"/>
      <c r="B61" s="60" t="n"/>
      <c r="C61" s="61" t="n"/>
      <c r="D61" s="62" t="n"/>
      <c r="E61" s="63" t="n"/>
      <c r="F61" s="64" t="n"/>
      <c r="G61" s="64" t="n"/>
      <c r="H61" s="64" t="n"/>
      <c r="I61" s="64" t="n"/>
      <c r="J61" s="65" t="n"/>
      <c r="K61" s="65" t="n"/>
      <c r="L61" s="66" t="str">
        <f>IF(X61="OK",SUMIF(bom_prod,A61,bom_cost),"")</f>
        <v/>
      </c>
      <c r="M61" s="66" t="str">
        <f>IF(X61="OK",SUMIF(gam_prod,A61,gam_mo),"")</f>
        <v/>
      </c>
      <c r="N61" s="66" t="str">
        <f>IF(X61="OK",SUMIF(gam_prod,A61,gam_mac),"")</f>
        <v/>
      </c>
      <c r="O61" s="66" t="str">
        <f>IF(X61="OK",SUMIF(gam_prod,A61,gam_setup)/D61,"")</f>
        <v/>
      </c>
      <c r="P61" s="66" t="str">
        <f>IF(X61="OK",(L61+M61+N61+O61+N(G61))*Y61,"")</f>
        <v/>
      </c>
      <c r="Q61" s="66" t="str">
        <f>IF(X61="OK",L61+M61+N61+O61+N(G61)+P61,"")</f>
        <v/>
      </c>
      <c r="R61" s="67" t="str">
        <f>IF(X61="OK",ROUND(Q61+N(H61)+N(I61)/D61,4),"")</f>
        <v/>
      </c>
      <c r="S61" s="66" t="str">
        <f>IF(X61="OK",ROUND(R61*(1+Z61),2),"")</f>
        <v/>
      </c>
      <c r="T61" s="66" t="str">
        <f>IF(AND(X61="OK",N(F61)&gt;0),F61-R61,"")</f>
        <v/>
      </c>
      <c r="U61" s="68" t="str">
        <f>IF(T61="","",IF(R61&lt;=0,"",T61/R61))</f>
        <v/>
      </c>
      <c r="V61" s="68" t="str">
        <f>IF(T61="","",T61/F61)</f>
        <v/>
      </c>
      <c r="W61" s="69" t="str">
        <f>IF(A61="","",IF(X61&lt;&gt;"OK","À corriger",IF(N(F61)&lt;=0,"Prix à saisir",IF(F61&lt;R61,"Vendu à perte",IF(F61&lt;S61,"Sous la cible","OK")))))</f>
        <v/>
      </c>
      <c r="X61" s="69" t="str">
        <f>IF(AND(A61="",COUNTA(B61:K61)=0),"",IF(A61="","Référence manquante",IF(COUNTIF($A$6:$A$305,A61)&gt;1,"Référence en double",IF(OR(NOT(ISNUMBER(D61)),N(D61)&lt;=0),"Taille de lot invalide",IF(AND(E61&lt;&gt;"",OR(NOT(ISNUMBER(E61)),N(E61)&lt;0)),"Volume annuel invalide",IF(AND(F61&lt;&gt;"",OR(NOT(ISNUMBER(F61)),N(F61)&lt;0)),"Prix de vente invalide",IF(OR(AND(G61&lt;&gt;"",OR(NOT(ISNUMBER(G61)),N(G61)&lt;0)),AND(H61&lt;&gt;"",OR(NOT(ISNUMBER(H61)),N(H61)&lt;0)),AND(I61&lt;&gt;"",OR(NOT(ISNUMBER(I61)),N(I61)&lt;0))),"Montant invalide",IF(OR(AND(J61&lt;&gt;"",OR(NOT(ISNUMBER(J61)),N(J61)&lt;0)),AND(K61&lt;&gt;"",OR(NOT(ISNUMBER(K61)),N(K61)&lt;0))),"Pourcentage invalide",IF(COUNTIF(bom_prod,A61)+COUNTIF(gam_prod,A61)=0,"Ni nomenclature ni gamme",IF(COUNTIFS(bom_prod,A61,bom_check,"&lt;&gt;OK")&gt;0,"Nomenclature à corriger",IF(COUNTIFS(gam_prod,A61,gam_check,"&lt;&gt;OK")&gt;0,"Gamme à corriger","OK")))))))))))</f>
        <v/>
      </c>
      <c r="Y61" s="70">
        <f>IF(J61="",N(p_fg),N(J61))</f>
        <v>0.15</v>
      </c>
      <c r="Z61" s="70">
        <f>IF(K61="",N(p_target),N(K61))</f>
        <v>0.25</v>
      </c>
      <c r="AA61" s="71" t="str">
        <f>IF(R61="","",IF(N(F61)&gt;0,ROUND(F61*N(E61),2),0))</f>
        <v/>
      </c>
      <c r="AB61" s="71">
        <f>IF(T61="",0,T61*N(E61))</f>
        <v>0.0</v>
      </c>
      <c r="AC61" s="71">
        <f>IF(T61="",0,R61*N(E61))</f>
        <v>0.0</v>
      </c>
      <c r="AD61" s="71">
        <f>IF(R61="",0,L61*N(E61))</f>
        <v>0.0</v>
      </c>
      <c r="AE61" s="71">
        <f>IF(R61="",0,M61*N(E61))</f>
        <v>0.0</v>
      </c>
      <c r="AF61" s="71">
        <f>IF(R61="",0,N61*N(E61))</f>
        <v>0.0</v>
      </c>
      <c r="AG61" s="71">
        <f>IF(R61="",0,O61*N(E61))</f>
        <v>0.0</v>
      </c>
      <c r="AH61" s="71">
        <f>IF(R61="",0,(N(G61)+N(H61)+N(I61)/D61)*N(E61))</f>
        <v>0.0</v>
      </c>
      <c r="AI61" s="71">
        <f>IF(R61="",0,P61*N(E61))</f>
        <v>0.0</v>
      </c>
      <c r="AJ61" s="71" t="str">
        <f>IF(AA61="","",COUNTIF(prod_ca,"&gt;"&amp;AA61)+COUNTIF(AA$6:AA61,AA61))</f>
        <v/>
      </c>
      <c r="AK61" s="71" t="str">
        <f>IF(OR(W61="Vendu à perte",W61="Sous la cible"),ROUND(U61,6),"")</f>
        <v/>
      </c>
      <c r="AL61" s="71" t="str">
        <f>IF(AK61="","",COUNTIF(prod_alk,"&lt;"&amp;AK61)+COUNTIF(AK$6:AK61,AK61))</f>
        <v/>
      </c>
    </row>
    <row r="62">
      <c r="A62" s="60" t="n"/>
      <c r="B62" s="60" t="n"/>
      <c r="C62" s="61" t="n"/>
      <c r="D62" s="62" t="n"/>
      <c r="E62" s="63" t="n"/>
      <c r="F62" s="64" t="n"/>
      <c r="G62" s="64" t="n"/>
      <c r="H62" s="64" t="n"/>
      <c r="I62" s="64" t="n"/>
      <c r="J62" s="65" t="n"/>
      <c r="K62" s="65" t="n"/>
      <c r="L62" s="66" t="str">
        <f>IF(X62="OK",SUMIF(bom_prod,A62,bom_cost),"")</f>
        <v/>
      </c>
      <c r="M62" s="66" t="str">
        <f>IF(X62="OK",SUMIF(gam_prod,A62,gam_mo),"")</f>
        <v/>
      </c>
      <c r="N62" s="66" t="str">
        <f>IF(X62="OK",SUMIF(gam_prod,A62,gam_mac),"")</f>
        <v/>
      </c>
      <c r="O62" s="66" t="str">
        <f>IF(X62="OK",SUMIF(gam_prod,A62,gam_setup)/D62,"")</f>
        <v/>
      </c>
      <c r="P62" s="66" t="str">
        <f>IF(X62="OK",(L62+M62+N62+O62+N(G62))*Y62,"")</f>
        <v/>
      </c>
      <c r="Q62" s="66" t="str">
        <f>IF(X62="OK",L62+M62+N62+O62+N(G62)+P62,"")</f>
        <v/>
      </c>
      <c r="R62" s="67" t="str">
        <f>IF(X62="OK",ROUND(Q62+N(H62)+N(I62)/D62,4),"")</f>
        <v/>
      </c>
      <c r="S62" s="66" t="str">
        <f>IF(X62="OK",ROUND(R62*(1+Z62),2),"")</f>
        <v/>
      </c>
      <c r="T62" s="66" t="str">
        <f>IF(AND(X62="OK",N(F62)&gt;0),F62-R62,"")</f>
        <v/>
      </c>
      <c r="U62" s="68" t="str">
        <f>IF(T62="","",IF(R62&lt;=0,"",T62/R62))</f>
        <v/>
      </c>
      <c r="V62" s="68" t="str">
        <f>IF(T62="","",T62/F62)</f>
        <v/>
      </c>
      <c r="W62" s="69" t="str">
        <f>IF(A62="","",IF(X62&lt;&gt;"OK","À corriger",IF(N(F62)&lt;=0,"Prix à saisir",IF(F62&lt;R62,"Vendu à perte",IF(F62&lt;S62,"Sous la cible","OK")))))</f>
        <v/>
      </c>
      <c r="X62" s="69" t="str">
        <f>IF(AND(A62="",COUNTA(B62:K62)=0),"",IF(A62="","Référence manquante",IF(COUNTIF($A$6:$A$305,A62)&gt;1,"Référence en double",IF(OR(NOT(ISNUMBER(D62)),N(D62)&lt;=0),"Taille de lot invalide",IF(AND(E62&lt;&gt;"",OR(NOT(ISNUMBER(E62)),N(E62)&lt;0)),"Volume annuel invalide",IF(AND(F62&lt;&gt;"",OR(NOT(ISNUMBER(F62)),N(F62)&lt;0)),"Prix de vente invalide",IF(OR(AND(G62&lt;&gt;"",OR(NOT(ISNUMBER(G62)),N(G62)&lt;0)),AND(H62&lt;&gt;"",OR(NOT(ISNUMBER(H62)),N(H62)&lt;0)),AND(I62&lt;&gt;"",OR(NOT(ISNUMBER(I62)),N(I62)&lt;0))),"Montant invalide",IF(OR(AND(J62&lt;&gt;"",OR(NOT(ISNUMBER(J62)),N(J62)&lt;0)),AND(K62&lt;&gt;"",OR(NOT(ISNUMBER(K62)),N(K62)&lt;0))),"Pourcentage invalide",IF(COUNTIF(bom_prod,A62)+COUNTIF(gam_prod,A62)=0,"Ni nomenclature ni gamme",IF(COUNTIFS(bom_prod,A62,bom_check,"&lt;&gt;OK")&gt;0,"Nomenclature à corriger",IF(COUNTIFS(gam_prod,A62,gam_check,"&lt;&gt;OK")&gt;0,"Gamme à corriger","OK")))))))))))</f>
        <v/>
      </c>
      <c r="Y62" s="70">
        <f>IF(J62="",N(p_fg),N(J62))</f>
        <v>0.15</v>
      </c>
      <c r="Z62" s="70">
        <f>IF(K62="",N(p_target),N(K62))</f>
        <v>0.25</v>
      </c>
      <c r="AA62" s="71" t="str">
        <f>IF(R62="","",IF(N(F62)&gt;0,ROUND(F62*N(E62),2),0))</f>
        <v/>
      </c>
      <c r="AB62" s="71">
        <f>IF(T62="",0,T62*N(E62))</f>
        <v>0.0</v>
      </c>
      <c r="AC62" s="71">
        <f>IF(T62="",0,R62*N(E62))</f>
        <v>0.0</v>
      </c>
      <c r="AD62" s="71">
        <f>IF(R62="",0,L62*N(E62))</f>
        <v>0.0</v>
      </c>
      <c r="AE62" s="71">
        <f>IF(R62="",0,M62*N(E62))</f>
        <v>0.0</v>
      </c>
      <c r="AF62" s="71">
        <f>IF(R62="",0,N62*N(E62))</f>
        <v>0.0</v>
      </c>
      <c r="AG62" s="71">
        <f>IF(R62="",0,O62*N(E62))</f>
        <v>0.0</v>
      </c>
      <c r="AH62" s="71">
        <f>IF(R62="",0,(N(G62)+N(H62)+N(I62)/D62)*N(E62))</f>
        <v>0.0</v>
      </c>
      <c r="AI62" s="71">
        <f>IF(R62="",0,P62*N(E62))</f>
        <v>0.0</v>
      </c>
      <c r="AJ62" s="71" t="str">
        <f>IF(AA62="","",COUNTIF(prod_ca,"&gt;"&amp;AA62)+COUNTIF(AA$6:AA62,AA62))</f>
        <v/>
      </c>
      <c r="AK62" s="71" t="str">
        <f>IF(OR(W62="Vendu à perte",W62="Sous la cible"),ROUND(U62,6),"")</f>
        <v/>
      </c>
      <c r="AL62" s="71" t="str">
        <f>IF(AK62="","",COUNTIF(prod_alk,"&lt;"&amp;AK62)+COUNTIF(AK$6:AK62,AK62))</f>
        <v/>
      </c>
    </row>
    <row r="63">
      <c r="A63" s="60" t="n"/>
      <c r="B63" s="60" t="n"/>
      <c r="C63" s="61" t="n"/>
      <c r="D63" s="62" t="n"/>
      <c r="E63" s="63" t="n"/>
      <c r="F63" s="64" t="n"/>
      <c r="G63" s="64" t="n"/>
      <c r="H63" s="64" t="n"/>
      <c r="I63" s="64" t="n"/>
      <c r="J63" s="65" t="n"/>
      <c r="K63" s="65" t="n"/>
      <c r="L63" s="66" t="str">
        <f>IF(X63="OK",SUMIF(bom_prod,A63,bom_cost),"")</f>
        <v/>
      </c>
      <c r="M63" s="66" t="str">
        <f>IF(X63="OK",SUMIF(gam_prod,A63,gam_mo),"")</f>
        <v/>
      </c>
      <c r="N63" s="66" t="str">
        <f>IF(X63="OK",SUMIF(gam_prod,A63,gam_mac),"")</f>
        <v/>
      </c>
      <c r="O63" s="66" t="str">
        <f>IF(X63="OK",SUMIF(gam_prod,A63,gam_setup)/D63,"")</f>
        <v/>
      </c>
      <c r="P63" s="66" t="str">
        <f>IF(X63="OK",(L63+M63+N63+O63+N(G63))*Y63,"")</f>
        <v/>
      </c>
      <c r="Q63" s="66" t="str">
        <f>IF(X63="OK",L63+M63+N63+O63+N(G63)+P63,"")</f>
        <v/>
      </c>
      <c r="R63" s="67" t="str">
        <f>IF(X63="OK",ROUND(Q63+N(H63)+N(I63)/D63,4),"")</f>
        <v/>
      </c>
      <c r="S63" s="66" t="str">
        <f>IF(X63="OK",ROUND(R63*(1+Z63),2),"")</f>
        <v/>
      </c>
      <c r="T63" s="66" t="str">
        <f>IF(AND(X63="OK",N(F63)&gt;0),F63-R63,"")</f>
        <v/>
      </c>
      <c r="U63" s="68" t="str">
        <f>IF(T63="","",IF(R63&lt;=0,"",T63/R63))</f>
        <v/>
      </c>
      <c r="V63" s="68" t="str">
        <f>IF(T63="","",T63/F63)</f>
        <v/>
      </c>
      <c r="W63" s="69" t="str">
        <f>IF(A63="","",IF(X63&lt;&gt;"OK","À corriger",IF(N(F63)&lt;=0,"Prix à saisir",IF(F63&lt;R63,"Vendu à perte",IF(F63&lt;S63,"Sous la cible","OK")))))</f>
        <v/>
      </c>
      <c r="X63" s="69" t="str">
        <f>IF(AND(A63="",COUNTA(B63:K63)=0),"",IF(A63="","Référence manquante",IF(COUNTIF($A$6:$A$305,A63)&gt;1,"Référence en double",IF(OR(NOT(ISNUMBER(D63)),N(D63)&lt;=0),"Taille de lot invalide",IF(AND(E63&lt;&gt;"",OR(NOT(ISNUMBER(E63)),N(E63)&lt;0)),"Volume annuel invalide",IF(AND(F63&lt;&gt;"",OR(NOT(ISNUMBER(F63)),N(F63)&lt;0)),"Prix de vente invalide",IF(OR(AND(G63&lt;&gt;"",OR(NOT(ISNUMBER(G63)),N(G63)&lt;0)),AND(H63&lt;&gt;"",OR(NOT(ISNUMBER(H63)),N(H63)&lt;0)),AND(I63&lt;&gt;"",OR(NOT(ISNUMBER(I63)),N(I63)&lt;0))),"Montant invalide",IF(OR(AND(J63&lt;&gt;"",OR(NOT(ISNUMBER(J63)),N(J63)&lt;0)),AND(K63&lt;&gt;"",OR(NOT(ISNUMBER(K63)),N(K63)&lt;0))),"Pourcentage invalide",IF(COUNTIF(bom_prod,A63)+COUNTIF(gam_prod,A63)=0,"Ni nomenclature ni gamme",IF(COUNTIFS(bom_prod,A63,bom_check,"&lt;&gt;OK")&gt;0,"Nomenclature à corriger",IF(COUNTIFS(gam_prod,A63,gam_check,"&lt;&gt;OK")&gt;0,"Gamme à corriger","OK")))))))))))</f>
        <v/>
      </c>
      <c r="Y63" s="70">
        <f>IF(J63="",N(p_fg),N(J63))</f>
        <v>0.15</v>
      </c>
      <c r="Z63" s="70">
        <f>IF(K63="",N(p_target),N(K63))</f>
        <v>0.25</v>
      </c>
      <c r="AA63" s="71" t="str">
        <f>IF(R63="","",IF(N(F63)&gt;0,ROUND(F63*N(E63),2),0))</f>
        <v/>
      </c>
      <c r="AB63" s="71">
        <f>IF(T63="",0,T63*N(E63))</f>
        <v>0.0</v>
      </c>
      <c r="AC63" s="71">
        <f>IF(T63="",0,R63*N(E63))</f>
        <v>0.0</v>
      </c>
      <c r="AD63" s="71">
        <f>IF(R63="",0,L63*N(E63))</f>
        <v>0.0</v>
      </c>
      <c r="AE63" s="71">
        <f>IF(R63="",0,M63*N(E63))</f>
        <v>0.0</v>
      </c>
      <c r="AF63" s="71">
        <f>IF(R63="",0,N63*N(E63))</f>
        <v>0.0</v>
      </c>
      <c r="AG63" s="71">
        <f>IF(R63="",0,O63*N(E63))</f>
        <v>0.0</v>
      </c>
      <c r="AH63" s="71">
        <f>IF(R63="",0,(N(G63)+N(H63)+N(I63)/D63)*N(E63))</f>
        <v>0.0</v>
      </c>
      <c r="AI63" s="71">
        <f>IF(R63="",0,P63*N(E63))</f>
        <v>0.0</v>
      </c>
      <c r="AJ63" s="71" t="str">
        <f>IF(AA63="","",COUNTIF(prod_ca,"&gt;"&amp;AA63)+COUNTIF(AA$6:AA63,AA63))</f>
        <v/>
      </c>
      <c r="AK63" s="71" t="str">
        <f>IF(OR(W63="Vendu à perte",W63="Sous la cible"),ROUND(U63,6),"")</f>
        <v/>
      </c>
      <c r="AL63" s="71" t="str">
        <f>IF(AK63="","",COUNTIF(prod_alk,"&lt;"&amp;AK63)+COUNTIF(AK$6:AK63,AK63))</f>
        <v/>
      </c>
    </row>
    <row r="64">
      <c r="A64" s="60" t="n"/>
      <c r="B64" s="60" t="n"/>
      <c r="C64" s="61" t="n"/>
      <c r="D64" s="62" t="n"/>
      <c r="E64" s="63" t="n"/>
      <c r="F64" s="64" t="n"/>
      <c r="G64" s="64" t="n"/>
      <c r="H64" s="64" t="n"/>
      <c r="I64" s="64" t="n"/>
      <c r="J64" s="65" t="n"/>
      <c r="K64" s="65" t="n"/>
      <c r="L64" s="66" t="str">
        <f>IF(X64="OK",SUMIF(bom_prod,A64,bom_cost),"")</f>
        <v/>
      </c>
      <c r="M64" s="66" t="str">
        <f>IF(X64="OK",SUMIF(gam_prod,A64,gam_mo),"")</f>
        <v/>
      </c>
      <c r="N64" s="66" t="str">
        <f>IF(X64="OK",SUMIF(gam_prod,A64,gam_mac),"")</f>
        <v/>
      </c>
      <c r="O64" s="66" t="str">
        <f>IF(X64="OK",SUMIF(gam_prod,A64,gam_setup)/D64,"")</f>
        <v/>
      </c>
      <c r="P64" s="66" t="str">
        <f>IF(X64="OK",(L64+M64+N64+O64+N(G64))*Y64,"")</f>
        <v/>
      </c>
      <c r="Q64" s="66" t="str">
        <f>IF(X64="OK",L64+M64+N64+O64+N(G64)+P64,"")</f>
        <v/>
      </c>
      <c r="R64" s="67" t="str">
        <f>IF(X64="OK",ROUND(Q64+N(H64)+N(I64)/D64,4),"")</f>
        <v/>
      </c>
      <c r="S64" s="66" t="str">
        <f>IF(X64="OK",ROUND(R64*(1+Z64),2),"")</f>
        <v/>
      </c>
      <c r="T64" s="66" t="str">
        <f>IF(AND(X64="OK",N(F64)&gt;0),F64-R64,"")</f>
        <v/>
      </c>
      <c r="U64" s="68" t="str">
        <f>IF(T64="","",IF(R64&lt;=0,"",T64/R64))</f>
        <v/>
      </c>
      <c r="V64" s="68" t="str">
        <f>IF(T64="","",T64/F64)</f>
        <v/>
      </c>
      <c r="W64" s="69" t="str">
        <f>IF(A64="","",IF(X64&lt;&gt;"OK","À corriger",IF(N(F64)&lt;=0,"Prix à saisir",IF(F64&lt;R64,"Vendu à perte",IF(F64&lt;S64,"Sous la cible","OK")))))</f>
        <v/>
      </c>
      <c r="X64" s="69" t="str">
        <f>IF(AND(A64="",COUNTA(B64:K64)=0),"",IF(A64="","Référence manquante",IF(COUNTIF($A$6:$A$305,A64)&gt;1,"Référence en double",IF(OR(NOT(ISNUMBER(D64)),N(D64)&lt;=0),"Taille de lot invalide",IF(AND(E64&lt;&gt;"",OR(NOT(ISNUMBER(E64)),N(E64)&lt;0)),"Volume annuel invalide",IF(AND(F64&lt;&gt;"",OR(NOT(ISNUMBER(F64)),N(F64)&lt;0)),"Prix de vente invalide",IF(OR(AND(G64&lt;&gt;"",OR(NOT(ISNUMBER(G64)),N(G64)&lt;0)),AND(H64&lt;&gt;"",OR(NOT(ISNUMBER(H64)),N(H64)&lt;0)),AND(I64&lt;&gt;"",OR(NOT(ISNUMBER(I64)),N(I64)&lt;0))),"Montant invalide",IF(OR(AND(J64&lt;&gt;"",OR(NOT(ISNUMBER(J64)),N(J64)&lt;0)),AND(K64&lt;&gt;"",OR(NOT(ISNUMBER(K64)),N(K64)&lt;0))),"Pourcentage invalide",IF(COUNTIF(bom_prod,A64)+COUNTIF(gam_prod,A64)=0,"Ni nomenclature ni gamme",IF(COUNTIFS(bom_prod,A64,bom_check,"&lt;&gt;OK")&gt;0,"Nomenclature à corriger",IF(COUNTIFS(gam_prod,A64,gam_check,"&lt;&gt;OK")&gt;0,"Gamme à corriger","OK")))))))))))</f>
        <v/>
      </c>
      <c r="Y64" s="70">
        <f>IF(J64="",N(p_fg),N(J64))</f>
        <v>0.15</v>
      </c>
      <c r="Z64" s="70">
        <f>IF(K64="",N(p_target),N(K64))</f>
        <v>0.25</v>
      </c>
      <c r="AA64" s="71" t="str">
        <f>IF(R64="","",IF(N(F64)&gt;0,ROUND(F64*N(E64),2),0))</f>
        <v/>
      </c>
      <c r="AB64" s="71">
        <f>IF(T64="",0,T64*N(E64))</f>
        <v>0.0</v>
      </c>
      <c r="AC64" s="71">
        <f>IF(T64="",0,R64*N(E64))</f>
        <v>0.0</v>
      </c>
      <c r="AD64" s="71">
        <f>IF(R64="",0,L64*N(E64))</f>
        <v>0.0</v>
      </c>
      <c r="AE64" s="71">
        <f>IF(R64="",0,M64*N(E64))</f>
        <v>0.0</v>
      </c>
      <c r="AF64" s="71">
        <f>IF(R64="",0,N64*N(E64))</f>
        <v>0.0</v>
      </c>
      <c r="AG64" s="71">
        <f>IF(R64="",0,O64*N(E64))</f>
        <v>0.0</v>
      </c>
      <c r="AH64" s="71">
        <f>IF(R64="",0,(N(G64)+N(H64)+N(I64)/D64)*N(E64))</f>
        <v>0.0</v>
      </c>
      <c r="AI64" s="71">
        <f>IF(R64="",0,P64*N(E64))</f>
        <v>0.0</v>
      </c>
      <c r="AJ64" s="71" t="str">
        <f>IF(AA64="","",COUNTIF(prod_ca,"&gt;"&amp;AA64)+COUNTIF(AA$6:AA64,AA64))</f>
        <v/>
      </c>
      <c r="AK64" s="71" t="str">
        <f>IF(OR(W64="Vendu à perte",W64="Sous la cible"),ROUND(U64,6),"")</f>
        <v/>
      </c>
      <c r="AL64" s="71" t="str">
        <f>IF(AK64="","",COUNTIF(prod_alk,"&lt;"&amp;AK64)+COUNTIF(AK$6:AK64,AK64))</f>
        <v/>
      </c>
    </row>
    <row r="65">
      <c r="A65" s="60" t="n"/>
      <c r="B65" s="60" t="n"/>
      <c r="C65" s="61" t="n"/>
      <c r="D65" s="62" t="n"/>
      <c r="E65" s="63" t="n"/>
      <c r="F65" s="64" t="n"/>
      <c r="G65" s="64" t="n"/>
      <c r="H65" s="64" t="n"/>
      <c r="I65" s="64" t="n"/>
      <c r="J65" s="65" t="n"/>
      <c r="K65" s="65" t="n"/>
      <c r="L65" s="66" t="str">
        <f>IF(X65="OK",SUMIF(bom_prod,A65,bom_cost),"")</f>
        <v/>
      </c>
      <c r="M65" s="66" t="str">
        <f>IF(X65="OK",SUMIF(gam_prod,A65,gam_mo),"")</f>
        <v/>
      </c>
      <c r="N65" s="66" t="str">
        <f>IF(X65="OK",SUMIF(gam_prod,A65,gam_mac),"")</f>
        <v/>
      </c>
      <c r="O65" s="66" t="str">
        <f>IF(X65="OK",SUMIF(gam_prod,A65,gam_setup)/D65,"")</f>
        <v/>
      </c>
      <c r="P65" s="66" t="str">
        <f>IF(X65="OK",(L65+M65+N65+O65+N(G65))*Y65,"")</f>
        <v/>
      </c>
      <c r="Q65" s="66" t="str">
        <f>IF(X65="OK",L65+M65+N65+O65+N(G65)+P65,"")</f>
        <v/>
      </c>
      <c r="R65" s="67" t="str">
        <f>IF(X65="OK",ROUND(Q65+N(H65)+N(I65)/D65,4),"")</f>
        <v/>
      </c>
      <c r="S65" s="66" t="str">
        <f>IF(X65="OK",ROUND(R65*(1+Z65),2),"")</f>
        <v/>
      </c>
      <c r="T65" s="66" t="str">
        <f>IF(AND(X65="OK",N(F65)&gt;0),F65-R65,"")</f>
        <v/>
      </c>
      <c r="U65" s="68" t="str">
        <f>IF(T65="","",IF(R65&lt;=0,"",T65/R65))</f>
        <v/>
      </c>
      <c r="V65" s="68" t="str">
        <f>IF(T65="","",T65/F65)</f>
        <v/>
      </c>
      <c r="W65" s="69" t="str">
        <f>IF(A65="","",IF(X65&lt;&gt;"OK","À corriger",IF(N(F65)&lt;=0,"Prix à saisir",IF(F65&lt;R65,"Vendu à perte",IF(F65&lt;S65,"Sous la cible","OK")))))</f>
        <v/>
      </c>
      <c r="X65" s="69" t="str">
        <f>IF(AND(A65="",COUNTA(B65:K65)=0),"",IF(A65="","Référence manquante",IF(COUNTIF($A$6:$A$305,A65)&gt;1,"Référence en double",IF(OR(NOT(ISNUMBER(D65)),N(D65)&lt;=0),"Taille de lot invalide",IF(AND(E65&lt;&gt;"",OR(NOT(ISNUMBER(E65)),N(E65)&lt;0)),"Volume annuel invalide",IF(AND(F65&lt;&gt;"",OR(NOT(ISNUMBER(F65)),N(F65)&lt;0)),"Prix de vente invalide",IF(OR(AND(G65&lt;&gt;"",OR(NOT(ISNUMBER(G65)),N(G65)&lt;0)),AND(H65&lt;&gt;"",OR(NOT(ISNUMBER(H65)),N(H65)&lt;0)),AND(I65&lt;&gt;"",OR(NOT(ISNUMBER(I65)),N(I65)&lt;0))),"Montant invalide",IF(OR(AND(J65&lt;&gt;"",OR(NOT(ISNUMBER(J65)),N(J65)&lt;0)),AND(K65&lt;&gt;"",OR(NOT(ISNUMBER(K65)),N(K65)&lt;0))),"Pourcentage invalide",IF(COUNTIF(bom_prod,A65)+COUNTIF(gam_prod,A65)=0,"Ni nomenclature ni gamme",IF(COUNTIFS(bom_prod,A65,bom_check,"&lt;&gt;OK")&gt;0,"Nomenclature à corriger",IF(COUNTIFS(gam_prod,A65,gam_check,"&lt;&gt;OK")&gt;0,"Gamme à corriger","OK")))))))))))</f>
        <v/>
      </c>
      <c r="Y65" s="70">
        <f>IF(J65="",N(p_fg),N(J65))</f>
        <v>0.15</v>
      </c>
      <c r="Z65" s="70">
        <f>IF(K65="",N(p_target),N(K65))</f>
        <v>0.25</v>
      </c>
      <c r="AA65" s="71" t="str">
        <f>IF(R65="","",IF(N(F65)&gt;0,ROUND(F65*N(E65),2),0))</f>
        <v/>
      </c>
      <c r="AB65" s="71">
        <f>IF(T65="",0,T65*N(E65))</f>
        <v>0.0</v>
      </c>
      <c r="AC65" s="71">
        <f>IF(T65="",0,R65*N(E65))</f>
        <v>0.0</v>
      </c>
      <c r="AD65" s="71">
        <f>IF(R65="",0,L65*N(E65))</f>
        <v>0.0</v>
      </c>
      <c r="AE65" s="71">
        <f>IF(R65="",0,M65*N(E65))</f>
        <v>0.0</v>
      </c>
      <c r="AF65" s="71">
        <f>IF(R65="",0,N65*N(E65))</f>
        <v>0.0</v>
      </c>
      <c r="AG65" s="71">
        <f>IF(R65="",0,O65*N(E65))</f>
        <v>0.0</v>
      </c>
      <c r="AH65" s="71">
        <f>IF(R65="",0,(N(G65)+N(H65)+N(I65)/D65)*N(E65))</f>
        <v>0.0</v>
      </c>
      <c r="AI65" s="71">
        <f>IF(R65="",0,P65*N(E65))</f>
        <v>0.0</v>
      </c>
      <c r="AJ65" s="71" t="str">
        <f>IF(AA65="","",COUNTIF(prod_ca,"&gt;"&amp;AA65)+COUNTIF(AA$6:AA65,AA65))</f>
        <v/>
      </c>
      <c r="AK65" s="71" t="str">
        <f>IF(OR(W65="Vendu à perte",W65="Sous la cible"),ROUND(U65,6),"")</f>
        <v/>
      </c>
      <c r="AL65" s="71" t="str">
        <f>IF(AK65="","",COUNTIF(prod_alk,"&lt;"&amp;AK65)+COUNTIF(AK$6:AK65,AK65))</f>
        <v/>
      </c>
    </row>
    <row r="66">
      <c r="A66" s="60" t="n"/>
      <c r="B66" s="60" t="n"/>
      <c r="C66" s="61" t="n"/>
      <c r="D66" s="62" t="n"/>
      <c r="E66" s="63" t="n"/>
      <c r="F66" s="64" t="n"/>
      <c r="G66" s="64" t="n"/>
      <c r="H66" s="64" t="n"/>
      <c r="I66" s="64" t="n"/>
      <c r="J66" s="65" t="n"/>
      <c r="K66" s="65" t="n"/>
      <c r="L66" s="66" t="str">
        <f>IF(X66="OK",SUMIF(bom_prod,A66,bom_cost),"")</f>
        <v/>
      </c>
      <c r="M66" s="66" t="str">
        <f>IF(X66="OK",SUMIF(gam_prod,A66,gam_mo),"")</f>
        <v/>
      </c>
      <c r="N66" s="66" t="str">
        <f>IF(X66="OK",SUMIF(gam_prod,A66,gam_mac),"")</f>
        <v/>
      </c>
      <c r="O66" s="66" t="str">
        <f>IF(X66="OK",SUMIF(gam_prod,A66,gam_setup)/D66,"")</f>
        <v/>
      </c>
      <c r="P66" s="66" t="str">
        <f>IF(X66="OK",(L66+M66+N66+O66+N(G66))*Y66,"")</f>
        <v/>
      </c>
      <c r="Q66" s="66" t="str">
        <f>IF(X66="OK",L66+M66+N66+O66+N(G66)+P66,"")</f>
        <v/>
      </c>
      <c r="R66" s="67" t="str">
        <f>IF(X66="OK",ROUND(Q66+N(H66)+N(I66)/D66,4),"")</f>
        <v/>
      </c>
      <c r="S66" s="66" t="str">
        <f>IF(X66="OK",ROUND(R66*(1+Z66),2),"")</f>
        <v/>
      </c>
      <c r="T66" s="66" t="str">
        <f>IF(AND(X66="OK",N(F66)&gt;0),F66-R66,"")</f>
        <v/>
      </c>
      <c r="U66" s="68" t="str">
        <f>IF(T66="","",IF(R66&lt;=0,"",T66/R66))</f>
        <v/>
      </c>
      <c r="V66" s="68" t="str">
        <f>IF(T66="","",T66/F66)</f>
        <v/>
      </c>
      <c r="W66" s="69" t="str">
        <f>IF(A66="","",IF(X66&lt;&gt;"OK","À corriger",IF(N(F66)&lt;=0,"Prix à saisir",IF(F66&lt;R66,"Vendu à perte",IF(F66&lt;S66,"Sous la cible","OK")))))</f>
        <v/>
      </c>
      <c r="X66" s="69" t="str">
        <f>IF(AND(A66="",COUNTA(B66:K66)=0),"",IF(A66="","Référence manquante",IF(COUNTIF($A$6:$A$305,A66)&gt;1,"Référence en double",IF(OR(NOT(ISNUMBER(D66)),N(D66)&lt;=0),"Taille de lot invalide",IF(AND(E66&lt;&gt;"",OR(NOT(ISNUMBER(E66)),N(E66)&lt;0)),"Volume annuel invalide",IF(AND(F66&lt;&gt;"",OR(NOT(ISNUMBER(F66)),N(F66)&lt;0)),"Prix de vente invalide",IF(OR(AND(G66&lt;&gt;"",OR(NOT(ISNUMBER(G66)),N(G66)&lt;0)),AND(H66&lt;&gt;"",OR(NOT(ISNUMBER(H66)),N(H66)&lt;0)),AND(I66&lt;&gt;"",OR(NOT(ISNUMBER(I66)),N(I66)&lt;0))),"Montant invalide",IF(OR(AND(J66&lt;&gt;"",OR(NOT(ISNUMBER(J66)),N(J66)&lt;0)),AND(K66&lt;&gt;"",OR(NOT(ISNUMBER(K66)),N(K66)&lt;0))),"Pourcentage invalide",IF(COUNTIF(bom_prod,A66)+COUNTIF(gam_prod,A66)=0,"Ni nomenclature ni gamme",IF(COUNTIFS(bom_prod,A66,bom_check,"&lt;&gt;OK")&gt;0,"Nomenclature à corriger",IF(COUNTIFS(gam_prod,A66,gam_check,"&lt;&gt;OK")&gt;0,"Gamme à corriger","OK")))))))))))</f>
        <v/>
      </c>
      <c r="Y66" s="70">
        <f>IF(J66="",N(p_fg),N(J66))</f>
        <v>0.15</v>
      </c>
      <c r="Z66" s="70">
        <f>IF(K66="",N(p_target),N(K66))</f>
        <v>0.25</v>
      </c>
      <c r="AA66" s="71" t="str">
        <f>IF(R66="","",IF(N(F66)&gt;0,ROUND(F66*N(E66),2),0))</f>
        <v/>
      </c>
      <c r="AB66" s="71">
        <f>IF(T66="",0,T66*N(E66))</f>
        <v>0.0</v>
      </c>
      <c r="AC66" s="71">
        <f>IF(T66="",0,R66*N(E66))</f>
        <v>0.0</v>
      </c>
      <c r="AD66" s="71">
        <f>IF(R66="",0,L66*N(E66))</f>
        <v>0.0</v>
      </c>
      <c r="AE66" s="71">
        <f>IF(R66="",0,M66*N(E66))</f>
        <v>0.0</v>
      </c>
      <c r="AF66" s="71">
        <f>IF(R66="",0,N66*N(E66))</f>
        <v>0.0</v>
      </c>
      <c r="AG66" s="71">
        <f>IF(R66="",0,O66*N(E66))</f>
        <v>0.0</v>
      </c>
      <c r="AH66" s="71">
        <f>IF(R66="",0,(N(G66)+N(H66)+N(I66)/D66)*N(E66))</f>
        <v>0.0</v>
      </c>
      <c r="AI66" s="71">
        <f>IF(R66="",0,P66*N(E66))</f>
        <v>0.0</v>
      </c>
      <c r="AJ66" s="71" t="str">
        <f>IF(AA66="","",COUNTIF(prod_ca,"&gt;"&amp;AA66)+COUNTIF(AA$6:AA66,AA66))</f>
        <v/>
      </c>
      <c r="AK66" s="71" t="str">
        <f>IF(OR(W66="Vendu à perte",W66="Sous la cible"),ROUND(U66,6),"")</f>
        <v/>
      </c>
      <c r="AL66" s="71" t="str">
        <f>IF(AK66="","",COUNTIF(prod_alk,"&lt;"&amp;AK66)+COUNTIF(AK$6:AK66,AK66))</f>
        <v/>
      </c>
    </row>
    <row r="67">
      <c r="A67" s="60" t="n"/>
      <c r="B67" s="60" t="n"/>
      <c r="C67" s="61" t="n"/>
      <c r="D67" s="62" t="n"/>
      <c r="E67" s="63" t="n"/>
      <c r="F67" s="64" t="n"/>
      <c r="G67" s="64" t="n"/>
      <c r="H67" s="64" t="n"/>
      <c r="I67" s="64" t="n"/>
      <c r="J67" s="65" t="n"/>
      <c r="K67" s="65" t="n"/>
      <c r="L67" s="66" t="str">
        <f>IF(X67="OK",SUMIF(bom_prod,A67,bom_cost),"")</f>
        <v/>
      </c>
      <c r="M67" s="66" t="str">
        <f>IF(X67="OK",SUMIF(gam_prod,A67,gam_mo),"")</f>
        <v/>
      </c>
      <c r="N67" s="66" t="str">
        <f>IF(X67="OK",SUMIF(gam_prod,A67,gam_mac),"")</f>
        <v/>
      </c>
      <c r="O67" s="66" t="str">
        <f>IF(X67="OK",SUMIF(gam_prod,A67,gam_setup)/D67,"")</f>
        <v/>
      </c>
      <c r="P67" s="66" t="str">
        <f>IF(X67="OK",(L67+M67+N67+O67+N(G67))*Y67,"")</f>
        <v/>
      </c>
      <c r="Q67" s="66" t="str">
        <f>IF(X67="OK",L67+M67+N67+O67+N(G67)+P67,"")</f>
        <v/>
      </c>
      <c r="R67" s="67" t="str">
        <f>IF(X67="OK",ROUND(Q67+N(H67)+N(I67)/D67,4),"")</f>
        <v/>
      </c>
      <c r="S67" s="66" t="str">
        <f>IF(X67="OK",ROUND(R67*(1+Z67),2),"")</f>
        <v/>
      </c>
      <c r="T67" s="66" t="str">
        <f>IF(AND(X67="OK",N(F67)&gt;0),F67-R67,"")</f>
        <v/>
      </c>
      <c r="U67" s="68" t="str">
        <f>IF(T67="","",IF(R67&lt;=0,"",T67/R67))</f>
        <v/>
      </c>
      <c r="V67" s="68" t="str">
        <f>IF(T67="","",T67/F67)</f>
        <v/>
      </c>
      <c r="W67" s="69" t="str">
        <f>IF(A67="","",IF(X67&lt;&gt;"OK","À corriger",IF(N(F67)&lt;=0,"Prix à saisir",IF(F67&lt;R67,"Vendu à perte",IF(F67&lt;S67,"Sous la cible","OK")))))</f>
        <v/>
      </c>
      <c r="X67" s="69" t="str">
        <f>IF(AND(A67="",COUNTA(B67:K67)=0),"",IF(A67="","Référence manquante",IF(COUNTIF($A$6:$A$305,A67)&gt;1,"Référence en double",IF(OR(NOT(ISNUMBER(D67)),N(D67)&lt;=0),"Taille de lot invalide",IF(AND(E67&lt;&gt;"",OR(NOT(ISNUMBER(E67)),N(E67)&lt;0)),"Volume annuel invalide",IF(AND(F67&lt;&gt;"",OR(NOT(ISNUMBER(F67)),N(F67)&lt;0)),"Prix de vente invalide",IF(OR(AND(G67&lt;&gt;"",OR(NOT(ISNUMBER(G67)),N(G67)&lt;0)),AND(H67&lt;&gt;"",OR(NOT(ISNUMBER(H67)),N(H67)&lt;0)),AND(I67&lt;&gt;"",OR(NOT(ISNUMBER(I67)),N(I67)&lt;0))),"Montant invalide",IF(OR(AND(J67&lt;&gt;"",OR(NOT(ISNUMBER(J67)),N(J67)&lt;0)),AND(K67&lt;&gt;"",OR(NOT(ISNUMBER(K67)),N(K67)&lt;0))),"Pourcentage invalide",IF(COUNTIF(bom_prod,A67)+COUNTIF(gam_prod,A67)=0,"Ni nomenclature ni gamme",IF(COUNTIFS(bom_prod,A67,bom_check,"&lt;&gt;OK")&gt;0,"Nomenclature à corriger",IF(COUNTIFS(gam_prod,A67,gam_check,"&lt;&gt;OK")&gt;0,"Gamme à corriger","OK")))))))))))</f>
        <v/>
      </c>
      <c r="Y67" s="70">
        <f>IF(J67="",N(p_fg),N(J67))</f>
        <v>0.15</v>
      </c>
      <c r="Z67" s="70">
        <f>IF(K67="",N(p_target),N(K67))</f>
        <v>0.25</v>
      </c>
      <c r="AA67" s="71" t="str">
        <f>IF(R67="","",IF(N(F67)&gt;0,ROUND(F67*N(E67),2),0))</f>
        <v/>
      </c>
      <c r="AB67" s="71">
        <f>IF(T67="",0,T67*N(E67))</f>
        <v>0.0</v>
      </c>
      <c r="AC67" s="71">
        <f>IF(T67="",0,R67*N(E67))</f>
        <v>0.0</v>
      </c>
      <c r="AD67" s="71">
        <f>IF(R67="",0,L67*N(E67))</f>
        <v>0.0</v>
      </c>
      <c r="AE67" s="71">
        <f>IF(R67="",0,M67*N(E67))</f>
        <v>0.0</v>
      </c>
      <c r="AF67" s="71">
        <f>IF(R67="",0,N67*N(E67))</f>
        <v>0.0</v>
      </c>
      <c r="AG67" s="71">
        <f>IF(R67="",0,O67*N(E67))</f>
        <v>0.0</v>
      </c>
      <c r="AH67" s="71">
        <f>IF(R67="",0,(N(G67)+N(H67)+N(I67)/D67)*N(E67))</f>
        <v>0.0</v>
      </c>
      <c r="AI67" s="71">
        <f>IF(R67="",0,P67*N(E67))</f>
        <v>0.0</v>
      </c>
      <c r="AJ67" s="71" t="str">
        <f>IF(AA67="","",COUNTIF(prod_ca,"&gt;"&amp;AA67)+COUNTIF(AA$6:AA67,AA67))</f>
        <v/>
      </c>
      <c r="AK67" s="71" t="str">
        <f>IF(OR(W67="Vendu à perte",W67="Sous la cible"),ROUND(U67,6),"")</f>
        <v/>
      </c>
      <c r="AL67" s="71" t="str">
        <f>IF(AK67="","",COUNTIF(prod_alk,"&lt;"&amp;AK67)+COUNTIF(AK$6:AK67,AK67))</f>
        <v/>
      </c>
    </row>
    <row r="68">
      <c r="A68" s="60" t="n"/>
      <c r="B68" s="60" t="n"/>
      <c r="C68" s="61" t="n"/>
      <c r="D68" s="62" t="n"/>
      <c r="E68" s="63" t="n"/>
      <c r="F68" s="64" t="n"/>
      <c r="G68" s="64" t="n"/>
      <c r="H68" s="64" t="n"/>
      <c r="I68" s="64" t="n"/>
      <c r="J68" s="65" t="n"/>
      <c r="K68" s="65" t="n"/>
      <c r="L68" s="66" t="str">
        <f>IF(X68="OK",SUMIF(bom_prod,A68,bom_cost),"")</f>
        <v/>
      </c>
      <c r="M68" s="66" t="str">
        <f>IF(X68="OK",SUMIF(gam_prod,A68,gam_mo),"")</f>
        <v/>
      </c>
      <c r="N68" s="66" t="str">
        <f>IF(X68="OK",SUMIF(gam_prod,A68,gam_mac),"")</f>
        <v/>
      </c>
      <c r="O68" s="66" t="str">
        <f>IF(X68="OK",SUMIF(gam_prod,A68,gam_setup)/D68,"")</f>
        <v/>
      </c>
      <c r="P68" s="66" t="str">
        <f>IF(X68="OK",(L68+M68+N68+O68+N(G68))*Y68,"")</f>
        <v/>
      </c>
      <c r="Q68" s="66" t="str">
        <f>IF(X68="OK",L68+M68+N68+O68+N(G68)+P68,"")</f>
        <v/>
      </c>
      <c r="R68" s="67" t="str">
        <f>IF(X68="OK",ROUND(Q68+N(H68)+N(I68)/D68,4),"")</f>
        <v/>
      </c>
      <c r="S68" s="66" t="str">
        <f>IF(X68="OK",ROUND(R68*(1+Z68),2),"")</f>
        <v/>
      </c>
      <c r="T68" s="66" t="str">
        <f>IF(AND(X68="OK",N(F68)&gt;0),F68-R68,"")</f>
        <v/>
      </c>
      <c r="U68" s="68" t="str">
        <f>IF(T68="","",IF(R68&lt;=0,"",T68/R68))</f>
        <v/>
      </c>
      <c r="V68" s="68" t="str">
        <f>IF(T68="","",T68/F68)</f>
        <v/>
      </c>
      <c r="W68" s="69" t="str">
        <f>IF(A68="","",IF(X68&lt;&gt;"OK","À corriger",IF(N(F68)&lt;=0,"Prix à saisir",IF(F68&lt;R68,"Vendu à perte",IF(F68&lt;S68,"Sous la cible","OK")))))</f>
        <v/>
      </c>
      <c r="X68" s="69" t="str">
        <f>IF(AND(A68="",COUNTA(B68:K68)=0),"",IF(A68="","Référence manquante",IF(COUNTIF($A$6:$A$305,A68)&gt;1,"Référence en double",IF(OR(NOT(ISNUMBER(D68)),N(D68)&lt;=0),"Taille de lot invalide",IF(AND(E68&lt;&gt;"",OR(NOT(ISNUMBER(E68)),N(E68)&lt;0)),"Volume annuel invalide",IF(AND(F68&lt;&gt;"",OR(NOT(ISNUMBER(F68)),N(F68)&lt;0)),"Prix de vente invalide",IF(OR(AND(G68&lt;&gt;"",OR(NOT(ISNUMBER(G68)),N(G68)&lt;0)),AND(H68&lt;&gt;"",OR(NOT(ISNUMBER(H68)),N(H68)&lt;0)),AND(I68&lt;&gt;"",OR(NOT(ISNUMBER(I68)),N(I68)&lt;0))),"Montant invalide",IF(OR(AND(J68&lt;&gt;"",OR(NOT(ISNUMBER(J68)),N(J68)&lt;0)),AND(K68&lt;&gt;"",OR(NOT(ISNUMBER(K68)),N(K68)&lt;0))),"Pourcentage invalide",IF(COUNTIF(bom_prod,A68)+COUNTIF(gam_prod,A68)=0,"Ni nomenclature ni gamme",IF(COUNTIFS(bom_prod,A68,bom_check,"&lt;&gt;OK")&gt;0,"Nomenclature à corriger",IF(COUNTIFS(gam_prod,A68,gam_check,"&lt;&gt;OK")&gt;0,"Gamme à corriger","OK")))))))))))</f>
        <v/>
      </c>
      <c r="Y68" s="70">
        <f>IF(J68="",N(p_fg),N(J68))</f>
        <v>0.15</v>
      </c>
      <c r="Z68" s="70">
        <f>IF(K68="",N(p_target),N(K68))</f>
        <v>0.25</v>
      </c>
      <c r="AA68" s="71" t="str">
        <f>IF(R68="","",IF(N(F68)&gt;0,ROUND(F68*N(E68),2),0))</f>
        <v/>
      </c>
      <c r="AB68" s="71">
        <f>IF(T68="",0,T68*N(E68))</f>
        <v>0.0</v>
      </c>
      <c r="AC68" s="71">
        <f>IF(T68="",0,R68*N(E68))</f>
        <v>0.0</v>
      </c>
      <c r="AD68" s="71">
        <f>IF(R68="",0,L68*N(E68))</f>
        <v>0.0</v>
      </c>
      <c r="AE68" s="71">
        <f>IF(R68="",0,M68*N(E68))</f>
        <v>0.0</v>
      </c>
      <c r="AF68" s="71">
        <f>IF(R68="",0,N68*N(E68))</f>
        <v>0.0</v>
      </c>
      <c r="AG68" s="71">
        <f>IF(R68="",0,O68*N(E68))</f>
        <v>0.0</v>
      </c>
      <c r="AH68" s="71">
        <f>IF(R68="",0,(N(G68)+N(H68)+N(I68)/D68)*N(E68))</f>
        <v>0.0</v>
      </c>
      <c r="AI68" s="71">
        <f>IF(R68="",0,P68*N(E68))</f>
        <v>0.0</v>
      </c>
      <c r="AJ68" s="71" t="str">
        <f>IF(AA68="","",COUNTIF(prod_ca,"&gt;"&amp;AA68)+COUNTIF(AA$6:AA68,AA68))</f>
        <v/>
      </c>
      <c r="AK68" s="71" t="str">
        <f>IF(OR(W68="Vendu à perte",W68="Sous la cible"),ROUND(U68,6),"")</f>
        <v/>
      </c>
      <c r="AL68" s="71" t="str">
        <f>IF(AK68="","",COUNTIF(prod_alk,"&lt;"&amp;AK68)+COUNTIF(AK$6:AK68,AK68))</f>
        <v/>
      </c>
    </row>
    <row r="69">
      <c r="A69" s="60" t="n"/>
      <c r="B69" s="60" t="n"/>
      <c r="C69" s="61" t="n"/>
      <c r="D69" s="62" t="n"/>
      <c r="E69" s="63" t="n"/>
      <c r="F69" s="64" t="n"/>
      <c r="G69" s="64" t="n"/>
      <c r="H69" s="64" t="n"/>
      <c r="I69" s="64" t="n"/>
      <c r="J69" s="65" t="n"/>
      <c r="K69" s="65" t="n"/>
      <c r="L69" s="66" t="str">
        <f>IF(X69="OK",SUMIF(bom_prod,A69,bom_cost),"")</f>
        <v/>
      </c>
      <c r="M69" s="66" t="str">
        <f>IF(X69="OK",SUMIF(gam_prod,A69,gam_mo),"")</f>
        <v/>
      </c>
      <c r="N69" s="66" t="str">
        <f>IF(X69="OK",SUMIF(gam_prod,A69,gam_mac),"")</f>
        <v/>
      </c>
      <c r="O69" s="66" t="str">
        <f>IF(X69="OK",SUMIF(gam_prod,A69,gam_setup)/D69,"")</f>
        <v/>
      </c>
      <c r="P69" s="66" t="str">
        <f>IF(X69="OK",(L69+M69+N69+O69+N(G69))*Y69,"")</f>
        <v/>
      </c>
      <c r="Q69" s="66" t="str">
        <f>IF(X69="OK",L69+M69+N69+O69+N(G69)+P69,"")</f>
        <v/>
      </c>
      <c r="R69" s="67" t="str">
        <f>IF(X69="OK",ROUND(Q69+N(H69)+N(I69)/D69,4),"")</f>
        <v/>
      </c>
      <c r="S69" s="66" t="str">
        <f>IF(X69="OK",ROUND(R69*(1+Z69),2),"")</f>
        <v/>
      </c>
      <c r="T69" s="66" t="str">
        <f>IF(AND(X69="OK",N(F69)&gt;0),F69-R69,"")</f>
        <v/>
      </c>
      <c r="U69" s="68" t="str">
        <f>IF(T69="","",IF(R69&lt;=0,"",T69/R69))</f>
        <v/>
      </c>
      <c r="V69" s="68" t="str">
        <f>IF(T69="","",T69/F69)</f>
        <v/>
      </c>
      <c r="W69" s="69" t="str">
        <f>IF(A69="","",IF(X69&lt;&gt;"OK","À corriger",IF(N(F69)&lt;=0,"Prix à saisir",IF(F69&lt;R69,"Vendu à perte",IF(F69&lt;S69,"Sous la cible","OK")))))</f>
        <v/>
      </c>
      <c r="X69" s="69" t="str">
        <f>IF(AND(A69="",COUNTA(B69:K69)=0),"",IF(A69="","Référence manquante",IF(COUNTIF($A$6:$A$305,A69)&gt;1,"Référence en double",IF(OR(NOT(ISNUMBER(D69)),N(D69)&lt;=0),"Taille de lot invalide",IF(AND(E69&lt;&gt;"",OR(NOT(ISNUMBER(E69)),N(E69)&lt;0)),"Volume annuel invalide",IF(AND(F69&lt;&gt;"",OR(NOT(ISNUMBER(F69)),N(F69)&lt;0)),"Prix de vente invalide",IF(OR(AND(G69&lt;&gt;"",OR(NOT(ISNUMBER(G69)),N(G69)&lt;0)),AND(H69&lt;&gt;"",OR(NOT(ISNUMBER(H69)),N(H69)&lt;0)),AND(I69&lt;&gt;"",OR(NOT(ISNUMBER(I69)),N(I69)&lt;0))),"Montant invalide",IF(OR(AND(J69&lt;&gt;"",OR(NOT(ISNUMBER(J69)),N(J69)&lt;0)),AND(K69&lt;&gt;"",OR(NOT(ISNUMBER(K69)),N(K69)&lt;0))),"Pourcentage invalide",IF(COUNTIF(bom_prod,A69)+COUNTIF(gam_prod,A69)=0,"Ni nomenclature ni gamme",IF(COUNTIFS(bom_prod,A69,bom_check,"&lt;&gt;OK")&gt;0,"Nomenclature à corriger",IF(COUNTIFS(gam_prod,A69,gam_check,"&lt;&gt;OK")&gt;0,"Gamme à corriger","OK")))))))))))</f>
        <v/>
      </c>
      <c r="Y69" s="70">
        <f>IF(J69="",N(p_fg),N(J69))</f>
        <v>0.15</v>
      </c>
      <c r="Z69" s="70">
        <f>IF(K69="",N(p_target),N(K69))</f>
        <v>0.25</v>
      </c>
      <c r="AA69" s="71" t="str">
        <f>IF(R69="","",IF(N(F69)&gt;0,ROUND(F69*N(E69),2),0))</f>
        <v/>
      </c>
      <c r="AB69" s="71">
        <f>IF(T69="",0,T69*N(E69))</f>
        <v>0.0</v>
      </c>
      <c r="AC69" s="71">
        <f>IF(T69="",0,R69*N(E69))</f>
        <v>0.0</v>
      </c>
      <c r="AD69" s="71">
        <f>IF(R69="",0,L69*N(E69))</f>
        <v>0.0</v>
      </c>
      <c r="AE69" s="71">
        <f>IF(R69="",0,M69*N(E69))</f>
        <v>0.0</v>
      </c>
      <c r="AF69" s="71">
        <f>IF(R69="",0,N69*N(E69))</f>
        <v>0.0</v>
      </c>
      <c r="AG69" s="71">
        <f>IF(R69="",0,O69*N(E69))</f>
        <v>0.0</v>
      </c>
      <c r="AH69" s="71">
        <f>IF(R69="",0,(N(G69)+N(H69)+N(I69)/D69)*N(E69))</f>
        <v>0.0</v>
      </c>
      <c r="AI69" s="71">
        <f>IF(R69="",0,P69*N(E69))</f>
        <v>0.0</v>
      </c>
      <c r="AJ69" s="71" t="str">
        <f>IF(AA69="","",COUNTIF(prod_ca,"&gt;"&amp;AA69)+COUNTIF(AA$6:AA69,AA69))</f>
        <v/>
      </c>
      <c r="AK69" s="71" t="str">
        <f>IF(OR(W69="Vendu à perte",W69="Sous la cible"),ROUND(U69,6),"")</f>
        <v/>
      </c>
      <c r="AL69" s="71" t="str">
        <f>IF(AK69="","",COUNTIF(prod_alk,"&lt;"&amp;AK69)+COUNTIF(AK$6:AK69,AK69))</f>
        <v/>
      </c>
    </row>
    <row r="70">
      <c r="A70" s="60" t="n"/>
      <c r="B70" s="60" t="n"/>
      <c r="C70" s="61" t="n"/>
      <c r="D70" s="62" t="n"/>
      <c r="E70" s="63" t="n"/>
      <c r="F70" s="64" t="n"/>
      <c r="G70" s="64" t="n"/>
      <c r="H70" s="64" t="n"/>
      <c r="I70" s="64" t="n"/>
      <c r="J70" s="65" t="n"/>
      <c r="K70" s="65" t="n"/>
      <c r="L70" s="66" t="str">
        <f>IF(X70="OK",SUMIF(bom_prod,A70,bom_cost),"")</f>
        <v/>
      </c>
      <c r="M70" s="66" t="str">
        <f>IF(X70="OK",SUMIF(gam_prod,A70,gam_mo),"")</f>
        <v/>
      </c>
      <c r="N70" s="66" t="str">
        <f>IF(X70="OK",SUMIF(gam_prod,A70,gam_mac),"")</f>
        <v/>
      </c>
      <c r="O70" s="66" t="str">
        <f>IF(X70="OK",SUMIF(gam_prod,A70,gam_setup)/D70,"")</f>
        <v/>
      </c>
      <c r="P70" s="66" t="str">
        <f>IF(X70="OK",(L70+M70+N70+O70+N(G70))*Y70,"")</f>
        <v/>
      </c>
      <c r="Q70" s="66" t="str">
        <f>IF(X70="OK",L70+M70+N70+O70+N(G70)+P70,"")</f>
        <v/>
      </c>
      <c r="R70" s="67" t="str">
        <f>IF(X70="OK",ROUND(Q70+N(H70)+N(I70)/D70,4),"")</f>
        <v/>
      </c>
      <c r="S70" s="66" t="str">
        <f>IF(X70="OK",ROUND(R70*(1+Z70),2),"")</f>
        <v/>
      </c>
      <c r="T70" s="66" t="str">
        <f>IF(AND(X70="OK",N(F70)&gt;0),F70-R70,"")</f>
        <v/>
      </c>
      <c r="U70" s="68" t="str">
        <f>IF(T70="","",IF(R70&lt;=0,"",T70/R70))</f>
        <v/>
      </c>
      <c r="V70" s="68" t="str">
        <f>IF(T70="","",T70/F70)</f>
        <v/>
      </c>
      <c r="W70" s="69" t="str">
        <f>IF(A70="","",IF(X70&lt;&gt;"OK","À corriger",IF(N(F70)&lt;=0,"Prix à saisir",IF(F70&lt;R70,"Vendu à perte",IF(F70&lt;S70,"Sous la cible","OK")))))</f>
        <v/>
      </c>
      <c r="X70" s="69" t="str">
        <f>IF(AND(A70="",COUNTA(B70:K70)=0),"",IF(A70="","Référence manquante",IF(COUNTIF($A$6:$A$305,A70)&gt;1,"Référence en double",IF(OR(NOT(ISNUMBER(D70)),N(D70)&lt;=0),"Taille de lot invalide",IF(AND(E70&lt;&gt;"",OR(NOT(ISNUMBER(E70)),N(E70)&lt;0)),"Volume annuel invalide",IF(AND(F70&lt;&gt;"",OR(NOT(ISNUMBER(F70)),N(F70)&lt;0)),"Prix de vente invalide",IF(OR(AND(G70&lt;&gt;"",OR(NOT(ISNUMBER(G70)),N(G70)&lt;0)),AND(H70&lt;&gt;"",OR(NOT(ISNUMBER(H70)),N(H70)&lt;0)),AND(I70&lt;&gt;"",OR(NOT(ISNUMBER(I70)),N(I70)&lt;0))),"Montant invalide",IF(OR(AND(J70&lt;&gt;"",OR(NOT(ISNUMBER(J70)),N(J70)&lt;0)),AND(K70&lt;&gt;"",OR(NOT(ISNUMBER(K70)),N(K70)&lt;0))),"Pourcentage invalide",IF(COUNTIF(bom_prod,A70)+COUNTIF(gam_prod,A70)=0,"Ni nomenclature ni gamme",IF(COUNTIFS(bom_prod,A70,bom_check,"&lt;&gt;OK")&gt;0,"Nomenclature à corriger",IF(COUNTIFS(gam_prod,A70,gam_check,"&lt;&gt;OK")&gt;0,"Gamme à corriger","OK")))))))))))</f>
        <v/>
      </c>
      <c r="Y70" s="70">
        <f>IF(J70="",N(p_fg),N(J70))</f>
        <v>0.15</v>
      </c>
      <c r="Z70" s="70">
        <f>IF(K70="",N(p_target),N(K70))</f>
        <v>0.25</v>
      </c>
      <c r="AA70" s="71" t="str">
        <f>IF(R70="","",IF(N(F70)&gt;0,ROUND(F70*N(E70),2),0))</f>
        <v/>
      </c>
      <c r="AB70" s="71">
        <f>IF(T70="",0,T70*N(E70))</f>
        <v>0.0</v>
      </c>
      <c r="AC70" s="71">
        <f>IF(T70="",0,R70*N(E70))</f>
        <v>0.0</v>
      </c>
      <c r="AD70" s="71">
        <f>IF(R70="",0,L70*N(E70))</f>
        <v>0.0</v>
      </c>
      <c r="AE70" s="71">
        <f>IF(R70="",0,M70*N(E70))</f>
        <v>0.0</v>
      </c>
      <c r="AF70" s="71">
        <f>IF(R70="",0,N70*N(E70))</f>
        <v>0.0</v>
      </c>
      <c r="AG70" s="71">
        <f>IF(R70="",0,O70*N(E70))</f>
        <v>0.0</v>
      </c>
      <c r="AH70" s="71">
        <f>IF(R70="",0,(N(G70)+N(H70)+N(I70)/D70)*N(E70))</f>
        <v>0.0</v>
      </c>
      <c r="AI70" s="71">
        <f>IF(R70="",0,P70*N(E70))</f>
        <v>0.0</v>
      </c>
      <c r="AJ70" s="71" t="str">
        <f>IF(AA70="","",COUNTIF(prod_ca,"&gt;"&amp;AA70)+COUNTIF(AA$6:AA70,AA70))</f>
        <v/>
      </c>
      <c r="AK70" s="71" t="str">
        <f>IF(OR(W70="Vendu à perte",W70="Sous la cible"),ROUND(U70,6),"")</f>
        <v/>
      </c>
      <c r="AL70" s="71" t="str">
        <f>IF(AK70="","",COUNTIF(prod_alk,"&lt;"&amp;AK70)+COUNTIF(AK$6:AK70,AK70))</f>
        <v/>
      </c>
    </row>
    <row r="71">
      <c r="A71" s="60" t="n"/>
      <c r="B71" s="60" t="n"/>
      <c r="C71" s="61" t="n"/>
      <c r="D71" s="62" t="n"/>
      <c r="E71" s="63" t="n"/>
      <c r="F71" s="64" t="n"/>
      <c r="G71" s="64" t="n"/>
      <c r="H71" s="64" t="n"/>
      <c r="I71" s="64" t="n"/>
      <c r="J71" s="65" t="n"/>
      <c r="K71" s="65" t="n"/>
      <c r="L71" s="66" t="str">
        <f>IF(X71="OK",SUMIF(bom_prod,A71,bom_cost),"")</f>
        <v/>
      </c>
      <c r="M71" s="66" t="str">
        <f>IF(X71="OK",SUMIF(gam_prod,A71,gam_mo),"")</f>
        <v/>
      </c>
      <c r="N71" s="66" t="str">
        <f>IF(X71="OK",SUMIF(gam_prod,A71,gam_mac),"")</f>
        <v/>
      </c>
      <c r="O71" s="66" t="str">
        <f>IF(X71="OK",SUMIF(gam_prod,A71,gam_setup)/D71,"")</f>
        <v/>
      </c>
      <c r="P71" s="66" t="str">
        <f>IF(X71="OK",(L71+M71+N71+O71+N(G71))*Y71,"")</f>
        <v/>
      </c>
      <c r="Q71" s="66" t="str">
        <f>IF(X71="OK",L71+M71+N71+O71+N(G71)+P71,"")</f>
        <v/>
      </c>
      <c r="R71" s="67" t="str">
        <f>IF(X71="OK",ROUND(Q71+N(H71)+N(I71)/D71,4),"")</f>
        <v/>
      </c>
      <c r="S71" s="66" t="str">
        <f>IF(X71="OK",ROUND(R71*(1+Z71),2),"")</f>
        <v/>
      </c>
      <c r="T71" s="66" t="str">
        <f>IF(AND(X71="OK",N(F71)&gt;0),F71-R71,"")</f>
        <v/>
      </c>
      <c r="U71" s="68" t="str">
        <f>IF(T71="","",IF(R71&lt;=0,"",T71/R71))</f>
        <v/>
      </c>
      <c r="V71" s="68" t="str">
        <f>IF(T71="","",T71/F71)</f>
        <v/>
      </c>
      <c r="W71" s="69" t="str">
        <f>IF(A71="","",IF(X71&lt;&gt;"OK","À corriger",IF(N(F71)&lt;=0,"Prix à saisir",IF(F71&lt;R71,"Vendu à perte",IF(F71&lt;S71,"Sous la cible","OK")))))</f>
        <v/>
      </c>
      <c r="X71" s="69" t="str">
        <f>IF(AND(A71="",COUNTA(B71:K71)=0),"",IF(A71="","Référence manquante",IF(COUNTIF($A$6:$A$305,A71)&gt;1,"Référence en double",IF(OR(NOT(ISNUMBER(D71)),N(D71)&lt;=0),"Taille de lot invalide",IF(AND(E71&lt;&gt;"",OR(NOT(ISNUMBER(E71)),N(E71)&lt;0)),"Volume annuel invalide",IF(AND(F71&lt;&gt;"",OR(NOT(ISNUMBER(F71)),N(F71)&lt;0)),"Prix de vente invalide",IF(OR(AND(G71&lt;&gt;"",OR(NOT(ISNUMBER(G71)),N(G71)&lt;0)),AND(H71&lt;&gt;"",OR(NOT(ISNUMBER(H71)),N(H71)&lt;0)),AND(I71&lt;&gt;"",OR(NOT(ISNUMBER(I71)),N(I71)&lt;0))),"Montant invalide",IF(OR(AND(J71&lt;&gt;"",OR(NOT(ISNUMBER(J71)),N(J71)&lt;0)),AND(K71&lt;&gt;"",OR(NOT(ISNUMBER(K71)),N(K71)&lt;0))),"Pourcentage invalide",IF(COUNTIF(bom_prod,A71)+COUNTIF(gam_prod,A71)=0,"Ni nomenclature ni gamme",IF(COUNTIFS(bom_prod,A71,bom_check,"&lt;&gt;OK")&gt;0,"Nomenclature à corriger",IF(COUNTIFS(gam_prod,A71,gam_check,"&lt;&gt;OK")&gt;0,"Gamme à corriger","OK")))))))))))</f>
        <v/>
      </c>
      <c r="Y71" s="70">
        <f>IF(J71="",N(p_fg),N(J71))</f>
        <v>0.15</v>
      </c>
      <c r="Z71" s="70">
        <f>IF(K71="",N(p_target),N(K71))</f>
        <v>0.25</v>
      </c>
      <c r="AA71" s="71" t="str">
        <f>IF(R71="","",IF(N(F71)&gt;0,ROUND(F71*N(E71),2),0))</f>
        <v/>
      </c>
      <c r="AB71" s="71">
        <f>IF(T71="",0,T71*N(E71))</f>
        <v>0.0</v>
      </c>
      <c r="AC71" s="71">
        <f>IF(T71="",0,R71*N(E71))</f>
        <v>0.0</v>
      </c>
      <c r="AD71" s="71">
        <f>IF(R71="",0,L71*N(E71))</f>
        <v>0.0</v>
      </c>
      <c r="AE71" s="71">
        <f>IF(R71="",0,M71*N(E71))</f>
        <v>0.0</v>
      </c>
      <c r="AF71" s="71">
        <f>IF(R71="",0,N71*N(E71))</f>
        <v>0.0</v>
      </c>
      <c r="AG71" s="71">
        <f>IF(R71="",0,O71*N(E71))</f>
        <v>0.0</v>
      </c>
      <c r="AH71" s="71">
        <f>IF(R71="",0,(N(G71)+N(H71)+N(I71)/D71)*N(E71))</f>
        <v>0.0</v>
      </c>
      <c r="AI71" s="71">
        <f>IF(R71="",0,P71*N(E71))</f>
        <v>0.0</v>
      </c>
      <c r="AJ71" s="71" t="str">
        <f>IF(AA71="","",COUNTIF(prod_ca,"&gt;"&amp;AA71)+COUNTIF(AA$6:AA71,AA71))</f>
        <v/>
      </c>
      <c r="AK71" s="71" t="str">
        <f>IF(OR(W71="Vendu à perte",W71="Sous la cible"),ROUND(U71,6),"")</f>
        <v/>
      </c>
      <c r="AL71" s="71" t="str">
        <f>IF(AK71="","",COUNTIF(prod_alk,"&lt;"&amp;AK71)+COUNTIF(AK$6:AK71,AK71))</f>
        <v/>
      </c>
    </row>
    <row r="72">
      <c r="A72" s="60" t="n"/>
      <c r="B72" s="60" t="n"/>
      <c r="C72" s="61" t="n"/>
      <c r="D72" s="62" t="n"/>
      <c r="E72" s="63" t="n"/>
      <c r="F72" s="64" t="n"/>
      <c r="G72" s="64" t="n"/>
      <c r="H72" s="64" t="n"/>
      <c r="I72" s="64" t="n"/>
      <c r="J72" s="65" t="n"/>
      <c r="K72" s="65" t="n"/>
      <c r="L72" s="66" t="str">
        <f>IF(X72="OK",SUMIF(bom_prod,A72,bom_cost),"")</f>
        <v/>
      </c>
      <c r="M72" s="66" t="str">
        <f>IF(X72="OK",SUMIF(gam_prod,A72,gam_mo),"")</f>
        <v/>
      </c>
      <c r="N72" s="66" t="str">
        <f>IF(X72="OK",SUMIF(gam_prod,A72,gam_mac),"")</f>
        <v/>
      </c>
      <c r="O72" s="66" t="str">
        <f>IF(X72="OK",SUMIF(gam_prod,A72,gam_setup)/D72,"")</f>
        <v/>
      </c>
      <c r="P72" s="66" t="str">
        <f>IF(X72="OK",(L72+M72+N72+O72+N(G72))*Y72,"")</f>
        <v/>
      </c>
      <c r="Q72" s="66" t="str">
        <f>IF(X72="OK",L72+M72+N72+O72+N(G72)+P72,"")</f>
        <v/>
      </c>
      <c r="R72" s="67" t="str">
        <f>IF(X72="OK",ROUND(Q72+N(H72)+N(I72)/D72,4),"")</f>
        <v/>
      </c>
      <c r="S72" s="66" t="str">
        <f>IF(X72="OK",ROUND(R72*(1+Z72),2),"")</f>
        <v/>
      </c>
      <c r="T72" s="66" t="str">
        <f>IF(AND(X72="OK",N(F72)&gt;0),F72-R72,"")</f>
        <v/>
      </c>
      <c r="U72" s="68" t="str">
        <f>IF(T72="","",IF(R72&lt;=0,"",T72/R72))</f>
        <v/>
      </c>
      <c r="V72" s="68" t="str">
        <f>IF(T72="","",T72/F72)</f>
        <v/>
      </c>
      <c r="W72" s="69" t="str">
        <f>IF(A72="","",IF(X72&lt;&gt;"OK","À corriger",IF(N(F72)&lt;=0,"Prix à saisir",IF(F72&lt;R72,"Vendu à perte",IF(F72&lt;S72,"Sous la cible","OK")))))</f>
        <v/>
      </c>
      <c r="X72" s="69" t="str">
        <f>IF(AND(A72="",COUNTA(B72:K72)=0),"",IF(A72="","Référence manquante",IF(COUNTIF($A$6:$A$305,A72)&gt;1,"Référence en double",IF(OR(NOT(ISNUMBER(D72)),N(D72)&lt;=0),"Taille de lot invalide",IF(AND(E72&lt;&gt;"",OR(NOT(ISNUMBER(E72)),N(E72)&lt;0)),"Volume annuel invalide",IF(AND(F72&lt;&gt;"",OR(NOT(ISNUMBER(F72)),N(F72)&lt;0)),"Prix de vente invalide",IF(OR(AND(G72&lt;&gt;"",OR(NOT(ISNUMBER(G72)),N(G72)&lt;0)),AND(H72&lt;&gt;"",OR(NOT(ISNUMBER(H72)),N(H72)&lt;0)),AND(I72&lt;&gt;"",OR(NOT(ISNUMBER(I72)),N(I72)&lt;0))),"Montant invalide",IF(OR(AND(J72&lt;&gt;"",OR(NOT(ISNUMBER(J72)),N(J72)&lt;0)),AND(K72&lt;&gt;"",OR(NOT(ISNUMBER(K72)),N(K72)&lt;0))),"Pourcentage invalide",IF(COUNTIF(bom_prod,A72)+COUNTIF(gam_prod,A72)=0,"Ni nomenclature ni gamme",IF(COUNTIFS(bom_prod,A72,bom_check,"&lt;&gt;OK")&gt;0,"Nomenclature à corriger",IF(COUNTIFS(gam_prod,A72,gam_check,"&lt;&gt;OK")&gt;0,"Gamme à corriger","OK")))))))))))</f>
        <v/>
      </c>
      <c r="Y72" s="70">
        <f>IF(J72="",N(p_fg),N(J72))</f>
        <v>0.15</v>
      </c>
      <c r="Z72" s="70">
        <f>IF(K72="",N(p_target),N(K72))</f>
        <v>0.25</v>
      </c>
      <c r="AA72" s="71" t="str">
        <f>IF(R72="","",IF(N(F72)&gt;0,ROUND(F72*N(E72),2),0))</f>
        <v/>
      </c>
      <c r="AB72" s="71">
        <f>IF(T72="",0,T72*N(E72))</f>
        <v>0.0</v>
      </c>
      <c r="AC72" s="71">
        <f>IF(T72="",0,R72*N(E72))</f>
        <v>0.0</v>
      </c>
      <c r="AD72" s="71">
        <f>IF(R72="",0,L72*N(E72))</f>
        <v>0.0</v>
      </c>
      <c r="AE72" s="71">
        <f>IF(R72="",0,M72*N(E72))</f>
        <v>0.0</v>
      </c>
      <c r="AF72" s="71">
        <f>IF(R72="",0,N72*N(E72))</f>
        <v>0.0</v>
      </c>
      <c r="AG72" s="71">
        <f>IF(R72="",0,O72*N(E72))</f>
        <v>0.0</v>
      </c>
      <c r="AH72" s="71">
        <f>IF(R72="",0,(N(G72)+N(H72)+N(I72)/D72)*N(E72))</f>
        <v>0.0</v>
      </c>
      <c r="AI72" s="71">
        <f>IF(R72="",0,P72*N(E72))</f>
        <v>0.0</v>
      </c>
      <c r="AJ72" s="71" t="str">
        <f>IF(AA72="","",COUNTIF(prod_ca,"&gt;"&amp;AA72)+COUNTIF(AA$6:AA72,AA72))</f>
        <v/>
      </c>
      <c r="AK72" s="71" t="str">
        <f>IF(OR(W72="Vendu à perte",W72="Sous la cible"),ROUND(U72,6),"")</f>
        <v/>
      </c>
      <c r="AL72" s="71" t="str">
        <f>IF(AK72="","",COUNTIF(prod_alk,"&lt;"&amp;AK72)+COUNTIF(AK$6:AK72,AK72))</f>
        <v/>
      </c>
    </row>
    <row r="73">
      <c r="A73" s="60" t="n"/>
      <c r="B73" s="60" t="n"/>
      <c r="C73" s="61" t="n"/>
      <c r="D73" s="62" t="n"/>
      <c r="E73" s="63" t="n"/>
      <c r="F73" s="64" t="n"/>
      <c r="G73" s="64" t="n"/>
      <c r="H73" s="64" t="n"/>
      <c r="I73" s="64" t="n"/>
      <c r="J73" s="65" t="n"/>
      <c r="K73" s="65" t="n"/>
      <c r="L73" s="66" t="str">
        <f>IF(X73="OK",SUMIF(bom_prod,A73,bom_cost),"")</f>
        <v/>
      </c>
      <c r="M73" s="66" t="str">
        <f>IF(X73="OK",SUMIF(gam_prod,A73,gam_mo),"")</f>
        <v/>
      </c>
      <c r="N73" s="66" t="str">
        <f>IF(X73="OK",SUMIF(gam_prod,A73,gam_mac),"")</f>
        <v/>
      </c>
      <c r="O73" s="66" t="str">
        <f>IF(X73="OK",SUMIF(gam_prod,A73,gam_setup)/D73,"")</f>
        <v/>
      </c>
      <c r="P73" s="66" t="str">
        <f>IF(X73="OK",(L73+M73+N73+O73+N(G73))*Y73,"")</f>
        <v/>
      </c>
      <c r="Q73" s="66" t="str">
        <f>IF(X73="OK",L73+M73+N73+O73+N(G73)+P73,"")</f>
        <v/>
      </c>
      <c r="R73" s="67" t="str">
        <f>IF(X73="OK",ROUND(Q73+N(H73)+N(I73)/D73,4),"")</f>
        <v/>
      </c>
      <c r="S73" s="66" t="str">
        <f>IF(X73="OK",ROUND(R73*(1+Z73),2),"")</f>
        <v/>
      </c>
      <c r="T73" s="66" t="str">
        <f>IF(AND(X73="OK",N(F73)&gt;0),F73-R73,"")</f>
        <v/>
      </c>
      <c r="U73" s="68" t="str">
        <f>IF(T73="","",IF(R73&lt;=0,"",T73/R73))</f>
        <v/>
      </c>
      <c r="V73" s="68" t="str">
        <f>IF(T73="","",T73/F73)</f>
        <v/>
      </c>
      <c r="W73" s="69" t="str">
        <f>IF(A73="","",IF(X73&lt;&gt;"OK","À corriger",IF(N(F73)&lt;=0,"Prix à saisir",IF(F73&lt;R73,"Vendu à perte",IF(F73&lt;S73,"Sous la cible","OK")))))</f>
        <v/>
      </c>
      <c r="X73" s="69" t="str">
        <f>IF(AND(A73="",COUNTA(B73:K73)=0),"",IF(A73="","Référence manquante",IF(COUNTIF($A$6:$A$305,A73)&gt;1,"Référence en double",IF(OR(NOT(ISNUMBER(D73)),N(D73)&lt;=0),"Taille de lot invalide",IF(AND(E73&lt;&gt;"",OR(NOT(ISNUMBER(E73)),N(E73)&lt;0)),"Volume annuel invalide",IF(AND(F73&lt;&gt;"",OR(NOT(ISNUMBER(F73)),N(F73)&lt;0)),"Prix de vente invalide",IF(OR(AND(G73&lt;&gt;"",OR(NOT(ISNUMBER(G73)),N(G73)&lt;0)),AND(H73&lt;&gt;"",OR(NOT(ISNUMBER(H73)),N(H73)&lt;0)),AND(I73&lt;&gt;"",OR(NOT(ISNUMBER(I73)),N(I73)&lt;0))),"Montant invalide",IF(OR(AND(J73&lt;&gt;"",OR(NOT(ISNUMBER(J73)),N(J73)&lt;0)),AND(K73&lt;&gt;"",OR(NOT(ISNUMBER(K73)),N(K73)&lt;0))),"Pourcentage invalide",IF(COUNTIF(bom_prod,A73)+COUNTIF(gam_prod,A73)=0,"Ni nomenclature ni gamme",IF(COUNTIFS(bom_prod,A73,bom_check,"&lt;&gt;OK")&gt;0,"Nomenclature à corriger",IF(COUNTIFS(gam_prod,A73,gam_check,"&lt;&gt;OK")&gt;0,"Gamme à corriger","OK")))))))))))</f>
        <v/>
      </c>
      <c r="Y73" s="70">
        <f>IF(J73="",N(p_fg),N(J73))</f>
        <v>0.15</v>
      </c>
      <c r="Z73" s="70">
        <f>IF(K73="",N(p_target),N(K73))</f>
        <v>0.25</v>
      </c>
      <c r="AA73" s="71" t="str">
        <f>IF(R73="","",IF(N(F73)&gt;0,ROUND(F73*N(E73),2),0))</f>
        <v/>
      </c>
      <c r="AB73" s="71">
        <f>IF(T73="",0,T73*N(E73))</f>
        <v>0.0</v>
      </c>
      <c r="AC73" s="71">
        <f>IF(T73="",0,R73*N(E73))</f>
        <v>0.0</v>
      </c>
      <c r="AD73" s="71">
        <f>IF(R73="",0,L73*N(E73))</f>
        <v>0.0</v>
      </c>
      <c r="AE73" s="71">
        <f>IF(R73="",0,M73*N(E73))</f>
        <v>0.0</v>
      </c>
      <c r="AF73" s="71">
        <f>IF(R73="",0,N73*N(E73))</f>
        <v>0.0</v>
      </c>
      <c r="AG73" s="71">
        <f>IF(R73="",0,O73*N(E73))</f>
        <v>0.0</v>
      </c>
      <c r="AH73" s="71">
        <f>IF(R73="",0,(N(G73)+N(H73)+N(I73)/D73)*N(E73))</f>
        <v>0.0</v>
      </c>
      <c r="AI73" s="71">
        <f>IF(R73="",0,P73*N(E73))</f>
        <v>0.0</v>
      </c>
      <c r="AJ73" s="71" t="str">
        <f>IF(AA73="","",COUNTIF(prod_ca,"&gt;"&amp;AA73)+COUNTIF(AA$6:AA73,AA73))</f>
        <v/>
      </c>
      <c r="AK73" s="71" t="str">
        <f>IF(OR(W73="Vendu à perte",W73="Sous la cible"),ROUND(U73,6),"")</f>
        <v/>
      </c>
      <c r="AL73" s="71" t="str">
        <f>IF(AK73="","",COUNTIF(prod_alk,"&lt;"&amp;AK73)+COUNTIF(AK$6:AK73,AK73))</f>
        <v/>
      </c>
    </row>
    <row r="74">
      <c r="A74" s="60" t="n"/>
      <c r="B74" s="60" t="n"/>
      <c r="C74" s="61" t="n"/>
      <c r="D74" s="62" t="n"/>
      <c r="E74" s="63" t="n"/>
      <c r="F74" s="64" t="n"/>
      <c r="G74" s="64" t="n"/>
      <c r="H74" s="64" t="n"/>
      <c r="I74" s="64" t="n"/>
      <c r="J74" s="65" t="n"/>
      <c r="K74" s="65" t="n"/>
      <c r="L74" s="66" t="str">
        <f>IF(X74="OK",SUMIF(bom_prod,A74,bom_cost),"")</f>
        <v/>
      </c>
      <c r="M74" s="66" t="str">
        <f>IF(X74="OK",SUMIF(gam_prod,A74,gam_mo),"")</f>
        <v/>
      </c>
      <c r="N74" s="66" t="str">
        <f>IF(X74="OK",SUMIF(gam_prod,A74,gam_mac),"")</f>
        <v/>
      </c>
      <c r="O74" s="66" t="str">
        <f>IF(X74="OK",SUMIF(gam_prod,A74,gam_setup)/D74,"")</f>
        <v/>
      </c>
      <c r="P74" s="66" t="str">
        <f>IF(X74="OK",(L74+M74+N74+O74+N(G74))*Y74,"")</f>
        <v/>
      </c>
      <c r="Q74" s="66" t="str">
        <f>IF(X74="OK",L74+M74+N74+O74+N(G74)+P74,"")</f>
        <v/>
      </c>
      <c r="R74" s="67" t="str">
        <f>IF(X74="OK",ROUND(Q74+N(H74)+N(I74)/D74,4),"")</f>
        <v/>
      </c>
      <c r="S74" s="66" t="str">
        <f>IF(X74="OK",ROUND(R74*(1+Z74),2),"")</f>
        <v/>
      </c>
      <c r="T74" s="66" t="str">
        <f>IF(AND(X74="OK",N(F74)&gt;0),F74-R74,"")</f>
        <v/>
      </c>
      <c r="U74" s="68" t="str">
        <f>IF(T74="","",IF(R74&lt;=0,"",T74/R74))</f>
        <v/>
      </c>
      <c r="V74" s="68" t="str">
        <f>IF(T74="","",T74/F74)</f>
        <v/>
      </c>
      <c r="W74" s="69" t="str">
        <f>IF(A74="","",IF(X74&lt;&gt;"OK","À corriger",IF(N(F74)&lt;=0,"Prix à saisir",IF(F74&lt;R74,"Vendu à perte",IF(F74&lt;S74,"Sous la cible","OK")))))</f>
        <v/>
      </c>
      <c r="X74" s="69" t="str">
        <f>IF(AND(A74="",COUNTA(B74:K74)=0),"",IF(A74="","Référence manquante",IF(COUNTIF($A$6:$A$305,A74)&gt;1,"Référence en double",IF(OR(NOT(ISNUMBER(D74)),N(D74)&lt;=0),"Taille de lot invalide",IF(AND(E74&lt;&gt;"",OR(NOT(ISNUMBER(E74)),N(E74)&lt;0)),"Volume annuel invalide",IF(AND(F74&lt;&gt;"",OR(NOT(ISNUMBER(F74)),N(F74)&lt;0)),"Prix de vente invalide",IF(OR(AND(G74&lt;&gt;"",OR(NOT(ISNUMBER(G74)),N(G74)&lt;0)),AND(H74&lt;&gt;"",OR(NOT(ISNUMBER(H74)),N(H74)&lt;0)),AND(I74&lt;&gt;"",OR(NOT(ISNUMBER(I74)),N(I74)&lt;0))),"Montant invalide",IF(OR(AND(J74&lt;&gt;"",OR(NOT(ISNUMBER(J74)),N(J74)&lt;0)),AND(K74&lt;&gt;"",OR(NOT(ISNUMBER(K74)),N(K74)&lt;0))),"Pourcentage invalide",IF(COUNTIF(bom_prod,A74)+COUNTIF(gam_prod,A74)=0,"Ni nomenclature ni gamme",IF(COUNTIFS(bom_prod,A74,bom_check,"&lt;&gt;OK")&gt;0,"Nomenclature à corriger",IF(COUNTIFS(gam_prod,A74,gam_check,"&lt;&gt;OK")&gt;0,"Gamme à corriger","OK")))))))))))</f>
        <v/>
      </c>
      <c r="Y74" s="70">
        <f>IF(J74="",N(p_fg),N(J74))</f>
        <v>0.15</v>
      </c>
      <c r="Z74" s="70">
        <f>IF(K74="",N(p_target),N(K74))</f>
        <v>0.25</v>
      </c>
      <c r="AA74" s="71" t="str">
        <f>IF(R74="","",IF(N(F74)&gt;0,ROUND(F74*N(E74),2),0))</f>
        <v/>
      </c>
      <c r="AB74" s="71">
        <f>IF(T74="",0,T74*N(E74))</f>
        <v>0.0</v>
      </c>
      <c r="AC74" s="71">
        <f>IF(T74="",0,R74*N(E74))</f>
        <v>0.0</v>
      </c>
      <c r="AD74" s="71">
        <f>IF(R74="",0,L74*N(E74))</f>
        <v>0.0</v>
      </c>
      <c r="AE74" s="71">
        <f>IF(R74="",0,M74*N(E74))</f>
        <v>0.0</v>
      </c>
      <c r="AF74" s="71">
        <f>IF(R74="",0,N74*N(E74))</f>
        <v>0.0</v>
      </c>
      <c r="AG74" s="71">
        <f>IF(R74="",0,O74*N(E74))</f>
        <v>0.0</v>
      </c>
      <c r="AH74" s="71">
        <f>IF(R74="",0,(N(G74)+N(H74)+N(I74)/D74)*N(E74))</f>
        <v>0.0</v>
      </c>
      <c r="AI74" s="71">
        <f>IF(R74="",0,P74*N(E74))</f>
        <v>0.0</v>
      </c>
      <c r="AJ74" s="71" t="str">
        <f>IF(AA74="","",COUNTIF(prod_ca,"&gt;"&amp;AA74)+COUNTIF(AA$6:AA74,AA74))</f>
        <v/>
      </c>
      <c r="AK74" s="71" t="str">
        <f>IF(OR(W74="Vendu à perte",W74="Sous la cible"),ROUND(U74,6),"")</f>
        <v/>
      </c>
      <c r="AL74" s="71" t="str">
        <f>IF(AK74="","",COUNTIF(prod_alk,"&lt;"&amp;AK74)+COUNTIF(AK$6:AK74,AK74))</f>
        <v/>
      </c>
    </row>
    <row r="75">
      <c r="A75" s="60" t="n"/>
      <c r="B75" s="60" t="n"/>
      <c r="C75" s="61" t="n"/>
      <c r="D75" s="62" t="n"/>
      <c r="E75" s="63" t="n"/>
      <c r="F75" s="64" t="n"/>
      <c r="G75" s="64" t="n"/>
      <c r="H75" s="64" t="n"/>
      <c r="I75" s="64" t="n"/>
      <c r="J75" s="65" t="n"/>
      <c r="K75" s="65" t="n"/>
      <c r="L75" s="66" t="str">
        <f>IF(X75="OK",SUMIF(bom_prod,A75,bom_cost),"")</f>
        <v/>
      </c>
      <c r="M75" s="66" t="str">
        <f>IF(X75="OK",SUMIF(gam_prod,A75,gam_mo),"")</f>
        <v/>
      </c>
      <c r="N75" s="66" t="str">
        <f>IF(X75="OK",SUMIF(gam_prod,A75,gam_mac),"")</f>
        <v/>
      </c>
      <c r="O75" s="66" t="str">
        <f>IF(X75="OK",SUMIF(gam_prod,A75,gam_setup)/D75,"")</f>
        <v/>
      </c>
      <c r="P75" s="66" t="str">
        <f>IF(X75="OK",(L75+M75+N75+O75+N(G75))*Y75,"")</f>
        <v/>
      </c>
      <c r="Q75" s="66" t="str">
        <f>IF(X75="OK",L75+M75+N75+O75+N(G75)+P75,"")</f>
        <v/>
      </c>
      <c r="R75" s="67" t="str">
        <f>IF(X75="OK",ROUND(Q75+N(H75)+N(I75)/D75,4),"")</f>
        <v/>
      </c>
      <c r="S75" s="66" t="str">
        <f>IF(X75="OK",ROUND(R75*(1+Z75),2),"")</f>
        <v/>
      </c>
      <c r="T75" s="66" t="str">
        <f>IF(AND(X75="OK",N(F75)&gt;0),F75-R75,"")</f>
        <v/>
      </c>
      <c r="U75" s="68" t="str">
        <f>IF(T75="","",IF(R75&lt;=0,"",T75/R75))</f>
        <v/>
      </c>
      <c r="V75" s="68" t="str">
        <f>IF(T75="","",T75/F75)</f>
        <v/>
      </c>
      <c r="W75" s="69" t="str">
        <f>IF(A75="","",IF(X75&lt;&gt;"OK","À corriger",IF(N(F75)&lt;=0,"Prix à saisir",IF(F75&lt;R75,"Vendu à perte",IF(F75&lt;S75,"Sous la cible","OK")))))</f>
        <v/>
      </c>
      <c r="X75" s="69" t="str">
        <f>IF(AND(A75="",COUNTA(B75:K75)=0),"",IF(A75="","Référence manquante",IF(COUNTIF($A$6:$A$305,A75)&gt;1,"Référence en double",IF(OR(NOT(ISNUMBER(D75)),N(D75)&lt;=0),"Taille de lot invalide",IF(AND(E75&lt;&gt;"",OR(NOT(ISNUMBER(E75)),N(E75)&lt;0)),"Volume annuel invalide",IF(AND(F75&lt;&gt;"",OR(NOT(ISNUMBER(F75)),N(F75)&lt;0)),"Prix de vente invalide",IF(OR(AND(G75&lt;&gt;"",OR(NOT(ISNUMBER(G75)),N(G75)&lt;0)),AND(H75&lt;&gt;"",OR(NOT(ISNUMBER(H75)),N(H75)&lt;0)),AND(I75&lt;&gt;"",OR(NOT(ISNUMBER(I75)),N(I75)&lt;0))),"Montant invalide",IF(OR(AND(J75&lt;&gt;"",OR(NOT(ISNUMBER(J75)),N(J75)&lt;0)),AND(K75&lt;&gt;"",OR(NOT(ISNUMBER(K75)),N(K75)&lt;0))),"Pourcentage invalide",IF(COUNTIF(bom_prod,A75)+COUNTIF(gam_prod,A75)=0,"Ni nomenclature ni gamme",IF(COUNTIFS(bom_prod,A75,bom_check,"&lt;&gt;OK")&gt;0,"Nomenclature à corriger",IF(COUNTIFS(gam_prod,A75,gam_check,"&lt;&gt;OK")&gt;0,"Gamme à corriger","OK")))))))))))</f>
        <v/>
      </c>
      <c r="Y75" s="70">
        <f>IF(J75="",N(p_fg),N(J75))</f>
        <v>0.15</v>
      </c>
      <c r="Z75" s="70">
        <f>IF(K75="",N(p_target),N(K75))</f>
        <v>0.25</v>
      </c>
      <c r="AA75" s="71" t="str">
        <f>IF(R75="","",IF(N(F75)&gt;0,ROUND(F75*N(E75),2),0))</f>
        <v/>
      </c>
      <c r="AB75" s="71">
        <f>IF(T75="",0,T75*N(E75))</f>
        <v>0.0</v>
      </c>
      <c r="AC75" s="71">
        <f>IF(T75="",0,R75*N(E75))</f>
        <v>0.0</v>
      </c>
      <c r="AD75" s="71">
        <f>IF(R75="",0,L75*N(E75))</f>
        <v>0.0</v>
      </c>
      <c r="AE75" s="71">
        <f>IF(R75="",0,M75*N(E75))</f>
        <v>0.0</v>
      </c>
      <c r="AF75" s="71">
        <f>IF(R75="",0,N75*N(E75))</f>
        <v>0.0</v>
      </c>
      <c r="AG75" s="71">
        <f>IF(R75="",0,O75*N(E75))</f>
        <v>0.0</v>
      </c>
      <c r="AH75" s="71">
        <f>IF(R75="",0,(N(G75)+N(H75)+N(I75)/D75)*N(E75))</f>
        <v>0.0</v>
      </c>
      <c r="AI75" s="71">
        <f>IF(R75="",0,P75*N(E75))</f>
        <v>0.0</v>
      </c>
      <c r="AJ75" s="71" t="str">
        <f>IF(AA75="","",COUNTIF(prod_ca,"&gt;"&amp;AA75)+COUNTIF(AA$6:AA75,AA75))</f>
        <v/>
      </c>
      <c r="AK75" s="71" t="str">
        <f>IF(OR(W75="Vendu à perte",W75="Sous la cible"),ROUND(U75,6),"")</f>
        <v/>
      </c>
      <c r="AL75" s="71" t="str">
        <f>IF(AK75="","",COUNTIF(prod_alk,"&lt;"&amp;AK75)+COUNTIF(AK$6:AK75,AK75))</f>
        <v/>
      </c>
    </row>
    <row r="76">
      <c r="A76" s="60" t="n"/>
      <c r="B76" s="60" t="n"/>
      <c r="C76" s="61" t="n"/>
      <c r="D76" s="62" t="n"/>
      <c r="E76" s="63" t="n"/>
      <c r="F76" s="64" t="n"/>
      <c r="G76" s="64" t="n"/>
      <c r="H76" s="64" t="n"/>
      <c r="I76" s="64" t="n"/>
      <c r="J76" s="65" t="n"/>
      <c r="K76" s="65" t="n"/>
      <c r="L76" s="66" t="str">
        <f>IF(X76="OK",SUMIF(bom_prod,A76,bom_cost),"")</f>
        <v/>
      </c>
      <c r="M76" s="66" t="str">
        <f>IF(X76="OK",SUMIF(gam_prod,A76,gam_mo),"")</f>
        <v/>
      </c>
      <c r="N76" s="66" t="str">
        <f>IF(X76="OK",SUMIF(gam_prod,A76,gam_mac),"")</f>
        <v/>
      </c>
      <c r="O76" s="66" t="str">
        <f>IF(X76="OK",SUMIF(gam_prod,A76,gam_setup)/D76,"")</f>
        <v/>
      </c>
      <c r="P76" s="66" t="str">
        <f>IF(X76="OK",(L76+M76+N76+O76+N(G76))*Y76,"")</f>
        <v/>
      </c>
      <c r="Q76" s="66" t="str">
        <f>IF(X76="OK",L76+M76+N76+O76+N(G76)+P76,"")</f>
        <v/>
      </c>
      <c r="R76" s="67" t="str">
        <f>IF(X76="OK",ROUND(Q76+N(H76)+N(I76)/D76,4),"")</f>
        <v/>
      </c>
      <c r="S76" s="66" t="str">
        <f>IF(X76="OK",ROUND(R76*(1+Z76),2),"")</f>
        <v/>
      </c>
      <c r="T76" s="66" t="str">
        <f>IF(AND(X76="OK",N(F76)&gt;0),F76-R76,"")</f>
        <v/>
      </c>
      <c r="U76" s="68" t="str">
        <f>IF(T76="","",IF(R76&lt;=0,"",T76/R76))</f>
        <v/>
      </c>
      <c r="V76" s="68" t="str">
        <f>IF(T76="","",T76/F76)</f>
        <v/>
      </c>
      <c r="W76" s="69" t="str">
        <f>IF(A76="","",IF(X76&lt;&gt;"OK","À corriger",IF(N(F76)&lt;=0,"Prix à saisir",IF(F76&lt;R76,"Vendu à perte",IF(F76&lt;S76,"Sous la cible","OK")))))</f>
        <v/>
      </c>
      <c r="X76" s="69" t="str">
        <f>IF(AND(A76="",COUNTA(B76:K76)=0),"",IF(A76="","Référence manquante",IF(COUNTIF($A$6:$A$305,A76)&gt;1,"Référence en double",IF(OR(NOT(ISNUMBER(D76)),N(D76)&lt;=0),"Taille de lot invalide",IF(AND(E76&lt;&gt;"",OR(NOT(ISNUMBER(E76)),N(E76)&lt;0)),"Volume annuel invalide",IF(AND(F76&lt;&gt;"",OR(NOT(ISNUMBER(F76)),N(F76)&lt;0)),"Prix de vente invalide",IF(OR(AND(G76&lt;&gt;"",OR(NOT(ISNUMBER(G76)),N(G76)&lt;0)),AND(H76&lt;&gt;"",OR(NOT(ISNUMBER(H76)),N(H76)&lt;0)),AND(I76&lt;&gt;"",OR(NOT(ISNUMBER(I76)),N(I76)&lt;0))),"Montant invalide",IF(OR(AND(J76&lt;&gt;"",OR(NOT(ISNUMBER(J76)),N(J76)&lt;0)),AND(K76&lt;&gt;"",OR(NOT(ISNUMBER(K76)),N(K76)&lt;0))),"Pourcentage invalide",IF(COUNTIF(bom_prod,A76)+COUNTIF(gam_prod,A76)=0,"Ni nomenclature ni gamme",IF(COUNTIFS(bom_prod,A76,bom_check,"&lt;&gt;OK")&gt;0,"Nomenclature à corriger",IF(COUNTIFS(gam_prod,A76,gam_check,"&lt;&gt;OK")&gt;0,"Gamme à corriger","OK")))))))))))</f>
        <v/>
      </c>
      <c r="Y76" s="70">
        <f>IF(J76="",N(p_fg),N(J76))</f>
        <v>0.15</v>
      </c>
      <c r="Z76" s="70">
        <f>IF(K76="",N(p_target),N(K76))</f>
        <v>0.25</v>
      </c>
      <c r="AA76" s="71" t="str">
        <f>IF(R76="","",IF(N(F76)&gt;0,ROUND(F76*N(E76),2),0))</f>
        <v/>
      </c>
      <c r="AB76" s="71">
        <f>IF(T76="",0,T76*N(E76))</f>
        <v>0.0</v>
      </c>
      <c r="AC76" s="71">
        <f>IF(T76="",0,R76*N(E76))</f>
        <v>0.0</v>
      </c>
      <c r="AD76" s="71">
        <f>IF(R76="",0,L76*N(E76))</f>
        <v>0.0</v>
      </c>
      <c r="AE76" s="71">
        <f>IF(R76="",0,M76*N(E76))</f>
        <v>0.0</v>
      </c>
      <c r="AF76" s="71">
        <f>IF(R76="",0,N76*N(E76))</f>
        <v>0.0</v>
      </c>
      <c r="AG76" s="71">
        <f>IF(R76="",0,O76*N(E76))</f>
        <v>0.0</v>
      </c>
      <c r="AH76" s="71">
        <f>IF(R76="",0,(N(G76)+N(H76)+N(I76)/D76)*N(E76))</f>
        <v>0.0</v>
      </c>
      <c r="AI76" s="71">
        <f>IF(R76="",0,P76*N(E76))</f>
        <v>0.0</v>
      </c>
      <c r="AJ76" s="71" t="str">
        <f>IF(AA76="","",COUNTIF(prod_ca,"&gt;"&amp;AA76)+COUNTIF(AA$6:AA76,AA76))</f>
        <v/>
      </c>
      <c r="AK76" s="71" t="str">
        <f>IF(OR(W76="Vendu à perte",W76="Sous la cible"),ROUND(U76,6),"")</f>
        <v/>
      </c>
      <c r="AL76" s="71" t="str">
        <f>IF(AK76="","",COUNTIF(prod_alk,"&lt;"&amp;AK76)+COUNTIF(AK$6:AK76,AK76))</f>
        <v/>
      </c>
    </row>
    <row r="77">
      <c r="A77" s="60" t="n"/>
      <c r="B77" s="60" t="n"/>
      <c r="C77" s="61" t="n"/>
      <c r="D77" s="62" t="n"/>
      <c r="E77" s="63" t="n"/>
      <c r="F77" s="64" t="n"/>
      <c r="G77" s="64" t="n"/>
      <c r="H77" s="64" t="n"/>
      <c r="I77" s="64" t="n"/>
      <c r="J77" s="65" t="n"/>
      <c r="K77" s="65" t="n"/>
      <c r="L77" s="66" t="str">
        <f>IF(X77="OK",SUMIF(bom_prod,A77,bom_cost),"")</f>
        <v/>
      </c>
      <c r="M77" s="66" t="str">
        <f>IF(X77="OK",SUMIF(gam_prod,A77,gam_mo),"")</f>
        <v/>
      </c>
      <c r="N77" s="66" t="str">
        <f>IF(X77="OK",SUMIF(gam_prod,A77,gam_mac),"")</f>
        <v/>
      </c>
      <c r="O77" s="66" t="str">
        <f>IF(X77="OK",SUMIF(gam_prod,A77,gam_setup)/D77,"")</f>
        <v/>
      </c>
      <c r="P77" s="66" t="str">
        <f>IF(X77="OK",(L77+M77+N77+O77+N(G77))*Y77,"")</f>
        <v/>
      </c>
      <c r="Q77" s="66" t="str">
        <f>IF(X77="OK",L77+M77+N77+O77+N(G77)+P77,"")</f>
        <v/>
      </c>
      <c r="R77" s="67" t="str">
        <f>IF(X77="OK",ROUND(Q77+N(H77)+N(I77)/D77,4),"")</f>
        <v/>
      </c>
      <c r="S77" s="66" t="str">
        <f>IF(X77="OK",ROUND(R77*(1+Z77),2),"")</f>
        <v/>
      </c>
      <c r="T77" s="66" t="str">
        <f>IF(AND(X77="OK",N(F77)&gt;0),F77-R77,"")</f>
        <v/>
      </c>
      <c r="U77" s="68" t="str">
        <f>IF(T77="","",IF(R77&lt;=0,"",T77/R77))</f>
        <v/>
      </c>
      <c r="V77" s="68" t="str">
        <f>IF(T77="","",T77/F77)</f>
        <v/>
      </c>
      <c r="W77" s="69" t="str">
        <f>IF(A77="","",IF(X77&lt;&gt;"OK","À corriger",IF(N(F77)&lt;=0,"Prix à saisir",IF(F77&lt;R77,"Vendu à perte",IF(F77&lt;S77,"Sous la cible","OK")))))</f>
        <v/>
      </c>
      <c r="X77" s="69" t="str">
        <f>IF(AND(A77="",COUNTA(B77:K77)=0),"",IF(A77="","Référence manquante",IF(COUNTIF($A$6:$A$305,A77)&gt;1,"Référence en double",IF(OR(NOT(ISNUMBER(D77)),N(D77)&lt;=0),"Taille de lot invalide",IF(AND(E77&lt;&gt;"",OR(NOT(ISNUMBER(E77)),N(E77)&lt;0)),"Volume annuel invalide",IF(AND(F77&lt;&gt;"",OR(NOT(ISNUMBER(F77)),N(F77)&lt;0)),"Prix de vente invalide",IF(OR(AND(G77&lt;&gt;"",OR(NOT(ISNUMBER(G77)),N(G77)&lt;0)),AND(H77&lt;&gt;"",OR(NOT(ISNUMBER(H77)),N(H77)&lt;0)),AND(I77&lt;&gt;"",OR(NOT(ISNUMBER(I77)),N(I77)&lt;0))),"Montant invalide",IF(OR(AND(J77&lt;&gt;"",OR(NOT(ISNUMBER(J77)),N(J77)&lt;0)),AND(K77&lt;&gt;"",OR(NOT(ISNUMBER(K77)),N(K77)&lt;0))),"Pourcentage invalide",IF(COUNTIF(bom_prod,A77)+COUNTIF(gam_prod,A77)=0,"Ni nomenclature ni gamme",IF(COUNTIFS(bom_prod,A77,bom_check,"&lt;&gt;OK")&gt;0,"Nomenclature à corriger",IF(COUNTIFS(gam_prod,A77,gam_check,"&lt;&gt;OK")&gt;0,"Gamme à corriger","OK")))))))))))</f>
        <v/>
      </c>
      <c r="Y77" s="70">
        <f>IF(J77="",N(p_fg),N(J77))</f>
        <v>0.15</v>
      </c>
      <c r="Z77" s="70">
        <f>IF(K77="",N(p_target),N(K77))</f>
        <v>0.25</v>
      </c>
      <c r="AA77" s="71" t="str">
        <f>IF(R77="","",IF(N(F77)&gt;0,ROUND(F77*N(E77),2),0))</f>
        <v/>
      </c>
      <c r="AB77" s="71">
        <f>IF(T77="",0,T77*N(E77))</f>
        <v>0.0</v>
      </c>
      <c r="AC77" s="71">
        <f>IF(T77="",0,R77*N(E77))</f>
        <v>0.0</v>
      </c>
      <c r="AD77" s="71">
        <f>IF(R77="",0,L77*N(E77))</f>
        <v>0.0</v>
      </c>
      <c r="AE77" s="71">
        <f>IF(R77="",0,M77*N(E77))</f>
        <v>0.0</v>
      </c>
      <c r="AF77" s="71">
        <f>IF(R77="",0,N77*N(E77))</f>
        <v>0.0</v>
      </c>
      <c r="AG77" s="71">
        <f>IF(R77="",0,O77*N(E77))</f>
        <v>0.0</v>
      </c>
      <c r="AH77" s="71">
        <f>IF(R77="",0,(N(G77)+N(H77)+N(I77)/D77)*N(E77))</f>
        <v>0.0</v>
      </c>
      <c r="AI77" s="71">
        <f>IF(R77="",0,P77*N(E77))</f>
        <v>0.0</v>
      </c>
      <c r="AJ77" s="71" t="str">
        <f>IF(AA77="","",COUNTIF(prod_ca,"&gt;"&amp;AA77)+COUNTIF(AA$6:AA77,AA77))</f>
        <v/>
      </c>
      <c r="AK77" s="71" t="str">
        <f>IF(OR(W77="Vendu à perte",W77="Sous la cible"),ROUND(U77,6),"")</f>
        <v/>
      </c>
      <c r="AL77" s="71" t="str">
        <f>IF(AK77="","",COUNTIF(prod_alk,"&lt;"&amp;AK77)+COUNTIF(AK$6:AK77,AK77))</f>
        <v/>
      </c>
    </row>
    <row r="78">
      <c r="A78" s="60" t="n"/>
      <c r="B78" s="60" t="n"/>
      <c r="C78" s="61" t="n"/>
      <c r="D78" s="62" t="n"/>
      <c r="E78" s="63" t="n"/>
      <c r="F78" s="64" t="n"/>
      <c r="G78" s="64" t="n"/>
      <c r="H78" s="64" t="n"/>
      <c r="I78" s="64" t="n"/>
      <c r="J78" s="65" t="n"/>
      <c r="K78" s="65" t="n"/>
      <c r="L78" s="66" t="str">
        <f>IF(X78="OK",SUMIF(bom_prod,A78,bom_cost),"")</f>
        <v/>
      </c>
      <c r="M78" s="66" t="str">
        <f>IF(X78="OK",SUMIF(gam_prod,A78,gam_mo),"")</f>
        <v/>
      </c>
      <c r="N78" s="66" t="str">
        <f>IF(X78="OK",SUMIF(gam_prod,A78,gam_mac),"")</f>
        <v/>
      </c>
      <c r="O78" s="66" t="str">
        <f>IF(X78="OK",SUMIF(gam_prod,A78,gam_setup)/D78,"")</f>
        <v/>
      </c>
      <c r="P78" s="66" t="str">
        <f>IF(X78="OK",(L78+M78+N78+O78+N(G78))*Y78,"")</f>
        <v/>
      </c>
      <c r="Q78" s="66" t="str">
        <f>IF(X78="OK",L78+M78+N78+O78+N(G78)+P78,"")</f>
        <v/>
      </c>
      <c r="R78" s="67" t="str">
        <f>IF(X78="OK",ROUND(Q78+N(H78)+N(I78)/D78,4),"")</f>
        <v/>
      </c>
      <c r="S78" s="66" t="str">
        <f>IF(X78="OK",ROUND(R78*(1+Z78),2),"")</f>
        <v/>
      </c>
      <c r="T78" s="66" t="str">
        <f>IF(AND(X78="OK",N(F78)&gt;0),F78-R78,"")</f>
        <v/>
      </c>
      <c r="U78" s="68" t="str">
        <f>IF(T78="","",IF(R78&lt;=0,"",T78/R78))</f>
        <v/>
      </c>
      <c r="V78" s="68" t="str">
        <f>IF(T78="","",T78/F78)</f>
        <v/>
      </c>
      <c r="W78" s="69" t="str">
        <f>IF(A78="","",IF(X78&lt;&gt;"OK","À corriger",IF(N(F78)&lt;=0,"Prix à saisir",IF(F78&lt;R78,"Vendu à perte",IF(F78&lt;S78,"Sous la cible","OK")))))</f>
        <v/>
      </c>
      <c r="X78" s="69" t="str">
        <f>IF(AND(A78="",COUNTA(B78:K78)=0),"",IF(A78="","Référence manquante",IF(COUNTIF($A$6:$A$305,A78)&gt;1,"Référence en double",IF(OR(NOT(ISNUMBER(D78)),N(D78)&lt;=0),"Taille de lot invalide",IF(AND(E78&lt;&gt;"",OR(NOT(ISNUMBER(E78)),N(E78)&lt;0)),"Volume annuel invalide",IF(AND(F78&lt;&gt;"",OR(NOT(ISNUMBER(F78)),N(F78)&lt;0)),"Prix de vente invalide",IF(OR(AND(G78&lt;&gt;"",OR(NOT(ISNUMBER(G78)),N(G78)&lt;0)),AND(H78&lt;&gt;"",OR(NOT(ISNUMBER(H78)),N(H78)&lt;0)),AND(I78&lt;&gt;"",OR(NOT(ISNUMBER(I78)),N(I78)&lt;0))),"Montant invalide",IF(OR(AND(J78&lt;&gt;"",OR(NOT(ISNUMBER(J78)),N(J78)&lt;0)),AND(K78&lt;&gt;"",OR(NOT(ISNUMBER(K78)),N(K78)&lt;0))),"Pourcentage invalide",IF(COUNTIF(bom_prod,A78)+COUNTIF(gam_prod,A78)=0,"Ni nomenclature ni gamme",IF(COUNTIFS(bom_prod,A78,bom_check,"&lt;&gt;OK")&gt;0,"Nomenclature à corriger",IF(COUNTIFS(gam_prod,A78,gam_check,"&lt;&gt;OK")&gt;0,"Gamme à corriger","OK")))))))))))</f>
        <v/>
      </c>
      <c r="Y78" s="70">
        <f>IF(J78="",N(p_fg),N(J78))</f>
        <v>0.15</v>
      </c>
      <c r="Z78" s="70">
        <f>IF(K78="",N(p_target),N(K78))</f>
        <v>0.25</v>
      </c>
      <c r="AA78" s="71" t="str">
        <f>IF(R78="","",IF(N(F78)&gt;0,ROUND(F78*N(E78),2),0))</f>
        <v/>
      </c>
      <c r="AB78" s="71">
        <f>IF(T78="",0,T78*N(E78))</f>
        <v>0.0</v>
      </c>
      <c r="AC78" s="71">
        <f>IF(T78="",0,R78*N(E78))</f>
        <v>0.0</v>
      </c>
      <c r="AD78" s="71">
        <f>IF(R78="",0,L78*N(E78))</f>
        <v>0.0</v>
      </c>
      <c r="AE78" s="71">
        <f>IF(R78="",0,M78*N(E78))</f>
        <v>0.0</v>
      </c>
      <c r="AF78" s="71">
        <f>IF(R78="",0,N78*N(E78))</f>
        <v>0.0</v>
      </c>
      <c r="AG78" s="71">
        <f>IF(R78="",0,O78*N(E78))</f>
        <v>0.0</v>
      </c>
      <c r="AH78" s="71">
        <f>IF(R78="",0,(N(G78)+N(H78)+N(I78)/D78)*N(E78))</f>
        <v>0.0</v>
      </c>
      <c r="AI78" s="71">
        <f>IF(R78="",0,P78*N(E78))</f>
        <v>0.0</v>
      </c>
      <c r="AJ78" s="71" t="str">
        <f>IF(AA78="","",COUNTIF(prod_ca,"&gt;"&amp;AA78)+COUNTIF(AA$6:AA78,AA78))</f>
        <v/>
      </c>
      <c r="AK78" s="71" t="str">
        <f>IF(OR(W78="Vendu à perte",W78="Sous la cible"),ROUND(U78,6),"")</f>
        <v/>
      </c>
      <c r="AL78" s="71" t="str">
        <f>IF(AK78="","",COUNTIF(prod_alk,"&lt;"&amp;AK78)+COUNTIF(AK$6:AK78,AK78))</f>
        <v/>
      </c>
    </row>
    <row r="79">
      <c r="A79" s="60" t="n"/>
      <c r="B79" s="60" t="n"/>
      <c r="C79" s="61" t="n"/>
      <c r="D79" s="62" t="n"/>
      <c r="E79" s="63" t="n"/>
      <c r="F79" s="64" t="n"/>
      <c r="G79" s="64" t="n"/>
      <c r="H79" s="64" t="n"/>
      <c r="I79" s="64" t="n"/>
      <c r="J79" s="65" t="n"/>
      <c r="K79" s="65" t="n"/>
      <c r="L79" s="66" t="str">
        <f>IF(X79="OK",SUMIF(bom_prod,A79,bom_cost),"")</f>
        <v/>
      </c>
      <c r="M79" s="66" t="str">
        <f>IF(X79="OK",SUMIF(gam_prod,A79,gam_mo),"")</f>
        <v/>
      </c>
      <c r="N79" s="66" t="str">
        <f>IF(X79="OK",SUMIF(gam_prod,A79,gam_mac),"")</f>
        <v/>
      </c>
      <c r="O79" s="66" t="str">
        <f>IF(X79="OK",SUMIF(gam_prod,A79,gam_setup)/D79,"")</f>
        <v/>
      </c>
      <c r="P79" s="66" t="str">
        <f>IF(X79="OK",(L79+M79+N79+O79+N(G79))*Y79,"")</f>
        <v/>
      </c>
      <c r="Q79" s="66" t="str">
        <f>IF(X79="OK",L79+M79+N79+O79+N(G79)+P79,"")</f>
        <v/>
      </c>
      <c r="R79" s="67" t="str">
        <f>IF(X79="OK",ROUND(Q79+N(H79)+N(I79)/D79,4),"")</f>
        <v/>
      </c>
      <c r="S79" s="66" t="str">
        <f>IF(X79="OK",ROUND(R79*(1+Z79),2),"")</f>
        <v/>
      </c>
      <c r="T79" s="66" t="str">
        <f>IF(AND(X79="OK",N(F79)&gt;0),F79-R79,"")</f>
        <v/>
      </c>
      <c r="U79" s="68" t="str">
        <f>IF(T79="","",IF(R79&lt;=0,"",T79/R79))</f>
        <v/>
      </c>
      <c r="V79" s="68" t="str">
        <f>IF(T79="","",T79/F79)</f>
        <v/>
      </c>
      <c r="W79" s="69" t="str">
        <f>IF(A79="","",IF(X79&lt;&gt;"OK","À corriger",IF(N(F79)&lt;=0,"Prix à saisir",IF(F79&lt;R79,"Vendu à perte",IF(F79&lt;S79,"Sous la cible","OK")))))</f>
        <v/>
      </c>
      <c r="X79" s="69" t="str">
        <f>IF(AND(A79="",COUNTA(B79:K79)=0),"",IF(A79="","Référence manquante",IF(COUNTIF($A$6:$A$305,A79)&gt;1,"Référence en double",IF(OR(NOT(ISNUMBER(D79)),N(D79)&lt;=0),"Taille de lot invalide",IF(AND(E79&lt;&gt;"",OR(NOT(ISNUMBER(E79)),N(E79)&lt;0)),"Volume annuel invalide",IF(AND(F79&lt;&gt;"",OR(NOT(ISNUMBER(F79)),N(F79)&lt;0)),"Prix de vente invalide",IF(OR(AND(G79&lt;&gt;"",OR(NOT(ISNUMBER(G79)),N(G79)&lt;0)),AND(H79&lt;&gt;"",OR(NOT(ISNUMBER(H79)),N(H79)&lt;0)),AND(I79&lt;&gt;"",OR(NOT(ISNUMBER(I79)),N(I79)&lt;0))),"Montant invalide",IF(OR(AND(J79&lt;&gt;"",OR(NOT(ISNUMBER(J79)),N(J79)&lt;0)),AND(K79&lt;&gt;"",OR(NOT(ISNUMBER(K79)),N(K79)&lt;0))),"Pourcentage invalide",IF(COUNTIF(bom_prod,A79)+COUNTIF(gam_prod,A79)=0,"Ni nomenclature ni gamme",IF(COUNTIFS(bom_prod,A79,bom_check,"&lt;&gt;OK")&gt;0,"Nomenclature à corriger",IF(COUNTIFS(gam_prod,A79,gam_check,"&lt;&gt;OK")&gt;0,"Gamme à corriger","OK")))))))))))</f>
        <v/>
      </c>
      <c r="Y79" s="70">
        <f>IF(J79="",N(p_fg),N(J79))</f>
        <v>0.15</v>
      </c>
      <c r="Z79" s="70">
        <f>IF(K79="",N(p_target),N(K79))</f>
        <v>0.25</v>
      </c>
      <c r="AA79" s="71" t="str">
        <f>IF(R79="","",IF(N(F79)&gt;0,ROUND(F79*N(E79),2),0))</f>
        <v/>
      </c>
      <c r="AB79" s="71">
        <f>IF(T79="",0,T79*N(E79))</f>
        <v>0.0</v>
      </c>
      <c r="AC79" s="71">
        <f>IF(T79="",0,R79*N(E79))</f>
        <v>0.0</v>
      </c>
      <c r="AD79" s="71">
        <f>IF(R79="",0,L79*N(E79))</f>
        <v>0.0</v>
      </c>
      <c r="AE79" s="71">
        <f>IF(R79="",0,M79*N(E79))</f>
        <v>0.0</v>
      </c>
      <c r="AF79" s="71">
        <f>IF(R79="",0,N79*N(E79))</f>
        <v>0.0</v>
      </c>
      <c r="AG79" s="71">
        <f>IF(R79="",0,O79*N(E79))</f>
        <v>0.0</v>
      </c>
      <c r="AH79" s="71">
        <f>IF(R79="",0,(N(G79)+N(H79)+N(I79)/D79)*N(E79))</f>
        <v>0.0</v>
      </c>
      <c r="AI79" s="71">
        <f>IF(R79="",0,P79*N(E79))</f>
        <v>0.0</v>
      </c>
      <c r="AJ79" s="71" t="str">
        <f>IF(AA79="","",COUNTIF(prod_ca,"&gt;"&amp;AA79)+COUNTIF(AA$6:AA79,AA79))</f>
        <v/>
      </c>
      <c r="AK79" s="71" t="str">
        <f>IF(OR(W79="Vendu à perte",W79="Sous la cible"),ROUND(U79,6),"")</f>
        <v/>
      </c>
      <c r="AL79" s="71" t="str">
        <f>IF(AK79="","",COUNTIF(prod_alk,"&lt;"&amp;AK79)+COUNTIF(AK$6:AK79,AK79))</f>
        <v/>
      </c>
    </row>
    <row r="80">
      <c r="A80" s="60" t="n"/>
      <c r="B80" s="60" t="n"/>
      <c r="C80" s="61" t="n"/>
      <c r="D80" s="62" t="n"/>
      <c r="E80" s="63" t="n"/>
      <c r="F80" s="64" t="n"/>
      <c r="G80" s="64" t="n"/>
      <c r="H80" s="64" t="n"/>
      <c r="I80" s="64" t="n"/>
      <c r="J80" s="65" t="n"/>
      <c r="K80" s="65" t="n"/>
      <c r="L80" s="66" t="str">
        <f>IF(X80="OK",SUMIF(bom_prod,A80,bom_cost),"")</f>
        <v/>
      </c>
      <c r="M80" s="66" t="str">
        <f>IF(X80="OK",SUMIF(gam_prod,A80,gam_mo),"")</f>
        <v/>
      </c>
      <c r="N80" s="66" t="str">
        <f>IF(X80="OK",SUMIF(gam_prod,A80,gam_mac),"")</f>
        <v/>
      </c>
      <c r="O80" s="66" t="str">
        <f>IF(X80="OK",SUMIF(gam_prod,A80,gam_setup)/D80,"")</f>
        <v/>
      </c>
      <c r="P80" s="66" t="str">
        <f>IF(X80="OK",(L80+M80+N80+O80+N(G80))*Y80,"")</f>
        <v/>
      </c>
      <c r="Q80" s="66" t="str">
        <f>IF(X80="OK",L80+M80+N80+O80+N(G80)+P80,"")</f>
        <v/>
      </c>
      <c r="R80" s="67" t="str">
        <f>IF(X80="OK",ROUND(Q80+N(H80)+N(I80)/D80,4),"")</f>
        <v/>
      </c>
      <c r="S80" s="66" t="str">
        <f>IF(X80="OK",ROUND(R80*(1+Z80),2),"")</f>
        <v/>
      </c>
      <c r="T80" s="66" t="str">
        <f>IF(AND(X80="OK",N(F80)&gt;0),F80-R80,"")</f>
        <v/>
      </c>
      <c r="U80" s="68" t="str">
        <f>IF(T80="","",IF(R80&lt;=0,"",T80/R80))</f>
        <v/>
      </c>
      <c r="V80" s="68" t="str">
        <f>IF(T80="","",T80/F80)</f>
        <v/>
      </c>
      <c r="W80" s="69" t="str">
        <f>IF(A80="","",IF(X80&lt;&gt;"OK","À corriger",IF(N(F80)&lt;=0,"Prix à saisir",IF(F80&lt;R80,"Vendu à perte",IF(F80&lt;S80,"Sous la cible","OK")))))</f>
        <v/>
      </c>
      <c r="X80" s="69" t="str">
        <f>IF(AND(A80="",COUNTA(B80:K80)=0),"",IF(A80="","Référence manquante",IF(COUNTIF($A$6:$A$305,A80)&gt;1,"Référence en double",IF(OR(NOT(ISNUMBER(D80)),N(D80)&lt;=0),"Taille de lot invalide",IF(AND(E80&lt;&gt;"",OR(NOT(ISNUMBER(E80)),N(E80)&lt;0)),"Volume annuel invalide",IF(AND(F80&lt;&gt;"",OR(NOT(ISNUMBER(F80)),N(F80)&lt;0)),"Prix de vente invalide",IF(OR(AND(G80&lt;&gt;"",OR(NOT(ISNUMBER(G80)),N(G80)&lt;0)),AND(H80&lt;&gt;"",OR(NOT(ISNUMBER(H80)),N(H80)&lt;0)),AND(I80&lt;&gt;"",OR(NOT(ISNUMBER(I80)),N(I80)&lt;0))),"Montant invalide",IF(OR(AND(J80&lt;&gt;"",OR(NOT(ISNUMBER(J80)),N(J80)&lt;0)),AND(K80&lt;&gt;"",OR(NOT(ISNUMBER(K80)),N(K80)&lt;0))),"Pourcentage invalide",IF(COUNTIF(bom_prod,A80)+COUNTIF(gam_prod,A80)=0,"Ni nomenclature ni gamme",IF(COUNTIFS(bom_prod,A80,bom_check,"&lt;&gt;OK")&gt;0,"Nomenclature à corriger",IF(COUNTIFS(gam_prod,A80,gam_check,"&lt;&gt;OK")&gt;0,"Gamme à corriger","OK")))))))))))</f>
        <v/>
      </c>
      <c r="Y80" s="70">
        <f>IF(J80="",N(p_fg),N(J80))</f>
        <v>0.15</v>
      </c>
      <c r="Z80" s="70">
        <f>IF(K80="",N(p_target),N(K80))</f>
        <v>0.25</v>
      </c>
      <c r="AA80" s="71" t="str">
        <f>IF(R80="","",IF(N(F80)&gt;0,ROUND(F80*N(E80),2),0))</f>
        <v/>
      </c>
      <c r="AB80" s="71">
        <f>IF(T80="",0,T80*N(E80))</f>
        <v>0.0</v>
      </c>
      <c r="AC80" s="71">
        <f>IF(T80="",0,R80*N(E80))</f>
        <v>0.0</v>
      </c>
      <c r="AD80" s="71">
        <f>IF(R80="",0,L80*N(E80))</f>
        <v>0.0</v>
      </c>
      <c r="AE80" s="71">
        <f>IF(R80="",0,M80*N(E80))</f>
        <v>0.0</v>
      </c>
      <c r="AF80" s="71">
        <f>IF(R80="",0,N80*N(E80))</f>
        <v>0.0</v>
      </c>
      <c r="AG80" s="71">
        <f>IF(R80="",0,O80*N(E80))</f>
        <v>0.0</v>
      </c>
      <c r="AH80" s="71">
        <f>IF(R80="",0,(N(G80)+N(H80)+N(I80)/D80)*N(E80))</f>
        <v>0.0</v>
      </c>
      <c r="AI80" s="71">
        <f>IF(R80="",0,P80*N(E80))</f>
        <v>0.0</v>
      </c>
      <c r="AJ80" s="71" t="str">
        <f>IF(AA80="","",COUNTIF(prod_ca,"&gt;"&amp;AA80)+COUNTIF(AA$6:AA80,AA80))</f>
        <v/>
      </c>
      <c r="AK80" s="71" t="str">
        <f>IF(OR(W80="Vendu à perte",W80="Sous la cible"),ROUND(U80,6),"")</f>
        <v/>
      </c>
      <c r="AL80" s="71" t="str">
        <f>IF(AK80="","",COUNTIF(prod_alk,"&lt;"&amp;AK80)+COUNTIF(AK$6:AK80,AK80))</f>
        <v/>
      </c>
    </row>
    <row r="81">
      <c r="A81" s="60" t="n"/>
      <c r="B81" s="60" t="n"/>
      <c r="C81" s="61" t="n"/>
      <c r="D81" s="62" t="n"/>
      <c r="E81" s="63" t="n"/>
      <c r="F81" s="64" t="n"/>
      <c r="G81" s="64" t="n"/>
      <c r="H81" s="64" t="n"/>
      <c r="I81" s="64" t="n"/>
      <c r="J81" s="65" t="n"/>
      <c r="K81" s="65" t="n"/>
      <c r="L81" s="66" t="str">
        <f>IF(X81="OK",SUMIF(bom_prod,A81,bom_cost),"")</f>
        <v/>
      </c>
      <c r="M81" s="66" t="str">
        <f>IF(X81="OK",SUMIF(gam_prod,A81,gam_mo),"")</f>
        <v/>
      </c>
      <c r="N81" s="66" t="str">
        <f>IF(X81="OK",SUMIF(gam_prod,A81,gam_mac),"")</f>
        <v/>
      </c>
      <c r="O81" s="66" t="str">
        <f>IF(X81="OK",SUMIF(gam_prod,A81,gam_setup)/D81,"")</f>
        <v/>
      </c>
      <c r="P81" s="66" t="str">
        <f>IF(X81="OK",(L81+M81+N81+O81+N(G81))*Y81,"")</f>
        <v/>
      </c>
      <c r="Q81" s="66" t="str">
        <f>IF(X81="OK",L81+M81+N81+O81+N(G81)+P81,"")</f>
        <v/>
      </c>
      <c r="R81" s="67" t="str">
        <f>IF(X81="OK",ROUND(Q81+N(H81)+N(I81)/D81,4),"")</f>
        <v/>
      </c>
      <c r="S81" s="66" t="str">
        <f>IF(X81="OK",ROUND(R81*(1+Z81),2),"")</f>
        <v/>
      </c>
      <c r="T81" s="66" t="str">
        <f>IF(AND(X81="OK",N(F81)&gt;0),F81-R81,"")</f>
        <v/>
      </c>
      <c r="U81" s="68" t="str">
        <f>IF(T81="","",IF(R81&lt;=0,"",T81/R81))</f>
        <v/>
      </c>
      <c r="V81" s="68" t="str">
        <f>IF(T81="","",T81/F81)</f>
        <v/>
      </c>
      <c r="W81" s="69" t="str">
        <f>IF(A81="","",IF(X81&lt;&gt;"OK","À corriger",IF(N(F81)&lt;=0,"Prix à saisir",IF(F81&lt;R81,"Vendu à perte",IF(F81&lt;S81,"Sous la cible","OK")))))</f>
        <v/>
      </c>
      <c r="X81" s="69" t="str">
        <f>IF(AND(A81="",COUNTA(B81:K81)=0),"",IF(A81="","Référence manquante",IF(COUNTIF($A$6:$A$305,A81)&gt;1,"Référence en double",IF(OR(NOT(ISNUMBER(D81)),N(D81)&lt;=0),"Taille de lot invalide",IF(AND(E81&lt;&gt;"",OR(NOT(ISNUMBER(E81)),N(E81)&lt;0)),"Volume annuel invalide",IF(AND(F81&lt;&gt;"",OR(NOT(ISNUMBER(F81)),N(F81)&lt;0)),"Prix de vente invalide",IF(OR(AND(G81&lt;&gt;"",OR(NOT(ISNUMBER(G81)),N(G81)&lt;0)),AND(H81&lt;&gt;"",OR(NOT(ISNUMBER(H81)),N(H81)&lt;0)),AND(I81&lt;&gt;"",OR(NOT(ISNUMBER(I81)),N(I81)&lt;0))),"Montant invalide",IF(OR(AND(J81&lt;&gt;"",OR(NOT(ISNUMBER(J81)),N(J81)&lt;0)),AND(K81&lt;&gt;"",OR(NOT(ISNUMBER(K81)),N(K81)&lt;0))),"Pourcentage invalide",IF(COUNTIF(bom_prod,A81)+COUNTIF(gam_prod,A81)=0,"Ni nomenclature ni gamme",IF(COUNTIFS(bom_prod,A81,bom_check,"&lt;&gt;OK")&gt;0,"Nomenclature à corriger",IF(COUNTIFS(gam_prod,A81,gam_check,"&lt;&gt;OK")&gt;0,"Gamme à corriger","OK")))))))))))</f>
        <v/>
      </c>
      <c r="Y81" s="70">
        <f>IF(J81="",N(p_fg),N(J81))</f>
        <v>0.15</v>
      </c>
      <c r="Z81" s="70">
        <f>IF(K81="",N(p_target),N(K81))</f>
        <v>0.25</v>
      </c>
      <c r="AA81" s="71" t="str">
        <f>IF(R81="","",IF(N(F81)&gt;0,ROUND(F81*N(E81),2),0))</f>
        <v/>
      </c>
      <c r="AB81" s="71">
        <f>IF(T81="",0,T81*N(E81))</f>
        <v>0.0</v>
      </c>
      <c r="AC81" s="71">
        <f>IF(T81="",0,R81*N(E81))</f>
        <v>0.0</v>
      </c>
      <c r="AD81" s="71">
        <f>IF(R81="",0,L81*N(E81))</f>
        <v>0.0</v>
      </c>
      <c r="AE81" s="71">
        <f>IF(R81="",0,M81*N(E81))</f>
        <v>0.0</v>
      </c>
      <c r="AF81" s="71">
        <f>IF(R81="",0,N81*N(E81))</f>
        <v>0.0</v>
      </c>
      <c r="AG81" s="71">
        <f>IF(R81="",0,O81*N(E81))</f>
        <v>0.0</v>
      </c>
      <c r="AH81" s="71">
        <f>IF(R81="",0,(N(G81)+N(H81)+N(I81)/D81)*N(E81))</f>
        <v>0.0</v>
      </c>
      <c r="AI81" s="71">
        <f>IF(R81="",0,P81*N(E81))</f>
        <v>0.0</v>
      </c>
      <c r="AJ81" s="71" t="str">
        <f>IF(AA81="","",COUNTIF(prod_ca,"&gt;"&amp;AA81)+COUNTIF(AA$6:AA81,AA81))</f>
        <v/>
      </c>
      <c r="AK81" s="71" t="str">
        <f>IF(OR(W81="Vendu à perte",W81="Sous la cible"),ROUND(U81,6),"")</f>
        <v/>
      </c>
      <c r="AL81" s="71" t="str">
        <f>IF(AK81="","",COUNTIF(prod_alk,"&lt;"&amp;AK81)+COUNTIF(AK$6:AK81,AK81))</f>
        <v/>
      </c>
    </row>
    <row r="82">
      <c r="A82" s="60" t="n"/>
      <c r="B82" s="60" t="n"/>
      <c r="C82" s="61" t="n"/>
      <c r="D82" s="62" t="n"/>
      <c r="E82" s="63" t="n"/>
      <c r="F82" s="64" t="n"/>
      <c r="G82" s="64" t="n"/>
      <c r="H82" s="64" t="n"/>
      <c r="I82" s="64" t="n"/>
      <c r="J82" s="65" t="n"/>
      <c r="K82" s="65" t="n"/>
      <c r="L82" s="66" t="str">
        <f>IF(X82="OK",SUMIF(bom_prod,A82,bom_cost),"")</f>
        <v/>
      </c>
      <c r="M82" s="66" t="str">
        <f>IF(X82="OK",SUMIF(gam_prod,A82,gam_mo),"")</f>
        <v/>
      </c>
      <c r="N82" s="66" t="str">
        <f>IF(X82="OK",SUMIF(gam_prod,A82,gam_mac),"")</f>
        <v/>
      </c>
      <c r="O82" s="66" t="str">
        <f>IF(X82="OK",SUMIF(gam_prod,A82,gam_setup)/D82,"")</f>
        <v/>
      </c>
      <c r="P82" s="66" t="str">
        <f>IF(X82="OK",(L82+M82+N82+O82+N(G82))*Y82,"")</f>
        <v/>
      </c>
      <c r="Q82" s="66" t="str">
        <f>IF(X82="OK",L82+M82+N82+O82+N(G82)+P82,"")</f>
        <v/>
      </c>
      <c r="R82" s="67" t="str">
        <f>IF(X82="OK",ROUND(Q82+N(H82)+N(I82)/D82,4),"")</f>
        <v/>
      </c>
      <c r="S82" s="66" t="str">
        <f>IF(X82="OK",ROUND(R82*(1+Z82),2),"")</f>
        <v/>
      </c>
      <c r="T82" s="66" t="str">
        <f>IF(AND(X82="OK",N(F82)&gt;0),F82-R82,"")</f>
        <v/>
      </c>
      <c r="U82" s="68" t="str">
        <f>IF(T82="","",IF(R82&lt;=0,"",T82/R82))</f>
        <v/>
      </c>
      <c r="V82" s="68" t="str">
        <f>IF(T82="","",T82/F82)</f>
        <v/>
      </c>
      <c r="W82" s="69" t="str">
        <f>IF(A82="","",IF(X82&lt;&gt;"OK","À corriger",IF(N(F82)&lt;=0,"Prix à saisir",IF(F82&lt;R82,"Vendu à perte",IF(F82&lt;S82,"Sous la cible","OK")))))</f>
        <v/>
      </c>
      <c r="X82" s="69" t="str">
        <f>IF(AND(A82="",COUNTA(B82:K82)=0),"",IF(A82="","Référence manquante",IF(COUNTIF($A$6:$A$305,A82)&gt;1,"Référence en double",IF(OR(NOT(ISNUMBER(D82)),N(D82)&lt;=0),"Taille de lot invalide",IF(AND(E82&lt;&gt;"",OR(NOT(ISNUMBER(E82)),N(E82)&lt;0)),"Volume annuel invalide",IF(AND(F82&lt;&gt;"",OR(NOT(ISNUMBER(F82)),N(F82)&lt;0)),"Prix de vente invalide",IF(OR(AND(G82&lt;&gt;"",OR(NOT(ISNUMBER(G82)),N(G82)&lt;0)),AND(H82&lt;&gt;"",OR(NOT(ISNUMBER(H82)),N(H82)&lt;0)),AND(I82&lt;&gt;"",OR(NOT(ISNUMBER(I82)),N(I82)&lt;0))),"Montant invalide",IF(OR(AND(J82&lt;&gt;"",OR(NOT(ISNUMBER(J82)),N(J82)&lt;0)),AND(K82&lt;&gt;"",OR(NOT(ISNUMBER(K82)),N(K82)&lt;0))),"Pourcentage invalide",IF(COUNTIF(bom_prod,A82)+COUNTIF(gam_prod,A82)=0,"Ni nomenclature ni gamme",IF(COUNTIFS(bom_prod,A82,bom_check,"&lt;&gt;OK")&gt;0,"Nomenclature à corriger",IF(COUNTIFS(gam_prod,A82,gam_check,"&lt;&gt;OK")&gt;0,"Gamme à corriger","OK")))))))))))</f>
        <v/>
      </c>
      <c r="Y82" s="70">
        <f>IF(J82="",N(p_fg),N(J82))</f>
        <v>0.15</v>
      </c>
      <c r="Z82" s="70">
        <f>IF(K82="",N(p_target),N(K82))</f>
        <v>0.25</v>
      </c>
      <c r="AA82" s="71" t="str">
        <f>IF(R82="","",IF(N(F82)&gt;0,ROUND(F82*N(E82),2),0))</f>
        <v/>
      </c>
      <c r="AB82" s="71">
        <f>IF(T82="",0,T82*N(E82))</f>
        <v>0.0</v>
      </c>
      <c r="AC82" s="71">
        <f>IF(T82="",0,R82*N(E82))</f>
        <v>0.0</v>
      </c>
      <c r="AD82" s="71">
        <f>IF(R82="",0,L82*N(E82))</f>
        <v>0.0</v>
      </c>
      <c r="AE82" s="71">
        <f>IF(R82="",0,M82*N(E82))</f>
        <v>0.0</v>
      </c>
      <c r="AF82" s="71">
        <f>IF(R82="",0,N82*N(E82))</f>
        <v>0.0</v>
      </c>
      <c r="AG82" s="71">
        <f>IF(R82="",0,O82*N(E82))</f>
        <v>0.0</v>
      </c>
      <c r="AH82" s="71">
        <f>IF(R82="",0,(N(G82)+N(H82)+N(I82)/D82)*N(E82))</f>
        <v>0.0</v>
      </c>
      <c r="AI82" s="71">
        <f>IF(R82="",0,P82*N(E82))</f>
        <v>0.0</v>
      </c>
      <c r="AJ82" s="71" t="str">
        <f>IF(AA82="","",COUNTIF(prod_ca,"&gt;"&amp;AA82)+COUNTIF(AA$6:AA82,AA82))</f>
        <v/>
      </c>
      <c r="AK82" s="71" t="str">
        <f>IF(OR(W82="Vendu à perte",W82="Sous la cible"),ROUND(U82,6),"")</f>
        <v/>
      </c>
      <c r="AL82" s="71" t="str">
        <f>IF(AK82="","",COUNTIF(prod_alk,"&lt;"&amp;AK82)+COUNTIF(AK$6:AK82,AK82))</f>
        <v/>
      </c>
    </row>
    <row r="83">
      <c r="A83" s="60" t="n"/>
      <c r="B83" s="60" t="n"/>
      <c r="C83" s="61" t="n"/>
      <c r="D83" s="62" t="n"/>
      <c r="E83" s="63" t="n"/>
      <c r="F83" s="64" t="n"/>
      <c r="G83" s="64" t="n"/>
      <c r="H83" s="64" t="n"/>
      <c r="I83" s="64" t="n"/>
      <c r="J83" s="65" t="n"/>
      <c r="K83" s="65" t="n"/>
      <c r="L83" s="66" t="str">
        <f>IF(X83="OK",SUMIF(bom_prod,A83,bom_cost),"")</f>
        <v/>
      </c>
      <c r="M83" s="66" t="str">
        <f>IF(X83="OK",SUMIF(gam_prod,A83,gam_mo),"")</f>
        <v/>
      </c>
      <c r="N83" s="66" t="str">
        <f>IF(X83="OK",SUMIF(gam_prod,A83,gam_mac),"")</f>
        <v/>
      </c>
      <c r="O83" s="66" t="str">
        <f>IF(X83="OK",SUMIF(gam_prod,A83,gam_setup)/D83,"")</f>
        <v/>
      </c>
      <c r="P83" s="66" t="str">
        <f>IF(X83="OK",(L83+M83+N83+O83+N(G83))*Y83,"")</f>
        <v/>
      </c>
      <c r="Q83" s="66" t="str">
        <f>IF(X83="OK",L83+M83+N83+O83+N(G83)+P83,"")</f>
        <v/>
      </c>
      <c r="R83" s="67" t="str">
        <f>IF(X83="OK",ROUND(Q83+N(H83)+N(I83)/D83,4),"")</f>
        <v/>
      </c>
      <c r="S83" s="66" t="str">
        <f>IF(X83="OK",ROUND(R83*(1+Z83),2),"")</f>
        <v/>
      </c>
      <c r="T83" s="66" t="str">
        <f>IF(AND(X83="OK",N(F83)&gt;0),F83-R83,"")</f>
        <v/>
      </c>
      <c r="U83" s="68" t="str">
        <f>IF(T83="","",IF(R83&lt;=0,"",T83/R83))</f>
        <v/>
      </c>
      <c r="V83" s="68" t="str">
        <f>IF(T83="","",T83/F83)</f>
        <v/>
      </c>
      <c r="W83" s="69" t="str">
        <f>IF(A83="","",IF(X83&lt;&gt;"OK","À corriger",IF(N(F83)&lt;=0,"Prix à saisir",IF(F83&lt;R83,"Vendu à perte",IF(F83&lt;S83,"Sous la cible","OK")))))</f>
        <v/>
      </c>
      <c r="X83" s="69" t="str">
        <f>IF(AND(A83="",COUNTA(B83:K83)=0),"",IF(A83="","Référence manquante",IF(COUNTIF($A$6:$A$305,A83)&gt;1,"Référence en double",IF(OR(NOT(ISNUMBER(D83)),N(D83)&lt;=0),"Taille de lot invalide",IF(AND(E83&lt;&gt;"",OR(NOT(ISNUMBER(E83)),N(E83)&lt;0)),"Volume annuel invalide",IF(AND(F83&lt;&gt;"",OR(NOT(ISNUMBER(F83)),N(F83)&lt;0)),"Prix de vente invalide",IF(OR(AND(G83&lt;&gt;"",OR(NOT(ISNUMBER(G83)),N(G83)&lt;0)),AND(H83&lt;&gt;"",OR(NOT(ISNUMBER(H83)),N(H83)&lt;0)),AND(I83&lt;&gt;"",OR(NOT(ISNUMBER(I83)),N(I83)&lt;0))),"Montant invalide",IF(OR(AND(J83&lt;&gt;"",OR(NOT(ISNUMBER(J83)),N(J83)&lt;0)),AND(K83&lt;&gt;"",OR(NOT(ISNUMBER(K83)),N(K83)&lt;0))),"Pourcentage invalide",IF(COUNTIF(bom_prod,A83)+COUNTIF(gam_prod,A83)=0,"Ni nomenclature ni gamme",IF(COUNTIFS(bom_prod,A83,bom_check,"&lt;&gt;OK")&gt;0,"Nomenclature à corriger",IF(COUNTIFS(gam_prod,A83,gam_check,"&lt;&gt;OK")&gt;0,"Gamme à corriger","OK")))))))))))</f>
        <v/>
      </c>
      <c r="Y83" s="70">
        <f>IF(J83="",N(p_fg),N(J83))</f>
        <v>0.15</v>
      </c>
      <c r="Z83" s="70">
        <f>IF(K83="",N(p_target),N(K83))</f>
        <v>0.25</v>
      </c>
      <c r="AA83" s="71" t="str">
        <f>IF(R83="","",IF(N(F83)&gt;0,ROUND(F83*N(E83),2),0))</f>
        <v/>
      </c>
      <c r="AB83" s="71">
        <f>IF(T83="",0,T83*N(E83))</f>
        <v>0.0</v>
      </c>
      <c r="AC83" s="71">
        <f>IF(T83="",0,R83*N(E83))</f>
        <v>0.0</v>
      </c>
      <c r="AD83" s="71">
        <f>IF(R83="",0,L83*N(E83))</f>
        <v>0.0</v>
      </c>
      <c r="AE83" s="71">
        <f>IF(R83="",0,M83*N(E83))</f>
        <v>0.0</v>
      </c>
      <c r="AF83" s="71">
        <f>IF(R83="",0,N83*N(E83))</f>
        <v>0.0</v>
      </c>
      <c r="AG83" s="71">
        <f>IF(R83="",0,O83*N(E83))</f>
        <v>0.0</v>
      </c>
      <c r="AH83" s="71">
        <f>IF(R83="",0,(N(G83)+N(H83)+N(I83)/D83)*N(E83))</f>
        <v>0.0</v>
      </c>
      <c r="AI83" s="71">
        <f>IF(R83="",0,P83*N(E83))</f>
        <v>0.0</v>
      </c>
      <c r="AJ83" s="71" t="str">
        <f>IF(AA83="","",COUNTIF(prod_ca,"&gt;"&amp;AA83)+COUNTIF(AA$6:AA83,AA83))</f>
        <v/>
      </c>
      <c r="AK83" s="71" t="str">
        <f>IF(OR(W83="Vendu à perte",W83="Sous la cible"),ROUND(U83,6),"")</f>
        <v/>
      </c>
      <c r="AL83" s="71" t="str">
        <f>IF(AK83="","",COUNTIF(prod_alk,"&lt;"&amp;AK83)+COUNTIF(AK$6:AK83,AK83))</f>
        <v/>
      </c>
    </row>
    <row r="84">
      <c r="A84" s="60" t="n"/>
      <c r="B84" s="60" t="n"/>
      <c r="C84" s="61" t="n"/>
      <c r="D84" s="62" t="n"/>
      <c r="E84" s="63" t="n"/>
      <c r="F84" s="64" t="n"/>
      <c r="G84" s="64" t="n"/>
      <c r="H84" s="64" t="n"/>
      <c r="I84" s="64" t="n"/>
      <c r="J84" s="65" t="n"/>
      <c r="K84" s="65" t="n"/>
      <c r="L84" s="66" t="str">
        <f>IF(X84="OK",SUMIF(bom_prod,A84,bom_cost),"")</f>
        <v/>
      </c>
      <c r="M84" s="66" t="str">
        <f>IF(X84="OK",SUMIF(gam_prod,A84,gam_mo),"")</f>
        <v/>
      </c>
      <c r="N84" s="66" t="str">
        <f>IF(X84="OK",SUMIF(gam_prod,A84,gam_mac),"")</f>
        <v/>
      </c>
      <c r="O84" s="66" t="str">
        <f>IF(X84="OK",SUMIF(gam_prod,A84,gam_setup)/D84,"")</f>
        <v/>
      </c>
      <c r="P84" s="66" t="str">
        <f>IF(X84="OK",(L84+M84+N84+O84+N(G84))*Y84,"")</f>
        <v/>
      </c>
      <c r="Q84" s="66" t="str">
        <f>IF(X84="OK",L84+M84+N84+O84+N(G84)+P84,"")</f>
        <v/>
      </c>
      <c r="R84" s="67" t="str">
        <f>IF(X84="OK",ROUND(Q84+N(H84)+N(I84)/D84,4),"")</f>
        <v/>
      </c>
      <c r="S84" s="66" t="str">
        <f>IF(X84="OK",ROUND(R84*(1+Z84),2),"")</f>
        <v/>
      </c>
      <c r="T84" s="66" t="str">
        <f>IF(AND(X84="OK",N(F84)&gt;0),F84-R84,"")</f>
        <v/>
      </c>
      <c r="U84" s="68" t="str">
        <f>IF(T84="","",IF(R84&lt;=0,"",T84/R84))</f>
        <v/>
      </c>
      <c r="V84" s="68" t="str">
        <f>IF(T84="","",T84/F84)</f>
        <v/>
      </c>
      <c r="W84" s="69" t="str">
        <f>IF(A84="","",IF(X84&lt;&gt;"OK","À corriger",IF(N(F84)&lt;=0,"Prix à saisir",IF(F84&lt;R84,"Vendu à perte",IF(F84&lt;S84,"Sous la cible","OK")))))</f>
        <v/>
      </c>
      <c r="X84" s="69" t="str">
        <f>IF(AND(A84="",COUNTA(B84:K84)=0),"",IF(A84="","Référence manquante",IF(COUNTIF($A$6:$A$305,A84)&gt;1,"Référence en double",IF(OR(NOT(ISNUMBER(D84)),N(D84)&lt;=0),"Taille de lot invalide",IF(AND(E84&lt;&gt;"",OR(NOT(ISNUMBER(E84)),N(E84)&lt;0)),"Volume annuel invalide",IF(AND(F84&lt;&gt;"",OR(NOT(ISNUMBER(F84)),N(F84)&lt;0)),"Prix de vente invalide",IF(OR(AND(G84&lt;&gt;"",OR(NOT(ISNUMBER(G84)),N(G84)&lt;0)),AND(H84&lt;&gt;"",OR(NOT(ISNUMBER(H84)),N(H84)&lt;0)),AND(I84&lt;&gt;"",OR(NOT(ISNUMBER(I84)),N(I84)&lt;0))),"Montant invalide",IF(OR(AND(J84&lt;&gt;"",OR(NOT(ISNUMBER(J84)),N(J84)&lt;0)),AND(K84&lt;&gt;"",OR(NOT(ISNUMBER(K84)),N(K84)&lt;0))),"Pourcentage invalide",IF(COUNTIF(bom_prod,A84)+COUNTIF(gam_prod,A84)=0,"Ni nomenclature ni gamme",IF(COUNTIFS(bom_prod,A84,bom_check,"&lt;&gt;OK")&gt;0,"Nomenclature à corriger",IF(COUNTIFS(gam_prod,A84,gam_check,"&lt;&gt;OK")&gt;0,"Gamme à corriger","OK")))))))))))</f>
        <v/>
      </c>
      <c r="Y84" s="70">
        <f>IF(J84="",N(p_fg),N(J84))</f>
        <v>0.15</v>
      </c>
      <c r="Z84" s="70">
        <f>IF(K84="",N(p_target),N(K84))</f>
        <v>0.25</v>
      </c>
      <c r="AA84" s="71" t="str">
        <f>IF(R84="","",IF(N(F84)&gt;0,ROUND(F84*N(E84),2),0))</f>
        <v/>
      </c>
      <c r="AB84" s="71">
        <f>IF(T84="",0,T84*N(E84))</f>
        <v>0.0</v>
      </c>
      <c r="AC84" s="71">
        <f>IF(T84="",0,R84*N(E84))</f>
        <v>0.0</v>
      </c>
      <c r="AD84" s="71">
        <f>IF(R84="",0,L84*N(E84))</f>
        <v>0.0</v>
      </c>
      <c r="AE84" s="71">
        <f>IF(R84="",0,M84*N(E84))</f>
        <v>0.0</v>
      </c>
      <c r="AF84" s="71">
        <f>IF(R84="",0,N84*N(E84))</f>
        <v>0.0</v>
      </c>
      <c r="AG84" s="71">
        <f>IF(R84="",0,O84*N(E84))</f>
        <v>0.0</v>
      </c>
      <c r="AH84" s="71">
        <f>IF(R84="",0,(N(G84)+N(H84)+N(I84)/D84)*N(E84))</f>
        <v>0.0</v>
      </c>
      <c r="AI84" s="71">
        <f>IF(R84="",0,P84*N(E84))</f>
        <v>0.0</v>
      </c>
      <c r="AJ84" s="71" t="str">
        <f>IF(AA84="","",COUNTIF(prod_ca,"&gt;"&amp;AA84)+COUNTIF(AA$6:AA84,AA84))</f>
        <v/>
      </c>
      <c r="AK84" s="71" t="str">
        <f>IF(OR(W84="Vendu à perte",W84="Sous la cible"),ROUND(U84,6),"")</f>
        <v/>
      </c>
      <c r="AL84" s="71" t="str">
        <f>IF(AK84="","",COUNTIF(prod_alk,"&lt;"&amp;AK84)+COUNTIF(AK$6:AK84,AK84))</f>
        <v/>
      </c>
    </row>
    <row r="85">
      <c r="A85" s="60" t="n"/>
      <c r="B85" s="60" t="n"/>
      <c r="C85" s="61" t="n"/>
      <c r="D85" s="62" t="n"/>
      <c r="E85" s="63" t="n"/>
      <c r="F85" s="64" t="n"/>
      <c r="G85" s="64" t="n"/>
      <c r="H85" s="64" t="n"/>
      <c r="I85" s="64" t="n"/>
      <c r="J85" s="65" t="n"/>
      <c r="K85" s="65" t="n"/>
      <c r="L85" s="66" t="str">
        <f>IF(X85="OK",SUMIF(bom_prod,A85,bom_cost),"")</f>
        <v/>
      </c>
      <c r="M85" s="66" t="str">
        <f>IF(X85="OK",SUMIF(gam_prod,A85,gam_mo),"")</f>
        <v/>
      </c>
      <c r="N85" s="66" t="str">
        <f>IF(X85="OK",SUMIF(gam_prod,A85,gam_mac),"")</f>
        <v/>
      </c>
      <c r="O85" s="66" t="str">
        <f>IF(X85="OK",SUMIF(gam_prod,A85,gam_setup)/D85,"")</f>
        <v/>
      </c>
      <c r="P85" s="66" t="str">
        <f>IF(X85="OK",(L85+M85+N85+O85+N(G85))*Y85,"")</f>
        <v/>
      </c>
      <c r="Q85" s="66" t="str">
        <f>IF(X85="OK",L85+M85+N85+O85+N(G85)+P85,"")</f>
        <v/>
      </c>
      <c r="R85" s="67" t="str">
        <f>IF(X85="OK",ROUND(Q85+N(H85)+N(I85)/D85,4),"")</f>
        <v/>
      </c>
      <c r="S85" s="66" t="str">
        <f>IF(X85="OK",ROUND(R85*(1+Z85),2),"")</f>
        <v/>
      </c>
      <c r="T85" s="66" t="str">
        <f>IF(AND(X85="OK",N(F85)&gt;0),F85-R85,"")</f>
        <v/>
      </c>
      <c r="U85" s="68" t="str">
        <f>IF(T85="","",IF(R85&lt;=0,"",T85/R85))</f>
        <v/>
      </c>
      <c r="V85" s="68" t="str">
        <f>IF(T85="","",T85/F85)</f>
        <v/>
      </c>
      <c r="W85" s="69" t="str">
        <f>IF(A85="","",IF(X85&lt;&gt;"OK","À corriger",IF(N(F85)&lt;=0,"Prix à saisir",IF(F85&lt;R85,"Vendu à perte",IF(F85&lt;S85,"Sous la cible","OK")))))</f>
        <v/>
      </c>
      <c r="X85" s="69" t="str">
        <f>IF(AND(A85="",COUNTA(B85:K85)=0),"",IF(A85="","Référence manquante",IF(COUNTIF($A$6:$A$305,A85)&gt;1,"Référence en double",IF(OR(NOT(ISNUMBER(D85)),N(D85)&lt;=0),"Taille de lot invalide",IF(AND(E85&lt;&gt;"",OR(NOT(ISNUMBER(E85)),N(E85)&lt;0)),"Volume annuel invalide",IF(AND(F85&lt;&gt;"",OR(NOT(ISNUMBER(F85)),N(F85)&lt;0)),"Prix de vente invalide",IF(OR(AND(G85&lt;&gt;"",OR(NOT(ISNUMBER(G85)),N(G85)&lt;0)),AND(H85&lt;&gt;"",OR(NOT(ISNUMBER(H85)),N(H85)&lt;0)),AND(I85&lt;&gt;"",OR(NOT(ISNUMBER(I85)),N(I85)&lt;0))),"Montant invalide",IF(OR(AND(J85&lt;&gt;"",OR(NOT(ISNUMBER(J85)),N(J85)&lt;0)),AND(K85&lt;&gt;"",OR(NOT(ISNUMBER(K85)),N(K85)&lt;0))),"Pourcentage invalide",IF(COUNTIF(bom_prod,A85)+COUNTIF(gam_prod,A85)=0,"Ni nomenclature ni gamme",IF(COUNTIFS(bom_prod,A85,bom_check,"&lt;&gt;OK")&gt;0,"Nomenclature à corriger",IF(COUNTIFS(gam_prod,A85,gam_check,"&lt;&gt;OK")&gt;0,"Gamme à corriger","OK")))))))))))</f>
        <v/>
      </c>
      <c r="Y85" s="70">
        <f>IF(J85="",N(p_fg),N(J85))</f>
        <v>0.15</v>
      </c>
      <c r="Z85" s="70">
        <f>IF(K85="",N(p_target),N(K85))</f>
        <v>0.25</v>
      </c>
      <c r="AA85" s="71" t="str">
        <f>IF(R85="","",IF(N(F85)&gt;0,ROUND(F85*N(E85),2),0))</f>
        <v/>
      </c>
      <c r="AB85" s="71">
        <f>IF(T85="",0,T85*N(E85))</f>
        <v>0.0</v>
      </c>
      <c r="AC85" s="71">
        <f>IF(T85="",0,R85*N(E85))</f>
        <v>0.0</v>
      </c>
      <c r="AD85" s="71">
        <f>IF(R85="",0,L85*N(E85))</f>
        <v>0.0</v>
      </c>
      <c r="AE85" s="71">
        <f>IF(R85="",0,M85*N(E85))</f>
        <v>0.0</v>
      </c>
      <c r="AF85" s="71">
        <f>IF(R85="",0,N85*N(E85))</f>
        <v>0.0</v>
      </c>
      <c r="AG85" s="71">
        <f>IF(R85="",0,O85*N(E85))</f>
        <v>0.0</v>
      </c>
      <c r="AH85" s="71">
        <f>IF(R85="",0,(N(G85)+N(H85)+N(I85)/D85)*N(E85))</f>
        <v>0.0</v>
      </c>
      <c r="AI85" s="71">
        <f>IF(R85="",0,P85*N(E85))</f>
        <v>0.0</v>
      </c>
      <c r="AJ85" s="71" t="str">
        <f>IF(AA85="","",COUNTIF(prod_ca,"&gt;"&amp;AA85)+COUNTIF(AA$6:AA85,AA85))</f>
        <v/>
      </c>
      <c r="AK85" s="71" t="str">
        <f>IF(OR(W85="Vendu à perte",W85="Sous la cible"),ROUND(U85,6),"")</f>
        <v/>
      </c>
      <c r="AL85" s="71" t="str">
        <f>IF(AK85="","",COUNTIF(prod_alk,"&lt;"&amp;AK85)+COUNTIF(AK$6:AK85,AK85))</f>
        <v/>
      </c>
    </row>
    <row r="86">
      <c r="A86" s="60" t="n"/>
      <c r="B86" s="60" t="n"/>
      <c r="C86" s="61" t="n"/>
      <c r="D86" s="62" t="n"/>
      <c r="E86" s="63" t="n"/>
      <c r="F86" s="64" t="n"/>
      <c r="G86" s="64" t="n"/>
      <c r="H86" s="64" t="n"/>
      <c r="I86" s="64" t="n"/>
      <c r="J86" s="65" t="n"/>
      <c r="K86" s="65" t="n"/>
      <c r="L86" s="66" t="str">
        <f>IF(X86="OK",SUMIF(bom_prod,A86,bom_cost),"")</f>
        <v/>
      </c>
      <c r="M86" s="66" t="str">
        <f>IF(X86="OK",SUMIF(gam_prod,A86,gam_mo),"")</f>
        <v/>
      </c>
      <c r="N86" s="66" t="str">
        <f>IF(X86="OK",SUMIF(gam_prod,A86,gam_mac),"")</f>
        <v/>
      </c>
      <c r="O86" s="66" t="str">
        <f>IF(X86="OK",SUMIF(gam_prod,A86,gam_setup)/D86,"")</f>
        <v/>
      </c>
      <c r="P86" s="66" t="str">
        <f>IF(X86="OK",(L86+M86+N86+O86+N(G86))*Y86,"")</f>
        <v/>
      </c>
      <c r="Q86" s="66" t="str">
        <f>IF(X86="OK",L86+M86+N86+O86+N(G86)+P86,"")</f>
        <v/>
      </c>
      <c r="R86" s="67" t="str">
        <f>IF(X86="OK",ROUND(Q86+N(H86)+N(I86)/D86,4),"")</f>
        <v/>
      </c>
      <c r="S86" s="66" t="str">
        <f>IF(X86="OK",ROUND(R86*(1+Z86),2),"")</f>
        <v/>
      </c>
      <c r="T86" s="66" t="str">
        <f>IF(AND(X86="OK",N(F86)&gt;0),F86-R86,"")</f>
        <v/>
      </c>
      <c r="U86" s="68" t="str">
        <f>IF(T86="","",IF(R86&lt;=0,"",T86/R86))</f>
        <v/>
      </c>
      <c r="V86" s="68" t="str">
        <f>IF(T86="","",T86/F86)</f>
        <v/>
      </c>
      <c r="W86" s="69" t="str">
        <f>IF(A86="","",IF(X86&lt;&gt;"OK","À corriger",IF(N(F86)&lt;=0,"Prix à saisir",IF(F86&lt;R86,"Vendu à perte",IF(F86&lt;S86,"Sous la cible","OK")))))</f>
        <v/>
      </c>
      <c r="X86" s="69" t="str">
        <f>IF(AND(A86="",COUNTA(B86:K86)=0),"",IF(A86="","Référence manquante",IF(COUNTIF($A$6:$A$305,A86)&gt;1,"Référence en double",IF(OR(NOT(ISNUMBER(D86)),N(D86)&lt;=0),"Taille de lot invalide",IF(AND(E86&lt;&gt;"",OR(NOT(ISNUMBER(E86)),N(E86)&lt;0)),"Volume annuel invalide",IF(AND(F86&lt;&gt;"",OR(NOT(ISNUMBER(F86)),N(F86)&lt;0)),"Prix de vente invalide",IF(OR(AND(G86&lt;&gt;"",OR(NOT(ISNUMBER(G86)),N(G86)&lt;0)),AND(H86&lt;&gt;"",OR(NOT(ISNUMBER(H86)),N(H86)&lt;0)),AND(I86&lt;&gt;"",OR(NOT(ISNUMBER(I86)),N(I86)&lt;0))),"Montant invalide",IF(OR(AND(J86&lt;&gt;"",OR(NOT(ISNUMBER(J86)),N(J86)&lt;0)),AND(K86&lt;&gt;"",OR(NOT(ISNUMBER(K86)),N(K86)&lt;0))),"Pourcentage invalide",IF(COUNTIF(bom_prod,A86)+COUNTIF(gam_prod,A86)=0,"Ni nomenclature ni gamme",IF(COUNTIFS(bom_prod,A86,bom_check,"&lt;&gt;OK")&gt;0,"Nomenclature à corriger",IF(COUNTIFS(gam_prod,A86,gam_check,"&lt;&gt;OK")&gt;0,"Gamme à corriger","OK")))))))))))</f>
        <v/>
      </c>
      <c r="Y86" s="70">
        <f>IF(J86="",N(p_fg),N(J86))</f>
        <v>0.15</v>
      </c>
      <c r="Z86" s="70">
        <f>IF(K86="",N(p_target),N(K86))</f>
        <v>0.25</v>
      </c>
      <c r="AA86" s="71" t="str">
        <f>IF(R86="","",IF(N(F86)&gt;0,ROUND(F86*N(E86),2),0))</f>
        <v/>
      </c>
      <c r="AB86" s="71">
        <f>IF(T86="",0,T86*N(E86))</f>
        <v>0.0</v>
      </c>
      <c r="AC86" s="71">
        <f>IF(T86="",0,R86*N(E86))</f>
        <v>0.0</v>
      </c>
      <c r="AD86" s="71">
        <f>IF(R86="",0,L86*N(E86))</f>
        <v>0.0</v>
      </c>
      <c r="AE86" s="71">
        <f>IF(R86="",0,M86*N(E86))</f>
        <v>0.0</v>
      </c>
      <c r="AF86" s="71">
        <f>IF(R86="",0,N86*N(E86))</f>
        <v>0.0</v>
      </c>
      <c r="AG86" s="71">
        <f>IF(R86="",0,O86*N(E86))</f>
        <v>0.0</v>
      </c>
      <c r="AH86" s="71">
        <f>IF(R86="",0,(N(G86)+N(H86)+N(I86)/D86)*N(E86))</f>
        <v>0.0</v>
      </c>
      <c r="AI86" s="71">
        <f>IF(R86="",0,P86*N(E86))</f>
        <v>0.0</v>
      </c>
      <c r="AJ86" s="71" t="str">
        <f>IF(AA86="","",COUNTIF(prod_ca,"&gt;"&amp;AA86)+COUNTIF(AA$6:AA86,AA86))</f>
        <v/>
      </c>
      <c r="AK86" s="71" t="str">
        <f>IF(OR(W86="Vendu à perte",W86="Sous la cible"),ROUND(U86,6),"")</f>
        <v/>
      </c>
      <c r="AL86" s="71" t="str">
        <f>IF(AK86="","",COUNTIF(prod_alk,"&lt;"&amp;AK86)+COUNTIF(AK$6:AK86,AK86))</f>
        <v/>
      </c>
    </row>
    <row r="87">
      <c r="A87" s="60" t="n"/>
      <c r="B87" s="60" t="n"/>
      <c r="C87" s="61" t="n"/>
      <c r="D87" s="62" t="n"/>
      <c r="E87" s="63" t="n"/>
      <c r="F87" s="64" t="n"/>
      <c r="G87" s="64" t="n"/>
      <c r="H87" s="64" t="n"/>
      <c r="I87" s="64" t="n"/>
      <c r="J87" s="65" t="n"/>
      <c r="K87" s="65" t="n"/>
      <c r="L87" s="66" t="str">
        <f>IF(X87="OK",SUMIF(bom_prod,A87,bom_cost),"")</f>
        <v/>
      </c>
      <c r="M87" s="66" t="str">
        <f>IF(X87="OK",SUMIF(gam_prod,A87,gam_mo),"")</f>
        <v/>
      </c>
      <c r="N87" s="66" t="str">
        <f>IF(X87="OK",SUMIF(gam_prod,A87,gam_mac),"")</f>
        <v/>
      </c>
      <c r="O87" s="66" t="str">
        <f>IF(X87="OK",SUMIF(gam_prod,A87,gam_setup)/D87,"")</f>
        <v/>
      </c>
      <c r="P87" s="66" t="str">
        <f>IF(X87="OK",(L87+M87+N87+O87+N(G87))*Y87,"")</f>
        <v/>
      </c>
      <c r="Q87" s="66" t="str">
        <f>IF(X87="OK",L87+M87+N87+O87+N(G87)+P87,"")</f>
        <v/>
      </c>
      <c r="R87" s="67" t="str">
        <f>IF(X87="OK",ROUND(Q87+N(H87)+N(I87)/D87,4),"")</f>
        <v/>
      </c>
      <c r="S87" s="66" t="str">
        <f>IF(X87="OK",ROUND(R87*(1+Z87),2),"")</f>
        <v/>
      </c>
      <c r="T87" s="66" t="str">
        <f>IF(AND(X87="OK",N(F87)&gt;0),F87-R87,"")</f>
        <v/>
      </c>
      <c r="U87" s="68" t="str">
        <f>IF(T87="","",IF(R87&lt;=0,"",T87/R87))</f>
        <v/>
      </c>
      <c r="V87" s="68" t="str">
        <f>IF(T87="","",T87/F87)</f>
        <v/>
      </c>
      <c r="W87" s="69" t="str">
        <f>IF(A87="","",IF(X87&lt;&gt;"OK","À corriger",IF(N(F87)&lt;=0,"Prix à saisir",IF(F87&lt;R87,"Vendu à perte",IF(F87&lt;S87,"Sous la cible","OK")))))</f>
        <v/>
      </c>
      <c r="X87" s="69" t="str">
        <f>IF(AND(A87="",COUNTA(B87:K87)=0),"",IF(A87="","Référence manquante",IF(COUNTIF($A$6:$A$305,A87)&gt;1,"Référence en double",IF(OR(NOT(ISNUMBER(D87)),N(D87)&lt;=0),"Taille de lot invalide",IF(AND(E87&lt;&gt;"",OR(NOT(ISNUMBER(E87)),N(E87)&lt;0)),"Volume annuel invalide",IF(AND(F87&lt;&gt;"",OR(NOT(ISNUMBER(F87)),N(F87)&lt;0)),"Prix de vente invalide",IF(OR(AND(G87&lt;&gt;"",OR(NOT(ISNUMBER(G87)),N(G87)&lt;0)),AND(H87&lt;&gt;"",OR(NOT(ISNUMBER(H87)),N(H87)&lt;0)),AND(I87&lt;&gt;"",OR(NOT(ISNUMBER(I87)),N(I87)&lt;0))),"Montant invalide",IF(OR(AND(J87&lt;&gt;"",OR(NOT(ISNUMBER(J87)),N(J87)&lt;0)),AND(K87&lt;&gt;"",OR(NOT(ISNUMBER(K87)),N(K87)&lt;0))),"Pourcentage invalide",IF(COUNTIF(bom_prod,A87)+COUNTIF(gam_prod,A87)=0,"Ni nomenclature ni gamme",IF(COUNTIFS(bom_prod,A87,bom_check,"&lt;&gt;OK")&gt;0,"Nomenclature à corriger",IF(COUNTIFS(gam_prod,A87,gam_check,"&lt;&gt;OK")&gt;0,"Gamme à corriger","OK")))))))))))</f>
        <v/>
      </c>
      <c r="Y87" s="70">
        <f>IF(J87="",N(p_fg),N(J87))</f>
        <v>0.15</v>
      </c>
      <c r="Z87" s="70">
        <f>IF(K87="",N(p_target),N(K87))</f>
        <v>0.25</v>
      </c>
      <c r="AA87" s="71" t="str">
        <f>IF(R87="","",IF(N(F87)&gt;0,ROUND(F87*N(E87),2),0))</f>
        <v/>
      </c>
      <c r="AB87" s="71">
        <f>IF(T87="",0,T87*N(E87))</f>
        <v>0.0</v>
      </c>
      <c r="AC87" s="71">
        <f>IF(T87="",0,R87*N(E87))</f>
        <v>0.0</v>
      </c>
      <c r="AD87" s="71">
        <f>IF(R87="",0,L87*N(E87))</f>
        <v>0.0</v>
      </c>
      <c r="AE87" s="71">
        <f>IF(R87="",0,M87*N(E87))</f>
        <v>0.0</v>
      </c>
      <c r="AF87" s="71">
        <f>IF(R87="",0,N87*N(E87))</f>
        <v>0.0</v>
      </c>
      <c r="AG87" s="71">
        <f>IF(R87="",0,O87*N(E87))</f>
        <v>0.0</v>
      </c>
      <c r="AH87" s="71">
        <f>IF(R87="",0,(N(G87)+N(H87)+N(I87)/D87)*N(E87))</f>
        <v>0.0</v>
      </c>
      <c r="AI87" s="71">
        <f>IF(R87="",0,P87*N(E87))</f>
        <v>0.0</v>
      </c>
      <c r="AJ87" s="71" t="str">
        <f>IF(AA87="","",COUNTIF(prod_ca,"&gt;"&amp;AA87)+COUNTIF(AA$6:AA87,AA87))</f>
        <v/>
      </c>
      <c r="AK87" s="71" t="str">
        <f>IF(OR(W87="Vendu à perte",W87="Sous la cible"),ROUND(U87,6),"")</f>
        <v/>
      </c>
      <c r="AL87" s="71" t="str">
        <f>IF(AK87="","",COUNTIF(prod_alk,"&lt;"&amp;AK87)+COUNTIF(AK$6:AK87,AK87))</f>
        <v/>
      </c>
    </row>
    <row r="88">
      <c r="A88" s="60" t="n"/>
      <c r="B88" s="60" t="n"/>
      <c r="C88" s="61" t="n"/>
      <c r="D88" s="62" t="n"/>
      <c r="E88" s="63" t="n"/>
      <c r="F88" s="64" t="n"/>
      <c r="G88" s="64" t="n"/>
      <c r="H88" s="64" t="n"/>
      <c r="I88" s="64" t="n"/>
      <c r="J88" s="65" t="n"/>
      <c r="K88" s="65" t="n"/>
      <c r="L88" s="66" t="str">
        <f>IF(X88="OK",SUMIF(bom_prod,A88,bom_cost),"")</f>
        <v/>
      </c>
      <c r="M88" s="66" t="str">
        <f>IF(X88="OK",SUMIF(gam_prod,A88,gam_mo),"")</f>
        <v/>
      </c>
      <c r="N88" s="66" t="str">
        <f>IF(X88="OK",SUMIF(gam_prod,A88,gam_mac),"")</f>
        <v/>
      </c>
      <c r="O88" s="66" t="str">
        <f>IF(X88="OK",SUMIF(gam_prod,A88,gam_setup)/D88,"")</f>
        <v/>
      </c>
      <c r="P88" s="66" t="str">
        <f>IF(X88="OK",(L88+M88+N88+O88+N(G88))*Y88,"")</f>
        <v/>
      </c>
      <c r="Q88" s="66" t="str">
        <f>IF(X88="OK",L88+M88+N88+O88+N(G88)+P88,"")</f>
        <v/>
      </c>
      <c r="R88" s="67" t="str">
        <f>IF(X88="OK",ROUND(Q88+N(H88)+N(I88)/D88,4),"")</f>
        <v/>
      </c>
      <c r="S88" s="66" t="str">
        <f>IF(X88="OK",ROUND(R88*(1+Z88),2),"")</f>
        <v/>
      </c>
      <c r="T88" s="66" t="str">
        <f>IF(AND(X88="OK",N(F88)&gt;0),F88-R88,"")</f>
        <v/>
      </c>
      <c r="U88" s="68" t="str">
        <f>IF(T88="","",IF(R88&lt;=0,"",T88/R88))</f>
        <v/>
      </c>
      <c r="V88" s="68" t="str">
        <f>IF(T88="","",T88/F88)</f>
        <v/>
      </c>
      <c r="W88" s="69" t="str">
        <f>IF(A88="","",IF(X88&lt;&gt;"OK","À corriger",IF(N(F88)&lt;=0,"Prix à saisir",IF(F88&lt;R88,"Vendu à perte",IF(F88&lt;S88,"Sous la cible","OK")))))</f>
        <v/>
      </c>
      <c r="X88" s="69" t="str">
        <f>IF(AND(A88="",COUNTA(B88:K88)=0),"",IF(A88="","Référence manquante",IF(COUNTIF($A$6:$A$305,A88)&gt;1,"Référence en double",IF(OR(NOT(ISNUMBER(D88)),N(D88)&lt;=0),"Taille de lot invalide",IF(AND(E88&lt;&gt;"",OR(NOT(ISNUMBER(E88)),N(E88)&lt;0)),"Volume annuel invalide",IF(AND(F88&lt;&gt;"",OR(NOT(ISNUMBER(F88)),N(F88)&lt;0)),"Prix de vente invalide",IF(OR(AND(G88&lt;&gt;"",OR(NOT(ISNUMBER(G88)),N(G88)&lt;0)),AND(H88&lt;&gt;"",OR(NOT(ISNUMBER(H88)),N(H88)&lt;0)),AND(I88&lt;&gt;"",OR(NOT(ISNUMBER(I88)),N(I88)&lt;0))),"Montant invalide",IF(OR(AND(J88&lt;&gt;"",OR(NOT(ISNUMBER(J88)),N(J88)&lt;0)),AND(K88&lt;&gt;"",OR(NOT(ISNUMBER(K88)),N(K88)&lt;0))),"Pourcentage invalide",IF(COUNTIF(bom_prod,A88)+COUNTIF(gam_prod,A88)=0,"Ni nomenclature ni gamme",IF(COUNTIFS(bom_prod,A88,bom_check,"&lt;&gt;OK")&gt;0,"Nomenclature à corriger",IF(COUNTIFS(gam_prod,A88,gam_check,"&lt;&gt;OK")&gt;0,"Gamme à corriger","OK")))))))))))</f>
        <v/>
      </c>
      <c r="Y88" s="70">
        <f>IF(J88="",N(p_fg),N(J88))</f>
        <v>0.15</v>
      </c>
      <c r="Z88" s="70">
        <f>IF(K88="",N(p_target),N(K88))</f>
        <v>0.25</v>
      </c>
      <c r="AA88" s="71" t="str">
        <f>IF(R88="","",IF(N(F88)&gt;0,ROUND(F88*N(E88),2),0))</f>
        <v/>
      </c>
      <c r="AB88" s="71">
        <f>IF(T88="",0,T88*N(E88))</f>
        <v>0.0</v>
      </c>
      <c r="AC88" s="71">
        <f>IF(T88="",0,R88*N(E88))</f>
        <v>0.0</v>
      </c>
      <c r="AD88" s="71">
        <f>IF(R88="",0,L88*N(E88))</f>
        <v>0.0</v>
      </c>
      <c r="AE88" s="71">
        <f>IF(R88="",0,M88*N(E88))</f>
        <v>0.0</v>
      </c>
      <c r="AF88" s="71">
        <f>IF(R88="",0,N88*N(E88))</f>
        <v>0.0</v>
      </c>
      <c r="AG88" s="71">
        <f>IF(R88="",0,O88*N(E88))</f>
        <v>0.0</v>
      </c>
      <c r="AH88" s="71">
        <f>IF(R88="",0,(N(G88)+N(H88)+N(I88)/D88)*N(E88))</f>
        <v>0.0</v>
      </c>
      <c r="AI88" s="71">
        <f>IF(R88="",0,P88*N(E88))</f>
        <v>0.0</v>
      </c>
      <c r="AJ88" s="71" t="str">
        <f>IF(AA88="","",COUNTIF(prod_ca,"&gt;"&amp;AA88)+COUNTIF(AA$6:AA88,AA88))</f>
        <v/>
      </c>
      <c r="AK88" s="71" t="str">
        <f>IF(OR(W88="Vendu à perte",W88="Sous la cible"),ROUND(U88,6),"")</f>
        <v/>
      </c>
      <c r="AL88" s="71" t="str">
        <f>IF(AK88="","",COUNTIF(prod_alk,"&lt;"&amp;AK88)+COUNTIF(AK$6:AK88,AK88))</f>
        <v/>
      </c>
    </row>
    <row r="89">
      <c r="A89" s="60" t="n"/>
      <c r="B89" s="60" t="n"/>
      <c r="C89" s="61" t="n"/>
      <c r="D89" s="62" t="n"/>
      <c r="E89" s="63" t="n"/>
      <c r="F89" s="64" t="n"/>
      <c r="G89" s="64" t="n"/>
      <c r="H89" s="64" t="n"/>
      <c r="I89" s="64" t="n"/>
      <c r="J89" s="65" t="n"/>
      <c r="K89" s="65" t="n"/>
      <c r="L89" s="66" t="str">
        <f>IF(X89="OK",SUMIF(bom_prod,A89,bom_cost),"")</f>
        <v/>
      </c>
      <c r="M89" s="66" t="str">
        <f>IF(X89="OK",SUMIF(gam_prod,A89,gam_mo),"")</f>
        <v/>
      </c>
      <c r="N89" s="66" t="str">
        <f>IF(X89="OK",SUMIF(gam_prod,A89,gam_mac),"")</f>
        <v/>
      </c>
      <c r="O89" s="66" t="str">
        <f>IF(X89="OK",SUMIF(gam_prod,A89,gam_setup)/D89,"")</f>
        <v/>
      </c>
      <c r="P89" s="66" t="str">
        <f>IF(X89="OK",(L89+M89+N89+O89+N(G89))*Y89,"")</f>
        <v/>
      </c>
      <c r="Q89" s="66" t="str">
        <f>IF(X89="OK",L89+M89+N89+O89+N(G89)+P89,"")</f>
        <v/>
      </c>
      <c r="R89" s="67" t="str">
        <f>IF(X89="OK",ROUND(Q89+N(H89)+N(I89)/D89,4),"")</f>
        <v/>
      </c>
      <c r="S89" s="66" t="str">
        <f>IF(X89="OK",ROUND(R89*(1+Z89),2),"")</f>
        <v/>
      </c>
      <c r="T89" s="66" t="str">
        <f>IF(AND(X89="OK",N(F89)&gt;0),F89-R89,"")</f>
        <v/>
      </c>
      <c r="U89" s="68" t="str">
        <f>IF(T89="","",IF(R89&lt;=0,"",T89/R89))</f>
        <v/>
      </c>
      <c r="V89" s="68" t="str">
        <f>IF(T89="","",T89/F89)</f>
        <v/>
      </c>
      <c r="W89" s="69" t="str">
        <f>IF(A89="","",IF(X89&lt;&gt;"OK","À corriger",IF(N(F89)&lt;=0,"Prix à saisir",IF(F89&lt;R89,"Vendu à perte",IF(F89&lt;S89,"Sous la cible","OK")))))</f>
        <v/>
      </c>
      <c r="X89" s="69" t="str">
        <f>IF(AND(A89="",COUNTA(B89:K89)=0),"",IF(A89="","Référence manquante",IF(COUNTIF($A$6:$A$305,A89)&gt;1,"Référence en double",IF(OR(NOT(ISNUMBER(D89)),N(D89)&lt;=0),"Taille de lot invalide",IF(AND(E89&lt;&gt;"",OR(NOT(ISNUMBER(E89)),N(E89)&lt;0)),"Volume annuel invalide",IF(AND(F89&lt;&gt;"",OR(NOT(ISNUMBER(F89)),N(F89)&lt;0)),"Prix de vente invalide",IF(OR(AND(G89&lt;&gt;"",OR(NOT(ISNUMBER(G89)),N(G89)&lt;0)),AND(H89&lt;&gt;"",OR(NOT(ISNUMBER(H89)),N(H89)&lt;0)),AND(I89&lt;&gt;"",OR(NOT(ISNUMBER(I89)),N(I89)&lt;0))),"Montant invalide",IF(OR(AND(J89&lt;&gt;"",OR(NOT(ISNUMBER(J89)),N(J89)&lt;0)),AND(K89&lt;&gt;"",OR(NOT(ISNUMBER(K89)),N(K89)&lt;0))),"Pourcentage invalide",IF(COUNTIF(bom_prod,A89)+COUNTIF(gam_prod,A89)=0,"Ni nomenclature ni gamme",IF(COUNTIFS(bom_prod,A89,bom_check,"&lt;&gt;OK")&gt;0,"Nomenclature à corriger",IF(COUNTIFS(gam_prod,A89,gam_check,"&lt;&gt;OK")&gt;0,"Gamme à corriger","OK")))))))))))</f>
        <v/>
      </c>
      <c r="Y89" s="70">
        <f>IF(J89="",N(p_fg),N(J89))</f>
        <v>0.15</v>
      </c>
      <c r="Z89" s="70">
        <f>IF(K89="",N(p_target),N(K89))</f>
        <v>0.25</v>
      </c>
      <c r="AA89" s="71" t="str">
        <f>IF(R89="","",IF(N(F89)&gt;0,ROUND(F89*N(E89),2),0))</f>
        <v/>
      </c>
      <c r="AB89" s="71">
        <f>IF(T89="",0,T89*N(E89))</f>
        <v>0.0</v>
      </c>
      <c r="AC89" s="71">
        <f>IF(T89="",0,R89*N(E89))</f>
        <v>0.0</v>
      </c>
      <c r="AD89" s="71">
        <f>IF(R89="",0,L89*N(E89))</f>
        <v>0.0</v>
      </c>
      <c r="AE89" s="71">
        <f>IF(R89="",0,M89*N(E89))</f>
        <v>0.0</v>
      </c>
      <c r="AF89" s="71">
        <f>IF(R89="",0,N89*N(E89))</f>
        <v>0.0</v>
      </c>
      <c r="AG89" s="71">
        <f>IF(R89="",0,O89*N(E89))</f>
        <v>0.0</v>
      </c>
      <c r="AH89" s="71">
        <f>IF(R89="",0,(N(G89)+N(H89)+N(I89)/D89)*N(E89))</f>
        <v>0.0</v>
      </c>
      <c r="AI89" s="71">
        <f>IF(R89="",0,P89*N(E89))</f>
        <v>0.0</v>
      </c>
      <c r="AJ89" s="71" t="str">
        <f>IF(AA89="","",COUNTIF(prod_ca,"&gt;"&amp;AA89)+COUNTIF(AA$6:AA89,AA89))</f>
        <v/>
      </c>
      <c r="AK89" s="71" t="str">
        <f>IF(OR(W89="Vendu à perte",W89="Sous la cible"),ROUND(U89,6),"")</f>
        <v/>
      </c>
      <c r="AL89" s="71" t="str">
        <f>IF(AK89="","",COUNTIF(prod_alk,"&lt;"&amp;AK89)+COUNTIF(AK$6:AK89,AK89))</f>
        <v/>
      </c>
    </row>
    <row r="90">
      <c r="A90" s="60" t="n"/>
      <c r="B90" s="60" t="n"/>
      <c r="C90" s="61" t="n"/>
      <c r="D90" s="62" t="n"/>
      <c r="E90" s="63" t="n"/>
      <c r="F90" s="64" t="n"/>
      <c r="G90" s="64" t="n"/>
      <c r="H90" s="64" t="n"/>
      <c r="I90" s="64" t="n"/>
      <c r="J90" s="65" t="n"/>
      <c r="K90" s="65" t="n"/>
      <c r="L90" s="66" t="str">
        <f>IF(X90="OK",SUMIF(bom_prod,A90,bom_cost),"")</f>
        <v/>
      </c>
      <c r="M90" s="66" t="str">
        <f>IF(X90="OK",SUMIF(gam_prod,A90,gam_mo),"")</f>
        <v/>
      </c>
      <c r="N90" s="66" t="str">
        <f>IF(X90="OK",SUMIF(gam_prod,A90,gam_mac),"")</f>
        <v/>
      </c>
      <c r="O90" s="66" t="str">
        <f>IF(X90="OK",SUMIF(gam_prod,A90,gam_setup)/D90,"")</f>
        <v/>
      </c>
      <c r="P90" s="66" t="str">
        <f>IF(X90="OK",(L90+M90+N90+O90+N(G90))*Y90,"")</f>
        <v/>
      </c>
      <c r="Q90" s="66" t="str">
        <f>IF(X90="OK",L90+M90+N90+O90+N(G90)+P90,"")</f>
        <v/>
      </c>
      <c r="R90" s="67" t="str">
        <f>IF(X90="OK",ROUND(Q90+N(H90)+N(I90)/D90,4),"")</f>
        <v/>
      </c>
      <c r="S90" s="66" t="str">
        <f>IF(X90="OK",ROUND(R90*(1+Z90),2),"")</f>
        <v/>
      </c>
      <c r="T90" s="66" t="str">
        <f>IF(AND(X90="OK",N(F90)&gt;0),F90-R90,"")</f>
        <v/>
      </c>
      <c r="U90" s="68" t="str">
        <f>IF(T90="","",IF(R90&lt;=0,"",T90/R90))</f>
        <v/>
      </c>
      <c r="V90" s="68" t="str">
        <f>IF(T90="","",T90/F90)</f>
        <v/>
      </c>
      <c r="W90" s="69" t="str">
        <f>IF(A90="","",IF(X90&lt;&gt;"OK","À corriger",IF(N(F90)&lt;=0,"Prix à saisir",IF(F90&lt;R90,"Vendu à perte",IF(F90&lt;S90,"Sous la cible","OK")))))</f>
        <v/>
      </c>
      <c r="X90" s="69" t="str">
        <f>IF(AND(A90="",COUNTA(B90:K90)=0),"",IF(A90="","Référence manquante",IF(COUNTIF($A$6:$A$305,A90)&gt;1,"Référence en double",IF(OR(NOT(ISNUMBER(D90)),N(D90)&lt;=0),"Taille de lot invalide",IF(AND(E90&lt;&gt;"",OR(NOT(ISNUMBER(E90)),N(E90)&lt;0)),"Volume annuel invalide",IF(AND(F90&lt;&gt;"",OR(NOT(ISNUMBER(F90)),N(F90)&lt;0)),"Prix de vente invalide",IF(OR(AND(G90&lt;&gt;"",OR(NOT(ISNUMBER(G90)),N(G90)&lt;0)),AND(H90&lt;&gt;"",OR(NOT(ISNUMBER(H90)),N(H90)&lt;0)),AND(I90&lt;&gt;"",OR(NOT(ISNUMBER(I90)),N(I90)&lt;0))),"Montant invalide",IF(OR(AND(J90&lt;&gt;"",OR(NOT(ISNUMBER(J90)),N(J90)&lt;0)),AND(K90&lt;&gt;"",OR(NOT(ISNUMBER(K90)),N(K90)&lt;0))),"Pourcentage invalide",IF(COUNTIF(bom_prod,A90)+COUNTIF(gam_prod,A90)=0,"Ni nomenclature ni gamme",IF(COUNTIFS(bom_prod,A90,bom_check,"&lt;&gt;OK")&gt;0,"Nomenclature à corriger",IF(COUNTIFS(gam_prod,A90,gam_check,"&lt;&gt;OK")&gt;0,"Gamme à corriger","OK")))))))))))</f>
        <v/>
      </c>
      <c r="Y90" s="70">
        <f>IF(J90="",N(p_fg),N(J90))</f>
        <v>0.15</v>
      </c>
      <c r="Z90" s="70">
        <f>IF(K90="",N(p_target),N(K90))</f>
        <v>0.25</v>
      </c>
      <c r="AA90" s="71" t="str">
        <f>IF(R90="","",IF(N(F90)&gt;0,ROUND(F90*N(E90),2),0))</f>
        <v/>
      </c>
      <c r="AB90" s="71">
        <f>IF(T90="",0,T90*N(E90))</f>
        <v>0.0</v>
      </c>
      <c r="AC90" s="71">
        <f>IF(T90="",0,R90*N(E90))</f>
        <v>0.0</v>
      </c>
      <c r="AD90" s="71">
        <f>IF(R90="",0,L90*N(E90))</f>
        <v>0.0</v>
      </c>
      <c r="AE90" s="71">
        <f>IF(R90="",0,M90*N(E90))</f>
        <v>0.0</v>
      </c>
      <c r="AF90" s="71">
        <f>IF(R90="",0,N90*N(E90))</f>
        <v>0.0</v>
      </c>
      <c r="AG90" s="71">
        <f>IF(R90="",0,O90*N(E90))</f>
        <v>0.0</v>
      </c>
      <c r="AH90" s="71">
        <f>IF(R90="",0,(N(G90)+N(H90)+N(I90)/D90)*N(E90))</f>
        <v>0.0</v>
      </c>
      <c r="AI90" s="71">
        <f>IF(R90="",0,P90*N(E90))</f>
        <v>0.0</v>
      </c>
      <c r="AJ90" s="71" t="str">
        <f>IF(AA90="","",COUNTIF(prod_ca,"&gt;"&amp;AA90)+COUNTIF(AA$6:AA90,AA90))</f>
        <v/>
      </c>
      <c r="AK90" s="71" t="str">
        <f>IF(OR(W90="Vendu à perte",W90="Sous la cible"),ROUND(U90,6),"")</f>
        <v/>
      </c>
      <c r="AL90" s="71" t="str">
        <f>IF(AK90="","",COUNTIF(prod_alk,"&lt;"&amp;AK90)+COUNTIF(AK$6:AK90,AK90))</f>
        <v/>
      </c>
    </row>
    <row r="91">
      <c r="A91" s="60" t="n"/>
      <c r="B91" s="60" t="n"/>
      <c r="C91" s="61" t="n"/>
      <c r="D91" s="62" t="n"/>
      <c r="E91" s="63" t="n"/>
      <c r="F91" s="64" t="n"/>
      <c r="G91" s="64" t="n"/>
      <c r="H91" s="64" t="n"/>
      <c r="I91" s="64" t="n"/>
      <c r="J91" s="65" t="n"/>
      <c r="K91" s="65" t="n"/>
      <c r="L91" s="66" t="str">
        <f>IF(X91="OK",SUMIF(bom_prod,A91,bom_cost),"")</f>
        <v/>
      </c>
      <c r="M91" s="66" t="str">
        <f>IF(X91="OK",SUMIF(gam_prod,A91,gam_mo),"")</f>
        <v/>
      </c>
      <c r="N91" s="66" t="str">
        <f>IF(X91="OK",SUMIF(gam_prod,A91,gam_mac),"")</f>
        <v/>
      </c>
      <c r="O91" s="66" t="str">
        <f>IF(X91="OK",SUMIF(gam_prod,A91,gam_setup)/D91,"")</f>
        <v/>
      </c>
      <c r="P91" s="66" t="str">
        <f>IF(X91="OK",(L91+M91+N91+O91+N(G91))*Y91,"")</f>
        <v/>
      </c>
      <c r="Q91" s="66" t="str">
        <f>IF(X91="OK",L91+M91+N91+O91+N(G91)+P91,"")</f>
        <v/>
      </c>
      <c r="R91" s="67" t="str">
        <f>IF(X91="OK",ROUND(Q91+N(H91)+N(I91)/D91,4),"")</f>
        <v/>
      </c>
      <c r="S91" s="66" t="str">
        <f>IF(X91="OK",ROUND(R91*(1+Z91),2),"")</f>
        <v/>
      </c>
      <c r="T91" s="66" t="str">
        <f>IF(AND(X91="OK",N(F91)&gt;0),F91-R91,"")</f>
        <v/>
      </c>
      <c r="U91" s="68" t="str">
        <f>IF(T91="","",IF(R91&lt;=0,"",T91/R91))</f>
        <v/>
      </c>
      <c r="V91" s="68" t="str">
        <f>IF(T91="","",T91/F91)</f>
        <v/>
      </c>
      <c r="W91" s="69" t="str">
        <f>IF(A91="","",IF(X91&lt;&gt;"OK","À corriger",IF(N(F91)&lt;=0,"Prix à saisir",IF(F91&lt;R91,"Vendu à perte",IF(F91&lt;S91,"Sous la cible","OK")))))</f>
        <v/>
      </c>
      <c r="X91" s="69" t="str">
        <f>IF(AND(A91="",COUNTA(B91:K91)=0),"",IF(A91="","Référence manquante",IF(COUNTIF($A$6:$A$305,A91)&gt;1,"Référence en double",IF(OR(NOT(ISNUMBER(D91)),N(D91)&lt;=0),"Taille de lot invalide",IF(AND(E91&lt;&gt;"",OR(NOT(ISNUMBER(E91)),N(E91)&lt;0)),"Volume annuel invalide",IF(AND(F91&lt;&gt;"",OR(NOT(ISNUMBER(F91)),N(F91)&lt;0)),"Prix de vente invalide",IF(OR(AND(G91&lt;&gt;"",OR(NOT(ISNUMBER(G91)),N(G91)&lt;0)),AND(H91&lt;&gt;"",OR(NOT(ISNUMBER(H91)),N(H91)&lt;0)),AND(I91&lt;&gt;"",OR(NOT(ISNUMBER(I91)),N(I91)&lt;0))),"Montant invalide",IF(OR(AND(J91&lt;&gt;"",OR(NOT(ISNUMBER(J91)),N(J91)&lt;0)),AND(K91&lt;&gt;"",OR(NOT(ISNUMBER(K91)),N(K91)&lt;0))),"Pourcentage invalide",IF(COUNTIF(bom_prod,A91)+COUNTIF(gam_prod,A91)=0,"Ni nomenclature ni gamme",IF(COUNTIFS(bom_prod,A91,bom_check,"&lt;&gt;OK")&gt;0,"Nomenclature à corriger",IF(COUNTIFS(gam_prod,A91,gam_check,"&lt;&gt;OK")&gt;0,"Gamme à corriger","OK")))))))))))</f>
        <v/>
      </c>
      <c r="Y91" s="70">
        <f>IF(J91="",N(p_fg),N(J91))</f>
        <v>0.15</v>
      </c>
      <c r="Z91" s="70">
        <f>IF(K91="",N(p_target),N(K91))</f>
        <v>0.25</v>
      </c>
      <c r="AA91" s="71" t="str">
        <f>IF(R91="","",IF(N(F91)&gt;0,ROUND(F91*N(E91),2),0))</f>
        <v/>
      </c>
      <c r="AB91" s="71">
        <f>IF(T91="",0,T91*N(E91))</f>
        <v>0.0</v>
      </c>
      <c r="AC91" s="71">
        <f>IF(T91="",0,R91*N(E91))</f>
        <v>0.0</v>
      </c>
      <c r="AD91" s="71">
        <f>IF(R91="",0,L91*N(E91))</f>
        <v>0.0</v>
      </c>
      <c r="AE91" s="71">
        <f>IF(R91="",0,M91*N(E91))</f>
        <v>0.0</v>
      </c>
      <c r="AF91" s="71">
        <f>IF(R91="",0,N91*N(E91))</f>
        <v>0.0</v>
      </c>
      <c r="AG91" s="71">
        <f>IF(R91="",0,O91*N(E91))</f>
        <v>0.0</v>
      </c>
      <c r="AH91" s="71">
        <f>IF(R91="",0,(N(G91)+N(H91)+N(I91)/D91)*N(E91))</f>
        <v>0.0</v>
      </c>
      <c r="AI91" s="71">
        <f>IF(R91="",0,P91*N(E91))</f>
        <v>0.0</v>
      </c>
      <c r="AJ91" s="71" t="str">
        <f>IF(AA91="","",COUNTIF(prod_ca,"&gt;"&amp;AA91)+COUNTIF(AA$6:AA91,AA91))</f>
        <v/>
      </c>
      <c r="AK91" s="71" t="str">
        <f>IF(OR(W91="Vendu à perte",W91="Sous la cible"),ROUND(U91,6),"")</f>
        <v/>
      </c>
      <c r="AL91" s="71" t="str">
        <f>IF(AK91="","",COUNTIF(prod_alk,"&lt;"&amp;AK91)+COUNTIF(AK$6:AK91,AK91))</f>
        <v/>
      </c>
    </row>
    <row r="92">
      <c r="A92" s="60" t="n"/>
      <c r="B92" s="60" t="n"/>
      <c r="C92" s="61" t="n"/>
      <c r="D92" s="62" t="n"/>
      <c r="E92" s="63" t="n"/>
      <c r="F92" s="64" t="n"/>
      <c r="G92" s="64" t="n"/>
      <c r="H92" s="64" t="n"/>
      <c r="I92" s="64" t="n"/>
      <c r="J92" s="65" t="n"/>
      <c r="K92" s="65" t="n"/>
      <c r="L92" s="66" t="str">
        <f>IF(X92="OK",SUMIF(bom_prod,A92,bom_cost),"")</f>
        <v/>
      </c>
      <c r="M92" s="66" t="str">
        <f>IF(X92="OK",SUMIF(gam_prod,A92,gam_mo),"")</f>
        <v/>
      </c>
      <c r="N92" s="66" t="str">
        <f>IF(X92="OK",SUMIF(gam_prod,A92,gam_mac),"")</f>
        <v/>
      </c>
      <c r="O92" s="66" t="str">
        <f>IF(X92="OK",SUMIF(gam_prod,A92,gam_setup)/D92,"")</f>
        <v/>
      </c>
      <c r="P92" s="66" t="str">
        <f>IF(X92="OK",(L92+M92+N92+O92+N(G92))*Y92,"")</f>
        <v/>
      </c>
      <c r="Q92" s="66" t="str">
        <f>IF(X92="OK",L92+M92+N92+O92+N(G92)+P92,"")</f>
        <v/>
      </c>
      <c r="R92" s="67" t="str">
        <f>IF(X92="OK",ROUND(Q92+N(H92)+N(I92)/D92,4),"")</f>
        <v/>
      </c>
      <c r="S92" s="66" t="str">
        <f>IF(X92="OK",ROUND(R92*(1+Z92),2),"")</f>
        <v/>
      </c>
      <c r="T92" s="66" t="str">
        <f>IF(AND(X92="OK",N(F92)&gt;0),F92-R92,"")</f>
        <v/>
      </c>
      <c r="U92" s="68" t="str">
        <f>IF(T92="","",IF(R92&lt;=0,"",T92/R92))</f>
        <v/>
      </c>
      <c r="V92" s="68" t="str">
        <f>IF(T92="","",T92/F92)</f>
        <v/>
      </c>
      <c r="W92" s="69" t="str">
        <f>IF(A92="","",IF(X92&lt;&gt;"OK","À corriger",IF(N(F92)&lt;=0,"Prix à saisir",IF(F92&lt;R92,"Vendu à perte",IF(F92&lt;S92,"Sous la cible","OK")))))</f>
        <v/>
      </c>
      <c r="X92" s="69" t="str">
        <f>IF(AND(A92="",COUNTA(B92:K92)=0),"",IF(A92="","Référence manquante",IF(COUNTIF($A$6:$A$305,A92)&gt;1,"Référence en double",IF(OR(NOT(ISNUMBER(D92)),N(D92)&lt;=0),"Taille de lot invalide",IF(AND(E92&lt;&gt;"",OR(NOT(ISNUMBER(E92)),N(E92)&lt;0)),"Volume annuel invalide",IF(AND(F92&lt;&gt;"",OR(NOT(ISNUMBER(F92)),N(F92)&lt;0)),"Prix de vente invalide",IF(OR(AND(G92&lt;&gt;"",OR(NOT(ISNUMBER(G92)),N(G92)&lt;0)),AND(H92&lt;&gt;"",OR(NOT(ISNUMBER(H92)),N(H92)&lt;0)),AND(I92&lt;&gt;"",OR(NOT(ISNUMBER(I92)),N(I92)&lt;0))),"Montant invalide",IF(OR(AND(J92&lt;&gt;"",OR(NOT(ISNUMBER(J92)),N(J92)&lt;0)),AND(K92&lt;&gt;"",OR(NOT(ISNUMBER(K92)),N(K92)&lt;0))),"Pourcentage invalide",IF(COUNTIF(bom_prod,A92)+COUNTIF(gam_prod,A92)=0,"Ni nomenclature ni gamme",IF(COUNTIFS(bom_prod,A92,bom_check,"&lt;&gt;OK")&gt;0,"Nomenclature à corriger",IF(COUNTIFS(gam_prod,A92,gam_check,"&lt;&gt;OK")&gt;0,"Gamme à corriger","OK")))))))))))</f>
        <v/>
      </c>
      <c r="Y92" s="70">
        <f>IF(J92="",N(p_fg),N(J92))</f>
        <v>0.15</v>
      </c>
      <c r="Z92" s="70">
        <f>IF(K92="",N(p_target),N(K92))</f>
        <v>0.25</v>
      </c>
      <c r="AA92" s="71" t="str">
        <f>IF(R92="","",IF(N(F92)&gt;0,ROUND(F92*N(E92),2),0))</f>
        <v/>
      </c>
      <c r="AB92" s="71">
        <f>IF(T92="",0,T92*N(E92))</f>
        <v>0.0</v>
      </c>
      <c r="AC92" s="71">
        <f>IF(T92="",0,R92*N(E92))</f>
        <v>0.0</v>
      </c>
      <c r="AD92" s="71">
        <f>IF(R92="",0,L92*N(E92))</f>
        <v>0.0</v>
      </c>
      <c r="AE92" s="71">
        <f>IF(R92="",0,M92*N(E92))</f>
        <v>0.0</v>
      </c>
      <c r="AF92" s="71">
        <f>IF(R92="",0,N92*N(E92))</f>
        <v>0.0</v>
      </c>
      <c r="AG92" s="71">
        <f>IF(R92="",0,O92*N(E92))</f>
        <v>0.0</v>
      </c>
      <c r="AH92" s="71">
        <f>IF(R92="",0,(N(G92)+N(H92)+N(I92)/D92)*N(E92))</f>
        <v>0.0</v>
      </c>
      <c r="AI92" s="71">
        <f>IF(R92="",0,P92*N(E92))</f>
        <v>0.0</v>
      </c>
      <c r="AJ92" s="71" t="str">
        <f>IF(AA92="","",COUNTIF(prod_ca,"&gt;"&amp;AA92)+COUNTIF(AA$6:AA92,AA92))</f>
        <v/>
      </c>
      <c r="AK92" s="71" t="str">
        <f>IF(OR(W92="Vendu à perte",W92="Sous la cible"),ROUND(U92,6),"")</f>
        <v/>
      </c>
      <c r="AL92" s="71" t="str">
        <f>IF(AK92="","",COUNTIF(prod_alk,"&lt;"&amp;AK92)+COUNTIF(AK$6:AK92,AK92))</f>
        <v/>
      </c>
    </row>
    <row r="93">
      <c r="A93" s="60" t="n"/>
      <c r="B93" s="60" t="n"/>
      <c r="C93" s="61" t="n"/>
      <c r="D93" s="62" t="n"/>
      <c r="E93" s="63" t="n"/>
      <c r="F93" s="64" t="n"/>
      <c r="G93" s="64" t="n"/>
      <c r="H93" s="64" t="n"/>
      <c r="I93" s="64" t="n"/>
      <c r="J93" s="65" t="n"/>
      <c r="K93" s="65" t="n"/>
      <c r="L93" s="66" t="str">
        <f>IF(X93="OK",SUMIF(bom_prod,A93,bom_cost),"")</f>
        <v/>
      </c>
      <c r="M93" s="66" t="str">
        <f>IF(X93="OK",SUMIF(gam_prod,A93,gam_mo),"")</f>
        <v/>
      </c>
      <c r="N93" s="66" t="str">
        <f>IF(X93="OK",SUMIF(gam_prod,A93,gam_mac),"")</f>
        <v/>
      </c>
      <c r="O93" s="66" t="str">
        <f>IF(X93="OK",SUMIF(gam_prod,A93,gam_setup)/D93,"")</f>
        <v/>
      </c>
      <c r="P93" s="66" t="str">
        <f>IF(X93="OK",(L93+M93+N93+O93+N(G93))*Y93,"")</f>
        <v/>
      </c>
      <c r="Q93" s="66" t="str">
        <f>IF(X93="OK",L93+M93+N93+O93+N(G93)+P93,"")</f>
        <v/>
      </c>
      <c r="R93" s="67" t="str">
        <f>IF(X93="OK",ROUND(Q93+N(H93)+N(I93)/D93,4),"")</f>
        <v/>
      </c>
      <c r="S93" s="66" t="str">
        <f>IF(X93="OK",ROUND(R93*(1+Z93),2),"")</f>
        <v/>
      </c>
      <c r="T93" s="66" t="str">
        <f>IF(AND(X93="OK",N(F93)&gt;0),F93-R93,"")</f>
        <v/>
      </c>
      <c r="U93" s="68" t="str">
        <f>IF(T93="","",IF(R93&lt;=0,"",T93/R93))</f>
        <v/>
      </c>
      <c r="V93" s="68" t="str">
        <f>IF(T93="","",T93/F93)</f>
        <v/>
      </c>
      <c r="W93" s="69" t="str">
        <f>IF(A93="","",IF(X93&lt;&gt;"OK","À corriger",IF(N(F93)&lt;=0,"Prix à saisir",IF(F93&lt;R93,"Vendu à perte",IF(F93&lt;S93,"Sous la cible","OK")))))</f>
        <v/>
      </c>
      <c r="X93" s="69" t="str">
        <f>IF(AND(A93="",COUNTA(B93:K93)=0),"",IF(A93="","Référence manquante",IF(COUNTIF($A$6:$A$305,A93)&gt;1,"Référence en double",IF(OR(NOT(ISNUMBER(D93)),N(D93)&lt;=0),"Taille de lot invalide",IF(AND(E93&lt;&gt;"",OR(NOT(ISNUMBER(E93)),N(E93)&lt;0)),"Volume annuel invalide",IF(AND(F93&lt;&gt;"",OR(NOT(ISNUMBER(F93)),N(F93)&lt;0)),"Prix de vente invalide",IF(OR(AND(G93&lt;&gt;"",OR(NOT(ISNUMBER(G93)),N(G93)&lt;0)),AND(H93&lt;&gt;"",OR(NOT(ISNUMBER(H93)),N(H93)&lt;0)),AND(I93&lt;&gt;"",OR(NOT(ISNUMBER(I93)),N(I93)&lt;0))),"Montant invalide",IF(OR(AND(J93&lt;&gt;"",OR(NOT(ISNUMBER(J93)),N(J93)&lt;0)),AND(K93&lt;&gt;"",OR(NOT(ISNUMBER(K93)),N(K93)&lt;0))),"Pourcentage invalide",IF(COUNTIF(bom_prod,A93)+COUNTIF(gam_prod,A93)=0,"Ni nomenclature ni gamme",IF(COUNTIFS(bom_prod,A93,bom_check,"&lt;&gt;OK")&gt;0,"Nomenclature à corriger",IF(COUNTIFS(gam_prod,A93,gam_check,"&lt;&gt;OK")&gt;0,"Gamme à corriger","OK")))))))))))</f>
        <v/>
      </c>
      <c r="Y93" s="70">
        <f>IF(J93="",N(p_fg),N(J93))</f>
        <v>0.15</v>
      </c>
      <c r="Z93" s="70">
        <f>IF(K93="",N(p_target),N(K93))</f>
        <v>0.25</v>
      </c>
      <c r="AA93" s="71" t="str">
        <f>IF(R93="","",IF(N(F93)&gt;0,ROUND(F93*N(E93),2),0))</f>
        <v/>
      </c>
      <c r="AB93" s="71">
        <f>IF(T93="",0,T93*N(E93))</f>
        <v>0.0</v>
      </c>
      <c r="AC93" s="71">
        <f>IF(T93="",0,R93*N(E93))</f>
        <v>0.0</v>
      </c>
      <c r="AD93" s="71">
        <f>IF(R93="",0,L93*N(E93))</f>
        <v>0.0</v>
      </c>
      <c r="AE93" s="71">
        <f>IF(R93="",0,M93*N(E93))</f>
        <v>0.0</v>
      </c>
      <c r="AF93" s="71">
        <f>IF(R93="",0,N93*N(E93))</f>
        <v>0.0</v>
      </c>
      <c r="AG93" s="71">
        <f>IF(R93="",0,O93*N(E93))</f>
        <v>0.0</v>
      </c>
      <c r="AH93" s="71">
        <f>IF(R93="",0,(N(G93)+N(H93)+N(I93)/D93)*N(E93))</f>
        <v>0.0</v>
      </c>
      <c r="AI93" s="71">
        <f>IF(R93="",0,P93*N(E93))</f>
        <v>0.0</v>
      </c>
      <c r="AJ93" s="71" t="str">
        <f>IF(AA93="","",COUNTIF(prod_ca,"&gt;"&amp;AA93)+COUNTIF(AA$6:AA93,AA93))</f>
        <v/>
      </c>
      <c r="AK93" s="71" t="str">
        <f>IF(OR(W93="Vendu à perte",W93="Sous la cible"),ROUND(U93,6),"")</f>
        <v/>
      </c>
      <c r="AL93" s="71" t="str">
        <f>IF(AK93="","",COUNTIF(prod_alk,"&lt;"&amp;AK93)+COUNTIF(AK$6:AK93,AK93))</f>
        <v/>
      </c>
    </row>
    <row r="94">
      <c r="A94" s="60" t="n"/>
      <c r="B94" s="60" t="n"/>
      <c r="C94" s="61" t="n"/>
      <c r="D94" s="62" t="n"/>
      <c r="E94" s="63" t="n"/>
      <c r="F94" s="64" t="n"/>
      <c r="G94" s="64" t="n"/>
      <c r="H94" s="64" t="n"/>
      <c r="I94" s="64" t="n"/>
      <c r="J94" s="65" t="n"/>
      <c r="K94" s="65" t="n"/>
      <c r="L94" s="66" t="str">
        <f>IF(X94="OK",SUMIF(bom_prod,A94,bom_cost),"")</f>
        <v/>
      </c>
      <c r="M94" s="66" t="str">
        <f>IF(X94="OK",SUMIF(gam_prod,A94,gam_mo),"")</f>
        <v/>
      </c>
      <c r="N94" s="66" t="str">
        <f>IF(X94="OK",SUMIF(gam_prod,A94,gam_mac),"")</f>
        <v/>
      </c>
      <c r="O94" s="66" t="str">
        <f>IF(X94="OK",SUMIF(gam_prod,A94,gam_setup)/D94,"")</f>
        <v/>
      </c>
      <c r="P94" s="66" t="str">
        <f>IF(X94="OK",(L94+M94+N94+O94+N(G94))*Y94,"")</f>
        <v/>
      </c>
      <c r="Q94" s="66" t="str">
        <f>IF(X94="OK",L94+M94+N94+O94+N(G94)+P94,"")</f>
        <v/>
      </c>
      <c r="R94" s="67" t="str">
        <f>IF(X94="OK",ROUND(Q94+N(H94)+N(I94)/D94,4),"")</f>
        <v/>
      </c>
      <c r="S94" s="66" t="str">
        <f>IF(X94="OK",ROUND(R94*(1+Z94),2),"")</f>
        <v/>
      </c>
      <c r="T94" s="66" t="str">
        <f>IF(AND(X94="OK",N(F94)&gt;0),F94-R94,"")</f>
        <v/>
      </c>
      <c r="U94" s="68" t="str">
        <f>IF(T94="","",IF(R94&lt;=0,"",T94/R94))</f>
        <v/>
      </c>
      <c r="V94" s="68" t="str">
        <f>IF(T94="","",T94/F94)</f>
        <v/>
      </c>
      <c r="W94" s="69" t="str">
        <f>IF(A94="","",IF(X94&lt;&gt;"OK","À corriger",IF(N(F94)&lt;=0,"Prix à saisir",IF(F94&lt;R94,"Vendu à perte",IF(F94&lt;S94,"Sous la cible","OK")))))</f>
        <v/>
      </c>
      <c r="X94" s="69" t="str">
        <f>IF(AND(A94="",COUNTA(B94:K94)=0),"",IF(A94="","Référence manquante",IF(COUNTIF($A$6:$A$305,A94)&gt;1,"Référence en double",IF(OR(NOT(ISNUMBER(D94)),N(D94)&lt;=0),"Taille de lot invalide",IF(AND(E94&lt;&gt;"",OR(NOT(ISNUMBER(E94)),N(E94)&lt;0)),"Volume annuel invalide",IF(AND(F94&lt;&gt;"",OR(NOT(ISNUMBER(F94)),N(F94)&lt;0)),"Prix de vente invalide",IF(OR(AND(G94&lt;&gt;"",OR(NOT(ISNUMBER(G94)),N(G94)&lt;0)),AND(H94&lt;&gt;"",OR(NOT(ISNUMBER(H94)),N(H94)&lt;0)),AND(I94&lt;&gt;"",OR(NOT(ISNUMBER(I94)),N(I94)&lt;0))),"Montant invalide",IF(OR(AND(J94&lt;&gt;"",OR(NOT(ISNUMBER(J94)),N(J94)&lt;0)),AND(K94&lt;&gt;"",OR(NOT(ISNUMBER(K94)),N(K94)&lt;0))),"Pourcentage invalide",IF(COUNTIF(bom_prod,A94)+COUNTIF(gam_prod,A94)=0,"Ni nomenclature ni gamme",IF(COUNTIFS(bom_prod,A94,bom_check,"&lt;&gt;OK")&gt;0,"Nomenclature à corriger",IF(COUNTIFS(gam_prod,A94,gam_check,"&lt;&gt;OK")&gt;0,"Gamme à corriger","OK")))))))))))</f>
        <v/>
      </c>
      <c r="Y94" s="70">
        <f>IF(J94="",N(p_fg),N(J94))</f>
        <v>0.15</v>
      </c>
      <c r="Z94" s="70">
        <f>IF(K94="",N(p_target),N(K94))</f>
        <v>0.25</v>
      </c>
      <c r="AA94" s="71" t="str">
        <f>IF(R94="","",IF(N(F94)&gt;0,ROUND(F94*N(E94),2),0))</f>
        <v/>
      </c>
      <c r="AB94" s="71">
        <f>IF(T94="",0,T94*N(E94))</f>
        <v>0.0</v>
      </c>
      <c r="AC94" s="71">
        <f>IF(T94="",0,R94*N(E94))</f>
        <v>0.0</v>
      </c>
      <c r="AD94" s="71">
        <f>IF(R94="",0,L94*N(E94))</f>
        <v>0.0</v>
      </c>
      <c r="AE94" s="71">
        <f>IF(R94="",0,M94*N(E94))</f>
        <v>0.0</v>
      </c>
      <c r="AF94" s="71">
        <f>IF(R94="",0,N94*N(E94))</f>
        <v>0.0</v>
      </c>
      <c r="AG94" s="71">
        <f>IF(R94="",0,O94*N(E94))</f>
        <v>0.0</v>
      </c>
      <c r="AH94" s="71">
        <f>IF(R94="",0,(N(G94)+N(H94)+N(I94)/D94)*N(E94))</f>
        <v>0.0</v>
      </c>
      <c r="AI94" s="71">
        <f>IF(R94="",0,P94*N(E94))</f>
        <v>0.0</v>
      </c>
      <c r="AJ94" s="71" t="str">
        <f>IF(AA94="","",COUNTIF(prod_ca,"&gt;"&amp;AA94)+COUNTIF(AA$6:AA94,AA94))</f>
        <v/>
      </c>
      <c r="AK94" s="71" t="str">
        <f>IF(OR(W94="Vendu à perte",W94="Sous la cible"),ROUND(U94,6),"")</f>
        <v/>
      </c>
      <c r="AL94" s="71" t="str">
        <f>IF(AK94="","",COUNTIF(prod_alk,"&lt;"&amp;AK94)+COUNTIF(AK$6:AK94,AK94))</f>
        <v/>
      </c>
    </row>
    <row r="95">
      <c r="A95" s="60" t="n"/>
      <c r="B95" s="60" t="n"/>
      <c r="C95" s="61" t="n"/>
      <c r="D95" s="62" t="n"/>
      <c r="E95" s="63" t="n"/>
      <c r="F95" s="64" t="n"/>
      <c r="G95" s="64" t="n"/>
      <c r="H95" s="64" t="n"/>
      <c r="I95" s="64" t="n"/>
      <c r="J95" s="65" t="n"/>
      <c r="K95" s="65" t="n"/>
      <c r="L95" s="66" t="str">
        <f>IF(X95="OK",SUMIF(bom_prod,A95,bom_cost),"")</f>
        <v/>
      </c>
      <c r="M95" s="66" t="str">
        <f>IF(X95="OK",SUMIF(gam_prod,A95,gam_mo),"")</f>
        <v/>
      </c>
      <c r="N95" s="66" t="str">
        <f>IF(X95="OK",SUMIF(gam_prod,A95,gam_mac),"")</f>
        <v/>
      </c>
      <c r="O95" s="66" t="str">
        <f>IF(X95="OK",SUMIF(gam_prod,A95,gam_setup)/D95,"")</f>
        <v/>
      </c>
      <c r="P95" s="66" t="str">
        <f>IF(X95="OK",(L95+M95+N95+O95+N(G95))*Y95,"")</f>
        <v/>
      </c>
      <c r="Q95" s="66" t="str">
        <f>IF(X95="OK",L95+M95+N95+O95+N(G95)+P95,"")</f>
        <v/>
      </c>
      <c r="R95" s="67" t="str">
        <f>IF(X95="OK",ROUND(Q95+N(H95)+N(I95)/D95,4),"")</f>
        <v/>
      </c>
      <c r="S95" s="66" t="str">
        <f>IF(X95="OK",ROUND(R95*(1+Z95),2),"")</f>
        <v/>
      </c>
      <c r="T95" s="66" t="str">
        <f>IF(AND(X95="OK",N(F95)&gt;0),F95-R95,"")</f>
        <v/>
      </c>
      <c r="U95" s="68" t="str">
        <f>IF(T95="","",IF(R95&lt;=0,"",T95/R95))</f>
        <v/>
      </c>
      <c r="V95" s="68" t="str">
        <f>IF(T95="","",T95/F95)</f>
        <v/>
      </c>
      <c r="W95" s="69" t="str">
        <f>IF(A95="","",IF(X95&lt;&gt;"OK","À corriger",IF(N(F95)&lt;=0,"Prix à saisir",IF(F95&lt;R95,"Vendu à perte",IF(F95&lt;S95,"Sous la cible","OK")))))</f>
        <v/>
      </c>
      <c r="X95" s="69" t="str">
        <f>IF(AND(A95="",COUNTA(B95:K95)=0),"",IF(A95="","Référence manquante",IF(COUNTIF($A$6:$A$305,A95)&gt;1,"Référence en double",IF(OR(NOT(ISNUMBER(D95)),N(D95)&lt;=0),"Taille de lot invalide",IF(AND(E95&lt;&gt;"",OR(NOT(ISNUMBER(E95)),N(E95)&lt;0)),"Volume annuel invalide",IF(AND(F95&lt;&gt;"",OR(NOT(ISNUMBER(F95)),N(F95)&lt;0)),"Prix de vente invalide",IF(OR(AND(G95&lt;&gt;"",OR(NOT(ISNUMBER(G95)),N(G95)&lt;0)),AND(H95&lt;&gt;"",OR(NOT(ISNUMBER(H95)),N(H95)&lt;0)),AND(I95&lt;&gt;"",OR(NOT(ISNUMBER(I95)),N(I95)&lt;0))),"Montant invalide",IF(OR(AND(J95&lt;&gt;"",OR(NOT(ISNUMBER(J95)),N(J95)&lt;0)),AND(K95&lt;&gt;"",OR(NOT(ISNUMBER(K95)),N(K95)&lt;0))),"Pourcentage invalide",IF(COUNTIF(bom_prod,A95)+COUNTIF(gam_prod,A95)=0,"Ni nomenclature ni gamme",IF(COUNTIFS(bom_prod,A95,bom_check,"&lt;&gt;OK")&gt;0,"Nomenclature à corriger",IF(COUNTIFS(gam_prod,A95,gam_check,"&lt;&gt;OK")&gt;0,"Gamme à corriger","OK")))))))))))</f>
        <v/>
      </c>
      <c r="Y95" s="70">
        <f>IF(J95="",N(p_fg),N(J95))</f>
        <v>0.15</v>
      </c>
      <c r="Z95" s="70">
        <f>IF(K95="",N(p_target),N(K95))</f>
        <v>0.25</v>
      </c>
      <c r="AA95" s="71" t="str">
        <f>IF(R95="","",IF(N(F95)&gt;0,ROUND(F95*N(E95),2),0))</f>
        <v/>
      </c>
      <c r="AB95" s="71">
        <f>IF(T95="",0,T95*N(E95))</f>
        <v>0.0</v>
      </c>
      <c r="AC95" s="71">
        <f>IF(T95="",0,R95*N(E95))</f>
        <v>0.0</v>
      </c>
      <c r="AD95" s="71">
        <f>IF(R95="",0,L95*N(E95))</f>
        <v>0.0</v>
      </c>
      <c r="AE95" s="71">
        <f>IF(R95="",0,M95*N(E95))</f>
        <v>0.0</v>
      </c>
      <c r="AF95" s="71">
        <f>IF(R95="",0,N95*N(E95))</f>
        <v>0.0</v>
      </c>
      <c r="AG95" s="71">
        <f>IF(R95="",0,O95*N(E95))</f>
        <v>0.0</v>
      </c>
      <c r="AH95" s="71">
        <f>IF(R95="",0,(N(G95)+N(H95)+N(I95)/D95)*N(E95))</f>
        <v>0.0</v>
      </c>
      <c r="AI95" s="71">
        <f>IF(R95="",0,P95*N(E95))</f>
        <v>0.0</v>
      </c>
      <c r="AJ95" s="71" t="str">
        <f>IF(AA95="","",COUNTIF(prod_ca,"&gt;"&amp;AA95)+COUNTIF(AA$6:AA95,AA95))</f>
        <v/>
      </c>
      <c r="AK95" s="71" t="str">
        <f>IF(OR(W95="Vendu à perte",W95="Sous la cible"),ROUND(U95,6),"")</f>
        <v/>
      </c>
      <c r="AL95" s="71" t="str">
        <f>IF(AK95="","",COUNTIF(prod_alk,"&lt;"&amp;AK95)+COUNTIF(AK$6:AK95,AK95))</f>
        <v/>
      </c>
    </row>
    <row r="96">
      <c r="A96" s="60" t="n"/>
      <c r="B96" s="60" t="n"/>
      <c r="C96" s="61" t="n"/>
      <c r="D96" s="62" t="n"/>
      <c r="E96" s="63" t="n"/>
      <c r="F96" s="64" t="n"/>
      <c r="G96" s="64" t="n"/>
      <c r="H96" s="64" t="n"/>
      <c r="I96" s="64" t="n"/>
      <c r="J96" s="65" t="n"/>
      <c r="K96" s="65" t="n"/>
      <c r="L96" s="66" t="str">
        <f>IF(X96="OK",SUMIF(bom_prod,A96,bom_cost),"")</f>
        <v/>
      </c>
      <c r="M96" s="66" t="str">
        <f>IF(X96="OK",SUMIF(gam_prod,A96,gam_mo),"")</f>
        <v/>
      </c>
      <c r="N96" s="66" t="str">
        <f>IF(X96="OK",SUMIF(gam_prod,A96,gam_mac),"")</f>
        <v/>
      </c>
      <c r="O96" s="66" t="str">
        <f>IF(X96="OK",SUMIF(gam_prod,A96,gam_setup)/D96,"")</f>
        <v/>
      </c>
      <c r="P96" s="66" t="str">
        <f>IF(X96="OK",(L96+M96+N96+O96+N(G96))*Y96,"")</f>
        <v/>
      </c>
      <c r="Q96" s="66" t="str">
        <f>IF(X96="OK",L96+M96+N96+O96+N(G96)+P96,"")</f>
        <v/>
      </c>
      <c r="R96" s="67" t="str">
        <f>IF(X96="OK",ROUND(Q96+N(H96)+N(I96)/D96,4),"")</f>
        <v/>
      </c>
      <c r="S96" s="66" t="str">
        <f>IF(X96="OK",ROUND(R96*(1+Z96),2),"")</f>
        <v/>
      </c>
      <c r="T96" s="66" t="str">
        <f>IF(AND(X96="OK",N(F96)&gt;0),F96-R96,"")</f>
        <v/>
      </c>
      <c r="U96" s="68" t="str">
        <f>IF(T96="","",IF(R96&lt;=0,"",T96/R96))</f>
        <v/>
      </c>
      <c r="V96" s="68" t="str">
        <f>IF(T96="","",T96/F96)</f>
        <v/>
      </c>
      <c r="W96" s="69" t="str">
        <f>IF(A96="","",IF(X96&lt;&gt;"OK","À corriger",IF(N(F96)&lt;=0,"Prix à saisir",IF(F96&lt;R96,"Vendu à perte",IF(F96&lt;S96,"Sous la cible","OK")))))</f>
        <v/>
      </c>
      <c r="X96" s="69" t="str">
        <f>IF(AND(A96="",COUNTA(B96:K96)=0),"",IF(A96="","Référence manquante",IF(COUNTIF($A$6:$A$305,A96)&gt;1,"Référence en double",IF(OR(NOT(ISNUMBER(D96)),N(D96)&lt;=0),"Taille de lot invalide",IF(AND(E96&lt;&gt;"",OR(NOT(ISNUMBER(E96)),N(E96)&lt;0)),"Volume annuel invalide",IF(AND(F96&lt;&gt;"",OR(NOT(ISNUMBER(F96)),N(F96)&lt;0)),"Prix de vente invalide",IF(OR(AND(G96&lt;&gt;"",OR(NOT(ISNUMBER(G96)),N(G96)&lt;0)),AND(H96&lt;&gt;"",OR(NOT(ISNUMBER(H96)),N(H96)&lt;0)),AND(I96&lt;&gt;"",OR(NOT(ISNUMBER(I96)),N(I96)&lt;0))),"Montant invalide",IF(OR(AND(J96&lt;&gt;"",OR(NOT(ISNUMBER(J96)),N(J96)&lt;0)),AND(K96&lt;&gt;"",OR(NOT(ISNUMBER(K96)),N(K96)&lt;0))),"Pourcentage invalide",IF(COUNTIF(bom_prod,A96)+COUNTIF(gam_prod,A96)=0,"Ni nomenclature ni gamme",IF(COUNTIFS(bom_prod,A96,bom_check,"&lt;&gt;OK")&gt;0,"Nomenclature à corriger",IF(COUNTIFS(gam_prod,A96,gam_check,"&lt;&gt;OK")&gt;0,"Gamme à corriger","OK")))))))))))</f>
        <v/>
      </c>
      <c r="Y96" s="70">
        <f>IF(J96="",N(p_fg),N(J96))</f>
        <v>0.15</v>
      </c>
      <c r="Z96" s="70">
        <f>IF(K96="",N(p_target),N(K96))</f>
        <v>0.25</v>
      </c>
      <c r="AA96" s="71" t="str">
        <f>IF(R96="","",IF(N(F96)&gt;0,ROUND(F96*N(E96),2),0))</f>
        <v/>
      </c>
      <c r="AB96" s="71">
        <f>IF(T96="",0,T96*N(E96))</f>
        <v>0.0</v>
      </c>
      <c r="AC96" s="71">
        <f>IF(T96="",0,R96*N(E96))</f>
        <v>0.0</v>
      </c>
      <c r="AD96" s="71">
        <f>IF(R96="",0,L96*N(E96))</f>
        <v>0.0</v>
      </c>
      <c r="AE96" s="71">
        <f>IF(R96="",0,M96*N(E96))</f>
        <v>0.0</v>
      </c>
      <c r="AF96" s="71">
        <f>IF(R96="",0,N96*N(E96))</f>
        <v>0.0</v>
      </c>
      <c r="AG96" s="71">
        <f>IF(R96="",0,O96*N(E96))</f>
        <v>0.0</v>
      </c>
      <c r="AH96" s="71">
        <f>IF(R96="",0,(N(G96)+N(H96)+N(I96)/D96)*N(E96))</f>
        <v>0.0</v>
      </c>
      <c r="AI96" s="71">
        <f>IF(R96="",0,P96*N(E96))</f>
        <v>0.0</v>
      </c>
      <c r="AJ96" s="71" t="str">
        <f>IF(AA96="","",COUNTIF(prod_ca,"&gt;"&amp;AA96)+COUNTIF(AA$6:AA96,AA96))</f>
        <v/>
      </c>
      <c r="AK96" s="71" t="str">
        <f>IF(OR(W96="Vendu à perte",W96="Sous la cible"),ROUND(U96,6),"")</f>
        <v/>
      </c>
      <c r="AL96" s="71" t="str">
        <f>IF(AK96="","",COUNTIF(prod_alk,"&lt;"&amp;AK96)+COUNTIF(AK$6:AK96,AK96))</f>
        <v/>
      </c>
    </row>
    <row r="97">
      <c r="A97" s="60" t="n"/>
      <c r="B97" s="60" t="n"/>
      <c r="C97" s="61" t="n"/>
      <c r="D97" s="62" t="n"/>
      <c r="E97" s="63" t="n"/>
      <c r="F97" s="64" t="n"/>
      <c r="G97" s="64" t="n"/>
      <c r="H97" s="64" t="n"/>
      <c r="I97" s="64" t="n"/>
      <c r="J97" s="65" t="n"/>
      <c r="K97" s="65" t="n"/>
      <c r="L97" s="66" t="str">
        <f>IF(X97="OK",SUMIF(bom_prod,A97,bom_cost),"")</f>
        <v/>
      </c>
      <c r="M97" s="66" t="str">
        <f>IF(X97="OK",SUMIF(gam_prod,A97,gam_mo),"")</f>
        <v/>
      </c>
      <c r="N97" s="66" t="str">
        <f>IF(X97="OK",SUMIF(gam_prod,A97,gam_mac),"")</f>
        <v/>
      </c>
      <c r="O97" s="66" t="str">
        <f>IF(X97="OK",SUMIF(gam_prod,A97,gam_setup)/D97,"")</f>
        <v/>
      </c>
      <c r="P97" s="66" t="str">
        <f>IF(X97="OK",(L97+M97+N97+O97+N(G97))*Y97,"")</f>
        <v/>
      </c>
      <c r="Q97" s="66" t="str">
        <f>IF(X97="OK",L97+M97+N97+O97+N(G97)+P97,"")</f>
        <v/>
      </c>
      <c r="R97" s="67" t="str">
        <f>IF(X97="OK",ROUND(Q97+N(H97)+N(I97)/D97,4),"")</f>
        <v/>
      </c>
      <c r="S97" s="66" t="str">
        <f>IF(X97="OK",ROUND(R97*(1+Z97),2),"")</f>
        <v/>
      </c>
      <c r="T97" s="66" t="str">
        <f>IF(AND(X97="OK",N(F97)&gt;0),F97-R97,"")</f>
        <v/>
      </c>
      <c r="U97" s="68" t="str">
        <f>IF(T97="","",IF(R97&lt;=0,"",T97/R97))</f>
        <v/>
      </c>
      <c r="V97" s="68" t="str">
        <f>IF(T97="","",T97/F97)</f>
        <v/>
      </c>
      <c r="W97" s="69" t="str">
        <f>IF(A97="","",IF(X97&lt;&gt;"OK","À corriger",IF(N(F97)&lt;=0,"Prix à saisir",IF(F97&lt;R97,"Vendu à perte",IF(F97&lt;S97,"Sous la cible","OK")))))</f>
        <v/>
      </c>
      <c r="X97" s="69" t="str">
        <f>IF(AND(A97="",COUNTA(B97:K97)=0),"",IF(A97="","Référence manquante",IF(COUNTIF($A$6:$A$305,A97)&gt;1,"Référence en double",IF(OR(NOT(ISNUMBER(D97)),N(D97)&lt;=0),"Taille de lot invalide",IF(AND(E97&lt;&gt;"",OR(NOT(ISNUMBER(E97)),N(E97)&lt;0)),"Volume annuel invalide",IF(AND(F97&lt;&gt;"",OR(NOT(ISNUMBER(F97)),N(F97)&lt;0)),"Prix de vente invalide",IF(OR(AND(G97&lt;&gt;"",OR(NOT(ISNUMBER(G97)),N(G97)&lt;0)),AND(H97&lt;&gt;"",OR(NOT(ISNUMBER(H97)),N(H97)&lt;0)),AND(I97&lt;&gt;"",OR(NOT(ISNUMBER(I97)),N(I97)&lt;0))),"Montant invalide",IF(OR(AND(J97&lt;&gt;"",OR(NOT(ISNUMBER(J97)),N(J97)&lt;0)),AND(K97&lt;&gt;"",OR(NOT(ISNUMBER(K97)),N(K97)&lt;0))),"Pourcentage invalide",IF(COUNTIF(bom_prod,A97)+COUNTIF(gam_prod,A97)=0,"Ni nomenclature ni gamme",IF(COUNTIFS(bom_prod,A97,bom_check,"&lt;&gt;OK")&gt;0,"Nomenclature à corriger",IF(COUNTIFS(gam_prod,A97,gam_check,"&lt;&gt;OK")&gt;0,"Gamme à corriger","OK")))))))))))</f>
        <v/>
      </c>
      <c r="Y97" s="70">
        <f>IF(J97="",N(p_fg),N(J97))</f>
        <v>0.15</v>
      </c>
      <c r="Z97" s="70">
        <f>IF(K97="",N(p_target),N(K97))</f>
        <v>0.25</v>
      </c>
      <c r="AA97" s="71" t="str">
        <f>IF(R97="","",IF(N(F97)&gt;0,ROUND(F97*N(E97),2),0))</f>
        <v/>
      </c>
      <c r="AB97" s="71">
        <f>IF(T97="",0,T97*N(E97))</f>
        <v>0.0</v>
      </c>
      <c r="AC97" s="71">
        <f>IF(T97="",0,R97*N(E97))</f>
        <v>0.0</v>
      </c>
      <c r="AD97" s="71">
        <f>IF(R97="",0,L97*N(E97))</f>
        <v>0.0</v>
      </c>
      <c r="AE97" s="71">
        <f>IF(R97="",0,M97*N(E97))</f>
        <v>0.0</v>
      </c>
      <c r="AF97" s="71">
        <f>IF(R97="",0,N97*N(E97))</f>
        <v>0.0</v>
      </c>
      <c r="AG97" s="71">
        <f>IF(R97="",0,O97*N(E97))</f>
        <v>0.0</v>
      </c>
      <c r="AH97" s="71">
        <f>IF(R97="",0,(N(G97)+N(H97)+N(I97)/D97)*N(E97))</f>
        <v>0.0</v>
      </c>
      <c r="AI97" s="71">
        <f>IF(R97="",0,P97*N(E97))</f>
        <v>0.0</v>
      </c>
      <c r="AJ97" s="71" t="str">
        <f>IF(AA97="","",COUNTIF(prod_ca,"&gt;"&amp;AA97)+COUNTIF(AA$6:AA97,AA97))</f>
        <v/>
      </c>
      <c r="AK97" s="71" t="str">
        <f>IF(OR(W97="Vendu à perte",W97="Sous la cible"),ROUND(U97,6),"")</f>
        <v/>
      </c>
      <c r="AL97" s="71" t="str">
        <f>IF(AK97="","",COUNTIF(prod_alk,"&lt;"&amp;AK97)+COUNTIF(AK$6:AK97,AK97))</f>
        <v/>
      </c>
    </row>
    <row r="98">
      <c r="A98" s="60" t="n"/>
      <c r="B98" s="60" t="n"/>
      <c r="C98" s="61" t="n"/>
      <c r="D98" s="62" t="n"/>
      <c r="E98" s="63" t="n"/>
      <c r="F98" s="64" t="n"/>
      <c r="G98" s="64" t="n"/>
      <c r="H98" s="64" t="n"/>
      <c r="I98" s="64" t="n"/>
      <c r="J98" s="65" t="n"/>
      <c r="K98" s="65" t="n"/>
      <c r="L98" s="66" t="str">
        <f>IF(X98="OK",SUMIF(bom_prod,A98,bom_cost),"")</f>
        <v/>
      </c>
      <c r="M98" s="66" t="str">
        <f>IF(X98="OK",SUMIF(gam_prod,A98,gam_mo),"")</f>
        <v/>
      </c>
      <c r="N98" s="66" t="str">
        <f>IF(X98="OK",SUMIF(gam_prod,A98,gam_mac),"")</f>
        <v/>
      </c>
      <c r="O98" s="66" t="str">
        <f>IF(X98="OK",SUMIF(gam_prod,A98,gam_setup)/D98,"")</f>
        <v/>
      </c>
      <c r="P98" s="66" t="str">
        <f>IF(X98="OK",(L98+M98+N98+O98+N(G98))*Y98,"")</f>
        <v/>
      </c>
      <c r="Q98" s="66" t="str">
        <f>IF(X98="OK",L98+M98+N98+O98+N(G98)+P98,"")</f>
        <v/>
      </c>
      <c r="R98" s="67" t="str">
        <f>IF(X98="OK",ROUND(Q98+N(H98)+N(I98)/D98,4),"")</f>
        <v/>
      </c>
      <c r="S98" s="66" t="str">
        <f>IF(X98="OK",ROUND(R98*(1+Z98),2),"")</f>
        <v/>
      </c>
      <c r="T98" s="66" t="str">
        <f>IF(AND(X98="OK",N(F98)&gt;0),F98-R98,"")</f>
        <v/>
      </c>
      <c r="U98" s="68" t="str">
        <f>IF(T98="","",IF(R98&lt;=0,"",T98/R98))</f>
        <v/>
      </c>
      <c r="V98" s="68" t="str">
        <f>IF(T98="","",T98/F98)</f>
        <v/>
      </c>
      <c r="W98" s="69" t="str">
        <f>IF(A98="","",IF(X98&lt;&gt;"OK","À corriger",IF(N(F98)&lt;=0,"Prix à saisir",IF(F98&lt;R98,"Vendu à perte",IF(F98&lt;S98,"Sous la cible","OK")))))</f>
        <v/>
      </c>
      <c r="X98" s="69" t="str">
        <f>IF(AND(A98="",COUNTA(B98:K98)=0),"",IF(A98="","Référence manquante",IF(COUNTIF($A$6:$A$305,A98)&gt;1,"Référence en double",IF(OR(NOT(ISNUMBER(D98)),N(D98)&lt;=0),"Taille de lot invalide",IF(AND(E98&lt;&gt;"",OR(NOT(ISNUMBER(E98)),N(E98)&lt;0)),"Volume annuel invalide",IF(AND(F98&lt;&gt;"",OR(NOT(ISNUMBER(F98)),N(F98)&lt;0)),"Prix de vente invalide",IF(OR(AND(G98&lt;&gt;"",OR(NOT(ISNUMBER(G98)),N(G98)&lt;0)),AND(H98&lt;&gt;"",OR(NOT(ISNUMBER(H98)),N(H98)&lt;0)),AND(I98&lt;&gt;"",OR(NOT(ISNUMBER(I98)),N(I98)&lt;0))),"Montant invalide",IF(OR(AND(J98&lt;&gt;"",OR(NOT(ISNUMBER(J98)),N(J98)&lt;0)),AND(K98&lt;&gt;"",OR(NOT(ISNUMBER(K98)),N(K98)&lt;0))),"Pourcentage invalide",IF(COUNTIF(bom_prod,A98)+COUNTIF(gam_prod,A98)=0,"Ni nomenclature ni gamme",IF(COUNTIFS(bom_prod,A98,bom_check,"&lt;&gt;OK")&gt;0,"Nomenclature à corriger",IF(COUNTIFS(gam_prod,A98,gam_check,"&lt;&gt;OK")&gt;0,"Gamme à corriger","OK")))))))))))</f>
        <v/>
      </c>
      <c r="Y98" s="70">
        <f>IF(J98="",N(p_fg),N(J98))</f>
        <v>0.15</v>
      </c>
      <c r="Z98" s="70">
        <f>IF(K98="",N(p_target),N(K98))</f>
        <v>0.25</v>
      </c>
      <c r="AA98" s="71" t="str">
        <f>IF(R98="","",IF(N(F98)&gt;0,ROUND(F98*N(E98),2),0))</f>
        <v/>
      </c>
      <c r="AB98" s="71">
        <f>IF(T98="",0,T98*N(E98))</f>
        <v>0.0</v>
      </c>
      <c r="AC98" s="71">
        <f>IF(T98="",0,R98*N(E98))</f>
        <v>0.0</v>
      </c>
      <c r="AD98" s="71">
        <f>IF(R98="",0,L98*N(E98))</f>
        <v>0.0</v>
      </c>
      <c r="AE98" s="71">
        <f>IF(R98="",0,M98*N(E98))</f>
        <v>0.0</v>
      </c>
      <c r="AF98" s="71">
        <f>IF(R98="",0,N98*N(E98))</f>
        <v>0.0</v>
      </c>
      <c r="AG98" s="71">
        <f>IF(R98="",0,O98*N(E98))</f>
        <v>0.0</v>
      </c>
      <c r="AH98" s="71">
        <f>IF(R98="",0,(N(G98)+N(H98)+N(I98)/D98)*N(E98))</f>
        <v>0.0</v>
      </c>
      <c r="AI98" s="71">
        <f>IF(R98="",0,P98*N(E98))</f>
        <v>0.0</v>
      </c>
      <c r="AJ98" s="71" t="str">
        <f>IF(AA98="","",COUNTIF(prod_ca,"&gt;"&amp;AA98)+COUNTIF(AA$6:AA98,AA98))</f>
        <v/>
      </c>
      <c r="AK98" s="71" t="str">
        <f>IF(OR(W98="Vendu à perte",W98="Sous la cible"),ROUND(U98,6),"")</f>
        <v/>
      </c>
      <c r="AL98" s="71" t="str">
        <f>IF(AK98="","",COUNTIF(prod_alk,"&lt;"&amp;AK98)+COUNTIF(AK$6:AK98,AK98))</f>
        <v/>
      </c>
    </row>
    <row r="99">
      <c r="A99" s="60" t="n"/>
      <c r="B99" s="60" t="n"/>
      <c r="C99" s="61" t="n"/>
      <c r="D99" s="62" t="n"/>
      <c r="E99" s="63" t="n"/>
      <c r="F99" s="64" t="n"/>
      <c r="G99" s="64" t="n"/>
      <c r="H99" s="64" t="n"/>
      <c r="I99" s="64" t="n"/>
      <c r="J99" s="65" t="n"/>
      <c r="K99" s="65" t="n"/>
      <c r="L99" s="66" t="str">
        <f>IF(X99="OK",SUMIF(bom_prod,A99,bom_cost),"")</f>
        <v/>
      </c>
      <c r="M99" s="66" t="str">
        <f>IF(X99="OK",SUMIF(gam_prod,A99,gam_mo),"")</f>
        <v/>
      </c>
      <c r="N99" s="66" t="str">
        <f>IF(X99="OK",SUMIF(gam_prod,A99,gam_mac),"")</f>
        <v/>
      </c>
      <c r="O99" s="66" t="str">
        <f>IF(X99="OK",SUMIF(gam_prod,A99,gam_setup)/D99,"")</f>
        <v/>
      </c>
      <c r="P99" s="66" t="str">
        <f>IF(X99="OK",(L99+M99+N99+O99+N(G99))*Y99,"")</f>
        <v/>
      </c>
      <c r="Q99" s="66" t="str">
        <f>IF(X99="OK",L99+M99+N99+O99+N(G99)+P99,"")</f>
        <v/>
      </c>
      <c r="R99" s="67" t="str">
        <f>IF(X99="OK",ROUND(Q99+N(H99)+N(I99)/D99,4),"")</f>
        <v/>
      </c>
      <c r="S99" s="66" t="str">
        <f>IF(X99="OK",ROUND(R99*(1+Z99),2),"")</f>
        <v/>
      </c>
      <c r="T99" s="66" t="str">
        <f>IF(AND(X99="OK",N(F99)&gt;0),F99-R99,"")</f>
        <v/>
      </c>
      <c r="U99" s="68" t="str">
        <f>IF(T99="","",IF(R99&lt;=0,"",T99/R99))</f>
        <v/>
      </c>
      <c r="V99" s="68" t="str">
        <f>IF(T99="","",T99/F99)</f>
        <v/>
      </c>
      <c r="W99" s="69" t="str">
        <f>IF(A99="","",IF(X99&lt;&gt;"OK","À corriger",IF(N(F99)&lt;=0,"Prix à saisir",IF(F99&lt;R99,"Vendu à perte",IF(F99&lt;S99,"Sous la cible","OK")))))</f>
        <v/>
      </c>
      <c r="X99" s="69" t="str">
        <f>IF(AND(A99="",COUNTA(B99:K99)=0),"",IF(A99="","Référence manquante",IF(COUNTIF($A$6:$A$305,A99)&gt;1,"Référence en double",IF(OR(NOT(ISNUMBER(D99)),N(D99)&lt;=0),"Taille de lot invalide",IF(AND(E99&lt;&gt;"",OR(NOT(ISNUMBER(E99)),N(E99)&lt;0)),"Volume annuel invalide",IF(AND(F99&lt;&gt;"",OR(NOT(ISNUMBER(F99)),N(F99)&lt;0)),"Prix de vente invalide",IF(OR(AND(G99&lt;&gt;"",OR(NOT(ISNUMBER(G99)),N(G99)&lt;0)),AND(H99&lt;&gt;"",OR(NOT(ISNUMBER(H99)),N(H99)&lt;0)),AND(I99&lt;&gt;"",OR(NOT(ISNUMBER(I99)),N(I99)&lt;0))),"Montant invalide",IF(OR(AND(J99&lt;&gt;"",OR(NOT(ISNUMBER(J99)),N(J99)&lt;0)),AND(K99&lt;&gt;"",OR(NOT(ISNUMBER(K99)),N(K99)&lt;0))),"Pourcentage invalide",IF(COUNTIF(bom_prod,A99)+COUNTIF(gam_prod,A99)=0,"Ni nomenclature ni gamme",IF(COUNTIFS(bom_prod,A99,bom_check,"&lt;&gt;OK")&gt;0,"Nomenclature à corriger",IF(COUNTIFS(gam_prod,A99,gam_check,"&lt;&gt;OK")&gt;0,"Gamme à corriger","OK")))))))))))</f>
        <v/>
      </c>
      <c r="Y99" s="70">
        <f>IF(J99="",N(p_fg),N(J99))</f>
        <v>0.15</v>
      </c>
      <c r="Z99" s="70">
        <f>IF(K99="",N(p_target),N(K99))</f>
        <v>0.25</v>
      </c>
      <c r="AA99" s="71" t="str">
        <f>IF(R99="","",IF(N(F99)&gt;0,ROUND(F99*N(E99),2),0))</f>
        <v/>
      </c>
      <c r="AB99" s="71">
        <f>IF(T99="",0,T99*N(E99))</f>
        <v>0.0</v>
      </c>
      <c r="AC99" s="71">
        <f>IF(T99="",0,R99*N(E99))</f>
        <v>0.0</v>
      </c>
      <c r="AD99" s="71">
        <f>IF(R99="",0,L99*N(E99))</f>
        <v>0.0</v>
      </c>
      <c r="AE99" s="71">
        <f>IF(R99="",0,M99*N(E99))</f>
        <v>0.0</v>
      </c>
      <c r="AF99" s="71">
        <f>IF(R99="",0,N99*N(E99))</f>
        <v>0.0</v>
      </c>
      <c r="AG99" s="71">
        <f>IF(R99="",0,O99*N(E99))</f>
        <v>0.0</v>
      </c>
      <c r="AH99" s="71">
        <f>IF(R99="",0,(N(G99)+N(H99)+N(I99)/D99)*N(E99))</f>
        <v>0.0</v>
      </c>
      <c r="AI99" s="71">
        <f>IF(R99="",0,P99*N(E99))</f>
        <v>0.0</v>
      </c>
      <c r="AJ99" s="71" t="str">
        <f>IF(AA99="","",COUNTIF(prod_ca,"&gt;"&amp;AA99)+COUNTIF(AA$6:AA99,AA99))</f>
        <v/>
      </c>
      <c r="AK99" s="71" t="str">
        <f>IF(OR(W99="Vendu à perte",W99="Sous la cible"),ROUND(U99,6),"")</f>
        <v/>
      </c>
      <c r="AL99" s="71" t="str">
        <f>IF(AK99="","",COUNTIF(prod_alk,"&lt;"&amp;AK99)+COUNTIF(AK$6:AK99,AK99))</f>
        <v/>
      </c>
    </row>
    <row r="100">
      <c r="A100" s="60" t="n"/>
      <c r="B100" s="60" t="n"/>
      <c r="C100" s="61" t="n"/>
      <c r="D100" s="62" t="n"/>
      <c r="E100" s="63" t="n"/>
      <c r="F100" s="64" t="n"/>
      <c r="G100" s="64" t="n"/>
      <c r="H100" s="64" t="n"/>
      <c r="I100" s="64" t="n"/>
      <c r="J100" s="65" t="n"/>
      <c r="K100" s="65" t="n"/>
      <c r="L100" s="66" t="str">
        <f>IF(X100="OK",SUMIF(bom_prod,A100,bom_cost),"")</f>
        <v/>
      </c>
      <c r="M100" s="66" t="str">
        <f>IF(X100="OK",SUMIF(gam_prod,A100,gam_mo),"")</f>
        <v/>
      </c>
      <c r="N100" s="66" t="str">
        <f>IF(X100="OK",SUMIF(gam_prod,A100,gam_mac),"")</f>
        <v/>
      </c>
      <c r="O100" s="66" t="str">
        <f>IF(X100="OK",SUMIF(gam_prod,A100,gam_setup)/D100,"")</f>
        <v/>
      </c>
      <c r="P100" s="66" t="str">
        <f>IF(X100="OK",(L100+M100+N100+O100+N(G100))*Y100,"")</f>
        <v/>
      </c>
      <c r="Q100" s="66" t="str">
        <f>IF(X100="OK",L100+M100+N100+O100+N(G100)+P100,"")</f>
        <v/>
      </c>
      <c r="R100" s="67" t="str">
        <f>IF(X100="OK",ROUND(Q100+N(H100)+N(I100)/D100,4),"")</f>
        <v/>
      </c>
      <c r="S100" s="66" t="str">
        <f>IF(X100="OK",ROUND(R100*(1+Z100),2),"")</f>
        <v/>
      </c>
      <c r="T100" s="66" t="str">
        <f>IF(AND(X100="OK",N(F100)&gt;0),F100-R100,"")</f>
        <v/>
      </c>
      <c r="U100" s="68" t="str">
        <f>IF(T100="","",IF(R100&lt;=0,"",T100/R100))</f>
        <v/>
      </c>
      <c r="V100" s="68" t="str">
        <f>IF(T100="","",T100/F100)</f>
        <v/>
      </c>
      <c r="W100" s="69" t="str">
        <f>IF(A100="","",IF(X100&lt;&gt;"OK","À corriger",IF(N(F100)&lt;=0,"Prix à saisir",IF(F100&lt;R100,"Vendu à perte",IF(F100&lt;S100,"Sous la cible","OK")))))</f>
        <v/>
      </c>
      <c r="X100" s="69" t="str">
        <f>IF(AND(A100="",COUNTA(B100:K100)=0),"",IF(A100="","Référence manquante",IF(COUNTIF($A$6:$A$305,A100)&gt;1,"Référence en double",IF(OR(NOT(ISNUMBER(D100)),N(D100)&lt;=0),"Taille de lot invalide",IF(AND(E100&lt;&gt;"",OR(NOT(ISNUMBER(E100)),N(E100)&lt;0)),"Volume annuel invalide",IF(AND(F100&lt;&gt;"",OR(NOT(ISNUMBER(F100)),N(F100)&lt;0)),"Prix de vente invalide",IF(OR(AND(G100&lt;&gt;"",OR(NOT(ISNUMBER(G100)),N(G100)&lt;0)),AND(H100&lt;&gt;"",OR(NOT(ISNUMBER(H100)),N(H100)&lt;0)),AND(I100&lt;&gt;"",OR(NOT(ISNUMBER(I100)),N(I100)&lt;0))),"Montant invalide",IF(OR(AND(J100&lt;&gt;"",OR(NOT(ISNUMBER(J100)),N(J100)&lt;0)),AND(K100&lt;&gt;"",OR(NOT(ISNUMBER(K100)),N(K100)&lt;0))),"Pourcentage invalide",IF(COUNTIF(bom_prod,A100)+COUNTIF(gam_prod,A100)=0,"Ni nomenclature ni gamme",IF(COUNTIFS(bom_prod,A100,bom_check,"&lt;&gt;OK")&gt;0,"Nomenclature à corriger",IF(COUNTIFS(gam_prod,A100,gam_check,"&lt;&gt;OK")&gt;0,"Gamme à corriger","OK")))))))))))</f>
        <v/>
      </c>
      <c r="Y100" s="70">
        <f>IF(J100="",N(p_fg),N(J100))</f>
        <v>0.15</v>
      </c>
      <c r="Z100" s="70">
        <f>IF(K100="",N(p_target),N(K100))</f>
        <v>0.25</v>
      </c>
      <c r="AA100" s="71" t="str">
        <f>IF(R100="","",IF(N(F100)&gt;0,ROUND(F100*N(E100),2),0))</f>
        <v/>
      </c>
      <c r="AB100" s="71">
        <f>IF(T100="",0,T100*N(E100))</f>
        <v>0.0</v>
      </c>
      <c r="AC100" s="71">
        <f>IF(T100="",0,R100*N(E100))</f>
        <v>0.0</v>
      </c>
      <c r="AD100" s="71">
        <f>IF(R100="",0,L100*N(E100))</f>
        <v>0.0</v>
      </c>
      <c r="AE100" s="71">
        <f>IF(R100="",0,M100*N(E100))</f>
        <v>0.0</v>
      </c>
      <c r="AF100" s="71">
        <f>IF(R100="",0,N100*N(E100))</f>
        <v>0.0</v>
      </c>
      <c r="AG100" s="71">
        <f>IF(R100="",0,O100*N(E100))</f>
        <v>0.0</v>
      </c>
      <c r="AH100" s="71">
        <f>IF(R100="",0,(N(G100)+N(H100)+N(I100)/D100)*N(E100))</f>
        <v>0.0</v>
      </c>
      <c r="AI100" s="71">
        <f>IF(R100="",0,P100*N(E100))</f>
        <v>0.0</v>
      </c>
      <c r="AJ100" s="71" t="str">
        <f>IF(AA100="","",COUNTIF(prod_ca,"&gt;"&amp;AA100)+COUNTIF(AA$6:AA100,AA100))</f>
        <v/>
      </c>
      <c r="AK100" s="71" t="str">
        <f>IF(OR(W100="Vendu à perte",W100="Sous la cible"),ROUND(U100,6),"")</f>
        <v/>
      </c>
      <c r="AL100" s="71" t="str">
        <f>IF(AK100="","",COUNTIF(prod_alk,"&lt;"&amp;AK100)+COUNTIF(AK$6:AK100,AK100))</f>
        <v/>
      </c>
    </row>
    <row r="101">
      <c r="A101" s="60" t="n"/>
      <c r="B101" s="60" t="n"/>
      <c r="C101" s="61" t="n"/>
      <c r="D101" s="62" t="n"/>
      <c r="E101" s="63" t="n"/>
      <c r="F101" s="64" t="n"/>
      <c r="G101" s="64" t="n"/>
      <c r="H101" s="64" t="n"/>
      <c r="I101" s="64" t="n"/>
      <c r="J101" s="65" t="n"/>
      <c r="K101" s="65" t="n"/>
      <c r="L101" s="66" t="str">
        <f>IF(X101="OK",SUMIF(bom_prod,A101,bom_cost),"")</f>
        <v/>
      </c>
      <c r="M101" s="66" t="str">
        <f>IF(X101="OK",SUMIF(gam_prod,A101,gam_mo),"")</f>
        <v/>
      </c>
      <c r="N101" s="66" t="str">
        <f>IF(X101="OK",SUMIF(gam_prod,A101,gam_mac),"")</f>
        <v/>
      </c>
      <c r="O101" s="66" t="str">
        <f>IF(X101="OK",SUMIF(gam_prod,A101,gam_setup)/D101,"")</f>
        <v/>
      </c>
      <c r="P101" s="66" t="str">
        <f>IF(X101="OK",(L101+M101+N101+O101+N(G101))*Y101,"")</f>
        <v/>
      </c>
      <c r="Q101" s="66" t="str">
        <f>IF(X101="OK",L101+M101+N101+O101+N(G101)+P101,"")</f>
        <v/>
      </c>
      <c r="R101" s="67" t="str">
        <f>IF(X101="OK",ROUND(Q101+N(H101)+N(I101)/D101,4),"")</f>
        <v/>
      </c>
      <c r="S101" s="66" t="str">
        <f>IF(X101="OK",ROUND(R101*(1+Z101),2),"")</f>
        <v/>
      </c>
      <c r="T101" s="66" t="str">
        <f>IF(AND(X101="OK",N(F101)&gt;0),F101-R101,"")</f>
        <v/>
      </c>
      <c r="U101" s="68" t="str">
        <f>IF(T101="","",IF(R101&lt;=0,"",T101/R101))</f>
        <v/>
      </c>
      <c r="V101" s="68" t="str">
        <f>IF(T101="","",T101/F101)</f>
        <v/>
      </c>
      <c r="W101" s="69" t="str">
        <f>IF(A101="","",IF(X101&lt;&gt;"OK","À corriger",IF(N(F101)&lt;=0,"Prix à saisir",IF(F101&lt;R101,"Vendu à perte",IF(F101&lt;S101,"Sous la cible","OK")))))</f>
        <v/>
      </c>
      <c r="X101" s="69" t="str">
        <f>IF(AND(A101="",COUNTA(B101:K101)=0),"",IF(A101="","Référence manquante",IF(COUNTIF($A$6:$A$305,A101)&gt;1,"Référence en double",IF(OR(NOT(ISNUMBER(D101)),N(D101)&lt;=0),"Taille de lot invalide",IF(AND(E101&lt;&gt;"",OR(NOT(ISNUMBER(E101)),N(E101)&lt;0)),"Volume annuel invalide",IF(AND(F101&lt;&gt;"",OR(NOT(ISNUMBER(F101)),N(F101)&lt;0)),"Prix de vente invalide",IF(OR(AND(G101&lt;&gt;"",OR(NOT(ISNUMBER(G101)),N(G101)&lt;0)),AND(H101&lt;&gt;"",OR(NOT(ISNUMBER(H101)),N(H101)&lt;0)),AND(I101&lt;&gt;"",OR(NOT(ISNUMBER(I101)),N(I101)&lt;0))),"Montant invalide",IF(OR(AND(J101&lt;&gt;"",OR(NOT(ISNUMBER(J101)),N(J101)&lt;0)),AND(K101&lt;&gt;"",OR(NOT(ISNUMBER(K101)),N(K101)&lt;0))),"Pourcentage invalide",IF(COUNTIF(bom_prod,A101)+COUNTIF(gam_prod,A101)=0,"Ni nomenclature ni gamme",IF(COUNTIFS(bom_prod,A101,bom_check,"&lt;&gt;OK")&gt;0,"Nomenclature à corriger",IF(COUNTIFS(gam_prod,A101,gam_check,"&lt;&gt;OK")&gt;0,"Gamme à corriger","OK")))))))))))</f>
        <v/>
      </c>
      <c r="Y101" s="70">
        <f>IF(J101="",N(p_fg),N(J101))</f>
        <v>0.15</v>
      </c>
      <c r="Z101" s="70">
        <f>IF(K101="",N(p_target),N(K101))</f>
        <v>0.25</v>
      </c>
      <c r="AA101" s="71" t="str">
        <f>IF(R101="","",IF(N(F101)&gt;0,ROUND(F101*N(E101),2),0))</f>
        <v/>
      </c>
      <c r="AB101" s="71">
        <f>IF(T101="",0,T101*N(E101))</f>
        <v>0.0</v>
      </c>
      <c r="AC101" s="71">
        <f>IF(T101="",0,R101*N(E101))</f>
        <v>0.0</v>
      </c>
      <c r="AD101" s="71">
        <f>IF(R101="",0,L101*N(E101))</f>
        <v>0.0</v>
      </c>
      <c r="AE101" s="71">
        <f>IF(R101="",0,M101*N(E101))</f>
        <v>0.0</v>
      </c>
      <c r="AF101" s="71">
        <f>IF(R101="",0,N101*N(E101))</f>
        <v>0.0</v>
      </c>
      <c r="AG101" s="71">
        <f>IF(R101="",0,O101*N(E101))</f>
        <v>0.0</v>
      </c>
      <c r="AH101" s="71">
        <f>IF(R101="",0,(N(G101)+N(H101)+N(I101)/D101)*N(E101))</f>
        <v>0.0</v>
      </c>
      <c r="AI101" s="71">
        <f>IF(R101="",0,P101*N(E101))</f>
        <v>0.0</v>
      </c>
      <c r="AJ101" s="71" t="str">
        <f>IF(AA101="","",COUNTIF(prod_ca,"&gt;"&amp;AA101)+COUNTIF(AA$6:AA101,AA101))</f>
        <v/>
      </c>
      <c r="AK101" s="71" t="str">
        <f>IF(OR(W101="Vendu à perte",W101="Sous la cible"),ROUND(U101,6),"")</f>
        <v/>
      </c>
      <c r="AL101" s="71" t="str">
        <f>IF(AK101="","",COUNTIF(prod_alk,"&lt;"&amp;AK101)+COUNTIF(AK$6:AK101,AK101))</f>
        <v/>
      </c>
    </row>
    <row r="102">
      <c r="A102" s="60" t="n"/>
      <c r="B102" s="60" t="n"/>
      <c r="C102" s="61" t="n"/>
      <c r="D102" s="62" t="n"/>
      <c r="E102" s="63" t="n"/>
      <c r="F102" s="64" t="n"/>
      <c r="G102" s="64" t="n"/>
      <c r="H102" s="64" t="n"/>
      <c r="I102" s="64" t="n"/>
      <c r="J102" s="65" t="n"/>
      <c r="K102" s="65" t="n"/>
      <c r="L102" s="66" t="str">
        <f>IF(X102="OK",SUMIF(bom_prod,A102,bom_cost),"")</f>
        <v/>
      </c>
      <c r="M102" s="66" t="str">
        <f>IF(X102="OK",SUMIF(gam_prod,A102,gam_mo),"")</f>
        <v/>
      </c>
      <c r="N102" s="66" t="str">
        <f>IF(X102="OK",SUMIF(gam_prod,A102,gam_mac),"")</f>
        <v/>
      </c>
      <c r="O102" s="66" t="str">
        <f>IF(X102="OK",SUMIF(gam_prod,A102,gam_setup)/D102,"")</f>
        <v/>
      </c>
      <c r="P102" s="66" t="str">
        <f>IF(X102="OK",(L102+M102+N102+O102+N(G102))*Y102,"")</f>
        <v/>
      </c>
      <c r="Q102" s="66" t="str">
        <f>IF(X102="OK",L102+M102+N102+O102+N(G102)+P102,"")</f>
        <v/>
      </c>
      <c r="R102" s="67" t="str">
        <f>IF(X102="OK",ROUND(Q102+N(H102)+N(I102)/D102,4),"")</f>
        <v/>
      </c>
      <c r="S102" s="66" t="str">
        <f>IF(X102="OK",ROUND(R102*(1+Z102),2),"")</f>
        <v/>
      </c>
      <c r="T102" s="66" t="str">
        <f>IF(AND(X102="OK",N(F102)&gt;0),F102-R102,"")</f>
        <v/>
      </c>
      <c r="U102" s="68" t="str">
        <f>IF(T102="","",IF(R102&lt;=0,"",T102/R102))</f>
        <v/>
      </c>
      <c r="V102" s="68" t="str">
        <f>IF(T102="","",T102/F102)</f>
        <v/>
      </c>
      <c r="W102" s="69" t="str">
        <f>IF(A102="","",IF(X102&lt;&gt;"OK","À corriger",IF(N(F102)&lt;=0,"Prix à saisir",IF(F102&lt;R102,"Vendu à perte",IF(F102&lt;S102,"Sous la cible","OK")))))</f>
        <v/>
      </c>
      <c r="X102" s="69" t="str">
        <f>IF(AND(A102="",COUNTA(B102:K102)=0),"",IF(A102="","Référence manquante",IF(COUNTIF($A$6:$A$305,A102)&gt;1,"Référence en double",IF(OR(NOT(ISNUMBER(D102)),N(D102)&lt;=0),"Taille de lot invalide",IF(AND(E102&lt;&gt;"",OR(NOT(ISNUMBER(E102)),N(E102)&lt;0)),"Volume annuel invalide",IF(AND(F102&lt;&gt;"",OR(NOT(ISNUMBER(F102)),N(F102)&lt;0)),"Prix de vente invalide",IF(OR(AND(G102&lt;&gt;"",OR(NOT(ISNUMBER(G102)),N(G102)&lt;0)),AND(H102&lt;&gt;"",OR(NOT(ISNUMBER(H102)),N(H102)&lt;0)),AND(I102&lt;&gt;"",OR(NOT(ISNUMBER(I102)),N(I102)&lt;0))),"Montant invalide",IF(OR(AND(J102&lt;&gt;"",OR(NOT(ISNUMBER(J102)),N(J102)&lt;0)),AND(K102&lt;&gt;"",OR(NOT(ISNUMBER(K102)),N(K102)&lt;0))),"Pourcentage invalide",IF(COUNTIF(bom_prod,A102)+COUNTIF(gam_prod,A102)=0,"Ni nomenclature ni gamme",IF(COUNTIFS(bom_prod,A102,bom_check,"&lt;&gt;OK")&gt;0,"Nomenclature à corriger",IF(COUNTIFS(gam_prod,A102,gam_check,"&lt;&gt;OK")&gt;0,"Gamme à corriger","OK")))))))))))</f>
        <v/>
      </c>
      <c r="Y102" s="70">
        <f>IF(J102="",N(p_fg),N(J102))</f>
        <v>0.15</v>
      </c>
      <c r="Z102" s="70">
        <f>IF(K102="",N(p_target),N(K102))</f>
        <v>0.25</v>
      </c>
      <c r="AA102" s="71" t="str">
        <f>IF(R102="","",IF(N(F102)&gt;0,ROUND(F102*N(E102),2),0))</f>
        <v/>
      </c>
      <c r="AB102" s="71">
        <f>IF(T102="",0,T102*N(E102))</f>
        <v>0.0</v>
      </c>
      <c r="AC102" s="71">
        <f>IF(T102="",0,R102*N(E102))</f>
        <v>0.0</v>
      </c>
      <c r="AD102" s="71">
        <f>IF(R102="",0,L102*N(E102))</f>
        <v>0.0</v>
      </c>
      <c r="AE102" s="71">
        <f>IF(R102="",0,M102*N(E102))</f>
        <v>0.0</v>
      </c>
      <c r="AF102" s="71">
        <f>IF(R102="",0,N102*N(E102))</f>
        <v>0.0</v>
      </c>
      <c r="AG102" s="71">
        <f>IF(R102="",0,O102*N(E102))</f>
        <v>0.0</v>
      </c>
      <c r="AH102" s="71">
        <f>IF(R102="",0,(N(G102)+N(H102)+N(I102)/D102)*N(E102))</f>
        <v>0.0</v>
      </c>
      <c r="AI102" s="71">
        <f>IF(R102="",0,P102*N(E102))</f>
        <v>0.0</v>
      </c>
      <c r="AJ102" s="71" t="str">
        <f>IF(AA102="","",COUNTIF(prod_ca,"&gt;"&amp;AA102)+COUNTIF(AA$6:AA102,AA102))</f>
        <v/>
      </c>
      <c r="AK102" s="71" t="str">
        <f>IF(OR(W102="Vendu à perte",W102="Sous la cible"),ROUND(U102,6),"")</f>
        <v/>
      </c>
      <c r="AL102" s="71" t="str">
        <f>IF(AK102="","",COUNTIF(prod_alk,"&lt;"&amp;AK102)+COUNTIF(AK$6:AK102,AK102))</f>
        <v/>
      </c>
    </row>
    <row r="103">
      <c r="A103" s="60" t="n"/>
      <c r="B103" s="60" t="n"/>
      <c r="C103" s="61" t="n"/>
      <c r="D103" s="62" t="n"/>
      <c r="E103" s="63" t="n"/>
      <c r="F103" s="64" t="n"/>
      <c r="G103" s="64" t="n"/>
      <c r="H103" s="64" t="n"/>
      <c r="I103" s="64" t="n"/>
      <c r="J103" s="65" t="n"/>
      <c r="K103" s="65" t="n"/>
      <c r="L103" s="66" t="str">
        <f>IF(X103="OK",SUMIF(bom_prod,A103,bom_cost),"")</f>
        <v/>
      </c>
      <c r="M103" s="66" t="str">
        <f>IF(X103="OK",SUMIF(gam_prod,A103,gam_mo),"")</f>
        <v/>
      </c>
      <c r="N103" s="66" t="str">
        <f>IF(X103="OK",SUMIF(gam_prod,A103,gam_mac),"")</f>
        <v/>
      </c>
      <c r="O103" s="66" t="str">
        <f>IF(X103="OK",SUMIF(gam_prod,A103,gam_setup)/D103,"")</f>
        <v/>
      </c>
      <c r="P103" s="66" t="str">
        <f>IF(X103="OK",(L103+M103+N103+O103+N(G103))*Y103,"")</f>
        <v/>
      </c>
      <c r="Q103" s="66" t="str">
        <f>IF(X103="OK",L103+M103+N103+O103+N(G103)+P103,"")</f>
        <v/>
      </c>
      <c r="R103" s="67" t="str">
        <f>IF(X103="OK",ROUND(Q103+N(H103)+N(I103)/D103,4),"")</f>
        <v/>
      </c>
      <c r="S103" s="66" t="str">
        <f>IF(X103="OK",ROUND(R103*(1+Z103),2),"")</f>
        <v/>
      </c>
      <c r="T103" s="66" t="str">
        <f>IF(AND(X103="OK",N(F103)&gt;0),F103-R103,"")</f>
        <v/>
      </c>
      <c r="U103" s="68" t="str">
        <f>IF(T103="","",IF(R103&lt;=0,"",T103/R103))</f>
        <v/>
      </c>
      <c r="V103" s="68" t="str">
        <f>IF(T103="","",T103/F103)</f>
        <v/>
      </c>
      <c r="W103" s="69" t="str">
        <f>IF(A103="","",IF(X103&lt;&gt;"OK","À corriger",IF(N(F103)&lt;=0,"Prix à saisir",IF(F103&lt;R103,"Vendu à perte",IF(F103&lt;S103,"Sous la cible","OK")))))</f>
        <v/>
      </c>
      <c r="X103" s="69" t="str">
        <f>IF(AND(A103="",COUNTA(B103:K103)=0),"",IF(A103="","Référence manquante",IF(COUNTIF($A$6:$A$305,A103)&gt;1,"Référence en double",IF(OR(NOT(ISNUMBER(D103)),N(D103)&lt;=0),"Taille de lot invalide",IF(AND(E103&lt;&gt;"",OR(NOT(ISNUMBER(E103)),N(E103)&lt;0)),"Volume annuel invalide",IF(AND(F103&lt;&gt;"",OR(NOT(ISNUMBER(F103)),N(F103)&lt;0)),"Prix de vente invalide",IF(OR(AND(G103&lt;&gt;"",OR(NOT(ISNUMBER(G103)),N(G103)&lt;0)),AND(H103&lt;&gt;"",OR(NOT(ISNUMBER(H103)),N(H103)&lt;0)),AND(I103&lt;&gt;"",OR(NOT(ISNUMBER(I103)),N(I103)&lt;0))),"Montant invalide",IF(OR(AND(J103&lt;&gt;"",OR(NOT(ISNUMBER(J103)),N(J103)&lt;0)),AND(K103&lt;&gt;"",OR(NOT(ISNUMBER(K103)),N(K103)&lt;0))),"Pourcentage invalide",IF(COUNTIF(bom_prod,A103)+COUNTIF(gam_prod,A103)=0,"Ni nomenclature ni gamme",IF(COUNTIFS(bom_prod,A103,bom_check,"&lt;&gt;OK")&gt;0,"Nomenclature à corriger",IF(COUNTIFS(gam_prod,A103,gam_check,"&lt;&gt;OK")&gt;0,"Gamme à corriger","OK")))))))))))</f>
        <v/>
      </c>
      <c r="Y103" s="70">
        <f>IF(J103="",N(p_fg),N(J103))</f>
        <v>0.15</v>
      </c>
      <c r="Z103" s="70">
        <f>IF(K103="",N(p_target),N(K103))</f>
        <v>0.25</v>
      </c>
      <c r="AA103" s="71" t="str">
        <f>IF(R103="","",IF(N(F103)&gt;0,ROUND(F103*N(E103),2),0))</f>
        <v/>
      </c>
      <c r="AB103" s="71">
        <f>IF(T103="",0,T103*N(E103))</f>
        <v>0.0</v>
      </c>
      <c r="AC103" s="71">
        <f>IF(T103="",0,R103*N(E103))</f>
        <v>0.0</v>
      </c>
      <c r="AD103" s="71">
        <f>IF(R103="",0,L103*N(E103))</f>
        <v>0.0</v>
      </c>
      <c r="AE103" s="71">
        <f>IF(R103="",0,M103*N(E103))</f>
        <v>0.0</v>
      </c>
      <c r="AF103" s="71">
        <f>IF(R103="",0,N103*N(E103))</f>
        <v>0.0</v>
      </c>
      <c r="AG103" s="71">
        <f>IF(R103="",0,O103*N(E103))</f>
        <v>0.0</v>
      </c>
      <c r="AH103" s="71">
        <f>IF(R103="",0,(N(G103)+N(H103)+N(I103)/D103)*N(E103))</f>
        <v>0.0</v>
      </c>
      <c r="AI103" s="71">
        <f>IF(R103="",0,P103*N(E103))</f>
        <v>0.0</v>
      </c>
      <c r="AJ103" s="71" t="str">
        <f>IF(AA103="","",COUNTIF(prod_ca,"&gt;"&amp;AA103)+COUNTIF(AA$6:AA103,AA103))</f>
        <v/>
      </c>
      <c r="AK103" s="71" t="str">
        <f>IF(OR(W103="Vendu à perte",W103="Sous la cible"),ROUND(U103,6),"")</f>
        <v/>
      </c>
      <c r="AL103" s="71" t="str">
        <f>IF(AK103="","",COUNTIF(prod_alk,"&lt;"&amp;AK103)+COUNTIF(AK$6:AK103,AK103))</f>
        <v/>
      </c>
    </row>
    <row r="104">
      <c r="A104" s="60" t="n"/>
      <c r="B104" s="60" t="n"/>
      <c r="C104" s="61" t="n"/>
      <c r="D104" s="62" t="n"/>
      <c r="E104" s="63" t="n"/>
      <c r="F104" s="64" t="n"/>
      <c r="G104" s="64" t="n"/>
      <c r="H104" s="64" t="n"/>
      <c r="I104" s="64" t="n"/>
      <c r="J104" s="65" t="n"/>
      <c r="K104" s="65" t="n"/>
      <c r="L104" s="66" t="str">
        <f>IF(X104="OK",SUMIF(bom_prod,A104,bom_cost),"")</f>
        <v/>
      </c>
      <c r="M104" s="66" t="str">
        <f>IF(X104="OK",SUMIF(gam_prod,A104,gam_mo),"")</f>
        <v/>
      </c>
      <c r="N104" s="66" t="str">
        <f>IF(X104="OK",SUMIF(gam_prod,A104,gam_mac),"")</f>
        <v/>
      </c>
      <c r="O104" s="66" t="str">
        <f>IF(X104="OK",SUMIF(gam_prod,A104,gam_setup)/D104,"")</f>
        <v/>
      </c>
      <c r="P104" s="66" t="str">
        <f>IF(X104="OK",(L104+M104+N104+O104+N(G104))*Y104,"")</f>
        <v/>
      </c>
      <c r="Q104" s="66" t="str">
        <f>IF(X104="OK",L104+M104+N104+O104+N(G104)+P104,"")</f>
        <v/>
      </c>
      <c r="R104" s="67" t="str">
        <f>IF(X104="OK",ROUND(Q104+N(H104)+N(I104)/D104,4),"")</f>
        <v/>
      </c>
      <c r="S104" s="66" t="str">
        <f>IF(X104="OK",ROUND(R104*(1+Z104),2),"")</f>
        <v/>
      </c>
      <c r="T104" s="66" t="str">
        <f>IF(AND(X104="OK",N(F104)&gt;0),F104-R104,"")</f>
        <v/>
      </c>
      <c r="U104" s="68" t="str">
        <f>IF(T104="","",IF(R104&lt;=0,"",T104/R104))</f>
        <v/>
      </c>
      <c r="V104" s="68" t="str">
        <f>IF(T104="","",T104/F104)</f>
        <v/>
      </c>
      <c r="W104" s="69" t="str">
        <f>IF(A104="","",IF(X104&lt;&gt;"OK","À corriger",IF(N(F104)&lt;=0,"Prix à saisir",IF(F104&lt;R104,"Vendu à perte",IF(F104&lt;S104,"Sous la cible","OK")))))</f>
        <v/>
      </c>
      <c r="X104" s="69" t="str">
        <f>IF(AND(A104="",COUNTA(B104:K104)=0),"",IF(A104="","Référence manquante",IF(COUNTIF($A$6:$A$305,A104)&gt;1,"Référence en double",IF(OR(NOT(ISNUMBER(D104)),N(D104)&lt;=0),"Taille de lot invalide",IF(AND(E104&lt;&gt;"",OR(NOT(ISNUMBER(E104)),N(E104)&lt;0)),"Volume annuel invalide",IF(AND(F104&lt;&gt;"",OR(NOT(ISNUMBER(F104)),N(F104)&lt;0)),"Prix de vente invalide",IF(OR(AND(G104&lt;&gt;"",OR(NOT(ISNUMBER(G104)),N(G104)&lt;0)),AND(H104&lt;&gt;"",OR(NOT(ISNUMBER(H104)),N(H104)&lt;0)),AND(I104&lt;&gt;"",OR(NOT(ISNUMBER(I104)),N(I104)&lt;0))),"Montant invalide",IF(OR(AND(J104&lt;&gt;"",OR(NOT(ISNUMBER(J104)),N(J104)&lt;0)),AND(K104&lt;&gt;"",OR(NOT(ISNUMBER(K104)),N(K104)&lt;0))),"Pourcentage invalide",IF(COUNTIF(bom_prod,A104)+COUNTIF(gam_prod,A104)=0,"Ni nomenclature ni gamme",IF(COUNTIFS(bom_prod,A104,bom_check,"&lt;&gt;OK")&gt;0,"Nomenclature à corriger",IF(COUNTIFS(gam_prod,A104,gam_check,"&lt;&gt;OK")&gt;0,"Gamme à corriger","OK")))))))))))</f>
        <v/>
      </c>
      <c r="Y104" s="70">
        <f>IF(J104="",N(p_fg),N(J104))</f>
        <v>0.15</v>
      </c>
      <c r="Z104" s="70">
        <f>IF(K104="",N(p_target),N(K104))</f>
        <v>0.25</v>
      </c>
      <c r="AA104" s="71" t="str">
        <f>IF(R104="","",IF(N(F104)&gt;0,ROUND(F104*N(E104),2),0))</f>
        <v/>
      </c>
      <c r="AB104" s="71">
        <f>IF(T104="",0,T104*N(E104))</f>
        <v>0.0</v>
      </c>
      <c r="AC104" s="71">
        <f>IF(T104="",0,R104*N(E104))</f>
        <v>0.0</v>
      </c>
      <c r="AD104" s="71">
        <f>IF(R104="",0,L104*N(E104))</f>
        <v>0.0</v>
      </c>
      <c r="AE104" s="71">
        <f>IF(R104="",0,M104*N(E104))</f>
        <v>0.0</v>
      </c>
      <c r="AF104" s="71">
        <f>IF(R104="",0,N104*N(E104))</f>
        <v>0.0</v>
      </c>
      <c r="AG104" s="71">
        <f>IF(R104="",0,O104*N(E104))</f>
        <v>0.0</v>
      </c>
      <c r="AH104" s="71">
        <f>IF(R104="",0,(N(G104)+N(H104)+N(I104)/D104)*N(E104))</f>
        <v>0.0</v>
      </c>
      <c r="AI104" s="71">
        <f>IF(R104="",0,P104*N(E104))</f>
        <v>0.0</v>
      </c>
      <c r="AJ104" s="71" t="str">
        <f>IF(AA104="","",COUNTIF(prod_ca,"&gt;"&amp;AA104)+COUNTIF(AA$6:AA104,AA104))</f>
        <v/>
      </c>
      <c r="AK104" s="71" t="str">
        <f>IF(OR(W104="Vendu à perte",W104="Sous la cible"),ROUND(U104,6),"")</f>
        <v/>
      </c>
      <c r="AL104" s="71" t="str">
        <f>IF(AK104="","",COUNTIF(prod_alk,"&lt;"&amp;AK104)+COUNTIF(AK$6:AK104,AK104))</f>
        <v/>
      </c>
    </row>
    <row r="105">
      <c r="A105" s="60" t="n"/>
      <c r="B105" s="60" t="n"/>
      <c r="C105" s="61" t="n"/>
      <c r="D105" s="62" t="n"/>
      <c r="E105" s="63" t="n"/>
      <c r="F105" s="64" t="n"/>
      <c r="G105" s="64" t="n"/>
      <c r="H105" s="64" t="n"/>
      <c r="I105" s="64" t="n"/>
      <c r="J105" s="65" t="n"/>
      <c r="K105" s="65" t="n"/>
      <c r="L105" s="66" t="str">
        <f>IF(X105="OK",SUMIF(bom_prod,A105,bom_cost),"")</f>
        <v/>
      </c>
      <c r="M105" s="66" t="str">
        <f>IF(X105="OK",SUMIF(gam_prod,A105,gam_mo),"")</f>
        <v/>
      </c>
      <c r="N105" s="66" t="str">
        <f>IF(X105="OK",SUMIF(gam_prod,A105,gam_mac),"")</f>
        <v/>
      </c>
      <c r="O105" s="66" t="str">
        <f>IF(X105="OK",SUMIF(gam_prod,A105,gam_setup)/D105,"")</f>
        <v/>
      </c>
      <c r="P105" s="66" t="str">
        <f>IF(X105="OK",(L105+M105+N105+O105+N(G105))*Y105,"")</f>
        <v/>
      </c>
      <c r="Q105" s="66" t="str">
        <f>IF(X105="OK",L105+M105+N105+O105+N(G105)+P105,"")</f>
        <v/>
      </c>
      <c r="R105" s="67" t="str">
        <f>IF(X105="OK",ROUND(Q105+N(H105)+N(I105)/D105,4),"")</f>
        <v/>
      </c>
      <c r="S105" s="66" t="str">
        <f>IF(X105="OK",ROUND(R105*(1+Z105),2),"")</f>
        <v/>
      </c>
      <c r="T105" s="66" t="str">
        <f>IF(AND(X105="OK",N(F105)&gt;0),F105-R105,"")</f>
        <v/>
      </c>
      <c r="U105" s="68" t="str">
        <f>IF(T105="","",IF(R105&lt;=0,"",T105/R105))</f>
        <v/>
      </c>
      <c r="V105" s="68" t="str">
        <f>IF(T105="","",T105/F105)</f>
        <v/>
      </c>
      <c r="W105" s="69" t="str">
        <f>IF(A105="","",IF(X105&lt;&gt;"OK","À corriger",IF(N(F105)&lt;=0,"Prix à saisir",IF(F105&lt;R105,"Vendu à perte",IF(F105&lt;S105,"Sous la cible","OK")))))</f>
        <v/>
      </c>
      <c r="X105" s="69" t="str">
        <f>IF(AND(A105="",COUNTA(B105:K105)=0),"",IF(A105="","Référence manquante",IF(COUNTIF($A$6:$A$305,A105)&gt;1,"Référence en double",IF(OR(NOT(ISNUMBER(D105)),N(D105)&lt;=0),"Taille de lot invalide",IF(AND(E105&lt;&gt;"",OR(NOT(ISNUMBER(E105)),N(E105)&lt;0)),"Volume annuel invalide",IF(AND(F105&lt;&gt;"",OR(NOT(ISNUMBER(F105)),N(F105)&lt;0)),"Prix de vente invalide",IF(OR(AND(G105&lt;&gt;"",OR(NOT(ISNUMBER(G105)),N(G105)&lt;0)),AND(H105&lt;&gt;"",OR(NOT(ISNUMBER(H105)),N(H105)&lt;0)),AND(I105&lt;&gt;"",OR(NOT(ISNUMBER(I105)),N(I105)&lt;0))),"Montant invalide",IF(OR(AND(J105&lt;&gt;"",OR(NOT(ISNUMBER(J105)),N(J105)&lt;0)),AND(K105&lt;&gt;"",OR(NOT(ISNUMBER(K105)),N(K105)&lt;0))),"Pourcentage invalide",IF(COUNTIF(bom_prod,A105)+COUNTIF(gam_prod,A105)=0,"Ni nomenclature ni gamme",IF(COUNTIFS(bom_prod,A105,bom_check,"&lt;&gt;OK")&gt;0,"Nomenclature à corriger",IF(COUNTIFS(gam_prod,A105,gam_check,"&lt;&gt;OK")&gt;0,"Gamme à corriger","OK")))))))))))</f>
        <v/>
      </c>
      <c r="Y105" s="70">
        <f>IF(J105="",N(p_fg),N(J105))</f>
        <v>0.15</v>
      </c>
      <c r="Z105" s="70">
        <f>IF(K105="",N(p_target),N(K105))</f>
        <v>0.25</v>
      </c>
      <c r="AA105" s="71" t="str">
        <f>IF(R105="","",IF(N(F105)&gt;0,ROUND(F105*N(E105),2),0))</f>
        <v/>
      </c>
      <c r="AB105" s="71">
        <f>IF(T105="",0,T105*N(E105))</f>
        <v>0.0</v>
      </c>
      <c r="AC105" s="71">
        <f>IF(T105="",0,R105*N(E105))</f>
        <v>0.0</v>
      </c>
      <c r="AD105" s="71">
        <f>IF(R105="",0,L105*N(E105))</f>
        <v>0.0</v>
      </c>
      <c r="AE105" s="71">
        <f>IF(R105="",0,M105*N(E105))</f>
        <v>0.0</v>
      </c>
      <c r="AF105" s="71">
        <f>IF(R105="",0,N105*N(E105))</f>
        <v>0.0</v>
      </c>
      <c r="AG105" s="71">
        <f>IF(R105="",0,O105*N(E105))</f>
        <v>0.0</v>
      </c>
      <c r="AH105" s="71">
        <f>IF(R105="",0,(N(G105)+N(H105)+N(I105)/D105)*N(E105))</f>
        <v>0.0</v>
      </c>
      <c r="AI105" s="71">
        <f>IF(R105="",0,P105*N(E105))</f>
        <v>0.0</v>
      </c>
      <c r="AJ105" s="71" t="str">
        <f>IF(AA105="","",COUNTIF(prod_ca,"&gt;"&amp;AA105)+COUNTIF(AA$6:AA105,AA105))</f>
        <v/>
      </c>
      <c r="AK105" s="71" t="str">
        <f>IF(OR(W105="Vendu à perte",W105="Sous la cible"),ROUND(U105,6),"")</f>
        <v/>
      </c>
      <c r="AL105" s="71" t="str">
        <f>IF(AK105="","",COUNTIF(prod_alk,"&lt;"&amp;AK105)+COUNTIF(AK$6:AK105,AK105))</f>
        <v/>
      </c>
    </row>
    <row r="106">
      <c r="A106" s="60" t="n"/>
      <c r="B106" s="60" t="n"/>
      <c r="C106" s="61" t="n"/>
      <c r="D106" s="62" t="n"/>
      <c r="E106" s="63" t="n"/>
      <c r="F106" s="64" t="n"/>
      <c r="G106" s="64" t="n"/>
      <c r="H106" s="64" t="n"/>
      <c r="I106" s="64" t="n"/>
      <c r="J106" s="65" t="n"/>
      <c r="K106" s="65" t="n"/>
      <c r="L106" s="66" t="str">
        <f>IF(X106="OK",SUMIF(bom_prod,A106,bom_cost),"")</f>
        <v/>
      </c>
      <c r="M106" s="66" t="str">
        <f>IF(X106="OK",SUMIF(gam_prod,A106,gam_mo),"")</f>
        <v/>
      </c>
      <c r="N106" s="66" t="str">
        <f>IF(X106="OK",SUMIF(gam_prod,A106,gam_mac),"")</f>
        <v/>
      </c>
      <c r="O106" s="66" t="str">
        <f>IF(X106="OK",SUMIF(gam_prod,A106,gam_setup)/D106,"")</f>
        <v/>
      </c>
      <c r="P106" s="66" t="str">
        <f>IF(X106="OK",(L106+M106+N106+O106+N(G106))*Y106,"")</f>
        <v/>
      </c>
      <c r="Q106" s="66" t="str">
        <f>IF(X106="OK",L106+M106+N106+O106+N(G106)+P106,"")</f>
        <v/>
      </c>
      <c r="R106" s="67" t="str">
        <f>IF(X106="OK",ROUND(Q106+N(H106)+N(I106)/D106,4),"")</f>
        <v/>
      </c>
      <c r="S106" s="66" t="str">
        <f>IF(X106="OK",ROUND(R106*(1+Z106),2),"")</f>
        <v/>
      </c>
      <c r="T106" s="66" t="str">
        <f>IF(AND(X106="OK",N(F106)&gt;0),F106-R106,"")</f>
        <v/>
      </c>
      <c r="U106" s="68" t="str">
        <f>IF(T106="","",IF(R106&lt;=0,"",T106/R106))</f>
        <v/>
      </c>
      <c r="V106" s="68" t="str">
        <f>IF(T106="","",T106/F106)</f>
        <v/>
      </c>
      <c r="W106" s="69" t="str">
        <f>IF(A106="","",IF(X106&lt;&gt;"OK","À corriger",IF(N(F106)&lt;=0,"Prix à saisir",IF(F106&lt;R106,"Vendu à perte",IF(F106&lt;S106,"Sous la cible","OK")))))</f>
        <v/>
      </c>
      <c r="X106" s="69" t="str">
        <f>IF(AND(A106="",COUNTA(B106:K106)=0),"",IF(A106="","Référence manquante",IF(COUNTIF($A$6:$A$305,A106)&gt;1,"Référence en double",IF(OR(NOT(ISNUMBER(D106)),N(D106)&lt;=0),"Taille de lot invalide",IF(AND(E106&lt;&gt;"",OR(NOT(ISNUMBER(E106)),N(E106)&lt;0)),"Volume annuel invalide",IF(AND(F106&lt;&gt;"",OR(NOT(ISNUMBER(F106)),N(F106)&lt;0)),"Prix de vente invalide",IF(OR(AND(G106&lt;&gt;"",OR(NOT(ISNUMBER(G106)),N(G106)&lt;0)),AND(H106&lt;&gt;"",OR(NOT(ISNUMBER(H106)),N(H106)&lt;0)),AND(I106&lt;&gt;"",OR(NOT(ISNUMBER(I106)),N(I106)&lt;0))),"Montant invalide",IF(OR(AND(J106&lt;&gt;"",OR(NOT(ISNUMBER(J106)),N(J106)&lt;0)),AND(K106&lt;&gt;"",OR(NOT(ISNUMBER(K106)),N(K106)&lt;0))),"Pourcentage invalide",IF(COUNTIF(bom_prod,A106)+COUNTIF(gam_prod,A106)=0,"Ni nomenclature ni gamme",IF(COUNTIFS(bom_prod,A106,bom_check,"&lt;&gt;OK")&gt;0,"Nomenclature à corriger",IF(COUNTIFS(gam_prod,A106,gam_check,"&lt;&gt;OK")&gt;0,"Gamme à corriger","OK")))))))))))</f>
        <v/>
      </c>
      <c r="Y106" s="70">
        <f>IF(J106="",N(p_fg),N(J106))</f>
        <v>0.15</v>
      </c>
      <c r="Z106" s="70">
        <f>IF(K106="",N(p_target),N(K106))</f>
        <v>0.25</v>
      </c>
      <c r="AA106" s="71" t="str">
        <f>IF(R106="","",IF(N(F106)&gt;0,ROUND(F106*N(E106),2),0))</f>
        <v/>
      </c>
      <c r="AB106" s="71">
        <f>IF(T106="",0,T106*N(E106))</f>
        <v>0.0</v>
      </c>
      <c r="AC106" s="71">
        <f>IF(T106="",0,R106*N(E106))</f>
        <v>0.0</v>
      </c>
      <c r="AD106" s="71">
        <f>IF(R106="",0,L106*N(E106))</f>
        <v>0.0</v>
      </c>
      <c r="AE106" s="71">
        <f>IF(R106="",0,M106*N(E106))</f>
        <v>0.0</v>
      </c>
      <c r="AF106" s="71">
        <f>IF(R106="",0,N106*N(E106))</f>
        <v>0.0</v>
      </c>
      <c r="AG106" s="71">
        <f>IF(R106="",0,O106*N(E106))</f>
        <v>0.0</v>
      </c>
      <c r="AH106" s="71">
        <f>IF(R106="",0,(N(G106)+N(H106)+N(I106)/D106)*N(E106))</f>
        <v>0.0</v>
      </c>
      <c r="AI106" s="71">
        <f>IF(R106="",0,P106*N(E106))</f>
        <v>0.0</v>
      </c>
      <c r="AJ106" s="71" t="str">
        <f>IF(AA106="","",COUNTIF(prod_ca,"&gt;"&amp;AA106)+COUNTIF(AA$6:AA106,AA106))</f>
        <v/>
      </c>
      <c r="AK106" s="71" t="str">
        <f>IF(OR(W106="Vendu à perte",W106="Sous la cible"),ROUND(U106,6),"")</f>
        <v/>
      </c>
      <c r="AL106" s="71" t="str">
        <f>IF(AK106="","",COUNTIF(prod_alk,"&lt;"&amp;AK106)+COUNTIF(AK$6:AK106,AK106))</f>
        <v/>
      </c>
    </row>
    <row r="107">
      <c r="A107" s="60" t="n"/>
      <c r="B107" s="60" t="n"/>
      <c r="C107" s="61" t="n"/>
      <c r="D107" s="62" t="n"/>
      <c r="E107" s="63" t="n"/>
      <c r="F107" s="64" t="n"/>
      <c r="G107" s="64" t="n"/>
      <c r="H107" s="64" t="n"/>
      <c r="I107" s="64" t="n"/>
      <c r="J107" s="65" t="n"/>
      <c r="K107" s="65" t="n"/>
      <c r="L107" s="66" t="str">
        <f>IF(X107="OK",SUMIF(bom_prod,A107,bom_cost),"")</f>
        <v/>
      </c>
      <c r="M107" s="66" t="str">
        <f>IF(X107="OK",SUMIF(gam_prod,A107,gam_mo),"")</f>
        <v/>
      </c>
      <c r="N107" s="66" t="str">
        <f>IF(X107="OK",SUMIF(gam_prod,A107,gam_mac),"")</f>
        <v/>
      </c>
      <c r="O107" s="66" t="str">
        <f>IF(X107="OK",SUMIF(gam_prod,A107,gam_setup)/D107,"")</f>
        <v/>
      </c>
      <c r="P107" s="66" t="str">
        <f>IF(X107="OK",(L107+M107+N107+O107+N(G107))*Y107,"")</f>
        <v/>
      </c>
      <c r="Q107" s="66" t="str">
        <f>IF(X107="OK",L107+M107+N107+O107+N(G107)+P107,"")</f>
        <v/>
      </c>
      <c r="R107" s="67" t="str">
        <f>IF(X107="OK",ROUND(Q107+N(H107)+N(I107)/D107,4),"")</f>
        <v/>
      </c>
      <c r="S107" s="66" t="str">
        <f>IF(X107="OK",ROUND(R107*(1+Z107),2),"")</f>
        <v/>
      </c>
      <c r="T107" s="66" t="str">
        <f>IF(AND(X107="OK",N(F107)&gt;0),F107-R107,"")</f>
        <v/>
      </c>
      <c r="U107" s="68" t="str">
        <f>IF(T107="","",IF(R107&lt;=0,"",T107/R107))</f>
        <v/>
      </c>
      <c r="V107" s="68" t="str">
        <f>IF(T107="","",T107/F107)</f>
        <v/>
      </c>
      <c r="W107" s="69" t="str">
        <f>IF(A107="","",IF(X107&lt;&gt;"OK","À corriger",IF(N(F107)&lt;=0,"Prix à saisir",IF(F107&lt;R107,"Vendu à perte",IF(F107&lt;S107,"Sous la cible","OK")))))</f>
        <v/>
      </c>
      <c r="X107" s="69" t="str">
        <f>IF(AND(A107="",COUNTA(B107:K107)=0),"",IF(A107="","Référence manquante",IF(COUNTIF($A$6:$A$305,A107)&gt;1,"Référence en double",IF(OR(NOT(ISNUMBER(D107)),N(D107)&lt;=0),"Taille de lot invalide",IF(AND(E107&lt;&gt;"",OR(NOT(ISNUMBER(E107)),N(E107)&lt;0)),"Volume annuel invalide",IF(AND(F107&lt;&gt;"",OR(NOT(ISNUMBER(F107)),N(F107)&lt;0)),"Prix de vente invalide",IF(OR(AND(G107&lt;&gt;"",OR(NOT(ISNUMBER(G107)),N(G107)&lt;0)),AND(H107&lt;&gt;"",OR(NOT(ISNUMBER(H107)),N(H107)&lt;0)),AND(I107&lt;&gt;"",OR(NOT(ISNUMBER(I107)),N(I107)&lt;0))),"Montant invalide",IF(OR(AND(J107&lt;&gt;"",OR(NOT(ISNUMBER(J107)),N(J107)&lt;0)),AND(K107&lt;&gt;"",OR(NOT(ISNUMBER(K107)),N(K107)&lt;0))),"Pourcentage invalide",IF(COUNTIF(bom_prod,A107)+COUNTIF(gam_prod,A107)=0,"Ni nomenclature ni gamme",IF(COUNTIFS(bom_prod,A107,bom_check,"&lt;&gt;OK")&gt;0,"Nomenclature à corriger",IF(COUNTIFS(gam_prod,A107,gam_check,"&lt;&gt;OK")&gt;0,"Gamme à corriger","OK")))))))))))</f>
        <v/>
      </c>
      <c r="Y107" s="70">
        <f>IF(J107="",N(p_fg),N(J107))</f>
        <v>0.15</v>
      </c>
      <c r="Z107" s="70">
        <f>IF(K107="",N(p_target),N(K107))</f>
        <v>0.25</v>
      </c>
      <c r="AA107" s="71" t="str">
        <f>IF(R107="","",IF(N(F107)&gt;0,ROUND(F107*N(E107),2),0))</f>
        <v/>
      </c>
      <c r="AB107" s="71">
        <f>IF(T107="",0,T107*N(E107))</f>
        <v>0.0</v>
      </c>
      <c r="AC107" s="71">
        <f>IF(T107="",0,R107*N(E107))</f>
        <v>0.0</v>
      </c>
      <c r="AD107" s="71">
        <f>IF(R107="",0,L107*N(E107))</f>
        <v>0.0</v>
      </c>
      <c r="AE107" s="71">
        <f>IF(R107="",0,M107*N(E107))</f>
        <v>0.0</v>
      </c>
      <c r="AF107" s="71">
        <f>IF(R107="",0,N107*N(E107))</f>
        <v>0.0</v>
      </c>
      <c r="AG107" s="71">
        <f>IF(R107="",0,O107*N(E107))</f>
        <v>0.0</v>
      </c>
      <c r="AH107" s="71">
        <f>IF(R107="",0,(N(G107)+N(H107)+N(I107)/D107)*N(E107))</f>
        <v>0.0</v>
      </c>
      <c r="AI107" s="71">
        <f>IF(R107="",0,P107*N(E107))</f>
        <v>0.0</v>
      </c>
      <c r="AJ107" s="71" t="str">
        <f>IF(AA107="","",COUNTIF(prod_ca,"&gt;"&amp;AA107)+COUNTIF(AA$6:AA107,AA107))</f>
        <v/>
      </c>
      <c r="AK107" s="71" t="str">
        <f>IF(OR(W107="Vendu à perte",W107="Sous la cible"),ROUND(U107,6),"")</f>
        <v/>
      </c>
      <c r="AL107" s="71" t="str">
        <f>IF(AK107="","",COUNTIF(prod_alk,"&lt;"&amp;AK107)+COUNTIF(AK$6:AK107,AK107))</f>
        <v/>
      </c>
    </row>
    <row r="108">
      <c r="A108" s="60" t="n"/>
      <c r="B108" s="60" t="n"/>
      <c r="C108" s="61" t="n"/>
      <c r="D108" s="62" t="n"/>
      <c r="E108" s="63" t="n"/>
      <c r="F108" s="64" t="n"/>
      <c r="G108" s="64" t="n"/>
      <c r="H108" s="64" t="n"/>
      <c r="I108" s="64" t="n"/>
      <c r="J108" s="65" t="n"/>
      <c r="K108" s="65" t="n"/>
      <c r="L108" s="66" t="str">
        <f>IF(X108="OK",SUMIF(bom_prod,A108,bom_cost),"")</f>
        <v/>
      </c>
      <c r="M108" s="66" t="str">
        <f>IF(X108="OK",SUMIF(gam_prod,A108,gam_mo),"")</f>
        <v/>
      </c>
      <c r="N108" s="66" t="str">
        <f>IF(X108="OK",SUMIF(gam_prod,A108,gam_mac),"")</f>
        <v/>
      </c>
      <c r="O108" s="66" t="str">
        <f>IF(X108="OK",SUMIF(gam_prod,A108,gam_setup)/D108,"")</f>
        <v/>
      </c>
      <c r="P108" s="66" t="str">
        <f>IF(X108="OK",(L108+M108+N108+O108+N(G108))*Y108,"")</f>
        <v/>
      </c>
      <c r="Q108" s="66" t="str">
        <f>IF(X108="OK",L108+M108+N108+O108+N(G108)+P108,"")</f>
        <v/>
      </c>
      <c r="R108" s="67" t="str">
        <f>IF(X108="OK",ROUND(Q108+N(H108)+N(I108)/D108,4),"")</f>
        <v/>
      </c>
      <c r="S108" s="66" t="str">
        <f>IF(X108="OK",ROUND(R108*(1+Z108),2),"")</f>
        <v/>
      </c>
      <c r="T108" s="66" t="str">
        <f>IF(AND(X108="OK",N(F108)&gt;0),F108-R108,"")</f>
        <v/>
      </c>
      <c r="U108" s="68" t="str">
        <f>IF(T108="","",IF(R108&lt;=0,"",T108/R108))</f>
        <v/>
      </c>
      <c r="V108" s="68" t="str">
        <f>IF(T108="","",T108/F108)</f>
        <v/>
      </c>
      <c r="W108" s="69" t="str">
        <f>IF(A108="","",IF(X108&lt;&gt;"OK","À corriger",IF(N(F108)&lt;=0,"Prix à saisir",IF(F108&lt;R108,"Vendu à perte",IF(F108&lt;S108,"Sous la cible","OK")))))</f>
        <v/>
      </c>
      <c r="X108" s="69" t="str">
        <f>IF(AND(A108="",COUNTA(B108:K108)=0),"",IF(A108="","Référence manquante",IF(COUNTIF($A$6:$A$305,A108)&gt;1,"Référence en double",IF(OR(NOT(ISNUMBER(D108)),N(D108)&lt;=0),"Taille de lot invalide",IF(AND(E108&lt;&gt;"",OR(NOT(ISNUMBER(E108)),N(E108)&lt;0)),"Volume annuel invalide",IF(AND(F108&lt;&gt;"",OR(NOT(ISNUMBER(F108)),N(F108)&lt;0)),"Prix de vente invalide",IF(OR(AND(G108&lt;&gt;"",OR(NOT(ISNUMBER(G108)),N(G108)&lt;0)),AND(H108&lt;&gt;"",OR(NOT(ISNUMBER(H108)),N(H108)&lt;0)),AND(I108&lt;&gt;"",OR(NOT(ISNUMBER(I108)),N(I108)&lt;0))),"Montant invalide",IF(OR(AND(J108&lt;&gt;"",OR(NOT(ISNUMBER(J108)),N(J108)&lt;0)),AND(K108&lt;&gt;"",OR(NOT(ISNUMBER(K108)),N(K108)&lt;0))),"Pourcentage invalide",IF(COUNTIF(bom_prod,A108)+COUNTIF(gam_prod,A108)=0,"Ni nomenclature ni gamme",IF(COUNTIFS(bom_prod,A108,bom_check,"&lt;&gt;OK")&gt;0,"Nomenclature à corriger",IF(COUNTIFS(gam_prod,A108,gam_check,"&lt;&gt;OK")&gt;0,"Gamme à corriger","OK")))))))))))</f>
        <v/>
      </c>
      <c r="Y108" s="70">
        <f>IF(J108="",N(p_fg),N(J108))</f>
        <v>0.15</v>
      </c>
      <c r="Z108" s="70">
        <f>IF(K108="",N(p_target),N(K108))</f>
        <v>0.25</v>
      </c>
      <c r="AA108" s="71" t="str">
        <f>IF(R108="","",IF(N(F108)&gt;0,ROUND(F108*N(E108),2),0))</f>
        <v/>
      </c>
      <c r="AB108" s="71">
        <f>IF(T108="",0,T108*N(E108))</f>
        <v>0.0</v>
      </c>
      <c r="AC108" s="71">
        <f>IF(T108="",0,R108*N(E108))</f>
        <v>0.0</v>
      </c>
      <c r="AD108" s="71">
        <f>IF(R108="",0,L108*N(E108))</f>
        <v>0.0</v>
      </c>
      <c r="AE108" s="71">
        <f>IF(R108="",0,M108*N(E108))</f>
        <v>0.0</v>
      </c>
      <c r="AF108" s="71">
        <f>IF(R108="",0,N108*N(E108))</f>
        <v>0.0</v>
      </c>
      <c r="AG108" s="71">
        <f>IF(R108="",0,O108*N(E108))</f>
        <v>0.0</v>
      </c>
      <c r="AH108" s="71">
        <f>IF(R108="",0,(N(G108)+N(H108)+N(I108)/D108)*N(E108))</f>
        <v>0.0</v>
      </c>
      <c r="AI108" s="71">
        <f>IF(R108="",0,P108*N(E108))</f>
        <v>0.0</v>
      </c>
      <c r="AJ108" s="71" t="str">
        <f>IF(AA108="","",COUNTIF(prod_ca,"&gt;"&amp;AA108)+COUNTIF(AA$6:AA108,AA108))</f>
        <v/>
      </c>
      <c r="AK108" s="71" t="str">
        <f>IF(OR(W108="Vendu à perte",W108="Sous la cible"),ROUND(U108,6),"")</f>
        <v/>
      </c>
      <c r="AL108" s="71" t="str">
        <f>IF(AK108="","",COUNTIF(prod_alk,"&lt;"&amp;AK108)+COUNTIF(AK$6:AK108,AK108))</f>
        <v/>
      </c>
    </row>
    <row r="109">
      <c r="A109" s="60" t="n"/>
      <c r="B109" s="60" t="n"/>
      <c r="C109" s="61" t="n"/>
      <c r="D109" s="62" t="n"/>
      <c r="E109" s="63" t="n"/>
      <c r="F109" s="64" t="n"/>
      <c r="G109" s="64" t="n"/>
      <c r="H109" s="64" t="n"/>
      <c r="I109" s="64" t="n"/>
      <c r="J109" s="65" t="n"/>
      <c r="K109" s="65" t="n"/>
      <c r="L109" s="66" t="str">
        <f>IF(X109="OK",SUMIF(bom_prod,A109,bom_cost),"")</f>
        <v/>
      </c>
      <c r="M109" s="66" t="str">
        <f>IF(X109="OK",SUMIF(gam_prod,A109,gam_mo),"")</f>
        <v/>
      </c>
      <c r="N109" s="66" t="str">
        <f>IF(X109="OK",SUMIF(gam_prod,A109,gam_mac),"")</f>
        <v/>
      </c>
      <c r="O109" s="66" t="str">
        <f>IF(X109="OK",SUMIF(gam_prod,A109,gam_setup)/D109,"")</f>
        <v/>
      </c>
      <c r="P109" s="66" t="str">
        <f>IF(X109="OK",(L109+M109+N109+O109+N(G109))*Y109,"")</f>
        <v/>
      </c>
      <c r="Q109" s="66" t="str">
        <f>IF(X109="OK",L109+M109+N109+O109+N(G109)+P109,"")</f>
        <v/>
      </c>
      <c r="R109" s="67" t="str">
        <f>IF(X109="OK",ROUND(Q109+N(H109)+N(I109)/D109,4),"")</f>
        <v/>
      </c>
      <c r="S109" s="66" t="str">
        <f>IF(X109="OK",ROUND(R109*(1+Z109),2),"")</f>
        <v/>
      </c>
      <c r="T109" s="66" t="str">
        <f>IF(AND(X109="OK",N(F109)&gt;0),F109-R109,"")</f>
        <v/>
      </c>
      <c r="U109" s="68" t="str">
        <f>IF(T109="","",IF(R109&lt;=0,"",T109/R109))</f>
        <v/>
      </c>
      <c r="V109" s="68" t="str">
        <f>IF(T109="","",T109/F109)</f>
        <v/>
      </c>
      <c r="W109" s="69" t="str">
        <f>IF(A109="","",IF(X109&lt;&gt;"OK","À corriger",IF(N(F109)&lt;=0,"Prix à saisir",IF(F109&lt;R109,"Vendu à perte",IF(F109&lt;S109,"Sous la cible","OK")))))</f>
        <v/>
      </c>
      <c r="X109" s="69" t="str">
        <f>IF(AND(A109="",COUNTA(B109:K109)=0),"",IF(A109="","Référence manquante",IF(COUNTIF($A$6:$A$305,A109)&gt;1,"Référence en double",IF(OR(NOT(ISNUMBER(D109)),N(D109)&lt;=0),"Taille de lot invalide",IF(AND(E109&lt;&gt;"",OR(NOT(ISNUMBER(E109)),N(E109)&lt;0)),"Volume annuel invalide",IF(AND(F109&lt;&gt;"",OR(NOT(ISNUMBER(F109)),N(F109)&lt;0)),"Prix de vente invalide",IF(OR(AND(G109&lt;&gt;"",OR(NOT(ISNUMBER(G109)),N(G109)&lt;0)),AND(H109&lt;&gt;"",OR(NOT(ISNUMBER(H109)),N(H109)&lt;0)),AND(I109&lt;&gt;"",OR(NOT(ISNUMBER(I109)),N(I109)&lt;0))),"Montant invalide",IF(OR(AND(J109&lt;&gt;"",OR(NOT(ISNUMBER(J109)),N(J109)&lt;0)),AND(K109&lt;&gt;"",OR(NOT(ISNUMBER(K109)),N(K109)&lt;0))),"Pourcentage invalide",IF(COUNTIF(bom_prod,A109)+COUNTIF(gam_prod,A109)=0,"Ni nomenclature ni gamme",IF(COUNTIFS(bom_prod,A109,bom_check,"&lt;&gt;OK")&gt;0,"Nomenclature à corriger",IF(COUNTIFS(gam_prod,A109,gam_check,"&lt;&gt;OK")&gt;0,"Gamme à corriger","OK")))))))))))</f>
        <v/>
      </c>
      <c r="Y109" s="70">
        <f>IF(J109="",N(p_fg),N(J109))</f>
        <v>0.15</v>
      </c>
      <c r="Z109" s="70">
        <f>IF(K109="",N(p_target),N(K109))</f>
        <v>0.25</v>
      </c>
      <c r="AA109" s="71" t="str">
        <f>IF(R109="","",IF(N(F109)&gt;0,ROUND(F109*N(E109),2),0))</f>
        <v/>
      </c>
      <c r="AB109" s="71">
        <f>IF(T109="",0,T109*N(E109))</f>
        <v>0.0</v>
      </c>
      <c r="AC109" s="71">
        <f>IF(T109="",0,R109*N(E109))</f>
        <v>0.0</v>
      </c>
      <c r="AD109" s="71">
        <f>IF(R109="",0,L109*N(E109))</f>
        <v>0.0</v>
      </c>
      <c r="AE109" s="71">
        <f>IF(R109="",0,M109*N(E109))</f>
        <v>0.0</v>
      </c>
      <c r="AF109" s="71">
        <f>IF(R109="",0,N109*N(E109))</f>
        <v>0.0</v>
      </c>
      <c r="AG109" s="71">
        <f>IF(R109="",0,O109*N(E109))</f>
        <v>0.0</v>
      </c>
      <c r="AH109" s="71">
        <f>IF(R109="",0,(N(G109)+N(H109)+N(I109)/D109)*N(E109))</f>
        <v>0.0</v>
      </c>
      <c r="AI109" s="71">
        <f>IF(R109="",0,P109*N(E109))</f>
        <v>0.0</v>
      </c>
      <c r="AJ109" s="71" t="str">
        <f>IF(AA109="","",COUNTIF(prod_ca,"&gt;"&amp;AA109)+COUNTIF(AA$6:AA109,AA109))</f>
        <v/>
      </c>
      <c r="AK109" s="71" t="str">
        <f>IF(OR(W109="Vendu à perte",W109="Sous la cible"),ROUND(U109,6),"")</f>
        <v/>
      </c>
      <c r="AL109" s="71" t="str">
        <f>IF(AK109="","",COUNTIF(prod_alk,"&lt;"&amp;AK109)+COUNTIF(AK$6:AK109,AK109))</f>
        <v/>
      </c>
    </row>
    <row r="110">
      <c r="A110" s="60" t="n"/>
      <c r="B110" s="60" t="n"/>
      <c r="C110" s="61" t="n"/>
      <c r="D110" s="62" t="n"/>
      <c r="E110" s="63" t="n"/>
      <c r="F110" s="64" t="n"/>
      <c r="G110" s="64" t="n"/>
      <c r="H110" s="64" t="n"/>
      <c r="I110" s="64" t="n"/>
      <c r="J110" s="65" t="n"/>
      <c r="K110" s="65" t="n"/>
      <c r="L110" s="66" t="str">
        <f>IF(X110="OK",SUMIF(bom_prod,A110,bom_cost),"")</f>
        <v/>
      </c>
      <c r="M110" s="66" t="str">
        <f>IF(X110="OK",SUMIF(gam_prod,A110,gam_mo),"")</f>
        <v/>
      </c>
      <c r="N110" s="66" t="str">
        <f>IF(X110="OK",SUMIF(gam_prod,A110,gam_mac),"")</f>
        <v/>
      </c>
      <c r="O110" s="66" t="str">
        <f>IF(X110="OK",SUMIF(gam_prod,A110,gam_setup)/D110,"")</f>
        <v/>
      </c>
      <c r="P110" s="66" t="str">
        <f>IF(X110="OK",(L110+M110+N110+O110+N(G110))*Y110,"")</f>
        <v/>
      </c>
      <c r="Q110" s="66" t="str">
        <f>IF(X110="OK",L110+M110+N110+O110+N(G110)+P110,"")</f>
        <v/>
      </c>
      <c r="R110" s="67" t="str">
        <f>IF(X110="OK",ROUND(Q110+N(H110)+N(I110)/D110,4),"")</f>
        <v/>
      </c>
      <c r="S110" s="66" t="str">
        <f>IF(X110="OK",ROUND(R110*(1+Z110),2),"")</f>
        <v/>
      </c>
      <c r="T110" s="66" t="str">
        <f>IF(AND(X110="OK",N(F110)&gt;0),F110-R110,"")</f>
        <v/>
      </c>
      <c r="U110" s="68" t="str">
        <f>IF(T110="","",IF(R110&lt;=0,"",T110/R110))</f>
        <v/>
      </c>
      <c r="V110" s="68" t="str">
        <f>IF(T110="","",T110/F110)</f>
        <v/>
      </c>
      <c r="W110" s="69" t="str">
        <f>IF(A110="","",IF(X110&lt;&gt;"OK","À corriger",IF(N(F110)&lt;=0,"Prix à saisir",IF(F110&lt;R110,"Vendu à perte",IF(F110&lt;S110,"Sous la cible","OK")))))</f>
        <v/>
      </c>
      <c r="X110" s="69" t="str">
        <f>IF(AND(A110="",COUNTA(B110:K110)=0),"",IF(A110="","Référence manquante",IF(COUNTIF($A$6:$A$305,A110)&gt;1,"Référence en double",IF(OR(NOT(ISNUMBER(D110)),N(D110)&lt;=0),"Taille de lot invalide",IF(AND(E110&lt;&gt;"",OR(NOT(ISNUMBER(E110)),N(E110)&lt;0)),"Volume annuel invalide",IF(AND(F110&lt;&gt;"",OR(NOT(ISNUMBER(F110)),N(F110)&lt;0)),"Prix de vente invalide",IF(OR(AND(G110&lt;&gt;"",OR(NOT(ISNUMBER(G110)),N(G110)&lt;0)),AND(H110&lt;&gt;"",OR(NOT(ISNUMBER(H110)),N(H110)&lt;0)),AND(I110&lt;&gt;"",OR(NOT(ISNUMBER(I110)),N(I110)&lt;0))),"Montant invalide",IF(OR(AND(J110&lt;&gt;"",OR(NOT(ISNUMBER(J110)),N(J110)&lt;0)),AND(K110&lt;&gt;"",OR(NOT(ISNUMBER(K110)),N(K110)&lt;0))),"Pourcentage invalide",IF(COUNTIF(bom_prod,A110)+COUNTIF(gam_prod,A110)=0,"Ni nomenclature ni gamme",IF(COUNTIFS(bom_prod,A110,bom_check,"&lt;&gt;OK")&gt;0,"Nomenclature à corriger",IF(COUNTIFS(gam_prod,A110,gam_check,"&lt;&gt;OK")&gt;0,"Gamme à corriger","OK")))))))))))</f>
        <v/>
      </c>
      <c r="Y110" s="70">
        <f>IF(J110="",N(p_fg),N(J110))</f>
        <v>0.15</v>
      </c>
      <c r="Z110" s="70">
        <f>IF(K110="",N(p_target),N(K110))</f>
        <v>0.25</v>
      </c>
      <c r="AA110" s="71" t="str">
        <f>IF(R110="","",IF(N(F110)&gt;0,ROUND(F110*N(E110),2),0))</f>
        <v/>
      </c>
      <c r="AB110" s="71">
        <f>IF(T110="",0,T110*N(E110))</f>
        <v>0.0</v>
      </c>
      <c r="AC110" s="71">
        <f>IF(T110="",0,R110*N(E110))</f>
        <v>0.0</v>
      </c>
      <c r="AD110" s="71">
        <f>IF(R110="",0,L110*N(E110))</f>
        <v>0.0</v>
      </c>
      <c r="AE110" s="71">
        <f>IF(R110="",0,M110*N(E110))</f>
        <v>0.0</v>
      </c>
      <c r="AF110" s="71">
        <f>IF(R110="",0,N110*N(E110))</f>
        <v>0.0</v>
      </c>
      <c r="AG110" s="71">
        <f>IF(R110="",0,O110*N(E110))</f>
        <v>0.0</v>
      </c>
      <c r="AH110" s="71">
        <f>IF(R110="",0,(N(G110)+N(H110)+N(I110)/D110)*N(E110))</f>
        <v>0.0</v>
      </c>
      <c r="AI110" s="71">
        <f>IF(R110="",0,P110*N(E110))</f>
        <v>0.0</v>
      </c>
      <c r="AJ110" s="71" t="str">
        <f>IF(AA110="","",COUNTIF(prod_ca,"&gt;"&amp;AA110)+COUNTIF(AA$6:AA110,AA110))</f>
        <v/>
      </c>
      <c r="AK110" s="71" t="str">
        <f>IF(OR(W110="Vendu à perte",W110="Sous la cible"),ROUND(U110,6),"")</f>
        <v/>
      </c>
      <c r="AL110" s="71" t="str">
        <f>IF(AK110="","",COUNTIF(prod_alk,"&lt;"&amp;AK110)+COUNTIF(AK$6:AK110,AK110))</f>
        <v/>
      </c>
    </row>
    <row r="111">
      <c r="A111" s="60" t="n"/>
      <c r="B111" s="60" t="n"/>
      <c r="C111" s="61" t="n"/>
      <c r="D111" s="62" t="n"/>
      <c r="E111" s="63" t="n"/>
      <c r="F111" s="64" t="n"/>
      <c r="G111" s="64" t="n"/>
      <c r="H111" s="64" t="n"/>
      <c r="I111" s="64" t="n"/>
      <c r="J111" s="65" t="n"/>
      <c r="K111" s="65" t="n"/>
      <c r="L111" s="66" t="str">
        <f>IF(X111="OK",SUMIF(bom_prod,A111,bom_cost),"")</f>
        <v/>
      </c>
      <c r="M111" s="66" t="str">
        <f>IF(X111="OK",SUMIF(gam_prod,A111,gam_mo),"")</f>
        <v/>
      </c>
      <c r="N111" s="66" t="str">
        <f>IF(X111="OK",SUMIF(gam_prod,A111,gam_mac),"")</f>
        <v/>
      </c>
      <c r="O111" s="66" t="str">
        <f>IF(X111="OK",SUMIF(gam_prod,A111,gam_setup)/D111,"")</f>
        <v/>
      </c>
      <c r="P111" s="66" t="str">
        <f>IF(X111="OK",(L111+M111+N111+O111+N(G111))*Y111,"")</f>
        <v/>
      </c>
      <c r="Q111" s="66" t="str">
        <f>IF(X111="OK",L111+M111+N111+O111+N(G111)+P111,"")</f>
        <v/>
      </c>
      <c r="R111" s="67" t="str">
        <f>IF(X111="OK",ROUND(Q111+N(H111)+N(I111)/D111,4),"")</f>
        <v/>
      </c>
      <c r="S111" s="66" t="str">
        <f>IF(X111="OK",ROUND(R111*(1+Z111),2),"")</f>
        <v/>
      </c>
      <c r="T111" s="66" t="str">
        <f>IF(AND(X111="OK",N(F111)&gt;0),F111-R111,"")</f>
        <v/>
      </c>
      <c r="U111" s="68" t="str">
        <f>IF(T111="","",IF(R111&lt;=0,"",T111/R111))</f>
        <v/>
      </c>
      <c r="V111" s="68" t="str">
        <f>IF(T111="","",T111/F111)</f>
        <v/>
      </c>
      <c r="W111" s="69" t="str">
        <f>IF(A111="","",IF(X111&lt;&gt;"OK","À corriger",IF(N(F111)&lt;=0,"Prix à saisir",IF(F111&lt;R111,"Vendu à perte",IF(F111&lt;S111,"Sous la cible","OK")))))</f>
        <v/>
      </c>
      <c r="X111" s="69" t="str">
        <f>IF(AND(A111="",COUNTA(B111:K111)=0),"",IF(A111="","Référence manquante",IF(COUNTIF($A$6:$A$305,A111)&gt;1,"Référence en double",IF(OR(NOT(ISNUMBER(D111)),N(D111)&lt;=0),"Taille de lot invalide",IF(AND(E111&lt;&gt;"",OR(NOT(ISNUMBER(E111)),N(E111)&lt;0)),"Volume annuel invalide",IF(AND(F111&lt;&gt;"",OR(NOT(ISNUMBER(F111)),N(F111)&lt;0)),"Prix de vente invalide",IF(OR(AND(G111&lt;&gt;"",OR(NOT(ISNUMBER(G111)),N(G111)&lt;0)),AND(H111&lt;&gt;"",OR(NOT(ISNUMBER(H111)),N(H111)&lt;0)),AND(I111&lt;&gt;"",OR(NOT(ISNUMBER(I111)),N(I111)&lt;0))),"Montant invalide",IF(OR(AND(J111&lt;&gt;"",OR(NOT(ISNUMBER(J111)),N(J111)&lt;0)),AND(K111&lt;&gt;"",OR(NOT(ISNUMBER(K111)),N(K111)&lt;0))),"Pourcentage invalide",IF(COUNTIF(bom_prod,A111)+COUNTIF(gam_prod,A111)=0,"Ni nomenclature ni gamme",IF(COUNTIFS(bom_prod,A111,bom_check,"&lt;&gt;OK")&gt;0,"Nomenclature à corriger",IF(COUNTIFS(gam_prod,A111,gam_check,"&lt;&gt;OK")&gt;0,"Gamme à corriger","OK")))))))))))</f>
        <v/>
      </c>
      <c r="Y111" s="70">
        <f>IF(J111="",N(p_fg),N(J111))</f>
        <v>0.15</v>
      </c>
      <c r="Z111" s="70">
        <f>IF(K111="",N(p_target),N(K111))</f>
        <v>0.25</v>
      </c>
      <c r="AA111" s="71" t="str">
        <f>IF(R111="","",IF(N(F111)&gt;0,ROUND(F111*N(E111),2),0))</f>
        <v/>
      </c>
      <c r="AB111" s="71">
        <f>IF(T111="",0,T111*N(E111))</f>
        <v>0.0</v>
      </c>
      <c r="AC111" s="71">
        <f>IF(T111="",0,R111*N(E111))</f>
        <v>0.0</v>
      </c>
      <c r="AD111" s="71">
        <f>IF(R111="",0,L111*N(E111))</f>
        <v>0.0</v>
      </c>
      <c r="AE111" s="71">
        <f>IF(R111="",0,M111*N(E111))</f>
        <v>0.0</v>
      </c>
      <c r="AF111" s="71">
        <f>IF(R111="",0,N111*N(E111))</f>
        <v>0.0</v>
      </c>
      <c r="AG111" s="71">
        <f>IF(R111="",0,O111*N(E111))</f>
        <v>0.0</v>
      </c>
      <c r="AH111" s="71">
        <f>IF(R111="",0,(N(G111)+N(H111)+N(I111)/D111)*N(E111))</f>
        <v>0.0</v>
      </c>
      <c r="AI111" s="71">
        <f>IF(R111="",0,P111*N(E111))</f>
        <v>0.0</v>
      </c>
      <c r="AJ111" s="71" t="str">
        <f>IF(AA111="","",COUNTIF(prod_ca,"&gt;"&amp;AA111)+COUNTIF(AA$6:AA111,AA111))</f>
        <v/>
      </c>
      <c r="AK111" s="71" t="str">
        <f>IF(OR(W111="Vendu à perte",W111="Sous la cible"),ROUND(U111,6),"")</f>
        <v/>
      </c>
      <c r="AL111" s="71" t="str">
        <f>IF(AK111="","",COUNTIF(prod_alk,"&lt;"&amp;AK111)+COUNTIF(AK$6:AK111,AK111))</f>
        <v/>
      </c>
    </row>
    <row r="112">
      <c r="A112" s="60" t="n"/>
      <c r="B112" s="60" t="n"/>
      <c r="C112" s="61" t="n"/>
      <c r="D112" s="62" t="n"/>
      <c r="E112" s="63" t="n"/>
      <c r="F112" s="64" t="n"/>
      <c r="G112" s="64" t="n"/>
      <c r="H112" s="64" t="n"/>
      <c r="I112" s="64" t="n"/>
      <c r="J112" s="65" t="n"/>
      <c r="K112" s="65" t="n"/>
      <c r="L112" s="66" t="str">
        <f>IF(X112="OK",SUMIF(bom_prod,A112,bom_cost),"")</f>
        <v/>
      </c>
      <c r="M112" s="66" t="str">
        <f>IF(X112="OK",SUMIF(gam_prod,A112,gam_mo),"")</f>
        <v/>
      </c>
      <c r="N112" s="66" t="str">
        <f>IF(X112="OK",SUMIF(gam_prod,A112,gam_mac),"")</f>
        <v/>
      </c>
      <c r="O112" s="66" t="str">
        <f>IF(X112="OK",SUMIF(gam_prod,A112,gam_setup)/D112,"")</f>
        <v/>
      </c>
      <c r="P112" s="66" t="str">
        <f>IF(X112="OK",(L112+M112+N112+O112+N(G112))*Y112,"")</f>
        <v/>
      </c>
      <c r="Q112" s="66" t="str">
        <f>IF(X112="OK",L112+M112+N112+O112+N(G112)+P112,"")</f>
        <v/>
      </c>
      <c r="R112" s="67" t="str">
        <f>IF(X112="OK",ROUND(Q112+N(H112)+N(I112)/D112,4),"")</f>
        <v/>
      </c>
      <c r="S112" s="66" t="str">
        <f>IF(X112="OK",ROUND(R112*(1+Z112),2),"")</f>
        <v/>
      </c>
      <c r="T112" s="66" t="str">
        <f>IF(AND(X112="OK",N(F112)&gt;0),F112-R112,"")</f>
        <v/>
      </c>
      <c r="U112" s="68" t="str">
        <f>IF(T112="","",IF(R112&lt;=0,"",T112/R112))</f>
        <v/>
      </c>
      <c r="V112" s="68" t="str">
        <f>IF(T112="","",T112/F112)</f>
        <v/>
      </c>
      <c r="W112" s="69" t="str">
        <f>IF(A112="","",IF(X112&lt;&gt;"OK","À corriger",IF(N(F112)&lt;=0,"Prix à saisir",IF(F112&lt;R112,"Vendu à perte",IF(F112&lt;S112,"Sous la cible","OK")))))</f>
        <v/>
      </c>
      <c r="X112" s="69" t="str">
        <f>IF(AND(A112="",COUNTA(B112:K112)=0),"",IF(A112="","Référence manquante",IF(COUNTIF($A$6:$A$305,A112)&gt;1,"Référence en double",IF(OR(NOT(ISNUMBER(D112)),N(D112)&lt;=0),"Taille de lot invalide",IF(AND(E112&lt;&gt;"",OR(NOT(ISNUMBER(E112)),N(E112)&lt;0)),"Volume annuel invalide",IF(AND(F112&lt;&gt;"",OR(NOT(ISNUMBER(F112)),N(F112)&lt;0)),"Prix de vente invalide",IF(OR(AND(G112&lt;&gt;"",OR(NOT(ISNUMBER(G112)),N(G112)&lt;0)),AND(H112&lt;&gt;"",OR(NOT(ISNUMBER(H112)),N(H112)&lt;0)),AND(I112&lt;&gt;"",OR(NOT(ISNUMBER(I112)),N(I112)&lt;0))),"Montant invalide",IF(OR(AND(J112&lt;&gt;"",OR(NOT(ISNUMBER(J112)),N(J112)&lt;0)),AND(K112&lt;&gt;"",OR(NOT(ISNUMBER(K112)),N(K112)&lt;0))),"Pourcentage invalide",IF(COUNTIF(bom_prod,A112)+COUNTIF(gam_prod,A112)=0,"Ni nomenclature ni gamme",IF(COUNTIFS(bom_prod,A112,bom_check,"&lt;&gt;OK")&gt;0,"Nomenclature à corriger",IF(COUNTIFS(gam_prod,A112,gam_check,"&lt;&gt;OK")&gt;0,"Gamme à corriger","OK")))))))))))</f>
        <v/>
      </c>
      <c r="Y112" s="70">
        <f>IF(J112="",N(p_fg),N(J112))</f>
        <v>0.15</v>
      </c>
      <c r="Z112" s="70">
        <f>IF(K112="",N(p_target),N(K112))</f>
        <v>0.25</v>
      </c>
      <c r="AA112" s="71" t="str">
        <f>IF(R112="","",IF(N(F112)&gt;0,ROUND(F112*N(E112),2),0))</f>
        <v/>
      </c>
      <c r="AB112" s="71">
        <f>IF(T112="",0,T112*N(E112))</f>
        <v>0.0</v>
      </c>
      <c r="AC112" s="71">
        <f>IF(T112="",0,R112*N(E112))</f>
        <v>0.0</v>
      </c>
      <c r="AD112" s="71">
        <f>IF(R112="",0,L112*N(E112))</f>
        <v>0.0</v>
      </c>
      <c r="AE112" s="71">
        <f>IF(R112="",0,M112*N(E112))</f>
        <v>0.0</v>
      </c>
      <c r="AF112" s="71">
        <f>IF(R112="",0,N112*N(E112))</f>
        <v>0.0</v>
      </c>
      <c r="AG112" s="71">
        <f>IF(R112="",0,O112*N(E112))</f>
        <v>0.0</v>
      </c>
      <c r="AH112" s="71">
        <f>IF(R112="",0,(N(G112)+N(H112)+N(I112)/D112)*N(E112))</f>
        <v>0.0</v>
      </c>
      <c r="AI112" s="71">
        <f>IF(R112="",0,P112*N(E112))</f>
        <v>0.0</v>
      </c>
      <c r="AJ112" s="71" t="str">
        <f>IF(AA112="","",COUNTIF(prod_ca,"&gt;"&amp;AA112)+COUNTIF(AA$6:AA112,AA112))</f>
        <v/>
      </c>
      <c r="AK112" s="71" t="str">
        <f>IF(OR(W112="Vendu à perte",W112="Sous la cible"),ROUND(U112,6),"")</f>
        <v/>
      </c>
      <c r="AL112" s="71" t="str">
        <f>IF(AK112="","",COUNTIF(prod_alk,"&lt;"&amp;AK112)+COUNTIF(AK$6:AK112,AK112))</f>
        <v/>
      </c>
    </row>
    <row r="113">
      <c r="A113" s="60" t="n"/>
      <c r="B113" s="60" t="n"/>
      <c r="C113" s="61" t="n"/>
      <c r="D113" s="62" t="n"/>
      <c r="E113" s="63" t="n"/>
      <c r="F113" s="64" t="n"/>
      <c r="G113" s="64" t="n"/>
      <c r="H113" s="64" t="n"/>
      <c r="I113" s="64" t="n"/>
      <c r="J113" s="65" t="n"/>
      <c r="K113" s="65" t="n"/>
      <c r="L113" s="66" t="str">
        <f>IF(X113="OK",SUMIF(bom_prod,A113,bom_cost),"")</f>
        <v/>
      </c>
      <c r="M113" s="66" t="str">
        <f>IF(X113="OK",SUMIF(gam_prod,A113,gam_mo),"")</f>
        <v/>
      </c>
      <c r="N113" s="66" t="str">
        <f>IF(X113="OK",SUMIF(gam_prod,A113,gam_mac),"")</f>
        <v/>
      </c>
      <c r="O113" s="66" t="str">
        <f>IF(X113="OK",SUMIF(gam_prod,A113,gam_setup)/D113,"")</f>
        <v/>
      </c>
      <c r="P113" s="66" t="str">
        <f>IF(X113="OK",(L113+M113+N113+O113+N(G113))*Y113,"")</f>
        <v/>
      </c>
      <c r="Q113" s="66" t="str">
        <f>IF(X113="OK",L113+M113+N113+O113+N(G113)+P113,"")</f>
        <v/>
      </c>
      <c r="R113" s="67" t="str">
        <f>IF(X113="OK",ROUND(Q113+N(H113)+N(I113)/D113,4),"")</f>
        <v/>
      </c>
      <c r="S113" s="66" t="str">
        <f>IF(X113="OK",ROUND(R113*(1+Z113),2),"")</f>
        <v/>
      </c>
      <c r="T113" s="66" t="str">
        <f>IF(AND(X113="OK",N(F113)&gt;0),F113-R113,"")</f>
        <v/>
      </c>
      <c r="U113" s="68" t="str">
        <f>IF(T113="","",IF(R113&lt;=0,"",T113/R113))</f>
        <v/>
      </c>
      <c r="V113" s="68" t="str">
        <f>IF(T113="","",T113/F113)</f>
        <v/>
      </c>
      <c r="W113" s="69" t="str">
        <f>IF(A113="","",IF(X113&lt;&gt;"OK","À corriger",IF(N(F113)&lt;=0,"Prix à saisir",IF(F113&lt;R113,"Vendu à perte",IF(F113&lt;S113,"Sous la cible","OK")))))</f>
        <v/>
      </c>
      <c r="X113" s="69" t="str">
        <f>IF(AND(A113="",COUNTA(B113:K113)=0),"",IF(A113="","Référence manquante",IF(COUNTIF($A$6:$A$305,A113)&gt;1,"Référence en double",IF(OR(NOT(ISNUMBER(D113)),N(D113)&lt;=0),"Taille de lot invalide",IF(AND(E113&lt;&gt;"",OR(NOT(ISNUMBER(E113)),N(E113)&lt;0)),"Volume annuel invalide",IF(AND(F113&lt;&gt;"",OR(NOT(ISNUMBER(F113)),N(F113)&lt;0)),"Prix de vente invalide",IF(OR(AND(G113&lt;&gt;"",OR(NOT(ISNUMBER(G113)),N(G113)&lt;0)),AND(H113&lt;&gt;"",OR(NOT(ISNUMBER(H113)),N(H113)&lt;0)),AND(I113&lt;&gt;"",OR(NOT(ISNUMBER(I113)),N(I113)&lt;0))),"Montant invalide",IF(OR(AND(J113&lt;&gt;"",OR(NOT(ISNUMBER(J113)),N(J113)&lt;0)),AND(K113&lt;&gt;"",OR(NOT(ISNUMBER(K113)),N(K113)&lt;0))),"Pourcentage invalide",IF(COUNTIF(bom_prod,A113)+COUNTIF(gam_prod,A113)=0,"Ni nomenclature ni gamme",IF(COUNTIFS(bom_prod,A113,bom_check,"&lt;&gt;OK")&gt;0,"Nomenclature à corriger",IF(COUNTIFS(gam_prod,A113,gam_check,"&lt;&gt;OK")&gt;0,"Gamme à corriger","OK")))))))))))</f>
        <v/>
      </c>
      <c r="Y113" s="70">
        <f>IF(J113="",N(p_fg),N(J113))</f>
        <v>0.15</v>
      </c>
      <c r="Z113" s="70">
        <f>IF(K113="",N(p_target),N(K113))</f>
        <v>0.25</v>
      </c>
      <c r="AA113" s="71" t="str">
        <f>IF(R113="","",IF(N(F113)&gt;0,ROUND(F113*N(E113),2),0))</f>
        <v/>
      </c>
      <c r="AB113" s="71">
        <f>IF(T113="",0,T113*N(E113))</f>
        <v>0.0</v>
      </c>
      <c r="AC113" s="71">
        <f>IF(T113="",0,R113*N(E113))</f>
        <v>0.0</v>
      </c>
      <c r="AD113" s="71">
        <f>IF(R113="",0,L113*N(E113))</f>
        <v>0.0</v>
      </c>
      <c r="AE113" s="71">
        <f>IF(R113="",0,M113*N(E113))</f>
        <v>0.0</v>
      </c>
      <c r="AF113" s="71">
        <f>IF(R113="",0,N113*N(E113))</f>
        <v>0.0</v>
      </c>
      <c r="AG113" s="71">
        <f>IF(R113="",0,O113*N(E113))</f>
        <v>0.0</v>
      </c>
      <c r="AH113" s="71">
        <f>IF(R113="",0,(N(G113)+N(H113)+N(I113)/D113)*N(E113))</f>
        <v>0.0</v>
      </c>
      <c r="AI113" s="71">
        <f>IF(R113="",0,P113*N(E113))</f>
        <v>0.0</v>
      </c>
      <c r="AJ113" s="71" t="str">
        <f>IF(AA113="","",COUNTIF(prod_ca,"&gt;"&amp;AA113)+COUNTIF(AA$6:AA113,AA113))</f>
        <v/>
      </c>
      <c r="AK113" s="71" t="str">
        <f>IF(OR(W113="Vendu à perte",W113="Sous la cible"),ROUND(U113,6),"")</f>
        <v/>
      </c>
      <c r="AL113" s="71" t="str">
        <f>IF(AK113="","",COUNTIF(prod_alk,"&lt;"&amp;AK113)+COUNTIF(AK$6:AK113,AK113))</f>
        <v/>
      </c>
    </row>
    <row r="114">
      <c r="A114" s="60" t="n"/>
      <c r="B114" s="60" t="n"/>
      <c r="C114" s="61" t="n"/>
      <c r="D114" s="62" t="n"/>
      <c r="E114" s="63" t="n"/>
      <c r="F114" s="64" t="n"/>
      <c r="G114" s="64" t="n"/>
      <c r="H114" s="64" t="n"/>
      <c r="I114" s="64" t="n"/>
      <c r="J114" s="65" t="n"/>
      <c r="K114" s="65" t="n"/>
      <c r="L114" s="66" t="str">
        <f>IF(X114="OK",SUMIF(bom_prod,A114,bom_cost),"")</f>
        <v/>
      </c>
      <c r="M114" s="66" t="str">
        <f>IF(X114="OK",SUMIF(gam_prod,A114,gam_mo),"")</f>
        <v/>
      </c>
      <c r="N114" s="66" t="str">
        <f>IF(X114="OK",SUMIF(gam_prod,A114,gam_mac),"")</f>
        <v/>
      </c>
      <c r="O114" s="66" t="str">
        <f>IF(X114="OK",SUMIF(gam_prod,A114,gam_setup)/D114,"")</f>
        <v/>
      </c>
      <c r="P114" s="66" t="str">
        <f>IF(X114="OK",(L114+M114+N114+O114+N(G114))*Y114,"")</f>
        <v/>
      </c>
      <c r="Q114" s="66" t="str">
        <f>IF(X114="OK",L114+M114+N114+O114+N(G114)+P114,"")</f>
        <v/>
      </c>
      <c r="R114" s="67" t="str">
        <f>IF(X114="OK",ROUND(Q114+N(H114)+N(I114)/D114,4),"")</f>
        <v/>
      </c>
      <c r="S114" s="66" t="str">
        <f>IF(X114="OK",ROUND(R114*(1+Z114),2),"")</f>
        <v/>
      </c>
      <c r="T114" s="66" t="str">
        <f>IF(AND(X114="OK",N(F114)&gt;0),F114-R114,"")</f>
        <v/>
      </c>
      <c r="U114" s="68" t="str">
        <f>IF(T114="","",IF(R114&lt;=0,"",T114/R114))</f>
        <v/>
      </c>
      <c r="V114" s="68" t="str">
        <f>IF(T114="","",T114/F114)</f>
        <v/>
      </c>
      <c r="W114" s="69" t="str">
        <f>IF(A114="","",IF(X114&lt;&gt;"OK","À corriger",IF(N(F114)&lt;=0,"Prix à saisir",IF(F114&lt;R114,"Vendu à perte",IF(F114&lt;S114,"Sous la cible","OK")))))</f>
        <v/>
      </c>
      <c r="X114" s="69" t="str">
        <f>IF(AND(A114="",COUNTA(B114:K114)=0),"",IF(A114="","Référence manquante",IF(COUNTIF($A$6:$A$305,A114)&gt;1,"Référence en double",IF(OR(NOT(ISNUMBER(D114)),N(D114)&lt;=0),"Taille de lot invalide",IF(AND(E114&lt;&gt;"",OR(NOT(ISNUMBER(E114)),N(E114)&lt;0)),"Volume annuel invalide",IF(AND(F114&lt;&gt;"",OR(NOT(ISNUMBER(F114)),N(F114)&lt;0)),"Prix de vente invalide",IF(OR(AND(G114&lt;&gt;"",OR(NOT(ISNUMBER(G114)),N(G114)&lt;0)),AND(H114&lt;&gt;"",OR(NOT(ISNUMBER(H114)),N(H114)&lt;0)),AND(I114&lt;&gt;"",OR(NOT(ISNUMBER(I114)),N(I114)&lt;0))),"Montant invalide",IF(OR(AND(J114&lt;&gt;"",OR(NOT(ISNUMBER(J114)),N(J114)&lt;0)),AND(K114&lt;&gt;"",OR(NOT(ISNUMBER(K114)),N(K114)&lt;0))),"Pourcentage invalide",IF(COUNTIF(bom_prod,A114)+COUNTIF(gam_prod,A114)=0,"Ni nomenclature ni gamme",IF(COUNTIFS(bom_prod,A114,bom_check,"&lt;&gt;OK")&gt;0,"Nomenclature à corriger",IF(COUNTIFS(gam_prod,A114,gam_check,"&lt;&gt;OK")&gt;0,"Gamme à corriger","OK")))))))))))</f>
        <v/>
      </c>
      <c r="Y114" s="70">
        <f>IF(J114="",N(p_fg),N(J114))</f>
        <v>0.15</v>
      </c>
      <c r="Z114" s="70">
        <f>IF(K114="",N(p_target),N(K114))</f>
        <v>0.25</v>
      </c>
      <c r="AA114" s="71" t="str">
        <f>IF(R114="","",IF(N(F114)&gt;0,ROUND(F114*N(E114),2),0))</f>
        <v/>
      </c>
      <c r="AB114" s="71">
        <f>IF(T114="",0,T114*N(E114))</f>
        <v>0.0</v>
      </c>
      <c r="AC114" s="71">
        <f>IF(T114="",0,R114*N(E114))</f>
        <v>0.0</v>
      </c>
      <c r="AD114" s="71">
        <f>IF(R114="",0,L114*N(E114))</f>
        <v>0.0</v>
      </c>
      <c r="AE114" s="71">
        <f>IF(R114="",0,M114*N(E114))</f>
        <v>0.0</v>
      </c>
      <c r="AF114" s="71">
        <f>IF(R114="",0,N114*N(E114))</f>
        <v>0.0</v>
      </c>
      <c r="AG114" s="71">
        <f>IF(R114="",0,O114*N(E114))</f>
        <v>0.0</v>
      </c>
      <c r="AH114" s="71">
        <f>IF(R114="",0,(N(G114)+N(H114)+N(I114)/D114)*N(E114))</f>
        <v>0.0</v>
      </c>
      <c r="AI114" s="71">
        <f>IF(R114="",0,P114*N(E114))</f>
        <v>0.0</v>
      </c>
      <c r="AJ114" s="71" t="str">
        <f>IF(AA114="","",COUNTIF(prod_ca,"&gt;"&amp;AA114)+COUNTIF(AA$6:AA114,AA114))</f>
        <v/>
      </c>
      <c r="AK114" s="71" t="str">
        <f>IF(OR(W114="Vendu à perte",W114="Sous la cible"),ROUND(U114,6),"")</f>
        <v/>
      </c>
      <c r="AL114" s="71" t="str">
        <f>IF(AK114="","",COUNTIF(prod_alk,"&lt;"&amp;AK114)+COUNTIF(AK$6:AK114,AK114))</f>
        <v/>
      </c>
    </row>
    <row r="115">
      <c r="A115" s="60" t="n"/>
      <c r="B115" s="60" t="n"/>
      <c r="C115" s="61" t="n"/>
      <c r="D115" s="62" t="n"/>
      <c r="E115" s="63" t="n"/>
      <c r="F115" s="64" t="n"/>
      <c r="G115" s="64" t="n"/>
      <c r="H115" s="64" t="n"/>
      <c r="I115" s="64" t="n"/>
      <c r="J115" s="65" t="n"/>
      <c r="K115" s="65" t="n"/>
      <c r="L115" s="66" t="str">
        <f>IF(X115="OK",SUMIF(bom_prod,A115,bom_cost),"")</f>
        <v/>
      </c>
      <c r="M115" s="66" t="str">
        <f>IF(X115="OK",SUMIF(gam_prod,A115,gam_mo),"")</f>
        <v/>
      </c>
      <c r="N115" s="66" t="str">
        <f>IF(X115="OK",SUMIF(gam_prod,A115,gam_mac),"")</f>
        <v/>
      </c>
      <c r="O115" s="66" t="str">
        <f>IF(X115="OK",SUMIF(gam_prod,A115,gam_setup)/D115,"")</f>
        <v/>
      </c>
      <c r="P115" s="66" t="str">
        <f>IF(X115="OK",(L115+M115+N115+O115+N(G115))*Y115,"")</f>
        <v/>
      </c>
      <c r="Q115" s="66" t="str">
        <f>IF(X115="OK",L115+M115+N115+O115+N(G115)+P115,"")</f>
        <v/>
      </c>
      <c r="R115" s="67" t="str">
        <f>IF(X115="OK",ROUND(Q115+N(H115)+N(I115)/D115,4),"")</f>
        <v/>
      </c>
      <c r="S115" s="66" t="str">
        <f>IF(X115="OK",ROUND(R115*(1+Z115),2),"")</f>
        <v/>
      </c>
      <c r="T115" s="66" t="str">
        <f>IF(AND(X115="OK",N(F115)&gt;0),F115-R115,"")</f>
        <v/>
      </c>
      <c r="U115" s="68" t="str">
        <f>IF(T115="","",IF(R115&lt;=0,"",T115/R115))</f>
        <v/>
      </c>
      <c r="V115" s="68" t="str">
        <f>IF(T115="","",T115/F115)</f>
        <v/>
      </c>
      <c r="W115" s="69" t="str">
        <f>IF(A115="","",IF(X115&lt;&gt;"OK","À corriger",IF(N(F115)&lt;=0,"Prix à saisir",IF(F115&lt;R115,"Vendu à perte",IF(F115&lt;S115,"Sous la cible","OK")))))</f>
        <v/>
      </c>
      <c r="X115" s="69" t="str">
        <f>IF(AND(A115="",COUNTA(B115:K115)=0),"",IF(A115="","Référence manquante",IF(COUNTIF($A$6:$A$305,A115)&gt;1,"Référence en double",IF(OR(NOT(ISNUMBER(D115)),N(D115)&lt;=0),"Taille de lot invalide",IF(AND(E115&lt;&gt;"",OR(NOT(ISNUMBER(E115)),N(E115)&lt;0)),"Volume annuel invalide",IF(AND(F115&lt;&gt;"",OR(NOT(ISNUMBER(F115)),N(F115)&lt;0)),"Prix de vente invalide",IF(OR(AND(G115&lt;&gt;"",OR(NOT(ISNUMBER(G115)),N(G115)&lt;0)),AND(H115&lt;&gt;"",OR(NOT(ISNUMBER(H115)),N(H115)&lt;0)),AND(I115&lt;&gt;"",OR(NOT(ISNUMBER(I115)),N(I115)&lt;0))),"Montant invalide",IF(OR(AND(J115&lt;&gt;"",OR(NOT(ISNUMBER(J115)),N(J115)&lt;0)),AND(K115&lt;&gt;"",OR(NOT(ISNUMBER(K115)),N(K115)&lt;0))),"Pourcentage invalide",IF(COUNTIF(bom_prod,A115)+COUNTIF(gam_prod,A115)=0,"Ni nomenclature ni gamme",IF(COUNTIFS(bom_prod,A115,bom_check,"&lt;&gt;OK")&gt;0,"Nomenclature à corriger",IF(COUNTIFS(gam_prod,A115,gam_check,"&lt;&gt;OK")&gt;0,"Gamme à corriger","OK")))))))))))</f>
        <v/>
      </c>
      <c r="Y115" s="70">
        <f>IF(J115="",N(p_fg),N(J115))</f>
        <v>0.15</v>
      </c>
      <c r="Z115" s="70">
        <f>IF(K115="",N(p_target),N(K115))</f>
        <v>0.25</v>
      </c>
      <c r="AA115" s="71" t="str">
        <f>IF(R115="","",IF(N(F115)&gt;0,ROUND(F115*N(E115),2),0))</f>
        <v/>
      </c>
      <c r="AB115" s="71">
        <f>IF(T115="",0,T115*N(E115))</f>
        <v>0.0</v>
      </c>
      <c r="AC115" s="71">
        <f>IF(T115="",0,R115*N(E115))</f>
        <v>0.0</v>
      </c>
      <c r="AD115" s="71">
        <f>IF(R115="",0,L115*N(E115))</f>
        <v>0.0</v>
      </c>
      <c r="AE115" s="71">
        <f>IF(R115="",0,M115*N(E115))</f>
        <v>0.0</v>
      </c>
      <c r="AF115" s="71">
        <f>IF(R115="",0,N115*N(E115))</f>
        <v>0.0</v>
      </c>
      <c r="AG115" s="71">
        <f>IF(R115="",0,O115*N(E115))</f>
        <v>0.0</v>
      </c>
      <c r="AH115" s="71">
        <f>IF(R115="",0,(N(G115)+N(H115)+N(I115)/D115)*N(E115))</f>
        <v>0.0</v>
      </c>
      <c r="AI115" s="71">
        <f>IF(R115="",0,P115*N(E115))</f>
        <v>0.0</v>
      </c>
      <c r="AJ115" s="71" t="str">
        <f>IF(AA115="","",COUNTIF(prod_ca,"&gt;"&amp;AA115)+COUNTIF(AA$6:AA115,AA115))</f>
        <v/>
      </c>
      <c r="AK115" s="71" t="str">
        <f>IF(OR(W115="Vendu à perte",W115="Sous la cible"),ROUND(U115,6),"")</f>
        <v/>
      </c>
      <c r="AL115" s="71" t="str">
        <f>IF(AK115="","",COUNTIF(prod_alk,"&lt;"&amp;AK115)+COUNTIF(AK$6:AK115,AK115))</f>
        <v/>
      </c>
    </row>
    <row r="116">
      <c r="A116" s="60" t="n"/>
      <c r="B116" s="60" t="n"/>
      <c r="C116" s="61" t="n"/>
      <c r="D116" s="62" t="n"/>
      <c r="E116" s="63" t="n"/>
      <c r="F116" s="64" t="n"/>
      <c r="G116" s="64" t="n"/>
      <c r="H116" s="64" t="n"/>
      <c r="I116" s="64" t="n"/>
      <c r="J116" s="65" t="n"/>
      <c r="K116" s="65" t="n"/>
      <c r="L116" s="66" t="str">
        <f>IF(X116="OK",SUMIF(bom_prod,A116,bom_cost),"")</f>
        <v/>
      </c>
      <c r="M116" s="66" t="str">
        <f>IF(X116="OK",SUMIF(gam_prod,A116,gam_mo),"")</f>
        <v/>
      </c>
      <c r="N116" s="66" t="str">
        <f>IF(X116="OK",SUMIF(gam_prod,A116,gam_mac),"")</f>
        <v/>
      </c>
      <c r="O116" s="66" t="str">
        <f>IF(X116="OK",SUMIF(gam_prod,A116,gam_setup)/D116,"")</f>
        <v/>
      </c>
      <c r="P116" s="66" t="str">
        <f>IF(X116="OK",(L116+M116+N116+O116+N(G116))*Y116,"")</f>
        <v/>
      </c>
      <c r="Q116" s="66" t="str">
        <f>IF(X116="OK",L116+M116+N116+O116+N(G116)+P116,"")</f>
        <v/>
      </c>
      <c r="R116" s="67" t="str">
        <f>IF(X116="OK",ROUND(Q116+N(H116)+N(I116)/D116,4),"")</f>
        <v/>
      </c>
      <c r="S116" s="66" t="str">
        <f>IF(X116="OK",ROUND(R116*(1+Z116),2),"")</f>
        <v/>
      </c>
      <c r="T116" s="66" t="str">
        <f>IF(AND(X116="OK",N(F116)&gt;0),F116-R116,"")</f>
        <v/>
      </c>
      <c r="U116" s="68" t="str">
        <f>IF(T116="","",IF(R116&lt;=0,"",T116/R116))</f>
        <v/>
      </c>
      <c r="V116" s="68" t="str">
        <f>IF(T116="","",T116/F116)</f>
        <v/>
      </c>
      <c r="W116" s="69" t="str">
        <f>IF(A116="","",IF(X116&lt;&gt;"OK","À corriger",IF(N(F116)&lt;=0,"Prix à saisir",IF(F116&lt;R116,"Vendu à perte",IF(F116&lt;S116,"Sous la cible","OK")))))</f>
        <v/>
      </c>
      <c r="X116" s="69" t="str">
        <f>IF(AND(A116="",COUNTA(B116:K116)=0),"",IF(A116="","Référence manquante",IF(COUNTIF($A$6:$A$305,A116)&gt;1,"Référence en double",IF(OR(NOT(ISNUMBER(D116)),N(D116)&lt;=0),"Taille de lot invalide",IF(AND(E116&lt;&gt;"",OR(NOT(ISNUMBER(E116)),N(E116)&lt;0)),"Volume annuel invalide",IF(AND(F116&lt;&gt;"",OR(NOT(ISNUMBER(F116)),N(F116)&lt;0)),"Prix de vente invalide",IF(OR(AND(G116&lt;&gt;"",OR(NOT(ISNUMBER(G116)),N(G116)&lt;0)),AND(H116&lt;&gt;"",OR(NOT(ISNUMBER(H116)),N(H116)&lt;0)),AND(I116&lt;&gt;"",OR(NOT(ISNUMBER(I116)),N(I116)&lt;0))),"Montant invalide",IF(OR(AND(J116&lt;&gt;"",OR(NOT(ISNUMBER(J116)),N(J116)&lt;0)),AND(K116&lt;&gt;"",OR(NOT(ISNUMBER(K116)),N(K116)&lt;0))),"Pourcentage invalide",IF(COUNTIF(bom_prod,A116)+COUNTIF(gam_prod,A116)=0,"Ni nomenclature ni gamme",IF(COUNTIFS(bom_prod,A116,bom_check,"&lt;&gt;OK")&gt;0,"Nomenclature à corriger",IF(COUNTIFS(gam_prod,A116,gam_check,"&lt;&gt;OK")&gt;0,"Gamme à corriger","OK")))))))))))</f>
        <v/>
      </c>
      <c r="Y116" s="70">
        <f>IF(J116="",N(p_fg),N(J116))</f>
        <v>0.15</v>
      </c>
      <c r="Z116" s="70">
        <f>IF(K116="",N(p_target),N(K116))</f>
        <v>0.25</v>
      </c>
      <c r="AA116" s="71" t="str">
        <f>IF(R116="","",IF(N(F116)&gt;0,ROUND(F116*N(E116),2),0))</f>
        <v/>
      </c>
      <c r="AB116" s="71">
        <f>IF(T116="",0,T116*N(E116))</f>
        <v>0.0</v>
      </c>
      <c r="AC116" s="71">
        <f>IF(T116="",0,R116*N(E116))</f>
        <v>0.0</v>
      </c>
      <c r="AD116" s="71">
        <f>IF(R116="",0,L116*N(E116))</f>
        <v>0.0</v>
      </c>
      <c r="AE116" s="71">
        <f>IF(R116="",0,M116*N(E116))</f>
        <v>0.0</v>
      </c>
      <c r="AF116" s="71">
        <f>IF(R116="",0,N116*N(E116))</f>
        <v>0.0</v>
      </c>
      <c r="AG116" s="71">
        <f>IF(R116="",0,O116*N(E116))</f>
        <v>0.0</v>
      </c>
      <c r="AH116" s="71">
        <f>IF(R116="",0,(N(G116)+N(H116)+N(I116)/D116)*N(E116))</f>
        <v>0.0</v>
      </c>
      <c r="AI116" s="71">
        <f>IF(R116="",0,P116*N(E116))</f>
        <v>0.0</v>
      </c>
      <c r="AJ116" s="71" t="str">
        <f>IF(AA116="","",COUNTIF(prod_ca,"&gt;"&amp;AA116)+COUNTIF(AA$6:AA116,AA116))</f>
        <v/>
      </c>
      <c r="AK116" s="71" t="str">
        <f>IF(OR(W116="Vendu à perte",W116="Sous la cible"),ROUND(U116,6),"")</f>
        <v/>
      </c>
      <c r="AL116" s="71" t="str">
        <f>IF(AK116="","",COUNTIF(prod_alk,"&lt;"&amp;AK116)+COUNTIF(AK$6:AK116,AK116))</f>
        <v/>
      </c>
    </row>
    <row r="117">
      <c r="A117" s="60" t="n"/>
      <c r="B117" s="60" t="n"/>
      <c r="C117" s="61" t="n"/>
      <c r="D117" s="62" t="n"/>
      <c r="E117" s="63" t="n"/>
      <c r="F117" s="64" t="n"/>
      <c r="G117" s="64" t="n"/>
      <c r="H117" s="64" t="n"/>
      <c r="I117" s="64" t="n"/>
      <c r="J117" s="65" t="n"/>
      <c r="K117" s="65" t="n"/>
      <c r="L117" s="66" t="str">
        <f>IF(X117="OK",SUMIF(bom_prod,A117,bom_cost),"")</f>
        <v/>
      </c>
      <c r="M117" s="66" t="str">
        <f>IF(X117="OK",SUMIF(gam_prod,A117,gam_mo),"")</f>
        <v/>
      </c>
      <c r="N117" s="66" t="str">
        <f>IF(X117="OK",SUMIF(gam_prod,A117,gam_mac),"")</f>
        <v/>
      </c>
      <c r="O117" s="66" t="str">
        <f>IF(X117="OK",SUMIF(gam_prod,A117,gam_setup)/D117,"")</f>
        <v/>
      </c>
      <c r="P117" s="66" t="str">
        <f>IF(X117="OK",(L117+M117+N117+O117+N(G117))*Y117,"")</f>
        <v/>
      </c>
      <c r="Q117" s="66" t="str">
        <f>IF(X117="OK",L117+M117+N117+O117+N(G117)+P117,"")</f>
        <v/>
      </c>
      <c r="R117" s="67" t="str">
        <f>IF(X117="OK",ROUND(Q117+N(H117)+N(I117)/D117,4),"")</f>
        <v/>
      </c>
      <c r="S117" s="66" t="str">
        <f>IF(X117="OK",ROUND(R117*(1+Z117),2),"")</f>
        <v/>
      </c>
      <c r="T117" s="66" t="str">
        <f>IF(AND(X117="OK",N(F117)&gt;0),F117-R117,"")</f>
        <v/>
      </c>
      <c r="U117" s="68" t="str">
        <f>IF(T117="","",IF(R117&lt;=0,"",T117/R117))</f>
        <v/>
      </c>
      <c r="V117" s="68" t="str">
        <f>IF(T117="","",T117/F117)</f>
        <v/>
      </c>
      <c r="W117" s="69" t="str">
        <f>IF(A117="","",IF(X117&lt;&gt;"OK","À corriger",IF(N(F117)&lt;=0,"Prix à saisir",IF(F117&lt;R117,"Vendu à perte",IF(F117&lt;S117,"Sous la cible","OK")))))</f>
        <v/>
      </c>
      <c r="X117" s="69" t="str">
        <f>IF(AND(A117="",COUNTA(B117:K117)=0),"",IF(A117="","Référence manquante",IF(COUNTIF($A$6:$A$305,A117)&gt;1,"Référence en double",IF(OR(NOT(ISNUMBER(D117)),N(D117)&lt;=0),"Taille de lot invalide",IF(AND(E117&lt;&gt;"",OR(NOT(ISNUMBER(E117)),N(E117)&lt;0)),"Volume annuel invalide",IF(AND(F117&lt;&gt;"",OR(NOT(ISNUMBER(F117)),N(F117)&lt;0)),"Prix de vente invalide",IF(OR(AND(G117&lt;&gt;"",OR(NOT(ISNUMBER(G117)),N(G117)&lt;0)),AND(H117&lt;&gt;"",OR(NOT(ISNUMBER(H117)),N(H117)&lt;0)),AND(I117&lt;&gt;"",OR(NOT(ISNUMBER(I117)),N(I117)&lt;0))),"Montant invalide",IF(OR(AND(J117&lt;&gt;"",OR(NOT(ISNUMBER(J117)),N(J117)&lt;0)),AND(K117&lt;&gt;"",OR(NOT(ISNUMBER(K117)),N(K117)&lt;0))),"Pourcentage invalide",IF(COUNTIF(bom_prod,A117)+COUNTIF(gam_prod,A117)=0,"Ni nomenclature ni gamme",IF(COUNTIFS(bom_prod,A117,bom_check,"&lt;&gt;OK")&gt;0,"Nomenclature à corriger",IF(COUNTIFS(gam_prod,A117,gam_check,"&lt;&gt;OK")&gt;0,"Gamme à corriger","OK")))))))))))</f>
        <v/>
      </c>
      <c r="Y117" s="70">
        <f>IF(J117="",N(p_fg),N(J117))</f>
        <v>0.15</v>
      </c>
      <c r="Z117" s="70">
        <f>IF(K117="",N(p_target),N(K117))</f>
        <v>0.25</v>
      </c>
      <c r="AA117" s="71" t="str">
        <f>IF(R117="","",IF(N(F117)&gt;0,ROUND(F117*N(E117),2),0))</f>
        <v/>
      </c>
      <c r="AB117" s="71">
        <f>IF(T117="",0,T117*N(E117))</f>
        <v>0.0</v>
      </c>
      <c r="AC117" s="71">
        <f>IF(T117="",0,R117*N(E117))</f>
        <v>0.0</v>
      </c>
      <c r="AD117" s="71">
        <f>IF(R117="",0,L117*N(E117))</f>
        <v>0.0</v>
      </c>
      <c r="AE117" s="71">
        <f>IF(R117="",0,M117*N(E117))</f>
        <v>0.0</v>
      </c>
      <c r="AF117" s="71">
        <f>IF(R117="",0,N117*N(E117))</f>
        <v>0.0</v>
      </c>
      <c r="AG117" s="71">
        <f>IF(R117="",0,O117*N(E117))</f>
        <v>0.0</v>
      </c>
      <c r="AH117" s="71">
        <f>IF(R117="",0,(N(G117)+N(H117)+N(I117)/D117)*N(E117))</f>
        <v>0.0</v>
      </c>
      <c r="AI117" s="71">
        <f>IF(R117="",0,P117*N(E117))</f>
        <v>0.0</v>
      </c>
      <c r="AJ117" s="71" t="str">
        <f>IF(AA117="","",COUNTIF(prod_ca,"&gt;"&amp;AA117)+COUNTIF(AA$6:AA117,AA117))</f>
        <v/>
      </c>
      <c r="AK117" s="71" t="str">
        <f>IF(OR(W117="Vendu à perte",W117="Sous la cible"),ROUND(U117,6),"")</f>
        <v/>
      </c>
      <c r="AL117" s="71" t="str">
        <f>IF(AK117="","",COUNTIF(prod_alk,"&lt;"&amp;AK117)+COUNTIF(AK$6:AK117,AK117))</f>
        <v/>
      </c>
    </row>
    <row r="118">
      <c r="A118" s="60" t="n"/>
      <c r="B118" s="60" t="n"/>
      <c r="C118" s="61" t="n"/>
      <c r="D118" s="62" t="n"/>
      <c r="E118" s="63" t="n"/>
      <c r="F118" s="64" t="n"/>
      <c r="G118" s="64" t="n"/>
      <c r="H118" s="64" t="n"/>
      <c r="I118" s="64" t="n"/>
      <c r="J118" s="65" t="n"/>
      <c r="K118" s="65" t="n"/>
      <c r="L118" s="66" t="str">
        <f>IF(X118="OK",SUMIF(bom_prod,A118,bom_cost),"")</f>
        <v/>
      </c>
      <c r="M118" s="66" t="str">
        <f>IF(X118="OK",SUMIF(gam_prod,A118,gam_mo),"")</f>
        <v/>
      </c>
      <c r="N118" s="66" t="str">
        <f>IF(X118="OK",SUMIF(gam_prod,A118,gam_mac),"")</f>
        <v/>
      </c>
      <c r="O118" s="66" t="str">
        <f>IF(X118="OK",SUMIF(gam_prod,A118,gam_setup)/D118,"")</f>
        <v/>
      </c>
      <c r="P118" s="66" t="str">
        <f>IF(X118="OK",(L118+M118+N118+O118+N(G118))*Y118,"")</f>
        <v/>
      </c>
      <c r="Q118" s="66" t="str">
        <f>IF(X118="OK",L118+M118+N118+O118+N(G118)+P118,"")</f>
        <v/>
      </c>
      <c r="R118" s="67" t="str">
        <f>IF(X118="OK",ROUND(Q118+N(H118)+N(I118)/D118,4),"")</f>
        <v/>
      </c>
      <c r="S118" s="66" t="str">
        <f>IF(X118="OK",ROUND(R118*(1+Z118),2),"")</f>
        <v/>
      </c>
      <c r="T118" s="66" t="str">
        <f>IF(AND(X118="OK",N(F118)&gt;0),F118-R118,"")</f>
        <v/>
      </c>
      <c r="U118" s="68" t="str">
        <f>IF(T118="","",IF(R118&lt;=0,"",T118/R118))</f>
        <v/>
      </c>
      <c r="V118" s="68" t="str">
        <f>IF(T118="","",T118/F118)</f>
        <v/>
      </c>
      <c r="W118" s="69" t="str">
        <f>IF(A118="","",IF(X118&lt;&gt;"OK","À corriger",IF(N(F118)&lt;=0,"Prix à saisir",IF(F118&lt;R118,"Vendu à perte",IF(F118&lt;S118,"Sous la cible","OK")))))</f>
        <v/>
      </c>
      <c r="X118" s="69" t="str">
        <f>IF(AND(A118="",COUNTA(B118:K118)=0),"",IF(A118="","Référence manquante",IF(COUNTIF($A$6:$A$305,A118)&gt;1,"Référence en double",IF(OR(NOT(ISNUMBER(D118)),N(D118)&lt;=0),"Taille de lot invalide",IF(AND(E118&lt;&gt;"",OR(NOT(ISNUMBER(E118)),N(E118)&lt;0)),"Volume annuel invalide",IF(AND(F118&lt;&gt;"",OR(NOT(ISNUMBER(F118)),N(F118)&lt;0)),"Prix de vente invalide",IF(OR(AND(G118&lt;&gt;"",OR(NOT(ISNUMBER(G118)),N(G118)&lt;0)),AND(H118&lt;&gt;"",OR(NOT(ISNUMBER(H118)),N(H118)&lt;0)),AND(I118&lt;&gt;"",OR(NOT(ISNUMBER(I118)),N(I118)&lt;0))),"Montant invalide",IF(OR(AND(J118&lt;&gt;"",OR(NOT(ISNUMBER(J118)),N(J118)&lt;0)),AND(K118&lt;&gt;"",OR(NOT(ISNUMBER(K118)),N(K118)&lt;0))),"Pourcentage invalide",IF(COUNTIF(bom_prod,A118)+COUNTIF(gam_prod,A118)=0,"Ni nomenclature ni gamme",IF(COUNTIFS(bom_prod,A118,bom_check,"&lt;&gt;OK")&gt;0,"Nomenclature à corriger",IF(COUNTIFS(gam_prod,A118,gam_check,"&lt;&gt;OK")&gt;0,"Gamme à corriger","OK")))))))))))</f>
        <v/>
      </c>
      <c r="Y118" s="70">
        <f>IF(J118="",N(p_fg),N(J118))</f>
        <v>0.15</v>
      </c>
      <c r="Z118" s="70">
        <f>IF(K118="",N(p_target),N(K118))</f>
        <v>0.25</v>
      </c>
      <c r="AA118" s="71" t="str">
        <f>IF(R118="","",IF(N(F118)&gt;0,ROUND(F118*N(E118),2),0))</f>
        <v/>
      </c>
      <c r="AB118" s="71">
        <f>IF(T118="",0,T118*N(E118))</f>
        <v>0.0</v>
      </c>
      <c r="AC118" s="71">
        <f>IF(T118="",0,R118*N(E118))</f>
        <v>0.0</v>
      </c>
      <c r="AD118" s="71">
        <f>IF(R118="",0,L118*N(E118))</f>
        <v>0.0</v>
      </c>
      <c r="AE118" s="71">
        <f>IF(R118="",0,M118*N(E118))</f>
        <v>0.0</v>
      </c>
      <c r="AF118" s="71">
        <f>IF(R118="",0,N118*N(E118))</f>
        <v>0.0</v>
      </c>
      <c r="AG118" s="71">
        <f>IF(R118="",0,O118*N(E118))</f>
        <v>0.0</v>
      </c>
      <c r="AH118" s="71">
        <f>IF(R118="",0,(N(G118)+N(H118)+N(I118)/D118)*N(E118))</f>
        <v>0.0</v>
      </c>
      <c r="AI118" s="71">
        <f>IF(R118="",0,P118*N(E118))</f>
        <v>0.0</v>
      </c>
      <c r="AJ118" s="71" t="str">
        <f>IF(AA118="","",COUNTIF(prod_ca,"&gt;"&amp;AA118)+COUNTIF(AA$6:AA118,AA118))</f>
        <v/>
      </c>
      <c r="AK118" s="71" t="str">
        <f>IF(OR(W118="Vendu à perte",W118="Sous la cible"),ROUND(U118,6),"")</f>
        <v/>
      </c>
      <c r="AL118" s="71" t="str">
        <f>IF(AK118="","",COUNTIF(prod_alk,"&lt;"&amp;AK118)+COUNTIF(AK$6:AK118,AK118))</f>
        <v/>
      </c>
    </row>
    <row r="119">
      <c r="A119" s="60" t="n"/>
      <c r="B119" s="60" t="n"/>
      <c r="C119" s="61" t="n"/>
      <c r="D119" s="62" t="n"/>
      <c r="E119" s="63" t="n"/>
      <c r="F119" s="64" t="n"/>
      <c r="G119" s="64" t="n"/>
      <c r="H119" s="64" t="n"/>
      <c r="I119" s="64" t="n"/>
      <c r="J119" s="65" t="n"/>
      <c r="K119" s="65" t="n"/>
      <c r="L119" s="66" t="str">
        <f>IF(X119="OK",SUMIF(bom_prod,A119,bom_cost),"")</f>
        <v/>
      </c>
      <c r="M119" s="66" t="str">
        <f>IF(X119="OK",SUMIF(gam_prod,A119,gam_mo),"")</f>
        <v/>
      </c>
      <c r="N119" s="66" t="str">
        <f>IF(X119="OK",SUMIF(gam_prod,A119,gam_mac),"")</f>
        <v/>
      </c>
      <c r="O119" s="66" t="str">
        <f>IF(X119="OK",SUMIF(gam_prod,A119,gam_setup)/D119,"")</f>
        <v/>
      </c>
      <c r="P119" s="66" t="str">
        <f>IF(X119="OK",(L119+M119+N119+O119+N(G119))*Y119,"")</f>
        <v/>
      </c>
      <c r="Q119" s="66" t="str">
        <f>IF(X119="OK",L119+M119+N119+O119+N(G119)+P119,"")</f>
        <v/>
      </c>
      <c r="R119" s="67" t="str">
        <f>IF(X119="OK",ROUND(Q119+N(H119)+N(I119)/D119,4),"")</f>
        <v/>
      </c>
      <c r="S119" s="66" t="str">
        <f>IF(X119="OK",ROUND(R119*(1+Z119),2),"")</f>
        <v/>
      </c>
      <c r="T119" s="66" t="str">
        <f>IF(AND(X119="OK",N(F119)&gt;0),F119-R119,"")</f>
        <v/>
      </c>
      <c r="U119" s="68" t="str">
        <f>IF(T119="","",IF(R119&lt;=0,"",T119/R119))</f>
        <v/>
      </c>
      <c r="V119" s="68" t="str">
        <f>IF(T119="","",T119/F119)</f>
        <v/>
      </c>
      <c r="W119" s="69" t="str">
        <f>IF(A119="","",IF(X119&lt;&gt;"OK","À corriger",IF(N(F119)&lt;=0,"Prix à saisir",IF(F119&lt;R119,"Vendu à perte",IF(F119&lt;S119,"Sous la cible","OK")))))</f>
        <v/>
      </c>
      <c r="X119" s="69" t="str">
        <f>IF(AND(A119="",COUNTA(B119:K119)=0),"",IF(A119="","Référence manquante",IF(COUNTIF($A$6:$A$305,A119)&gt;1,"Référence en double",IF(OR(NOT(ISNUMBER(D119)),N(D119)&lt;=0),"Taille de lot invalide",IF(AND(E119&lt;&gt;"",OR(NOT(ISNUMBER(E119)),N(E119)&lt;0)),"Volume annuel invalide",IF(AND(F119&lt;&gt;"",OR(NOT(ISNUMBER(F119)),N(F119)&lt;0)),"Prix de vente invalide",IF(OR(AND(G119&lt;&gt;"",OR(NOT(ISNUMBER(G119)),N(G119)&lt;0)),AND(H119&lt;&gt;"",OR(NOT(ISNUMBER(H119)),N(H119)&lt;0)),AND(I119&lt;&gt;"",OR(NOT(ISNUMBER(I119)),N(I119)&lt;0))),"Montant invalide",IF(OR(AND(J119&lt;&gt;"",OR(NOT(ISNUMBER(J119)),N(J119)&lt;0)),AND(K119&lt;&gt;"",OR(NOT(ISNUMBER(K119)),N(K119)&lt;0))),"Pourcentage invalide",IF(COUNTIF(bom_prod,A119)+COUNTIF(gam_prod,A119)=0,"Ni nomenclature ni gamme",IF(COUNTIFS(bom_prod,A119,bom_check,"&lt;&gt;OK")&gt;0,"Nomenclature à corriger",IF(COUNTIFS(gam_prod,A119,gam_check,"&lt;&gt;OK")&gt;0,"Gamme à corriger","OK")))))))))))</f>
        <v/>
      </c>
      <c r="Y119" s="70">
        <f>IF(J119="",N(p_fg),N(J119))</f>
        <v>0.15</v>
      </c>
      <c r="Z119" s="70">
        <f>IF(K119="",N(p_target),N(K119))</f>
        <v>0.25</v>
      </c>
      <c r="AA119" s="71" t="str">
        <f>IF(R119="","",IF(N(F119)&gt;0,ROUND(F119*N(E119),2),0))</f>
        <v/>
      </c>
      <c r="AB119" s="71">
        <f>IF(T119="",0,T119*N(E119))</f>
        <v>0.0</v>
      </c>
      <c r="AC119" s="71">
        <f>IF(T119="",0,R119*N(E119))</f>
        <v>0.0</v>
      </c>
      <c r="AD119" s="71">
        <f>IF(R119="",0,L119*N(E119))</f>
        <v>0.0</v>
      </c>
      <c r="AE119" s="71">
        <f>IF(R119="",0,M119*N(E119))</f>
        <v>0.0</v>
      </c>
      <c r="AF119" s="71">
        <f>IF(R119="",0,N119*N(E119))</f>
        <v>0.0</v>
      </c>
      <c r="AG119" s="71">
        <f>IF(R119="",0,O119*N(E119))</f>
        <v>0.0</v>
      </c>
      <c r="AH119" s="71">
        <f>IF(R119="",0,(N(G119)+N(H119)+N(I119)/D119)*N(E119))</f>
        <v>0.0</v>
      </c>
      <c r="AI119" s="71">
        <f>IF(R119="",0,P119*N(E119))</f>
        <v>0.0</v>
      </c>
      <c r="AJ119" s="71" t="str">
        <f>IF(AA119="","",COUNTIF(prod_ca,"&gt;"&amp;AA119)+COUNTIF(AA$6:AA119,AA119))</f>
        <v/>
      </c>
      <c r="AK119" s="71" t="str">
        <f>IF(OR(W119="Vendu à perte",W119="Sous la cible"),ROUND(U119,6),"")</f>
        <v/>
      </c>
      <c r="AL119" s="71" t="str">
        <f>IF(AK119="","",COUNTIF(prod_alk,"&lt;"&amp;AK119)+COUNTIF(AK$6:AK119,AK119))</f>
        <v/>
      </c>
    </row>
    <row r="120">
      <c r="A120" s="60" t="n"/>
      <c r="B120" s="60" t="n"/>
      <c r="C120" s="61" t="n"/>
      <c r="D120" s="62" t="n"/>
      <c r="E120" s="63" t="n"/>
      <c r="F120" s="64" t="n"/>
      <c r="G120" s="64" t="n"/>
      <c r="H120" s="64" t="n"/>
      <c r="I120" s="64" t="n"/>
      <c r="J120" s="65" t="n"/>
      <c r="K120" s="65" t="n"/>
      <c r="L120" s="66" t="str">
        <f>IF(X120="OK",SUMIF(bom_prod,A120,bom_cost),"")</f>
        <v/>
      </c>
      <c r="M120" s="66" t="str">
        <f>IF(X120="OK",SUMIF(gam_prod,A120,gam_mo),"")</f>
        <v/>
      </c>
      <c r="N120" s="66" t="str">
        <f>IF(X120="OK",SUMIF(gam_prod,A120,gam_mac),"")</f>
        <v/>
      </c>
      <c r="O120" s="66" t="str">
        <f>IF(X120="OK",SUMIF(gam_prod,A120,gam_setup)/D120,"")</f>
        <v/>
      </c>
      <c r="P120" s="66" t="str">
        <f>IF(X120="OK",(L120+M120+N120+O120+N(G120))*Y120,"")</f>
        <v/>
      </c>
      <c r="Q120" s="66" t="str">
        <f>IF(X120="OK",L120+M120+N120+O120+N(G120)+P120,"")</f>
        <v/>
      </c>
      <c r="R120" s="67" t="str">
        <f>IF(X120="OK",ROUND(Q120+N(H120)+N(I120)/D120,4),"")</f>
        <v/>
      </c>
      <c r="S120" s="66" t="str">
        <f>IF(X120="OK",ROUND(R120*(1+Z120),2),"")</f>
        <v/>
      </c>
      <c r="T120" s="66" t="str">
        <f>IF(AND(X120="OK",N(F120)&gt;0),F120-R120,"")</f>
        <v/>
      </c>
      <c r="U120" s="68" t="str">
        <f>IF(T120="","",IF(R120&lt;=0,"",T120/R120))</f>
        <v/>
      </c>
      <c r="V120" s="68" t="str">
        <f>IF(T120="","",T120/F120)</f>
        <v/>
      </c>
      <c r="W120" s="69" t="str">
        <f>IF(A120="","",IF(X120&lt;&gt;"OK","À corriger",IF(N(F120)&lt;=0,"Prix à saisir",IF(F120&lt;R120,"Vendu à perte",IF(F120&lt;S120,"Sous la cible","OK")))))</f>
        <v/>
      </c>
      <c r="X120" s="69" t="str">
        <f>IF(AND(A120="",COUNTA(B120:K120)=0),"",IF(A120="","Référence manquante",IF(COUNTIF($A$6:$A$305,A120)&gt;1,"Référence en double",IF(OR(NOT(ISNUMBER(D120)),N(D120)&lt;=0),"Taille de lot invalide",IF(AND(E120&lt;&gt;"",OR(NOT(ISNUMBER(E120)),N(E120)&lt;0)),"Volume annuel invalide",IF(AND(F120&lt;&gt;"",OR(NOT(ISNUMBER(F120)),N(F120)&lt;0)),"Prix de vente invalide",IF(OR(AND(G120&lt;&gt;"",OR(NOT(ISNUMBER(G120)),N(G120)&lt;0)),AND(H120&lt;&gt;"",OR(NOT(ISNUMBER(H120)),N(H120)&lt;0)),AND(I120&lt;&gt;"",OR(NOT(ISNUMBER(I120)),N(I120)&lt;0))),"Montant invalide",IF(OR(AND(J120&lt;&gt;"",OR(NOT(ISNUMBER(J120)),N(J120)&lt;0)),AND(K120&lt;&gt;"",OR(NOT(ISNUMBER(K120)),N(K120)&lt;0))),"Pourcentage invalide",IF(COUNTIF(bom_prod,A120)+COUNTIF(gam_prod,A120)=0,"Ni nomenclature ni gamme",IF(COUNTIFS(bom_prod,A120,bom_check,"&lt;&gt;OK")&gt;0,"Nomenclature à corriger",IF(COUNTIFS(gam_prod,A120,gam_check,"&lt;&gt;OK")&gt;0,"Gamme à corriger","OK")))))))))))</f>
        <v/>
      </c>
      <c r="Y120" s="70">
        <f>IF(J120="",N(p_fg),N(J120))</f>
        <v>0.15</v>
      </c>
      <c r="Z120" s="70">
        <f>IF(K120="",N(p_target),N(K120))</f>
        <v>0.25</v>
      </c>
      <c r="AA120" s="71" t="str">
        <f>IF(R120="","",IF(N(F120)&gt;0,ROUND(F120*N(E120),2),0))</f>
        <v/>
      </c>
      <c r="AB120" s="71">
        <f>IF(T120="",0,T120*N(E120))</f>
        <v>0.0</v>
      </c>
      <c r="AC120" s="71">
        <f>IF(T120="",0,R120*N(E120))</f>
        <v>0.0</v>
      </c>
      <c r="AD120" s="71">
        <f>IF(R120="",0,L120*N(E120))</f>
        <v>0.0</v>
      </c>
      <c r="AE120" s="71">
        <f>IF(R120="",0,M120*N(E120))</f>
        <v>0.0</v>
      </c>
      <c r="AF120" s="71">
        <f>IF(R120="",0,N120*N(E120))</f>
        <v>0.0</v>
      </c>
      <c r="AG120" s="71">
        <f>IF(R120="",0,O120*N(E120))</f>
        <v>0.0</v>
      </c>
      <c r="AH120" s="71">
        <f>IF(R120="",0,(N(G120)+N(H120)+N(I120)/D120)*N(E120))</f>
        <v>0.0</v>
      </c>
      <c r="AI120" s="71">
        <f>IF(R120="",0,P120*N(E120))</f>
        <v>0.0</v>
      </c>
      <c r="AJ120" s="71" t="str">
        <f>IF(AA120="","",COUNTIF(prod_ca,"&gt;"&amp;AA120)+COUNTIF(AA$6:AA120,AA120))</f>
        <v/>
      </c>
      <c r="AK120" s="71" t="str">
        <f>IF(OR(W120="Vendu à perte",W120="Sous la cible"),ROUND(U120,6),"")</f>
        <v/>
      </c>
      <c r="AL120" s="71" t="str">
        <f>IF(AK120="","",COUNTIF(prod_alk,"&lt;"&amp;AK120)+COUNTIF(AK$6:AK120,AK120))</f>
        <v/>
      </c>
    </row>
    <row r="121">
      <c r="A121" s="60" t="n"/>
      <c r="B121" s="60" t="n"/>
      <c r="C121" s="61" t="n"/>
      <c r="D121" s="62" t="n"/>
      <c r="E121" s="63" t="n"/>
      <c r="F121" s="64" t="n"/>
      <c r="G121" s="64" t="n"/>
      <c r="H121" s="64" t="n"/>
      <c r="I121" s="64" t="n"/>
      <c r="J121" s="65" t="n"/>
      <c r="K121" s="65" t="n"/>
      <c r="L121" s="66" t="str">
        <f>IF(X121="OK",SUMIF(bom_prod,A121,bom_cost),"")</f>
        <v/>
      </c>
      <c r="M121" s="66" t="str">
        <f>IF(X121="OK",SUMIF(gam_prod,A121,gam_mo),"")</f>
        <v/>
      </c>
      <c r="N121" s="66" t="str">
        <f>IF(X121="OK",SUMIF(gam_prod,A121,gam_mac),"")</f>
        <v/>
      </c>
      <c r="O121" s="66" t="str">
        <f>IF(X121="OK",SUMIF(gam_prod,A121,gam_setup)/D121,"")</f>
        <v/>
      </c>
      <c r="P121" s="66" t="str">
        <f>IF(X121="OK",(L121+M121+N121+O121+N(G121))*Y121,"")</f>
        <v/>
      </c>
      <c r="Q121" s="66" t="str">
        <f>IF(X121="OK",L121+M121+N121+O121+N(G121)+P121,"")</f>
        <v/>
      </c>
      <c r="R121" s="67" t="str">
        <f>IF(X121="OK",ROUND(Q121+N(H121)+N(I121)/D121,4),"")</f>
        <v/>
      </c>
      <c r="S121" s="66" t="str">
        <f>IF(X121="OK",ROUND(R121*(1+Z121),2),"")</f>
        <v/>
      </c>
      <c r="T121" s="66" t="str">
        <f>IF(AND(X121="OK",N(F121)&gt;0),F121-R121,"")</f>
        <v/>
      </c>
      <c r="U121" s="68" t="str">
        <f>IF(T121="","",IF(R121&lt;=0,"",T121/R121))</f>
        <v/>
      </c>
      <c r="V121" s="68" t="str">
        <f>IF(T121="","",T121/F121)</f>
        <v/>
      </c>
      <c r="W121" s="69" t="str">
        <f>IF(A121="","",IF(X121&lt;&gt;"OK","À corriger",IF(N(F121)&lt;=0,"Prix à saisir",IF(F121&lt;R121,"Vendu à perte",IF(F121&lt;S121,"Sous la cible","OK")))))</f>
        <v/>
      </c>
      <c r="X121" s="69" t="str">
        <f>IF(AND(A121="",COUNTA(B121:K121)=0),"",IF(A121="","Référence manquante",IF(COUNTIF($A$6:$A$305,A121)&gt;1,"Référence en double",IF(OR(NOT(ISNUMBER(D121)),N(D121)&lt;=0),"Taille de lot invalide",IF(AND(E121&lt;&gt;"",OR(NOT(ISNUMBER(E121)),N(E121)&lt;0)),"Volume annuel invalide",IF(AND(F121&lt;&gt;"",OR(NOT(ISNUMBER(F121)),N(F121)&lt;0)),"Prix de vente invalide",IF(OR(AND(G121&lt;&gt;"",OR(NOT(ISNUMBER(G121)),N(G121)&lt;0)),AND(H121&lt;&gt;"",OR(NOT(ISNUMBER(H121)),N(H121)&lt;0)),AND(I121&lt;&gt;"",OR(NOT(ISNUMBER(I121)),N(I121)&lt;0))),"Montant invalide",IF(OR(AND(J121&lt;&gt;"",OR(NOT(ISNUMBER(J121)),N(J121)&lt;0)),AND(K121&lt;&gt;"",OR(NOT(ISNUMBER(K121)),N(K121)&lt;0))),"Pourcentage invalide",IF(COUNTIF(bom_prod,A121)+COUNTIF(gam_prod,A121)=0,"Ni nomenclature ni gamme",IF(COUNTIFS(bom_prod,A121,bom_check,"&lt;&gt;OK")&gt;0,"Nomenclature à corriger",IF(COUNTIFS(gam_prod,A121,gam_check,"&lt;&gt;OK")&gt;0,"Gamme à corriger","OK")))))))))))</f>
        <v/>
      </c>
      <c r="Y121" s="70">
        <f>IF(J121="",N(p_fg),N(J121))</f>
        <v>0.15</v>
      </c>
      <c r="Z121" s="70">
        <f>IF(K121="",N(p_target),N(K121))</f>
        <v>0.25</v>
      </c>
      <c r="AA121" s="71" t="str">
        <f>IF(R121="","",IF(N(F121)&gt;0,ROUND(F121*N(E121),2),0))</f>
        <v/>
      </c>
      <c r="AB121" s="71">
        <f>IF(T121="",0,T121*N(E121))</f>
        <v>0.0</v>
      </c>
      <c r="AC121" s="71">
        <f>IF(T121="",0,R121*N(E121))</f>
        <v>0.0</v>
      </c>
      <c r="AD121" s="71">
        <f>IF(R121="",0,L121*N(E121))</f>
        <v>0.0</v>
      </c>
      <c r="AE121" s="71">
        <f>IF(R121="",0,M121*N(E121))</f>
        <v>0.0</v>
      </c>
      <c r="AF121" s="71">
        <f>IF(R121="",0,N121*N(E121))</f>
        <v>0.0</v>
      </c>
      <c r="AG121" s="71">
        <f>IF(R121="",0,O121*N(E121))</f>
        <v>0.0</v>
      </c>
      <c r="AH121" s="71">
        <f>IF(R121="",0,(N(G121)+N(H121)+N(I121)/D121)*N(E121))</f>
        <v>0.0</v>
      </c>
      <c r="AI121" s="71">
        <f>IF(R121="",0,P121*N(E121))</f>
        <v>0.0</v>
      </c>
      <c r="AJ121" s="71" t="str">
        <f>IF(AA121="","",COUNTIF(prod_ca,"&gt;"&amp;AA121)+COUNTIF(AA$6:AA121,AA121))</f>
        <v/>
      </c>
      <c r="AK121" s="71" t="str">
        <f>IF(OR(W121="Vendu à perte",W121="Sous la cible"),ROUND(U121,6),"")</f>
        <v/>
      </c>
      <c r="AL121" s="71" t="str">
        <f>IF(AK121="","",COUNTIF(prod_alk,"&lt;"&amp;AK121)+COUNTIF(AK$6:AK121,AK121))</f>
        <v/>
      </c>
    </row>
    <row r="122">
      <c r="A122" s="60" t="n"/>
      <c r="B122" s="60" t="n"/>
      <c r="C122" s="61" t="n"/>
      <c r="D122" s="62" t="n"/>
      <c r="E122" s="63" t="n"/>
      <c r="F122" s="64" t="n"/>
      <c r="G122" s="64" t="n"/>
      <c r="H122" s="64" t="n"/>
      <c r="I122" s="64" t="n"/>
      <c r="J122" s="65" t="n"/>
      <c r="K122" s="65" t="n"/>
      <c r="L122" s="66" t="str">
        <f>IF(X122="OK",SUMIF(bom_prod,A122,bom_cost),"")</f>
        <v/>
      </c>
      <c r="M122" s="66" t="str">
        <f>IF(X122="OK",SUMIF(gam_prod,A122,gam_mo),"")</f>
        <v/>
      </c>
      <c r="N122" s="66" t="str">
        <f>IF(X122="OK",SUMIF(gam_prod,A122,gam_mac),"")</f>
        <v/>
      </c>
      <c r="O122" s="66" t="str">
        <f>IF(X122="OK",SUMIF(gam_prod,A122,gam_setup)/D122,"")</f>
        <v/>
      </c>
      <c r="P122" s="66" t="str">
        <f>IF(X122="OK",(L122+M122+N122+O122+N(G122))*Y122,"")</f>
        <v/>
      </c>
      <c r="Q122" s="66" t="str">
        <f>IF(X122="OK",L122+M122+N122+O122+N(G122)+P122,"")</f>
        <v/>
      </c>
      <c r="R122" s="67" t="str">
        <f>IF(X122="OK",ROUND(Q122+N(H122)+N(I122)/D122,4),"")</f>
        <v/>
      </c>
      <c r="S122" s="66" t="str">
        <f>IF(X122="OK",ROUND(R122*(1+Z122),2),"")</f>
        <v/>
      </c>
      <c r="T122" s="66" t="str">
        <f>IF(AND(X122="OK",N(F122)&gt;0),F122-R122,"")</f>
        <v/>
      </c>
      <c r="U122" s="68" t="str">
        <f>IF(T122="","",IF(R122&lt;=0,"",T122/R122))</f>
        <v/>
      </c>
      <c r="V122" s="68" t="str">
        <f>IF(T122="","",T122/F122)</f>
        <v/>
      </c>
      <c r="W122" s="69" t="str">
        <f>IF(A122="","",IF(X122&lt;&gt;"OK","À corriger",IF(N(F122)&lt;=0,"Prix à saisir",IF(F122&lt;R122,"Vendu à perte",IF(F122&lt;S122,"Sous la cible","OK")))))</f>
        <v/>
      </c>
      <c r="X122" s="69" t="str">
        <f>IF(AND(A122="",COUNTA(B122:K122)=0),"",IF(A122="","Référence manquante",IF(COUNTIF($A$6:$A$305,A122)&gt;1,"Référence en double",IF(OR(NOT(ISNUMBER(D122)),N(D122)&lt;=0),"Taille de lot invalide",IF(AND(E122&lt;&gt;"",OR(NOT(ISNUMBER(E122)),N(E122)&lt;0)),"Volume annuel invalide",IF(AND(F122&lt;&gt;"",OR(NOT(ISNUMBER(F122)),N(F122)&lt;0)),"Prix de vente invalide",IF(OR(AND(G122&lt;&gt;"",OR(NOT(ISNUMBER(G122)),N(G122)&lt;0)),AND(H122&lt;&gt;"",OR(NOT(ISNUMBER(H122)),N(H122)&lt;0)),AND(I122&lt;&gt;"",OR(NOT(ISNUMBER(I122)),N(I122)&lt;0))),"Montant invalide",IF(OR(AND(J122&lt;&gt;"",OR(NOT(ISNUMBER(J122)),N(J122)&lt;0)),AND(K122&lt;&gt;"",OR(NOT(ISNUMBER(K122)),N(K122)&lt;0))),"Pourcentage invalide",IF(COUNTIF(bom_prod,A122)+COUNTIF(gam_prod,A122)=0,"Ni nomenclature ni gamme",IF(COUNTIFS(bom_prod,A122,bom_check,"&lt;&gt;OK")&gt;0,"Nomenclature à corriger",IF(COUNTIFS(gam_prod,A122,gam_check,"&lt;&gt;OK")&gt;0,"Gamme à corriger","OK")))))))))))</f>
        <v/>
      </c>
      <c r="Y122" s="70">
        <f>IF(J122="",N(p_fg),N(J122))</f>
        <v>0.15</v>
      </c>
      <c r="Z122" s="70">
        <f>IF(K122="",N(p_target),N(K122))</f>
        <v>0.25</v>
      </c>
      <c r="AA122" s="71" t="str">
        <f>IF(R122="","",IF(N(F122)&gt;0,ROUND(F122*N(E122),2),0))</f>
        <v/>
      </c>
      <c r="AB122" s="71">
        <f>IF(T122="",0,T122*N(E122))</f>
        <v>0.0</v>
      </c>
      <c r="AC122" s="71">
        <f>IF(T122="",0,R122*N(E122))</f>
        <v>0.0</v>
      </c>
      <c r="AD122" s="71">
        <f>IF(R122="",0,L122*N(E122))</f>
        <v>0.0</v>
      </c>
      <c r="AE122" s="71">
        <f>IF(R122="",0,M122*N(E122))</f>
        <v>0.0</v>
      </c>
      <c r="AF122" s="71">
        <f>IF(R122="",0,N122*N(E122))</f>
        <v>0.0</v>
      </c>
      <c r="AG122" s="71">
        <f>IF(R122="",0,O122*N(E122))</f>
        <v>0.0</v>
      </c>
      <c r="AH122" s="71">
        <f>IF(R122="",0,(N(G122)+N(H122)+N(I122)/D122)*N(E122))</f>
        <v>0.0</v>
      </c>
      <c r="AI122" s="71">
        <f>IF(R122="",0,P122*N(E122))</f>
        <v>0.0</v>
      </c>
      <c r="AJ122" s="71" t="str">
        <f>IF(AA122="","",COUNTIF(prod_ca,"&gt;"&amp;AA122)+COUNTIF(AA$6:AA122,AA122))</f>
        <v/>
      </c>
      <c r="AK122" s="71" t="str">
        <f>IF(OR(W122="Vendu à perte",W122="Sous la cible"),ROUND(U122,6),"")</f>
        <v/>
      </c>
      <c r="AL122" s="71" t="str">
        <f>IF(AK122="","",COUNTIF(prod_alk,"&lt;"&amp;AK122)+COUNTIF(AK$6:AK122,AK122))</f>
        <v/>
      </c>
    </row>
    <row r="123">
      <c r="A123" s="60" t="n"/>
      <c r="B123" s="60" t="n"/>
      <c r="C123" s="61" t="n"/>
      <c r="D123" s="62" t="n"/>
      <c r="E123" s="63" t="n"/>
      <c r="F123" s="64" t="n"/>
      <c r="G123" s="64" t="n"/>
      <c r="H123" s="64" t="n"/>
      <c r="I123" s="64" t="n"/>
      <c r="J123" s="65" t="n"/>
      <c r="K123" s="65" t="n"/>
      <c r="L123" s="66" t="str">
        <f>IF(X123="OK",SUMIF(bom_prod,A123,bom_cost),"")</f>
        <v/>
      </c>
      <c r="M123" s="66" t="str">
        <f>IF(X123="OK",SUMIF(gam_prod,A123,gam_mo),"")</f>
        <v/>
      </c>
      <c r="N123" s="66" t="str">
        <f>IF(X123="OK",SUMIF(gam_prod,A123,gam_mac),"")</f>
        <v/>
      </c>
      <c r="O123" s="66" t="str">
        <f>IF(X123="OK",SUMIF(gam_prod,A123,gam_setup)/D123,"")</f>
        <v/>
      </c>
      <c r="P123" s="66" t="str">
        <f>IF(X123="OK",(L123+M123+N123+O123+N(G123))*Y123,"")</f>
        <v/>
      </c>
      <c r="Q123" s="66" t="str">
        <f>IF(X123="OK",L123+M123+N123+O123+N(G123)+P123,"")</f>
        <v/>
      </c>
      <c r="R123" s="67" t="str">
        <f>IF(X123="OK",ROUND(Q123+N(H123)+N(I123)/D123,4),"")</f>
        <v/>
      </c>
      <c r="S123" s="66" t="str">
        <f>IF(X123="OK",ROUND(R123*(1+Z123),2),"")</f>
        <v/>
      </c>
      <c r="T123" s="66" t="str">
        <f>IF(AND(X123="OK",N(F123)&gt;0),F123-R123,"")</f>
        <v/>
      </c>
      <c r="U123" s="68" t="str">
        <f>IF(T123="","",IF(R123&lt;=0,"",T123/R123))</f>
        <v/>
      </c>
      <c r="V123" s="68" t="str">
        <f>IF(T123="","",T123/F123)</f>
        <v/>
      </c>
      <c r="W123" s="69" t="str">
        <f>IF(A123="","",IF(X123&lt;&gt;"OK","À corriger",IF(N(F123)&lt;=0,"Prix à saisir",IF(F123&lt;R123,"Vendu à perte",IF(F123&lt;S123,"Sous la cible","OK")))))</f>
        <v/>
      </c>
      <c r="X123" s="69" t="str">
        <f>IF(AND(A123="",COUNTA(B123:K123)=0),"",IF(A123="","Référence manquante",IF(COUNTIF($A$6:$A$305,A123)&gt;1,"Référence en double",IF(OR(NOT(ISNUMBER(D123)),N(D123)&lt;=0),"Taille de lot invalide",IF(AND(E123&lt;&gt;"",OR(NOT(ISNUMBER(E123)),N(E123)&lt;0)),"Volume annuel invalide",IF(AND(F123&lt;&gt;"",OR(NOT(ISNUMBER(F123)),N(F123)&lt;0)),"Prix de vente invalide",IF(OR(AND(G123&lt;&gt;"",OR(NOT(ISNUMBER(G123)),N(G123)&lt;0)),AND(H123&lt;&gt;"",OR(NOT(ISNUMBER(H123)),N(H123)&lt;0)),AND(I123&lt;&gt;"",OR(NOT(ISNUMBER(I123)),N(I123)&lt;0))),"Montant invalide",IF(OR(AND(J123&lt;&gt;"",OR(NOT(ISNUMBER(J123)),N(J123)&lt;0)),AND(K123&lt;&gt;"",OR(NOT(ISNUMBER(K123)),N(K123)&lt;0))),"Pourcentage invalide",IF(COUNTIF(bom_prod,A123)+COUNTIF(gam_prod,A123)=0,"Ni nomenclature ni gamme",IF(COUNTIFS(bom_prod,A123,bom_check,"&lt;&gt;OK")&gt;0,"Nomenclature à corriger",IF(COUNTIFS(gam_prod,A123,gam_check,"&lt;&gt;OK")&gt;0,"Gamme à corriger","OK")))))))))))</f>
        <v/>
      </c>
      <c r="Y123" s="70">
        <f>IF(J123="",N(p_fg),N(J123))</f>
        <v>0.15</v>
      </c>
      <c r="Z123" s="70">
        <f>IF(K123="",N(p_target),N(K123))</f>
        <v>0.25</v>
      </c>
      <c r="AA123" s="71" t="str">
        <f>IF(R123="","",IF(N(F123)&gt;0,ROUND(F123*N(E123),2),0))</f>
        <v/>
      </c>
      <c r="AB123" s="71">
        <f>IF(T123="",0,T123*N(E123))</f>
        <v>0.0</v>
      </c>
      <c r="AC123" s="71">
        <f>IF(T123="",0,R123*N(E123))</f>
        <v>0.0</v>
      </c>
      <c r="AD123" s="71">
        <f>IF(R123="",0,L123*N(E123))</f>
        <v>0.0</v>
      </c>
      <c r="AE123" s="71">
        <f>IF(R123="",0,M123*N(E123))</f>
        <v>0.0</v>
      </c>
      <c r="AF123" s="71">
        <f>IF(R123="",0,N123*N(E123))</f>
        <v>0.0</v>
      </c>
      <c r="AG123" s="71">
        <f>IF(R123="",0,O123*N(E123))</f>
        <v>0.0</v>
      </c>
      <c r="AH123" s="71">
        <f>IF(R123="",0,(N(G123)+N(H123)+N(I123)/D123)*N(E123))</f>
        <v>0.0</v>
      </c>
      <c r="AI123" s="71">
        <f>IF(R123="",0,P123*N(E123))</f>
        <v>0.0</v>
      </c>
      <c r="AJ123" s="71" t="str">
        <f>IF(AA123="","",COUNTIF(prod_ca,"&gt;"&amp;AA123)+COUNTIF(AA$6:AA123,AA123))</f>
        <v/>
      </c>
      <c r="AK123" s="71" t="str">
        <f>IF(OR(W123="Vendu à perte",W123="Sous la cible"),ROUND(U123,6),"")</f>
        <v/>
      </c>
      <c r="AL123" s="71" t="str">
        <f>IF(AK123="","",COUNTIF(prod_alk,"&lt;"&amp;AK123)+COUNTIF(AK$6:AK123,AK123))</f>
        <v/>
      </c>
    </row>
    <row r="124">
      <c r="A124" s="60" t="n"/>
      <c r="B124" s="60" t="n"/>
      <c r="C124" s="61" t="n"/>
      <c r="D124" s="62" t="n"/>
      <c r="E124" s="63" t="n"/>
      <c r="F124" s="64" t="n"/>
      <c r="G124" s="64" t="n"/>
      <c r="H124" s="64" t="n"/>
      <c r="I124" s="64" t="n"/>
      <c r="J124" s="65" t="n"/>
      <c r="K124" s="65" t="n"/>
      <c r="L124" s="66" t="str">
        <f>IF(X124="OK",SUMIF(bom_prod,A124,bom_cost),"")</f>
        <v/>
      </c>
      <c r="M124" s="66" t="str">
        <f>IF(X124="OK",SUMIF(gam_prod,A124,gam_mo),"")</f>
        <v/>
      </c>
      <c r="N124" s="66" t="str">
        <f>IF(X124="OK",SUMIF(gam_prod,A124,gam_mac),"")</f>
        <v/>
      </c>
      <c r="O124" s="66" t="str">
        <f>IF(X124="OK",SUMIF(gam_prod,A124,gam_setup)/D124,"")</f>
        <v/>
      </c>
      <c r="P124" s="66" t="str">
        <f>IF(X124="OK",(L124+M124+N124+O124+N(G124))*Y124,"")</f>
        <v/>
      </c>
      <c r="Q124" s="66" t="str">
        <f>IF(X124="OK",L124+M124+N124+O124+N(G124)+P124,"")</f>
        <v/>
      </c>
      <c r="R124" s="67" t="str">
        <f>IF(X124="OK",ROUND(Q124+N(H124)+N(I124)/D124,4),"")</f>
        <v/>
      </c>
      <c r="S124" s="66" t="str">
        <f>IF(X124="OK",ROUND(R124*(1+Z124),2),"")</f>
        <v/>
      </c>
      <c r="T124" s="66" t="str">
        <f>IF(AND(X124="OK",N(F124)&gt;0),F124-R124,"")</f>
        <v/>
      </c>
      <c r="U124" s="68" t="str">
        <f>IF(T124="","",IF(R124&lt;=0,"",T124/R124))</f>
        <v/>
      </c>
      <c r="V124" s="68" t="str">
        <f>IF(T124="","",T124/F124)</f>
        <v/>
      </c>
      <c r="W124" s="69" t="str">
        <f>IF(A124="","",IF(X124&lt;&gt;"OK","À corriger",IF(N(F124)&lt;=0,"Prix à saisir",IF(F124&lt;R124,"Vendu à perte",IF(F124&lt;S124,"Sous la cible","OK")))))</f>
        <v/>
      </c>
      <c r="X124" s="69" t="str">
        <f>IF(AND(A124="",COUNTA(B124:K124)=0),"",IF(A124="","Référence manquante",IF(COUNTIF($A$6:$A$305,A124)&gt;1,"Référence en double",IF(OR(NOT(ISNUMBER(D124)),N(D124)&lt;=0),"Taille de lot invalide",IF(AND(E124&lt;&gt;"",OR(NOT(ISNUMBER(E124)),N(E124)&lt;0)),"Volume annuel invalide",IF(AND(F124&lt;&gt;"",OR(NOT(ISNUMBER(F124)),N(F124)&lt;0)),"Prix de vente invalide",IF(OR(AND(G124&lt;&gt;"",OR(NOT(ISNUMBER(G124)),N(G124)&lt;0)),AND(H124&lt;&gt;"",OR(NOT(ISNUMBER(H124)),N(H124)&lt;0)),AND(I124&lt;&gt;"",OR(NOT(ISNUMBER(I124)),N(I124)&lt;0))),"Montant invalide",IF(OR(AND(J124&lt;&gt;"",OR(NOT(ISNUMBER(J124)),N(J124)&lt;0)),AND(K124&lt;&gt;"",OR(NOT(ISNUMBER(K124)),N(K124)&lt;0))),"Pourcentage invalide",IF(COUNTIF(bom_prod,A124)+COUNTIF(gam_prod,A124)=0,"Ni nomenclature ni gamme",IF(COUNTIFS(bom_prod,A124,bom_check,"&lt;&gt;OK")&gt;0,"Nomenclature à corriger",IF(COUNTIFS(gam_prod,A124,gam_check,"&lt;&gt;OK")&gt;0,"Gamme à corriger","OK")))))))))))</f>
        <v/>
      </c>
      <c r="Y124" s="70">
        <f>IF(J124="",N(p_fg),N(J124))</f>
        <v>0.15</v>
      </c>
      <c r="Z124" s="70">
        <f>IF(K124="",N(p_target),N(K124))</f>
        <v>0.25</v>
      </c>
      <c r="AA124" s="71" t="str">
        <f>IF(R124="","",IF(N(F124)&gt;0,ROUND(F124*N(E124),2),0))</f>
        <v/>
      </c>
      <c r="AB124" s="71">
        <f>IF(T124="",0,T124*N(E124))</f>
        <v>0.0</v>
      </c>
      <c r="AC124" s="71">
        <f>IF(T124="",0,R124*N(E124))</f>
        <v>0.0</v>
      </c>
      <c r="AD124" s="71">
        <f>IF(R124="",0,L124*N(E124))</f>
        <v>0.0</v>
      </c>
      <c r="AE124" s="71">
        <f>IF(R124="",0,M124*N(E124))</f>
        <v>0.0</v>
      </c>
      <c r="AF124" s="71">
        <f>IF(R124="",0,N124*N(E124))</f>
        <v>0.0</v>
      </c>
      <c r="AG124" s="71">
        <f>IF(R124="",0,O124*N(E124))</f>
        <v>0.0</v>
      </c>
      <c r="AH124" s="71">
        <f>IF(R124="",0,(N(G124)+N(H124)+N(I124)/D124)*N(E124))</f>
        <v>0.0</v>
      </c>
      <c r="AI124" s="71">
        <f>IF(R124="",0,P124*N(E124))</f>
        <v>0.0</v>
      </c>
      <c r="AJ124" s="71" t="str">
        <f>IF(AA124="","",COUNTIF(prod_ca,"&gt;"&amp;AA124)+COUNTIF(AA$6:AA124,AA124))</f>
        <v/>
      </c>
      <c r="AK124" s="71" t="str">
        <f>IF(OR(W124="Vendu à perte",W124="Sous la cible"),ROUND(U124,6),"")</f>
        <v/>
      </c>
      <c r="AL124" s="71" t="str">
        <f>IF(AK124="","",COUNTIF(prod_alk,"&lt;"&amp;AK124)+COUNTIF(AK$6:AK124,AK124))</f>
        <v/>
      </c>
    </row>
    <row r="125">
      <c r="A125" s="60" t="n"/>
      <c r="B125" s="60" t="n"/>
      <c r="C125" s="61" t="n"/>
      <c r="D125" s="62" t="n"/>
      <c r="E125" s="63" t="n"/>
      <c r="F125" s="64" t="n"/>
      <c r="G125" s="64" t="n"/>
      <c r="H125" s="64" t="n"/>
      <c r="I125" s="64" t="n"/>
      <c r="J125" s="65" t="n"/>
      <c r="K125" s="65" t="n"/>
      <c r="L125" s="66" t="str">
        <f>IF(X125="OK",SUMIF(bom_prod,A125,bom_cost),"")</f>
        <v/>
      </c>
      <c r="M125" s="66" t="str">
        <f>IF(X125="OK",SUMIF(gam_prod,A125,gam_mo),"")</f>
        <v/>
      </c>
      <c r="N125" s="66" t="str">
        <f>IF(X125="OK",SUMIF(gam_prod,A125,gam_mac),"")</f>
        <v/>
      </c>
      <c r="O125" s="66" t="str">
        <f>IF(X125="OK",SUMIF(gam_prod,A125,gam_setup)/D125,"")</f>
        <v/>
      </c>
      <c r="P125" s="66" t="str">
        <f>IF(X125="OK",(L125+M125+N125+O125+N(G125))*Y125,"")</f>
        <v/>
      </c>
      <c r="Q125" s="66" t="str">
        <f>IF(X125="OK",L125+M125+N125+O125+N(G125)+P125,"")</f>
        <v/>
      </c>
      <c r="R125" s="67" t="str">
        <f>IF(X125="OK",ROUND(Q125+N(H125)+N(I125)/D125,4),"")</f>
        <v/>
      </c>
      <c r="S125" s="66" t="str">
        <f>IF(X125="OK",ROUND(R125*(1+Z125),2),"")</f>
        <v/>
      </c>
      <c r="T125" s="66" t="str">
        <f>IF(AND(X125="OK",N(F125)&gt;0),F125-R125,"")</f>
        <v/>
      </c>
      <c r="U125" s="68" t="str">
        <f>IF(T125="","",IF(R125&lt;=0,"",T125/R125))</f>
        <v/>
      </c>
      <c r="V125" s="68" t="str">
        <f>IF(T125="","",T125/F125)</f>
        <v/>
      </c>
      <c r="W125" s="69" t="str">
        <f>IF(A125="","",IF(X125&lt;&gt;"OK","À corriger",IF(N(F125)&lt;=0,"Prix à saisir",IF(F125&lt;R125,"Vendu à perte",IF(F125&lt;S125,"Sous la cible","OK")))))</f>
        <v/>
      </c>
      <c r="X125" s="69" t="str">
        <f>IF(AND(A125="",COUNTA(B125:K125)=0),"",IF(A125="","Référence manquante",IF(COUNTIF($A$6:$A$305,A125)&gt;1,"Référence en double",IF(OR(NOT(ISNUMBER(D125)),N(D125)&lt;=0),"Taille de lot invalide",IF(AND(E125&lt;&gt;"",OR(NOT(ISNUMBER(E125)),N(E125)&lt;0)),"Volume annuel invalide",IF(AND(F125&lt;&gt;"",OR(NOT(ISNUMBER(F125)),N(F125)&lt;0)),"Prix de vente invalide",IF(OR(AND(G125&lt;&gt;"",OR(NOT(ISNUMBER(G125)),N(G125)&lt;0)),AND(H125&lt;&gt;"",OR(NOT(ISNUMBER(H125)),N(H125)&lt;0)),AND(I125&lt;&gt;"",OR(NOT(ISNUMBER(I125)),N(I125)&lt;0))),"Montant invalide",IF(OR(AND(J125&lt;&gt;"",OR(NOT(ISNUMBER(J125)),N(J125)&lt;0)),AND(K125&lt;&gt;"",OR(NOT(ISNUMBER(K125)),N(K125)&lt;0))),"Pourcentage invalide",IF(COUNTIF(bom_prod,A125)+COUNTIF(gam_prod,A125)=0,"Ni nomenclature ni gamme",IF(COUNTIFS(bom_prod,A125,bom_check,"&lt;&gt;OK")&gt;0,"Nomenclature à corriger",IF(COUNTIFS(gam_prod,A125,gam_check,"&lt;&gt;OK")&gt;0,"Gamme à corriger","OK")))))))))))</f>
        <v/>
      </c>
      <c r="Y125" s="70">
        <f>IF(J125="",N(p_fg),N(J125))</f>
        <v>0.15</v>
      </c>
      <c r="Z125" s="70">
        <f>IF(K125="",N(p_target),N(K125))</f>
        <v>0.25</v>
      </c>
      <c r="AA125" s="71" t="str">
        <f>IF(R125="","",IF(N(F125)&gt;0,ROUND(F125*N(E125),2),0))</f>
        <v/>
      </c>
      <c r="AB125" s="71">
        <f>IF(T125="",0,T125*N(E125))</f>
        <v>0.0</v>
      </c>
      <c r="AC125" s="71">
        <f>IF(T125="",0,R125*N(E125))</f>
        <v>0.0</v>
      </c>
      <c r="AD125" s="71">
        <f>IF(R125="",0,L125*N(E125))</f>
        <v>0.0</v>
      </c>
      <c r="AE125" s="71">
        <f>IF(R125="",0,M125*N(E125))</f>
        <v>0.0</v>
      </c>
      <c r="AF125" s="71">
        <f>IF(R125="",0,N125*N(E125))</f>
        <v>0.0</v>
      </c>
      <c r="AG125" s="71">
        <f>IF(R125="",0,O125*N(E125))</f>
        <v>0.0</v>
      </c>
      <c r="AH125" s="71">
        <f>IF(R125="",0,(N(G125)+N(H125)+N(I125)/D125)*N(E125))</f>
        <v>0.0</v>
      </c>
      <c r="AI125" s="71">
        <f>IF(R125="",0,P125*N(E125))</f>
        <v>0.0</v>
      </c>
      <c r="AJ125" s="71" t="str">
        <f>IF(AA125="","",COUNTIF(prod_ca,"&gt;"&amp;AA125)+COUNTIF(AA$6:AA125,AA125))</f>
        <v/>
      </c>
      <c r="AK125" s="71" t="str">
        <f>IF(OR(W125="Vendu à perte",W125="Sous la cible"),ROUND(U125,6),"")</f>
        <v/>
      </c>
      <c r="AL125" s="71" t="str">
        <f>IF(AK125="","",COUNTIF(prod_alk,"&lt;"&amp;AK125)+COUNTIF(AK$6:AK125,AK125))</f>
        <v/>
      </c>
    </row>
    <row r="126">
      <c r="A126" s="60" t="n"/>
      <c r="B126" s="60" t="n"/>
      <c r="C126" s="61" t="n"/>
      <c r="D126" s="62" t="n"/>
      <c r="E126" s="63" t="n"/>
      <c r="F126" s="64" t="n"/>
      <c r="G126" s="64" t="n"/>
      <c r="H126" s="64" t="n"/>
      <c r="I126" s="64" t="n"/>
      <c r="J126" s="65" t="n"/>
      <c r="K126" s="65" t="n"/>
      <c r="L126" s="66" t="str">
        <f>IF(X126="OK",SUMIF(bom_prod,A126,bom_cost),"")</f>
        <v/>
      </c>
      <c r="M126" s="66" t="str">
        <f>IF(X126="OK",SUMIF(gam_prod,A126,gam_mo),"")</f>
        <v/>
      </c>
      <c r="N126" s="66" t="str">
        <f>IF(X126="OK",SUMIF(gam_prod,A126,gam_mac),"")</f>
        <v/>
      </c>
      <c r="O126" s="66" t="str">
        <f>IF(X126="OK",SUMIF(gam_prod,A126,gam_setup)/D126,"")</f>
        <v/>
      </c>
      <c r="P126" s="66" t="str">
        <f>IF(X126="OK",(L126+M126+N126+O126+N(G126))*Y126,"")</f>
        <v/>
      </c>
      <c r="Q126" s="66" t="str">
        <f>IF(X126="OK",L126+M126+N126+O126+N(G126)+P126,"")</f>
        <v/>
      </c>
      <c r="R126" s="67" t="str">
        <f>IF(X126="OK",ROUND(Q126+N(H126)+N(I126)/D126,4),"")</f>
        <v/>
      </c>
      <c r="S126" s="66" t="str">
        <f>IF(X126="OK",ROUND(R126*(1+Z126),2),"")</f>
        <v/>
      </c>
      <c r="T126" s="66" t="str">
        <f>IF(AND(X126="OK",N(F126)&gt;0),F126-R126,"")</f>
        <v/>
      </c>
      <c r="U126" s="68" t="str">
        <f>IF(T126="","",IF(R126&lt;=0,"",T126/R126))</f>
        <v/>
      </c>
      <c r="V126" s="68" t="str">
        <f>IF(T126="","",T126/F126)</f>
        <v/>
      </c>
      <c r="W126" s="69" t="str">
        <f>IF(A126="","",IF(X126&lt;&gt;"OK","À corriger",IF(N(F126)&lt;=0,"Prix à saisir",IF(F126&lt;R126,"Vendu à perte",IF(F126&lt;S126,"Sous la cible","OK")))))</f>
        <v/>
      </c>
      <c r="X126" s="69" t="str">
        <f>IF(AND(A126="",COUNTA(B126:K126)=0),"",IF(A126="","Référence manquante",IF(COUNTIF($A$6:$A$305,A126)&gt;1,"Référence en double",IF(OR(NOT(ISNUMBER(D126)),N(D126)&lt;=0),"Taille de lot invalide",IF(AND(E126&lt;&gt;"",OR(NOT(ISNUMBER(E126)),N(E126)&lt;0)),"Volume annuel invalide",IF(AND(F126&lt;&gt;"",OR(NOT(ISNUMBER(F126)),N(F126)&lt;0)),"Prix de vente invalide",IF(OR(AND(G126&lt;&gt;"",OR(NOT(ISNUMBER(G126)),N(G126)&lt;0)),AND(H126&lt;&gt;"",OR(NOT(ISNUMBER(H126)),N(H126)&lt;0)),AND(I126&lt;&gt;"",OR(NOT(ISNUMBER(I126)),N(I126)&lt;0))),"Montant invalide",IF(OR(AND(J126&lt;&gt;"",OR(NOT(ISNUMBER(J126)),N(J126)&lt;0)),AND(K126&lt;&gt;"",OR(NOT(ISNUMBER(K126)),N(K126)&lt;0))),"Pourcentage invalide",IF(COUNTIF(bom_prod,A126)+COUNTIF(gam_prod,A126)=0,"Ni nomenclature ni gamme",IF(COUNTIFS(bom_prod,A126,bom_check,"&lt;&gt;OK")&gt;0,"Nomenclature à corriger",IF(COUNTIFS(gam_prod,A126,gam_check,"&lt;&gt;OK")&gt;0,"Gamme à corriger","OK")))))))))))</f>
        <v/>
      </c>
      <c r="Y126" s="70">
        <f>IF(J126="",N(p_fg),N(J126))</f>
        <v>0.15</v>
      </c>
      <c r="Z126" s="70">
        <f>IF(K126="",N(p_target),N(K126))</f>
        <v>0.25</v>
      </c>
      <c r="AA126" s="71" t="str">
        <f>IF(R126="","",IF(N(F126)&gt;0,ROUND(F126*N(E126),2),0))</f>
        <v/>
      </c>
      <c r="AB126" s="71">
        <f>IF(T126="",0,T126*N(E126))</f>
        <v>0.0</v>
      </c>
      <c r="AC126" s="71">
        <f>IF(T126="",0,R126*N(E126))</f>
        <v>0.0</v>
      </c>
      <c r="AD126" s="71">
        <f>IF(R126="",0,L126*N(E126))</f>
        <v>0.0</v>
      </c>
      <c r="AE126" s="71">
        <f>IF(R126="",0,M126*N(E126))</f>
        <v>0.0</v>
      </c>
      <c r="AF126" s="71">
        <f>IF(R126="",0,N126*N(E126))</f>
        <v>0.0</v>
      </c>
      <c r="AG126" s="71">
        <f>IF(R126="",0,O126*N(E126))</f>
        <v>0.0</v>
      </c>
      <c r="AH126" s="71">
        <f>IF(R126="",0,(N(G126)+N(H126)+N(I126)/D126)*N(E126))</f>
        <v>0.0</v>
      </c>
      <c r="AI126" s="71">
        <f>IF(R126="",0,P126*N(E126))</f>
        <v>0.0</v>
      </c>
      <c r="AJ126" s="71" t="str">
        <f>IF(AA126="","",COUNTIF(prod_ca,"&gt;"&amp;AA126)+COUNTIF(AA$6:AA126,AA126))</f>
        <v/>
      </c>
      <c r="AK126" s="71" t="str">
        <f>IF(OR(W126="Vendu à perte",W126="Sous la cible"),ROUND(U126,6),"")</f>
        <v/>
      </c>
      <c r="AL126" s="71" t="str">
        <f>IF(AK126="","",COUNTIF(prod_alk,"&lt;"&amp;AK126)+COUNTIF(AK$6:AK126,AK126))</f>
        <v/>
      </c>
    </row>
    <row r="127">
      <c r="A127" s="60" t="n"/>
      <c r="B127" s="60" t="n"/>
      <c r="C127" s="61" t="n"/>
      <c r="D127" s="62" t="n"/>
      <c r="E127" s="63" t="n"/>
      <c r="F127" s="64" t="n"/>
      <c r="G127" s="64" t="n"/>
      <c r="H127" s="64" t="n"/>
      <c r="I127" s="64" t="n"/>
      <c r="J127" s="65" t="n"/>
      <c r="K127" s="65" t="n"/>
      <c r="L127" s="66" t="str">
        <f>IF(X127="OK",SUMIF(bom_prod,A127,bom_cost),"")</f>
        <v/>
      </c>
      <c r="M127" s="66" t="str">
        <f>IF(X127="OK",SUMIF(gam_prod,A127,gam_mo),"")</f>
        <v/>
      </c>
      <c r="N127" s="66" t="str">
        <f>IF(X127="OK",SUMIF(gam_prod,A127,gam_mac),"")</f>
        <v/>
      </c>
      <c r="O127" s="66" t="str">
        <f>IF(X127="OK",SUMIF(gam_prod,A127,gam_setup)/D127,"")</f>
        <v/>
      </c>
      <c r="P127" s="66" t="str">
        <f>IF(X127="OK",(L127+M127+N127+O127+N(G127))*Y127,"")</f>
        <v/>
      </c>
      <c r="Q127" s="66" t="str">
        <f>IF(X127="OK",L127+M127+N127+O127+N(G127)+P127,"")</f>
        <v/>
      </c>
      <c r="R127" s="67" t="str">
        <f>IF(X127="OK",ROUND(Q127+N(H127)+N(I127)/D127,4),"")</f>
        <v/>
      </c>
      <c r="S127" s="66" t="str">
        <f>IF(X127="OK",ROUND(R127*(1+Z127),2),"")</f>
        <v/>
      </c>
      <c r="T127" s="66" t="str">
        <f>IF(AND(X127="OK",N(F127)&gt;0),F127-R127,"")</f>
        <v/>
      </c>
      <c r="U127" s="68" t="str">
        <f>IF(T127="","",IF(R127&lt;=0,"",T127/R127))</f>
        <v/>
      </c>
      <c r="V127" s="68" t="str">
        <f>IF(T127="","",T127/F127)</f>
        <v/>
      </c>
      <c r="W127" s="69" t="str">
        <f>IF(A127="","",IF(X127&lt;&gt;"OK","À corriger",IF(N(F127)&lt;=0,"Prix à saisir",IF(F127&lt;R127,"Vendu à perte",IF(F127&lt;S127,"Sous la cible","OK")))))</f>
        <v/>
      </c>
      <c r="X127" s="69" t="str">
        <f>IF(AND(A127="",COUNTA(B127:K127)=0),"",IF(A127="","Référence manquante",IF(COUNTIF($A$6:$A$305,A127)&gt;1,"Référence en double",IF(OR(NOT(ISNUMBER(D127)),N(D127)&lt;=0),"Taille de lot invalide",IF(AND(E127&lt;&gt;"",OR(NOT(ISNUMBER(E127)),N(E127)&lt;0)),"Volume annuel invalide",IF(AND(F127&lt;&gt;"",OR(NOT(ISNUMBER(F127)),N(F127)&lt;0)),"Prix de vente invalide",IF(OR(AND(G127&lt;&gt;"",OR(NOT(ISNUMBER(G127)),N(G127)&lt;0)),AND(H127&lt;&gt;"",OR(NOT(ISNUMBER(H127)),N(H127)&lt;0)),AND(I127&lt;&gt;"",OR(NOT(ISNUMBER(I127)),N(I127)&lt;0))),"Montant invalide",IF(OR(AND(J127&lt;&gt;"",OR(NOT(ISNUMBER(J127)),N(J127)&lt;0)),AND(K127&lt;&gt;"",OR(NOT(ISNUMBER(K127)),N(K127)&lt;0))),"Pourcentage invalide",IF(COUNTIF(bom_prod,A127)+COUNTIF(gam_prod,A127)=0,"Ni nomenclature ni gamme",IF(COUNTIFS(bom_prod,A127,bom_check,"&lt;&gt;OK")&gt;0,"Nomenclature à corriger",IF(COUNTIFS(gam_prod,A127,gam_check,"&lt;&gt;OK")&gt;0,"Gamme à corriger","OK")))))))))))</f>
        <v/>
      </c>
      <c r="Y127" s="70">
        <f>IF(J127="",N(p_fg),N(J127))</f>
        <v>0.15</v>
      </c>
      <c r="Z127" s="70">
        <f>IF(K127="",N(p_target),N(K127))</f>
        <v>0.25</v>
      </c>
      <c r="AA127" s="71" t="str">
        <f>IF(R127="","",IF(N(F127)&gt;0,ROUND(F127*N(E127),2),0))</f>
        <v/>
      </c>
      <c r="AB127" s="71">
        <f>IF(T127="",0,T127*N(E127))</f>
        <v>0.0</v>
      </c>
      <c r="AC127" s="71">
        <f>IF(T127="",0,R127*N(E127))</f>
        <v>0.0</v>
      </c>
      <c r="AD127" s="71">
        <f>IF(R127="",0,L127*N(E127))</f>
        <v>0.0</v>
      </c>
      <c r="AE127" s="71">
        <f>IF(R127="",0,M127*N(E127))</f>
        <v>0.0</v>
      </c>
      <c r="AF127" s="71">
        <f>IF(R127="",0,N127*N(E127))</f>
        <v>0.0</v>
      </c>
      <c r="AG127" s="71">
        <f>IF(R127="",0,O127*N(E127))</f>
        <v>0.0</v>
      </c>
      <c r="AH127" s="71">
        <f>IF(R127="",0,(N(G127)+N(H127)+N(I127)/D127)*N(E127))</f>
        <v>0.0</v>
      </c>
      <c r="AI127" s="71">
        <f>IF(R127="",0,P127*N(E127))</f>
        <v>0.0</v>
      </c>
      <c r="AJ127" s="71" t="str">
        <f>IF(AA127="","",COUNTIF(prod_ca,"&gt;"&amp;AA127)+COUNTIF(AA$6:AA127,AA127))</f>
        <v/>
      </c>
      <c r="AK127" s="71" t="str">
        <f>IF(OR(W127="Vendu à perte",W127="Sous la cible"),ROUND(U127,6),"")</f>
        <v/>
      </c>
      <c r="AL127" s="71" t="str">
        <f>IF(AK127="","",COUNTIF(prod_alk,"&lt;"&amp;AK127)+COUNTIF(AK$6:AK127,AK127))</f>
        <v/>
      </c>
    </row>
    <row r="128">
      <c r="A128" s="60" t="n"/>
      <c r="B128" s="60" t="n"/>
      <c r="C128" s="61" t="n"/>
      <c r="D128" s="62" t="n"/>
      <c r="E128" s="63" t="n"/>
      <c r="F128" s="64" t="n"/>
      <c r="G128" s="64" t="n"/>
      <c r="H128" s="64" t="n"/>
      <c r="I128" s="64" t="n"/>
      <c r="J128" s="65" t="n"/>
      <c r="K128" s="65" t="n"/>
      <c r="L128" s="66" t="str">
        <f>IF(X128="OK",SUMIF(bom_prod,A128,bom_cost),"")</f>
        <v/>
      </c>
      <c r="M128" s="66" t="str">
        <f>IF(X128="OK",SUMIF(gam_prod,A128,gam_mo),"")</f>
        <v/>
      </c>
      <c r="N128" s="66" t="str">
        <f>IF(X128="OK",SUMIF(gam_prod,A128,gam_mac),"")</f>
        <v/>
      </c>
      <c r="O128" s="66" t="str">
        <f>IF(X128="OK",SUMIF(gam_prod,A128,gam_setup)/D128,"")</f>
        <v/>
      </c>
      <c r="P128" s="66" t="str">
        <f>IF(X128="OK",(L128+M128+N128+O128+N(G128))*Y128,"")</f>
        <v/>
      </c>
      <c r="Q128" s="66" t="str">
        <f>IF(X128="OK",L128+M128+N128+O128+N(G128)+P128,"")</f>
        <v/>
      </c>
      <c r="R128" s="67" t="str">
        <f>IF(X128="OK",ROUND(Q128+N(H128)+N(I128)/D128,4),"")</f>
        <v/>
      </c>
      <c r="S128" s="66" t="str">
        <f>IF(X128="OK",ROUND(R128*(1+Z128),2),"")</f>
        <v/>
      </c>
      <c r="T128" s="66" t="str">
        <f>IF(AND(X128="OK",N(F128)&gt;0),F128-R128,"")</f>
        <v/>
      </c>
      <c r="U128" s="68" t="str">
        <f>IF(T128="","",IF(R128&lt;=0,"",T128/R128))</f>
        <v/>
      </c>
      <c r="V128" s="68" t="str">
        <f>IF(T128="","",T128/F128)</f>
        <v/>
      </c>
      <c r="W128" s="69" t="str">
        <f>IF(A128="","",IF(X128&lt;&gt;"OK","À corriger",IF(N(F128)&lt;=0,"Prix à saisir",IF(F128&lt;R128,"Vendu à perte",IF(F128&lt;S128,"Sous la cible","OK")))))</f>
        <v/>
      </c>
      <c r="X128" s="69" t="str">
        <f>IF(AND(A128="",COUNTA(B128:K128)=0),"",IF(A128="","Référence manquante",IF(COUNTIF($A$6:$A$305,A128)&gt;1,"Référence en double",IF(OR(NOT(ISNUMBER(D128)),N(D128)&lt;=0),"Taille de lot invalide",IF(AND(E128&lt;&gt;"",OR(NOT(ISNUMBER(E128)),N(E128)&lt;0)),"Volume annuel invalide",IF(AND(F128&lt;&gt;"",OR(NOT(ISNUMBER(F128)),N(F128)&lt;0)),"Prix de vente invalide",IF(OR(AND(G128&lt;&gt;"",OR(NOT(ISNUMBER(G128)),N(G128)&lt;0)),AND(H128&lt;&gt;"",OR(NOT(ISNUMBER(H128)),N(H128)&lt;0)),AND(I128&lt;&gt;"",OR(NOT(ISNUMBER(I128)),N(I128)&lt;0))),"Montant invalide",IF(OR(AND(J128&lt;&gt;"",OR(NOT(ISNUMBER(J128)),N(J128)&lt;0)),AND(K128&lt;&gt;"",OR(NOT(ISNUMBER(K128)),N(K128)&lt;0))),"Pourcentage invalide",IF(COUNTIF(bom_prod,A128)+COUNTIF(gam_prod,A128)=0,"Ni nomenclature ni gamme",IF(COUNTIFS(bom_prod,A128,bom_check,"&lt;&gt;OK")&gt;0,"Nomenclature à corriger",IF(COUNTIFS(gam_prod,A128,gam_check,"&lt;&gt;OK")&gt;0,"Gamme à corriger","OK")))))))))))</f>
        <v/>
      </c>
      <c r="Y128" s="70">
        <f>IF(J128="",N(p_fg),N(J128))</f>
        <v>0.15</v>
      </c>
      <c r="Z128" s="70">
        <f>IF(K128="",N(p_target),N(K128))</f>
        <v>0.25</v>
      </c>
      <c r="AA128" s="71" t="str">
        <f>IF(R128="","",IF(N(F128)&gt;0,ROUND(F128*N(E128),2),0))</f>
        <v/>
      </c>
      <c r="AB128" s="71">
        <f>IF(T128="",0,T128*N(E128))</f>
        <v>0.0</v>
      </c>
      <c r="AC128" s="71">
        <f>IF(T128="",0,R128*N(E128))</f>
        <v>0.0</v>
      </c>
      <c r="AD128" s="71">
        <f>IF(R128="",0,L128*N(E128))</f>
        <v>0.0</v>
      </c>
      <c r="AE128" s="71">
        <f>IF(R128="",0,M128*N(E128))</f>
        <v>0.0</v>
      </c>
      <c r="AF128" s="71">
        <f>IF(R128="",0,N128*N(E128))</f>
        <v>0.0</v>
      </c>
      <c r="AG128" s="71">
        <f>IF(R128="",0,O128*N(E128))</f>
        <v>0.0</v>
      </c>
      <c r="AH128" s="71">
        <f>IF(R128="",0,(N(G128)+N(H128)+N(I128)/D128)*N(E128))</f>
        <v>0.0</v>
      </c>
      <c r="AI128" s="71">
        <f>IF(R128="",0,P128*N(E128))</f>
        <v>0.0</v>
      </c>
      <c r="AJ128" s="71" t="str">
        <f>IF(AA128="","",COUNTIF(prod_ca,"&gt;"&amp;AA128)+COUNTIF(AA$6:AA128,AA128))</f>
        <v/>
      </c>
      <c r="AK128" s="71" t="str">
        <f>IF(OR(W128="Vendu à perte",W128="Sous la cible"),ROUND(U128,6),"")</f>
        <v/>
      </c>
      <c r="AL128" s="71" t="str">
        <f>IF(AK128="","",COUNTIF(prod_alk,"&lt;"&amp;AK128)+COUNTIF(AK$6:AK128,AK128))</f>
        <v/>
      </c>
    </row>
    <row r="129">
      <c r="A129" s="60" t="n"/>
      <c r="B129" s="60" t="n"/>
      <c r="C129" s="61" t="n"/>
      <c r="D129" s="62" t="n"/>
      <c r="E129" s="63" t="n"/>
      <c r="F129" s="64" t="n"/>
      <c r="G129" s="64" t="n"/>
      <c r="H129" s="64" t="n"/>
      <c r="I129" s="64" t="n"/>
      <c r="J129" s="65" t="n"/>
      <c r="K129" s="65" t="n"/>
      <c r="L129" s="66" t="str">
        <f>IF(X129="OK",SUMIF(bom_prod,A129,bom_cost),"")</f>
        <v/>
      </c>
      <c r="M129" s="66" t="str">
        <f>IF(X129="OK",SUMIF(gam_prod,A129,gam_mo),"")</f>
        <v/>
      </c>
      <c r="N129" s="66" t="str">
        <f>IF(X129="OK",SUMIF(gam_prod,A129,gam_mac),"")</f>
        <v/>
      </c>
      <c r="O129" s="66" t="str">
        <f>IF(X129="OK",SUMIF(gam_prod,A129,gam_setup)/D129,"")</f>
        <v/>
      </c>
      <c r="P129" s="66" t="str">
        <f>IF(X129="OK",(L129+M129+N129+O129+N(G129))*Y129,"")</f>
        <v/>
      </c>
      <c r="Q129" s="66" t="str">
        <f>IF(X129="OK",L129+M129+N129+O129+N(G129)+P129,"")</f>
        <v/>
      </c>
      <c r="R129" s="67" t="str">
        <f>IF(X129="OK",ROUND(Q129+N(H129)+N(I129)/D129,4),"")</f>
        <v/>
      </c>
      <c r="S129" s="66" t="str">
        <f>IF(X129="OK",ROUND(R129*(1+Z129),2),"")</f>
        <v/>
      </c>
      <c r="T129" s="66" t="str">
        <f>IF(AND(X129="OK",N(F129)&gt;0),F129-R129,"")</f>
        <v/>
      </c>
      <c r="U129" s="68" t="str">
        <f>IF(T129="","",IF(R129&lt;=0,"",T129/R129))</f>
        <v/>
      </c>
      <c r="V129" s="68" t="str">
        <f>IF(T129="","",T129/F129)</f>
        <v/>
      </c>
      <c r="W129" s="69" t="str">
        <f>IF(A129="","",IF(X129&lt;&gt;"OK","À corriger",IF(N(F129)&lt;=0,"Prix à saisir",IF(F129&lt;R129,"Vendu à perte",IF(F129&lt;S129,"Sous la cible","OK")))))</f>
        <v/>
      </c>
      <c r="X129" s="69" t="str">
        <f>IF(AND(A129="",COUNTA(B129:K129)=0),"",IF(A129="","Référence manquante",IF(COUNTIF($A$6:$A$305,A129)&gt;1,"Référence en double",IF(OR(NOT(ISNUMBER(D129)),N(D129)&lt;=0),"Taille de lot invalide",IF(AND(E129&lt;&gt;"",OR(NOT(ISNUMBER(E129)),N(E129)&lt;0)),"Volume annuel invalide",IF(AND(F129&lt;&gt;"",OR(NOT(ISNUMBER(F129)),N(F129)&lt;0)),"Prix de vente invalide",IF(OR(AND(G129&lt;&gt;"",OR(NOT(ISNUMBER(G129)),N(G129)&lt;0)),AND(H129&lt;&gt;"",OR(NOT(ISNUMBER(H129)),N(H129)&lt;0)),AND(I129&lt;&gt;"",OR(NOT(ISNUMBER(I129)),N(I129)&lt;0))),"Montant invalide",IF(OR(AND(J129&lt;&gt;"",OR(NOT(ISNUMBER(J129)),N(J129)&lt;0)),AND(K129&lt;&gt;"",OR(NOT(ISNUMBER(K129)),N(K129)&lt;0))),"Pourcentage invalide",IF(COUNTIF(bom_prod,A129)+COUNTIF(gam_prod,A129)=0,"Ni nomenclature ni gamme",IF(COUNTIFS(bom_prod,A129,bom_check,"&lt;&gt;OK")&gt;0,"Nomenclature à corriger",IF(COUNTIFS(gam_prod,A129,gam_check,"&lt;&gt;OK")&gt;0,"Gamme à corriger","OK")))))))))))</f>
        <v/>
      </c>
      <c r="Y129" s="70">
        <f>IF(J129="",N(p_fg),N(J129))</f>
        <v>0.15</v>
      </c>
      <c r="Z129" s="70">
        <f>IF(K129="",N(p_target),N(K129))</f>
        <v>0.25</v>
      </c>
      <c r="AA129" s="71" t="str">
        <f>IF(R129="","",IF(N(F129)&gt;0,ROUND(F129*N(E129),2),0))</f>
        <v/>
      </c>
      <c r="AB129" s="71">
        <f>IF(T129="",0,T129*N(E129))</f>
        <v>0.0</v>
      </c>
      <c r="AC129" s="71">
        <f>IF(T129="",0,R129*N(E129))</f>
        <v>0.0</v>
      </c>
      <c r="AD129" s="71">
        <f>IF(R129="",0,L129*N(E129))</f>
        <v>0.0</v>
      </c>
      <c r="AE129" s="71">
        <f>IF(R129="",0,M129*N(E129))</f>
        <v>0.0</v>
      </c>
      <c r="AF129" s="71">
        <f>IF(R129="",0,N129*N(E129))</f>
        <v>0.0</v>
      </c>
      <c r="AG129" s="71">
        <f>IF(R129="",0,O129*N(E129))</f>
        <v>0.0</v>
      </c>
      <c r="AH129" s="71">
        <f>IF(R129="",0,(N(G129)+N(H129)+N(I129)/D129)*N(E129))</f>
        <v>0.0</v>
      </c>
      <c r="AI129" s="71">
        <f>IF(R129="",0,P129*N(E129))</f>
        <v>0.0</v>
      </c>
      <c r="AJ129" s="71" t="str">
        <f>IF(AA129="","",COUNTIF(prod_ca,"&gt;"&amp;AA129)+COUNTIF(AA$6:AA129,AA129))</f>
        <v/>
      </c>
      <c r="AK129" s="71" t="str">
        <f>IF(OR(W129="Vendu à perte",W129="Sous la cible"),ROUND(U129,6),"")</f>
        <v/>
      </c>
      <c r="AL129" s="71" t="str">
        <f>IF(AK129="","",COUNTIF(prod_alk,"&lt;"&amp;AK129)+COUNTIF(AK$6:AK129,AK129))</f>
        <v/>
      </c>
    </row>
    <row r="130">
      <c r="A130" s="60" t="n"/>
      <c r="B130" s="60" t="n"/>
      <c r="C130" s="61" t="n"/>
      <c r="D130" s="62" t="n"/>
      <c r="E130" s="63" t="n"/>
      <c r="F130" s="64" t="n"/>
      <c r="G130" s="64" t="n"/>
      <c r="H130" s="64" t="n"/>
      <c r="I130" s="64" t="n"/>
      <c r="J130" s="65" t="n"/>
      <c r="K130" s="65" t="n"/>
      <c r="L130" s="66" t="str">
        <f>IF(X130="OK",SUMIF(bom_prod,A130,bom_cost),"")</f>
        <v/>
      </c>
      <c r="M130" s="66" t="str">
        <f>IF(X130="OK",SUMIF(gam_prod,A130,gam_mo),"")</f>
        <v/>
      </c>
      <c r="N130" s="66" t="str">
        <f>IF(X130="OK",SUMIF(gam_prod,A130,gam_mac),"")</f>
        <v/>
      </c>
      <c r="O130" s="66" t="str">
        <f>IF(X130="OK",SUMIF(gam_prod,A130,gam_setup)/D130,"")</f>
        <v/>
      </c>
      <c r="P130" s="66" t="str">
        <f>IF(X130="OK",(L130+M130+N130+O130+N(G130))*Y130,"")</f>
        <v/>
      </c>
      <c r="Q130" s="66" t="str">
        <f>IF(X130="OK",L130+M130+N130+O130+N(G130)+P130,"")</f>
        <v/>
      </c>
      <c r="R130" s="67" t="str">
        <f>IF(X130="OK",ROUND(Q130+N(H130)+N(I130)/D130,4),"")</f>
        <v/>
      </c>
      <c r="S130" s="66" t="str">
        <f>IF(X130="OK",ROUND(R130*(1+Z130),2),"")</f>
        <v/>
      </c>
      <c r="T130" s="66" t="str">
        <f>IF(AND(X130="OK",N(F130)&gt;0),F130-R130,"")</f>
        <v/>
      </c>
      <c r="U130" s="68" t="str">
        <f>IF(T130="","",IF(R130&lt;=0,"",T130/R130))</f>
        <v/>
      </c>
      <c r="V130" s="68" t="str">
        <f>IF(T130="","",T130/F130)</f>
        <v/>
      </c>
      <c r="W130" s="69" t="str">
        <f>IF(A130="","",IF(X130&lt;&gt;"OK","À corriger",IF(N(F130)&lt;=0,"Prix à saisir",IF(F130&lt;R130,"Vendu à perte",IF(F130&lt;S130,"Sous la cible","OK")))))</f>
        <v/>
      </c>
      <c r="X130" s="69" t="str">
        <f>IF(AND(A130="",COUNTA(B130:K130)=0),"",IF(A130="","Référence manquante",IF(COUNTIF($A$6:$A$305,A130)&gt;1,"Référence en double",IF(OR(NOT(ISNUMBER(D130)),N(D130)&lt;=0),"Taille de lot invalide",IF(AND(E130&lt;&gt;"",OR(NOT(ISNUMBER(E130)),N(E130)&lt;0)),"Volume annuel invalide",IF(AND(F130&lt;&gt;"",OR(NOT(ISNUMBER(F130)),N(F130)&lt;0)),"Prix de vente invalide",IF(OR(AND(G130&lt;&gt;"",OR(NOT(ISNUMBER(G130)),N(G130)&lt;0)),AND(H130&lt;&gt;"",OR(NOT(ISNUMBER(H130)),N(H130)&lt;0)),AND(I130&lt;&gt;"",OR(NOT(ISNUMBER(I130)),N(I130)&lt;0))),"Montant invalide",IF(OR(AND(J130&lt;&gt;"",OR(NOT(ISNUMBER(J130)),N(J130)&lt;0)),AND(K130&lt;&gt;"",OR(NOT(ISNUMBER(K130)),N(K130)&lt;0))),"Pourcentage invalide",IF(COUNTIF(bom_prod,A130)+COUNTIF(gam_prod,A130)=0,"Ni nomenclature ni gamme",IF(COUNTIFS(bom_prod,A130,bom_check,"&lt;&gt;OK")&gt;0,"Nomenclature à corriger",IF(COUNTIFS(gam_prod,A130,gam_check,"&lt;&gt;OK")&gt;0,"Gamme à corriger","OK")))))))))))</f>
        <v/>
      </c>
      <c r="Y130" s="70">
        <f>IF(J130="",N(p_fg),N(J130))</f>
        <v>0.15</v>
      </c>
      <c r="Z130" s="70">
        <f>IF(K130="",N(p_target),N(K130))</f>
        <v>0.25</v>
      </c>
      <c r="AA130" s="71" t="str">
        <f>IF(R130="","",IF(N(F130)&gt;0,ROUND(F130*N(E130),2),0))</f>
        <v/>
      </c>
      <c r="AB130" s="71">
        <f>IF(T130="",0,T130*N(E130))</f>
        <v>0.0</v>
      </c>
      <c r="AC130" s="71">
        <f>IF(T130="",0,R130*N(E130))</f>
        <v>0.0</v>
      </c>
      <c r="AD130" s="71">
        <f>IF(R130="",0,L130*N(E130))</f>
        <v>0.0</v>
      </c>
      <c r="AE130" s="71">
        <f>IF(R130="",0,M130*N(E130))</f>
        <v>0.0</v>
      </c>
      <c r="AF130" s="71">
        <f>IF(R130="",0,N130*N(E130))</f>
        <v>0.0</v>
      </c>
      <c r="AG130" s="71">
        <f>IF(R130="",0,O130*N(E130))</f>
        <v>0.0</v>
      </c>
      <c r="AH130" s="71">
        <f>IF(R130="",0,(N(G130)+N(H130)+N(I130)/D130)*N(E130))</f>
        <v>0.0</v>
      </c>
      <c r="AI130" s="71">
        <f>IF(R130="",0,P130*N(E130))</f>
        <v>0.0</v>
      </c>
      <c r="AJ130" s="71" t="str">
        <f>IF(AA130="","",COUNTIF(prod_ca,"&gt;"&amp;AA130)+COUNTIF(AA$6:AA130,AA130))</f>
        <v/>
      </c>
      <c r="AK130" s="71" t="str">
        <f>IF(OR(W130="Vendu à perte",W130="Sous la cible"),ROUND(U130,6),"")</f>
        <v/>
      </c>
      <c r="AL130" s="71" t="str">
        <f>IF(AK130="","",COUNTIF(prod_alk,"&lt;"&amp;AK130)+COUNTIF(AK$6:AK130,AK130))</f>
        <v/>
      </c>
    </row>
    <row r="131">
      <c r="A131" s="60" t="n"/>
      <c r="B131" s="60" t="n"/>
      <c r="C131" s="61" t="n"/>
      <c r="D131" s="62" t="n"/>
      <c r="E131" s="63" t="n"/>
      <c r="F131" s="64" t="n"/>
      <c r="G131" s="64" t="n"/>
      <c r="H131" s="64" t="n"/>
      <c r="I131" s="64" t="n"/>
      <c r="J131" s="65" t="n"/>
      <c r="K131" s="65" t="n"/>
      <c r="L131" s="66" t="str">
        <f>IF(X131="OK",SUMIF(bom_prod,A131,bom_cost),"")</f>
        <v/>
      </c>
      <c r="M131" s="66" t="str">
        <f>IF(X131="OK",SUMIF(gam_prod,A131,gam_mo),"")</f>
        <v/>
      </c>
      <c r="N131" s="66" t="str">
        <f>IF(X131="OK",SUMIF(gam_prod,A131,gam_mac),"")</f>
        <v/>
      </c>
      <c r="O131" s="66" t="str">
        <f>IF(X131="OK",SUMIF(gam_prod,A131,gam_setup)/D131,"")</f>
        <v/>
      </c>
      <c r="P131" s="66" t="str">
        <f>IF(X131="OK",(L131+M131+N131+O131+N(G131))*Y131,"")</f>
        <v/>
      </c>
      <c r="Q131" s="66" t="str">
        <f>IF(X131="OK",L131+M131+N131+O131+N(G131)+P131,"")</f>
        <v/>
      </c>
      <c r="R131" s="67" t="str">
        <f>IF(X131="OK",ROUND(Q131+N(H131)+N(I131)/D131,4),"")</f>
        <v/>
      </c>
      <c r="S131" s="66" t="str">
        <f>IF(X131="OK",ROUND(R131*(1+Z131),2),"")</f>
        <v/>
      </c>
      <c r="T131" s="66" t="str">
        <f>IF(AND(X131="OK",N(F131)&gt;0),F131-R131,"")</f>
        <v/>
      </c>
      <c r="U131" s="68" t="str">
        <f>IF(T131="","",IF(R131&lt;=0,"",T131/R131))</f>
        <v/>
      </c>
      <c r="V131" s="68" t="str">
        <f>IF(T131="","",T131/F131)</f>
        <v/>
      </c>
      <c r="W131" s="69" t="str">
        <f>IF(A131="","",IF(X131&lt;&gt;"OK","À corriger",IF(N(F131)&lt;=0,"Prix à saisir",IF(F131&lt;R131,"Vendu à perte",IF(F131&lt;S131,"Sous la cible","OK")))))</f>
        <v/>
      </c>
      <c r="X131" s="69" t="str">
        <f>IF(AND(A131="",COUNTA(B131:K131)=0),"",IF(A131="","Référence manquante",IF(COUNTIF($A$6:$A$305,A131)&gt;1,"Référence en double",IF(OR(NOT(ISNUMBER(D131)),N(D131)&lt;=0),"Taille de lot invalide",IF(AND(E131&lt;&gt;"",OR(NOT(ISNUMBER(E131)),N(E131)&lt;0)),"Volume annuel invalide",IF(AND(F131&lt;&gt;"",OR(NOT(ISNUMBER(F131)),N(F131)&lt;0)),"Prix de vente invalide",IF(OR(AND(G131&lt;&gt;"",OR(NOT(ISNUMBER(G131)),N(G131)&lt;0)),AND(H131&lt;&gt;"",OR(NOT(ISNUMBER(H131)),N(H131)&lt;0)),AND(I131&lt;&gt;"",OR(NOT(ISNUMBER(I131)),N(I131)&lt;0))),"Montant invalide",IF(OR(AND(J131&lt;&gt;"",OR(NOT(ISNUMBER(J131)),N(J131)&lt;0)),AND(K131&lt;&gt;"",OR(NOT(ISNUMBER(K131)),N(K131)&lt;0))),"Pourcentage invalide",IF(COUNTIF(bom_prod,A131)+COUNTIF(gam_prod,A131)=0,"Ni nomenclature ni gamme",IF(COUNTIFS(bom_prod,A131,bom_check,"&lt;&gt;OK")&gt;0,"Nomenclature à corriger",IF(COUNTIFS(gam_prod,A131,gam_check,"&lt;&gt;OK")&gt;0,"Gamme à corriger","OK")))))))))))</f>
        <v/>
      </c>
      <c r="Y131" s="70">
        <f>IF(J131="",N(p_fg),N(J131))</f>
        <v>0.15</v>
      </c>
      <c r="Z131" s="70">
        <f>IF(K131="",N(p_target),N(K131))</f>
        <v>0.25</v>
      </c>
      <c r="AA131" s="71" t="str">
        <f>IF(R131="","",IF(N(F131)&gt;0,ROUND(F131*N(E131),2),0))</f>
        <v/>
      </c>
      <c r="AB131" s="71">
        <f>IF(T131="",0,T131*N(E131))</f>
        <v>0.0</v>
      </c>
      <c r="AC131" s="71">
        <f>IF(T131="",0,R131*N(E131))</f>
        <v>0.0</v>
      </c>
      <c r="AD131" s="71">
        <f>IF(R131="",0,L131*N(E131))</f>
        <v>0.0</v>
      </c>
      <c r="AE131" s="71">
        <f>IF(R131="",0,M131*N(E131))</f>
        <v>0.0</v>
      </c>
      <c r="AF131" s="71">
        <f>IF(R131="",0,N131*N(E131))</f>
        <v>0.0</v>
      </c>
      <c r="AG131" s="71">
        <f>IF(R131="",0,O131*N(E131))</f>
        <v>0.0</v>
      </c>
      <c r="AH131" s="71">
        <f>IF(R131="",0,(N(G131)+N(H131)+N(I131)/D131)*N(E131))</f>
        <v>0.0</v>
      </c>
      <c r="AI131" s="71">
        <f>IF(R131="",0,P131*N(E131))</f>
        <v>0.0</v>
      </c>
      <c r="AJ131" s="71" t="str">
        <f>IF(AA131="","",COUNTIF(prod_ca,"&gt;"&amp;AA131)+COUNTIF(AA$6:AA131,AA131))</f>
        <v/>
      </c>
      <c r="AK131" s="71" t="str">
        <f>IF(OR(W131="Vendu à perte",W131="Sous la cible"),ROUND(U131,6),"")</f>
        <v/>
      </c>
      <c r="AL131" s="71" t="str">
        <f>IF(AK131="","",COUNTIF(prod_alk,"&lt;"&amp;AK131)+COUNTIF(AK$6:AK131,AK131))</f>
        <v/>
      </c>
    </row>
    <row r="132">
      <c r="A132" s="60" t="n"/>
      <c r="B132" s="60" t="n"/>
      <c r="C132" s="61" t="n"/>
      <c r="D132" s="62" t="n"/>
      <c r="E132" s="63" t="n"/>
      <c r="F132" s="64" t="n"/>
      <c r="G132" s="64" t="n"/>
      <c r="H132" s="64" t="n"/>
      <c r="I132" s="64" t="n"/>
      <c r="J132" s="65" t="n"/>
      <c r="K132" s="65" t="n"/>
      <c r="L132" s="66" t="str">
        <f>IF(X132="OK",SUMIF(bom_prod,A132,bom_cost),"")</f>
        <v/>
      </c>
      <c r="M132" s="66" t="str">
        <f>IF(X132="OK",SUMIF(gam_prod,A132,gam_mo),"")</f>
        <v/>
      </c>
      <c r="N132" s="66" t="str">
        <f>IF(X132="OK",SUMIF(gam_prod,A132,gam_mac),"")</f>
        <v/>
      </c>
      <c r="O132" s="66" t="str">
        <f>IF(X132="OK",SUMIF(gam_prod,A132,gam_setup)/D132,"")</f>
        <v/>
      </c>
      <c r="P132" s="66" t="str">
        <f>IF(X132="OK",(L132+M132+N132+O132+N(G132))*Y132,"")</f>
        <v/>
      </c>
      <c r="Q132" s="66" t="str">
        <f>IF(X132="OK",L132+M132+N132+O132+N(G132)+P132,"")</f>
        <v/>
      </c>
      <c r="R132" s="67" t="str">
        <f>IF(X132="OK",ROUND(Q132+N(H132)+N(I132)/D132,4),"")</f>
        <v/>
      </c>
      <c r="S132" s="66" t="str">
        <f>IF(X132="OK",ROUND(R132*(1+Z132),2),"")</f>
        <v/>
      </c>
      <c r="T132" s="66" t="str">
        <f>IF(AND(X132="OK",N(F132)&gt;0),F132-R132,"")</f>
        <v/>
      </c>
      <c r="U132" s="68" t="str">
        <f>IF(T132="","",IF(R132&lt;=0,"",T132/R132))</f>
        <v/>
      </c>
      <c r="V132" s="68" t="str">
        <f>IF(T132="","",T132/F132)</f>
        <v/>
      </c>
      <c r="W132" s="69" t="str">
        <f>IF(A132="","",IF(X132&lt;&gt;"OK","À corriger",IF(N(F132)&lt;=0,"Prix à saisir",IF(F132&lt;R132,"Vendu à perte",IF(F132&lt;S132,"Sous la cible","OK")))))</f>
        <v/>
      </c>
      <c r="X132" s="69" t="str">
        <f>IF(AND(A132="",COUNTA(B132:K132)=0),"",IF(A132="","Référence manquante",IF(COUNTIF($A$6:$A$305,A132)&gt;1,"Référence en double",IF(OR(NOT(ISNUMBER(D132)),N(D132)&lt;=0),"Taille de lot invalide",IF(AND(E132&lt;&gt;"",OR(NOT(ISNUMBER(E132)),N(E132)&lt;0)),"Volume annuel invalide",IF(AND(F132&lt;&gt;"",OR(NOT(ISNUMBER(F132)),N(F132)&lt;0)),"Prix de vente invalide",IF(OR(AND(G132&lt;&gt;"",OR(NOT(ISNUMBER(G132)),N(G132)&lt;0)),AND(H132&lt;&gt;"",OR(NOT(ISNUMBER(H132)),N(H132)&lt;0)),AND(I132&lt;&gt;"",OR(NOT(ISNUMBER(I132)),N(I132)&lt;0))),"Montant invalide",IF(OR(AND(J132&lt;&gt;"",OR(NOT(ISNUMBER(J132)),N(J132)&lt;0)),AND(K132&lt;&gt;"",OR(NOT(ISNUMBER(K132)),N(K132)&lt;0))),"Pourcentage invalide",IF(COUNTIF(bom_prod,A132)+COUNTIF(gam_prod,A132)=0,"Ni nomenclature ni gamme",IF(COUNTIFS(bom_prod,A132,bom_check,"&lt;&gt;OK")&gt;0,"Nomenclature à corriger",IF(COUNTIFS(gam_prod,A132,gam_check,"&lt;&gt;OK")&gt;0,"Gamme à corriger","OK")))))))))))</f>
        <v/>
      </c>
      <c r="Y132" s="70">
        <f>IF(J132="",N(p_fg),N(J132))</f>
        <v>0.15</v>
      </c>
      <c r="Z132" s="70">
        <f>IF(K132="",N(p_target),N(K132))</f>
        <v>0.25</v>
      </c>
      <c r="AA132" s="71" t="str">
        <f>IF(R132="","",IF(N(F132)&gt;0,ROUND(F132*N(E132),2),0))</f>
        <v/>
      </c>
      <c r="AB132" s="71">
        <f>IF(T132="",0,T132*N(E132))</f>
        <v>0.0</v>
      </c>
      <c r="AC132" s="71">
        <f>IF(T132="",0,R132*N(E132))</f>
        <v>0.0</v>
      </c>
      <c r="AD132" s="71">
        <f>IF(R132="",0,L132*N(E132))</f>
        <v>0.0</v>
      </c>
      <c r="AE132" s="71">
        <f>IF(R132="",0,M132*N(E132))</f>
        <v>0.0</v>
      </c>
      <c r="AF132" s="71">
        <f>IF(R132="",0,N132*N(E132))</f>
        <v>0.0</v>
      </c>
      <c r="AG132" s="71">
        <f>IF(R132="",0,O132*N(E132))</f>
        <v>0.0</v>
      </c>
      <c r="AH132" s="71">
        <f>IF(R132="",0,(N(G132)+N(H132)+N(I132)/D132)*N(E132))</f>
        <v>0.0</v>
      </c>
      <c r="AI132" s="71">
        <f>IF(R132="",0,P132*N(E132))</f>
        <v>0.0</v>
      </c>
      <c r="AJ132" s="71" t="str">
        <f>IF(AA132="","",COUNTIF(prod_ca,"&gt;"&amp;AA132)+COUNTIF(AA$6:AA132,AA132))</f>
        <v/>
      </c>
      <c r="AK132" s="71" t="str">
        <f>IF(OR(W132="Vendu à perte",W132="Sous la cible"),ROUND(U132,6),"")</f>
        <v/>
      </c>
      <c r="AL132" s="71" t="str">
        <f>IF(AK132="","",COUNTIF(prod_alk,"&lt;"&amp;AK132)+COUNTIF(AK$6:AK132,AK132))</f>
        <v/>
      </c>
    </row>
    <row r="133">
      <c r="A133" s="60" t="n"/>
      <c r="B133" s="60" t="n"/>
      <c r="C133" s="61" t="n"/>
      <c r="D133" s="62" t="n"/>
      <c r="E133" s="63" t="n"/>
      <c r="F133" s="64" t="n"/>
      <c r="G133" s="64" t="n"/>
      <c r="H133" s="64" t="n"/>
      <c r="I133" s="64" t="n"/>
      <c r="J133" s="65" t="n"/>
      <c r="K133" s="65" t="n"/>
      <c r="L133" s="66" t="str">
        <f>IF(X133="OK",SUMIF(bom_prod,A133,bom_cost),"")</f>
        <v/>
      </c>
      <c r="M133" s="66" t="str">
        <f>IF(X133="OK",SUMIF(gam_prod,A133,gam_mo),"")</f>
        <v/>
      </c>
      <c r="N133" s="66" t="str">
        <f>IF(X133="OK",SUMIF(gam_prod,A133,gam_mac),"")</f>
        <v/>
      </c>
      <c r="O133" s="66" t="str">
        <f>IF(X133="OK",SUMIF(gam_prod,A133,gam_setup)/D133,"")</f>
        <v/>
      </c>
      <c r="P133" s="66" t="str">
        <f>IF(X133="OK",(L133+M133+N133+O133+N(G133))*Y133,"")</f>
        <v/>
      </c>
      <c r="Q133" s="66" t="str">
        <f>IF(X133="OK",L133+M133+N133+O133+N(G133)+P133,"")</f>
        <v/>
      </c>
      <c r="R133" s="67" t="str">
        <f>IF(X133="OK",ROUND(Q133+N(H133)+N(I133)/D133,4),"")</f>
        <v/>
      </c>
      <c r="S133" s="66" t="str">
        <f>IF(X133="OK",ROUND(R133*(1+Z133),2),"")</f>
        <v/>
      </c>
      <c r="T133" s="66" t="str">
        <f>IF(AND(X133="OK",N(F133)&gt;0),F133-R133,"")</f>
        <v/>
      </c>
      <c r="U133" s="68" t="str">
        <f>IF(T133="","",IF(R133&lt;=0,"",T133/R133))</f>
        <v/>
      </c>
      <c r="V133" s="68" t="str">
        <f>IF(T133="","",T133/F133)</f>
        <v/>
      </c>
      <c r="W133" s="69" t="str">
        <f>IF(A133="","",IF(X133&lt;&gt;"OK","À corriger",IF(N(F133)&lt;=0,"Prix à saisir",IF(F133&lt;R133,"Vendu à perte",IF(F133&lt;S133,"Sous la cible","OK")))))</f>
        <v/>
      </c>
      <c r="X133" s="69" t="str">
        <f>IF(AND(A133="",COUNTA(B133:K133)=0),"",IF(A133="","Référence manquante",IF(COUNTIF($A$6:$A$305,A133)&gt;1,"Référence en double",IF(OR(NOT(ISNUMBER(D133)),N(D133)&lt;=0),"Taille de lot invalide",IF(AND(E133&lt;&gt;"",OR(NOT(ISNUMBER(E133)),N(E133)&lt;0)),"Volume annuel invalide",IF(AND(F133&lt;&gt;"",OR(NOT(ISNUMBER(F133)),N(F133)&lt;0)),"Prix de vente invalide",IF(OR(AND(G133&lt;&gt;"",OR(NOT(ISNUMBER(G133)),N(G133)&lt;0)),AND(H133&lt;&gt;"",OR(NOT(ISNUMBER(H133)),N(H133)&lt;0)),AND(I133&lt;&gt;"",OR(NOT(ISNUMBER(I133)),N(I133)&lt;0))),"Montant invalide",IF(OR(AND(J133&lt;&gt;"",OR(NOT(ISNUMBER(J133)),N(J133)&lt;0)),AND(K133&lt;&gt;"",OR(NOT(ISNUMBER(K133)),N(K133)&lt;0))),"Pourcentage invalide",IF(COUNTIF(bom_prod,A133)+COUNTIF(gam_prod,A133)=0,"Ni nomenclature ni gamme",IF(COUNTIFS(bom_prod,A133,bom_check,"&lt;&gt;OK")&gt;0,"Nomenclature à corriger",IF(COUNTIFS(gam_prod,A133,gam_check,"&lt;&gt;OK")&gt;0,"Gamme à corriger","OK")))))))))))</f>
        <v/>
      </c>
      <c r="Y133" s="70">
        <f>IF(J133="",N(p_fg),N(J133))</f>
        <v>0.15</v>
      </c>
      <c r="Z133" s="70">
        <f>IF(K133="",N(p_target),N(K133))</f>
        <v>0.25</v>
      </c>
      <c r="AA133" s="71" t="str">
        <f>IF(R133="","",IF(N(F133)&gt;0,ROUND(F133*N(E133),2),0))</f>
        <v/>
      </c>
      <c r="AB133" s="71">
        <f>IF(T133="",0,T133*N(E133))</f>
        <v>0.0</v>
      </c>
      <c r="AC133" s="71">
        <f>IF(T133="",0,R133*N(E133))</f>
        <v>0.0</v>
      </c>
      <c r="AD133" s="71">
        <f>IF(R133="",0,L133*N(E133))</f>
        <v>0.0</v>
      </c>
      <c r="AE133" s="71">
        <f>IF(R133="",0,M133*N(E133))</f>
        <v>0.0</v>
      </c>
      <c r="AF133" s="71">
        <f>IF(R133="",0,N133*N(E133))</f>
        <v>0.0</v>
      </c>
      <c r="AG133" s="71">
        <f>IF(R133="",0,O133*N(E133))</f>
        <v>0.0</v>
      </c>
      <c r="AH133" s="71">
        <f>IF(R133="",0,(N(G133)+N(H133)+N(I133)/D133)*N(E133))</f>
        <v>0.0</v>
      </c>
      <c r="AI133" s="71">
        <f>IF(R133="",0,P133*N(E133))</f>
        <v>0.0</v>
      </c>
      <c r="AJ133" s="71" t="str">
        <f>IF(AA133="","",COUNTIF(prod_ca,"&gt;"&amp;AA133)+COUNTIF(AA$6:AA133,AA133))</f>
        <v/>
      </c>
      <c r="AK133" s="71" t="str">
        <f>IF(OR(W133="Vendu à perte",W133="Sous la cible"),ROUND(U133,6),"")</f>
        <v/>
      </c>
      <c r="AL133" s="71" t="str">
        <f>IF(AK133="","",COUNTIF(prod_alk,"&lt;"&amp;AK133)+COUNTIF(AK$6:AK133,AK133))</f>
        <v/>
      </c>
    </row>
    <row r="134">
      <c r="A134" s="60" t="n"/>
      <c r="B134" s="60" t="n"/>
      <c r="C134" s="61" t="n"/>
      <c r="D134" s="62" t="n"/>
      <c r="E134" s="63" t="n"/>
      <c r="F134" s="64" t="n"/>
      <c r="G134" s="64" t="n"/>
      <c r="H134" s="64" t="n"/>
      <c r="I134" s="64" t="n"/>
      <c r="J134" s="65" t="n"/>
      <c r="K134" s="65" t="n"/>
      <c r="L134" s="66" t="str">
        <f>IF(X134="OK",SUMIF(bom_prod,A134,bom_cost),"")</f>
        <v/>
      </c>
      <c r="M134" s="66" t="str">
        <f>IF(X134="OK",SUMIF(gam_prod,A134,gam_mo),"")</f>
        <v/>
      </c>
      <c r="N134" s="66" t="str">
        <f>IF(X134="OK",SUMIF(gam_prod,A134,gam_mac),"")</f>
        <v/>
      </c>
      <c r="O134" s="66" t="str">
        <f>IF(X134="OK",SUMIF(gam_prod,A134,gam_setup)/D134,"")</f>
        <v/>
      </c>
      <c r="P134" s="66" t="str">
        <f>IF(X134="OK",(L134+M134+N134+O134+N(G134))*Y134,"")</f>
        <v/>
      </c>
      <c r="Q134" s="66" t="str">
        <f>IF(X134="OK",L134+M134+N134+O134+N(G134)+P134,"")</f>
        <v/>
      </c>
      <c r="R134" s="67" t="str">
        <f>IF(X134="OK",ROUND(Q134+N(H134)+N(I134)/D134,4),"")</f>
        <v/>
      </c>
      <c r="S134" s="66" t="str">
        <f>IF(X134="OK",ROUND(R134*(1+Z134),2),"")</f>
        <v/>
      </c>
      <c r="T134" s="66" t="str">
        <f>IF(AND(X134="OK",N(F134)&gt;0),F134-R134,"")</f>
        <v/>
      </c>
      <c r="U134" s="68" t="str">
        <f>IF(T134="","",IF(R134&lt;=0,"",T134/R134))</f>
        <v/>
      </c>
      <c r="V134" s="68" t="str">
        <f>IF(T134="","",T134/F134)</f>
        <v/>
      </c>
      <c r="W134" s="69" t="str">
        <f>IF(A134="","",IF(X134&lt;&gt;"OK","À corriger",IF(N(F134)&lt;=0,"Prix à saisir",IF(F134&lt;R134,"Vendu à perte",IF(F134&lt;S134,"Sous la cible","OK")))))</f>
        <v/>
      </c>
      <c r="X134" s="69" t="str">
        <f>IF(AND(A134="",COUNTA(B134:K134)=0),"",IF(A134="","Référence manquante",IF(COUNTIF($A$6:$A$305,A134)&gt;1,"Référence en double",IF(OR(NOT(ISNUMBER(D134)),N(D134)&lt;=0),"Taille de lot invalide",IF(AND(E134&lt;&gt;"",OR(NOT(ISNUMBER(E134)),N(E134)&lt;0)),"Volume annuel invalide",IF(AND(F134&lt;&gt;"",OR(NOT(ISNUMBER(F134)),N(F134)&lt;0)),"Prix de vente invalide",IF(OR(AND(G134&lt;&gt;"",OR(NOT(ISNUMBER(G134)),N(G134)&lt;0)),AND(H134&lt;&gt;"",OR(NOT(ISNUMBER(H134)),N(H134)&lt;0)),AND(I134&lt;&gt;"",OR(NOT(ISNUMBER(I134)),N(I134)&lt;0))),"Montant invalide",IF(OR(AND(J134&lt;&gt;"",OR(NOT(ISNUMBER(J134)),N(J134)&lt;0)),AND(K134&lt;&gt;"",OR(NOT(ISNUMBER(K134)),N(K134)&lt;0))),"Pourcentage invalide",IF(COUNTIF(bom_prod,A134)+COUNTIF(gam_prod,A134)=0,"Ni nomenclature ni gamme",IF(COUNTIFS(bom_prod,A134,bom_check,"&lt;&gt;OK")&gt;0,"Nomenclature à corriger",IF(COUNTIFS(gam_prod,A134,gam_check,"&lt;&gt;OK")&gt;0,"Gamme à corriger","OK")))))))))))</f>
        <v/>
      </c>
      <c r="Y134" s="70">
        <f>IF(J134="",N(p_fg),N(J134))</f>
        <v>0.15</v>
      </c>
      <c r="Z134" s="70">
        <f>IF(K134="",N(p_target),N(K134))</f>
        <v>0.25</v>
      </c>
      <c r="AA134" s="71" t="str">
        <f>IF(R134="","",IF(N(F134)&gt;0,ROUND(F134*N(E134),2),0))</f>
        <v/>
      </c>
      <c r="AB134" s="71">
        <f>IF(T134="",0,T134*N(E134))</f>
        <v>0.0</v>
      </c>
      <c r="AC134" s="71">
        <f>IF(T134="",0,R134*N(E134))</f>
        <v>0.0</v>
      </c>
      <c r="AD134" s="71">
        <f>IF(R134="",0,L134*N(E134))</f>
        <v>0.0</v>
      </c>
      <c r="AE134" s="71">
        <f>IF(R134="",0,M134*N(E134))</f>
        <v>0.0</v>
      </c>
      <c r="AF134" s="71">
        <f>IF(R134="",0,N134*N(E134))</f>
        <v>0.0</v>
      </c>
      <c r="AG134" s="71">
        <f>IF(R134="",0,O134*N(E134))</f>
        <v>0.0</v>
      </c>
      <c r="AH134" s="71">
        <f>IF(R134="",0,(N(G134)+N(H134)+N(I134)/D134)*N(E134))</f>
        <v>0.0</v>
      </c>
      <c r="AI134" s="71">
        <f>IF(R134="",0,P134*N(E134))</f>
        <v>0.0</v>
      </c>
      <c r="AJ134" s="71" t="str">
        <f>IF(AA134="","",COUNTIF(prod_ca,"&gt;"&amp;AA134)+COUNTIF(AA$6:AA134,AA134))</f>
        <v/>
      </c>
      <c r="AK134" s="71" t="str">
        <f>IF(OR(W134="Vendu à perte",W134="Sous la cible"),ROUND(U134,6),"")</f>
        <v/>
      </c>
      <c r="AL134" s="71" t="str">
        <f>IF(AK134="","",COUNTIF(prod_alk,"&lt;"&amp;AK134)+COUNTIF(AK$6:AK134,AK134))</f>
        <v/>
      </c>
    </row>
    <row r="135">
      <c r="A135" s="60" t="n"/>
      <c r="B135" s="60" t="n"/>
      <c r="C135" s="61" t="n"/>
      <c r="D135" s="62" t="n"/>
      <c r="E135" s="63" t="n"/>
      <c r="F135" s="64" t="n"/>
      <c r="G135" s="64" t="n"/>
      <c r="H135" s="64" t="n"/>
      <c r="I135" s="64" t="n"/>
      <c r="J135" s="65" t="n"/>
      <c r="K135" s="65" t="n"/>
      <c r="L135" s="66" t="str">
        <f>IF(X135="OK",SUMIF(bom_prod,A135,bom_cost),"")</f>
        <v/>
      </c>
      <c r="M135" s="66" t="str">
        <f>IF(X135="OK",SUMIF(gam_prod,A135,gam_mo),"")</f>
        <v/>
      </c>
      <c r="N135" s="66" t="str">
        <f>IF(X135="OK",SUMIF(gam_prod,A135,gam_mac),"")</f>
        <v/>
      </c>
      <c r="O135" s="66" t="str">
        <f>IF(X135="OK",SUMIF(gam_prod,A135,gam_setup)/D135,"")</f>
        <v/>
      </c>
      <c r="P135" s="66" t="str">
        <f>IF(X135="OK",(L135+M135+N135+O135+N(G135))*Y135,"")</f>
        <v/>
      </c>
      <c r="Q135" s="66" t="str">
        <f>IF(X135="OK",L135+M135+N135+O135+N(G135)+P135,"")</f>
        <v/>
      </c>
      <c r="R135" s="67" t="str">
        <f>IF(X135="OK",ROUND(Q135+N(H135)+N(I135)/D135,4),"")</f>
        <v/>
      </c>
      <c r="S135" s="66" t="str">
        <f>IF(X135="OK",ROUND(R135*(1+Z135),2),"")</f>
        <v/>
      </c>
      <c r="T135" s="66" t="str">
        <f>IF(AND(X135="OK",N(F135)&gt;0),F135-R135,"")</f>
        <v/>
      </c>
      <c r="U135" s="68" t="str">
        <f>IF(T135="","",IF(R135&lt;=0,"",T135/R135))</f>
        <v/>
      </c>
      <c r="V135" s="68" t="str">
        <f>IF(T135="","",T135/F135)</f>
        <v/>
      </c>
      <c r="W135" s="69" t="str">
        <f>IF(A135="","",IF(X135&lt;&gt;"OK","À corriger",IF(N(F135)&lt;=0,"Prix à saisir",IF(F135&lt;R135,"Vendu à perte",IF(F135&lt;S135,"Sous la cible","OK")))))</f>
        <v/>
      </c>
      <c r="X135" s="69" t="str">
        <f>IF(AND(A135="",COUNTA(B135:K135)=0),"",IF(A135="","Référence manquante",IF(COUNTIF($A$6:$A$305,A135)&gt;1,"Référence en double",IF(OR(NOT(ISNUMBER(D135)),N(D135)&lt;=0),"Taille de lot invalide",IF(AND(E135&lt;&gt;"",OR(NOT(ISNUMBER(E135)),N(E135)&lt;0)),"Volume annuel invalide",IF(AND(F135&lt;&gt;"",OR(NOT(ISNUMBER(F135)),N(F135)&lt;0)),"Prix de vente invalide",IF(OR(AND(G135&lt;&gt;"",OR(NOT(ISNUMBER(G135)),N(G135)&lt;0)),AND(H135&lt;&gt;"",OR(NOT(ISNUMBER(H135)),N(H135)&lt;0)),AND(I135&lt;&gt;"",OR(NOT(ISNUMBER(I135)),N(I135)&lt;0))),"Montant invalide",IF(OR(AND(J135&lt;&gt;"",OR(NOT(ISNUMBER(J135)),N(J135)&lt;0)),AND(K135&lt;&gt;"",OR(NOT(ISNUMBER(K135)),N(K135)&lt;0))),"Pourcentage invalide",IF(COUNTIF(bom_prod,A135)+COUNTIF(gam_prod,A135)=0,"Ni nomenclature ni gamme",IF(COUNTIFS(bom_prod,A135,bom_check,"&lt;&gt;OK")&gt;0,"Nomenclature à corriger",IF(COUNTIFS(gam_prod,A135,gam_check,"&lt;&gt;OK")&gt;0,"Gamme à corriger","OK")))))))))))</f>
        <v/>
      </c>
      <c r="Y135" s="70">
        <f>IF(J135="",N(p_fg),N(J135))</f>
        <v>0.15</v>
      </c>
      <c r="Z135" s="70">
        <f>IF(K135="",N(p_target),N(K135))</f>
        <v>0.25</v>
      </c>
      <c r="AA135" s="71" t="str">
        <f>IF(R135="","",IF(N(F135)&gt;0,ROUND(F135*N(E135),2),0))</f>
        <v/>
      </c>
      <c r="AB135" s="71">
        <f>IF(T135="",0,T135*N(E135))</f>
        <v>0.0</v>
      </c>
      <c r="AC135" s="71">
        <f>IF(T135="",0,R135*N(E135))</f>
        <v>0.0</v>
      </c>
      <c r="AD135" s="71">
        <f>IF(R135="",0,L135*N(E135))</f>
        <v>0.0</v>
      </c>
      <c r="AE135" s="71">
        <f>IF(R135="",0,M135*N(E135))</f>
        <v>0.0</v>
      </c>
      <c r="AF135" s="71">
        <f>IF(R135="",0,N135*N(E135))</f>
        <v>0.0</v>
      </c>
      <c r="AG135" s="71">
        <f>IF(R135="",0,O135*N(E135))</f>
        <v>0.0</v>
      </c>
      <c r="AH135" s="71">
        <f>IF(R135="",0,(N(G135)+N(H135)+N(I135)/D135)*N(E135))</f>
        <v>0.0</v>
      </c>
      <c r="AI135" s="71">
        <f>IF(R135="",0,P135*N(E135))</f>
        <v>0.0</v>
      </c>
      <c r="AJ135" s="71" t="str">
        <f>IF(AA135="","",COUNTIF(prod_ca,"&gt;"&amp;AA135)+COUNTIF(AA$6:AA135,AA135))</f>
        <v/>
      </c>
      <c r="AK135" s="71" t="str">
        <f>IF(OR(W135="Vendu à perte",W135="Sous la cible"),ROUND(U135,6),"")</f>
        <v/>
      </c>
      <c r="AL135" s="71" t="str">
        <f>IF(AK135="","",COUNTIF(prod_alk,"&lt;"&amp;AK135)+COUNTIF(AK$6:AK135,AK135))</f>
        <v/>
      </c>
    </row>
    <row r="136">
      <c r="A136" s="60" t="n"/>
      <c r="B136" s="60" t="n"/>
      <c r="C136" s="61" t="n"/>
      <c r="D136" s="62" t="n"/>
      <c r="E136" s="63" t="n"/>
      <c r="F136" s="64" t="n"/>
      <c r="G136" s="64" t="n"/>
      <c r="H136" s="64" t="n"/>
      <c r="I136" s="64" t="n"/>
      <c r="J136" s="65" t="n"/>
      <c r="K136" s="65" t="n"/>
      <c r="L136" s="66" t="str">
        <f>IF(X136="OK",SUMIF(bom_prod,A136,bom_cost),"")</f>
        <v/>
      </c>
      <c r="M136" s="66" t="str">
        <f>IF(X136="OK",SUMIF(gam_prod,A136,gam_mo),"")</f>
        <v/>
      </c>
      <c r="N136" s="66" t="str">
        <f>IF(X136="OK",SUMIF(gam_prod,A136,gam_mac),"")</f>
        <v/>
      </c>
      <c r="O136" s="66" t="str">
        <f>IF(X136="OK",SUMIF(gam_prod,A136,gam_setup)/D136,"")</f>
        <v/>
      </c>
      <c r="P136" s="66" t="str">
        <f>IF(X136="OK",(L136+M136+N136+O136+N(G136))*Y136,"")</f>
        <v/>
      </c>
      <c r="Q136" s="66" t="str">
        <f>IF(X136="OK",L136+M136+N136+O136+N(G136)+P136,"")</f>
        <v/>
      </c>
      <c r="R136" s="67" t="str">
        <f>IF(X136="OK",ROUND(Q136+N(H136)+N(I136)/D136,4),"")</f>
        <v/>
      </c>
      <c r="S136" s="66" t="str">
        <f>IF(X136="OK",ROUND(R136*(1+Z136),2),"")</f>
        <v/>
      </c>
      <c r="T136" s="66" t="str">
        <f>IF(AND(X136="OK",N(F136)&gt;0),F136-R136,"")</f>
        <v/>
      </c>
      <c r="U136" s="68" t="str">
        <f>IF(T136="","",IF(R136&lt;=0,"",T136/R136))</f>
        <v/>
      </c>
      <c r="V136" s="68" t="str">
        <f>IF(T136="","",T136/F136)</f>
        <v/>
      </c>
      <c r="W136" s="69" t="str">
        <f>IF(A136="","",IF(X136&lt;&gt;"OK","À corriger",IF(N(F136)&lt;=0,"Prix à saisir",IF(F136&lt;R136,"Vendu à perte",IF(F136&lt;S136,"Sous la cible","OK")))))</f>
        <v/>
      </c>
      <c r="X136" s="69" t="str">
        <f>IF(AND(A136="",COUNTA(B136:K136)=0),"",IF(A136="","Référence manquante",IF(COUNTIF($A$6:$A$305,A136)&gt;1,"Référence en double",IF(OR(NOT(ISNUMBER(D136)),N(D136)&lt;=0),"Taille de lot invalide",IF(AND(E136&lt;&gt;"",OR(NOT(ISNUMBER(E136)),N(E136)&lt;0)),"Volume annuel invalide",IF(AND(F136&lt;&gt;"",OR(NOT(ISNUMBER(F136)),N(F136)&lt;0)),"Prix de vente invalide",IF(OR(AND(G136&lt;&gt;"",OR(NOT(ISNUMBER(G136)),N(G136)&lt;0)),AND(H136&lt;&gt;"",OR(NOT(ISNUMBER(H136)),N(H136)&lt;0)),AND(I136&lt;&gt;"",OR(NOT(ISNUMBER(I136)),N(I136)&lt;0))),"Montant invalide",IF(OR(AND(J136&lt;&gt;"",OR(NOT(ISNUMBER(J136)),N(J136)&lt;0)),AND(K136&lt;&gt;"",OR(NOT(ISNUMBER(K136)),N(K136)&lt;0))),"Pourcentage invalide",IF(COUNTIF(bom_prod,A136)+COUNTIF(gam_prod,A136)=0,"Ni nomenclature ni gamme",IF(COUNTIFS(bom_prod,A136,bom_check,"&lt;&gt;OK")&gt;0,"Nomenclature à corriger",IF(COUNTIFS(gam_prod,A136,gam_check,"&lt;&gt;OK")&gt;0,"Gamme à corriger","OK")))))))))))</f>
        <v/>
      </c>
      <c r="Y136" s="70">
        <f>IF(J136="",N(p_fg),N(J136))</f>
        <v>0.15</v>
      </c>
      <c r="Z136" s="70">
        <f>IF(K136="",N(p_target),N(K136))</f>
        <v>0.25</v>
      </c>
      <c r="AA136" s="71" t="str">
        <f>IF(R136="","",IF(N(F136)&gt;0,ROUND(F136*N(E136),2),0))</f>
        <v/>
      </c>
      <c r="AB136" s="71">
        <f>IF(T136="",0,T136*N(E136))</f>
        <v>0.0</v>
      </c>
      <c r="AC136" s="71">
        <f>IF(T136="",0,R136*N(E136))</f>
        <v>0.0</v>
      </c>
      <c r="AD136" s="71">
        <f>IF(R136="",0,L136*N(E136))</f>
        <v>0.0</v>
      </c>
      <c r="AE136" s="71">
        <f>IF(R136="",0,M136*N(E136))</f>
        <v>0.0</v>
      </c>
      <c r="AF136" s="71">
        <f>IF(R136="",0,N136*N(E136))</f>
        <v>0.0</v>
      </c>
      <c r="AG136" s="71">
        <f>IF(R136="",0,O136*N(E136))</f>
        <v>0.0</v>
      </c>
      <c r="AH136" s="71">
        <f>IF(R136="",0,(N(G136)+N(H136)+N(I136)/D136)*N(E136))</f>
        <v>0.0</v>
      </c>
      <c r="AI136" s="71">
        <f>IF(R136="",0,P136*N(E136))</f>
        <v>0.0</v>
      </c>
      <c r="AJ136" s="71" t="str">
        <f>IF(AA136="","",COUNTIF(prod_ca,"&gt;"&amp;AA136)+COUNTIF(AA$6:AA136,AA136))</f>
        <v/>
      </c>
      <c r="AK136" s="71" t="str">
        <f>IF(OR(W136="Vendu à perte",W136="Sous la cible"),ROUND(U136,6),"")</f>
        <v/>
      </c>
      <c r="AL136" s="71" t="str">
        <f>IF(AK136="","",COUNTIF(prod_alk,"&lt;"&amp;AK136)+COUNTIF(AK$6:AK136,AK136))</f>
        <v/>
      </c>
    </row>
    <row r="137">
      <c r="A137" s="60" t="n"/>
      <c r="B137" s="60" t="n"/>
      <c r="C137" s="61" t="n"/>
      <c r="D137" s="62" t="n"/>
      <c r="E137" s="63" t="n"/>
      <c r="F137" s="64" t="n"/>
      <c r="G137" s="64" t="n"/>
      <c r="H137" s="64" t="n"/>
      <c r="I137" s="64" t="n"/>
      <c r="J137" s="65" t="n"/>
      <c r="K137" s="65" t="n"/>
      <c r="L137" s="66" t="str">
        <f>IF(X137="OK",SUMIF(bom_prod,A137,bom_cost),"")</f>
        <v/>
      </c>
      <c r="M137" s="66" t="str">
        <f>IF(X137="OK",SUMIF(gam_prod,A137,gam_mo),"")</f>
        <v/>
      </c>
      <c r="N137" s="66" t="str">
        <f>IF(X137="OK",SUMIF(gam_prod,A137,gam_mac),"")</f>
        <v/>
      </c>
      <c r="O137" s="66" t="str">
        <f>IF(X137="OK",SUMIF(gam_prod,A137,gam_setup)/D137,"")</f>
        <v/>
      </c>
      <c r="P137" s="66" t="str">
        <f>IF(X137="OK",(L137+M137+N137+O137+N(G137))*Y137,"")</f>
        <v/>
      </c>
      <c r="Q137" s="66" t="str">
        <f>IF(X137="OK",L137+M137+N137+O137+N(G137)+P137,"")</f>
        <v/>
      </c>
      <c r="R137" s="67" t="str">
        <f>IF(X137="OK",ROUND(Q137+N(H137)+N(I137)/D137,4),"")</f>
        <v/>
      </c>
      <c r="S137" s="66" t="str">
        <f>IF(X137="OK",ROUND(R137*(1+Z137),2),"")</f>
        <v/>
      </c>
      <c r="T137" s="66" t="str">
        <f>IF(AND(X137="OK",N(F137)&gt;0),F137-R137,"")</f>
        <v/>
      </c>
      <c r="U137" s="68" t="str">
        <f>IF(T137="","",IF(R137&lt;=0,"",T137/R137))</f>
        <v/>
      </c>
      <c r="V137" s="68" t="str">
        <f>IF(T137="","",T137/F137)</f>
        <v/>
      </c>
      <c r="W137" s="69" t="str">
        <f>IF(A137="","",IF(X137&lt;&gt;"OK","À corriger",IF(N(F137)&lt;=0,"Prix à saisir",IF(F137&lt;R137,"Vendu à perte",IF(F137&lt;S137,"Sous la cible","OK")))))</f>
        <v/>
      </c>
      <c r="X137" s="69" t="str">
        <f>IF(AND(A137="",COUNTA(B137:K137)=0),"",IF(A137="","Référence manquante",IF(COUNTIF($A$6:$A$305,A137)&gt;1,"Référence en double",IF(OR(NOT(ISNUMBER(D137)),N(D137)&lt;=0),"Taille de lot invalide",IF(AND(E137&lt;&gt;"",OR(NOT(ISNUMBER(E137)),N(E137)&lt;0)),"Volume annuel invalide",IF(AND(F137&lt;&gt;"",OR(NOT(ISNUMBER(F137)),N(F137)&lt;0)),"Prix de vente invalide",IF(OR(AND(G137&lt;&gt;"",OR(NOT(ISNUMBER(G137)),N(G137)&lt;0)),AND(H137&lt;&gt;"",OR(NOT(ISNUMBER(H137)),N(H137)&lt;0)),AND(I137&lt;&gt;"",OR(NOT(ISNUMBER(I137)),N(I137)&lt;0))),"Montant invalide",IF(OR(AND(J137&lt;&gt;"",OR(NOT(ISNUMBER(J137)),N(J137)&lt;0)),AND(K137&lt;&gt;"",OR(NOT(ISNUMBER(K137)),N(K137)&lt;0))),"Pourcentage invalide",IF(COUNTIF(bom_prod,A137)+COUNTIF(gam_prod,A137)=0,"Ni nomenclature ni gamme",IF(COUNTIFS(bom_prod,A137,bom_check,"&lt;&gt;OK")&gt;0,"Nomenclature à corriger",IF(COUNTIFS(gam_prod,A137,gam_check,"&lt;&gt;OK")&gt;0,"Gamme à corriger","OK")))))))))))</f>
        <v/>
      </c>
      <c r="Y137" s="70">
        <f>IF(J137="",N(p_fg),N(J137))</f>
        <v>0.15</v>
      </c>
      <c r="Z137" s="70">
        <f>IF(K137="",N(p_target),N(K137))</f>
        <v>0.25</v>
      </c>
      <c r="AA137" s="71" t="str">
        <f>IF(R137="","",IF(N(F137)&gt;0,ROUND(F137*N(E137),2),0))</f>
        <v/>
      </c>
      <c r="AB137" s="71">
        <f>IF(T137="",0,T137*N(E137))</f>
        <v>0.0</v>
      </c>
      <c r="AC137" s="71">
        <f>IF(T137="",0,R137*N(E137))</f>
        <v>0.0</v>
      </c>
      <c r="AD137" s="71">
        <f>IF(R137="",0,L137*N(E137))</f>
        <v>0.0</v>
      </c>
      <c r="AE137" s="71">
        <f>IF(R137="",0,M137*N(E137))</f>
        <v>0.0</v>
      </c>
      <c r="AF137" s="71">
        <f>IF(R137="",0,N137*N(E137))</f>
        <v>0.0</v>
      </c>
      <c r="AG137" s="71">
        <f>IF(R137="",0,O137*N(E137))</f>
        <v>0.0</v>
      </c>
      <c r="AH137" s="71">
        <f>IF(R137="",0,(N(G137)+N(H137)+N(I137)/D137)*N(E137))</f>
        <v>0.0</v>
      </c>
      <c r="AI137" s="71">
        <f>IF(R137="",0,P137*N(E137))</f>
        <v>0.0</v>
      </c>
      <c r="AJ137" s="71" t="str">
        <f>IF(AA137="","",COUNTIF(prod_ca,"&gt;"&amp;AA137)+COUNTIF(AA$6:AA137,AA137))</f>
        <v/>
      </c>
      <c r="AK137" s="71" t="str">
        <f>IF(OR(W137="Vendu à perte",W137="Sous la cible"),ROUND(U137,6),"")</f>
        <v/>
      </c>
      <c r="AL137" s="71" t="str">
        <f>IF(AK137="","",COUNTIF(prod_alk,"&lt;"&amp;AK137)+COUNTIF(AK$6:AK137,AK137))</f>
        <v/>
      </c>
    </row>
    <row r="138">
      <c r="A138" s="60" t="n"/>
      <c r="B138" s="60" t="n"/>
      <c r="C138" s="61" t="n"/>
      <c r="D138" s="62" t="n"/>
      <c r="E138" s="63" t="n"/>
      <c r="F138" s="64" t="n"/>
      <c r="G138" s="64" t="n"/>
      <c r="H138" s="64" t="n"/>
      <c r="I138" s="64" t="n"/>
      <c r="J138" s="65" t="n"/>
      <c r="K138" s="65" t="n"/>
      <c r="L138" s="66" t="str">
        <f>IF(X138="OK",SUMIF(bom_prod,A138,bom_cost),"")</f>
        <v/>
      </c>
      <c r="M138" s="66" t="str">
        <f>IF(X138="OK",SUMIF(gam_prod,A138,gam_mo),"")</f>
        <v/>
      </c>
      <c r="N138" s="66" t="str">
        <f>IF(X138="OK",SUMIF(gam_prod,A138,gam_mac),"")</f>
        <v/>
      </c>
      <c r="O138" s="66" t="str">
        <f>IF(X138="OK",SUMIF(gam_prod,A138,gam_setup)/D138,"")</f>
        <v/>
      </c>
      <c r="P138" s="66" t="str">
        <f>IF(X138="OK",(L138+M138+N138+O138+N(G138))*Y138,"")</f>
        <v/>
      </c>
      <c r="Q138" s="66" t="str">
        <f>IF(X138="OK",L138+M138+N138+O138+N(G138)+P138,"")</f>
        <v/>
      </c>
      <c r="R138" s="67" t="str">
        <f>IF(X138="OK",ROUND(Q138+N(H138)+N(I138)/D138,4),"")</f>
        <v/>
      </c>
      <c r="S138" s="66" t="str">
        <f>IF(X138="OK",ROUND(R138*(1+Z138),2),"")</f>
        <v/>
      </c>
      <c r="T138" s="66" t="str">
        <f>IF(AND(X138="OK",N(F138)&gt;0),F138-R138,"")</f>
        <v/>
      </c>
      <c r="U138" s="68" t="str">
        <f>IF(T138="","",IF(R138&lt;=0,"",T138/R138))</f>
        <v/>
      </c>
      <c r="V138" s="68" t="str">
        <f>IF(T138="","",T138/F138)</f>
        <v/>
      </c>
      <c r="W138" s="69" t="str">
        <f>IF(A138="","",IF(X138&lt;&gt;"OK","À corriger",IF(N(F138)&lt;=0,"Prix à saisir",IF(F138&lt;R138,"Vendu à perte",IF(F138&lt;S138,"Sous la cible","OK")))))</f>
        <v/>
      </c>
      <c r="X138" s="69" t="str">
        <f>IF(AND(A138="",COUNTA(B138:K138)=0),"",IF(A138="","Référence manquante",IF(COUNTIF($A$6:$A$305,A138)&gt;1,"Référence en double",IF(OR(NOT(ISNUMBER(D138)),N(D138)&lt;=0),"Taille de lot invalide",IF(AND(E138&lt;&gt;"",OR(NOT(ISNUMBER(E138)),N(E138)&lt;0)),"Volume annuel invalide",IF(AND(F138&lt;&gt;"",OR(NOT(ISNUMBER(F138)),N(F138)&lt;0)),"Prix de vente invalide",IF(OR(AND(G138&lt;&gt;"",OR(NOT(ISNUMBER(G138)),N(G138)&lt;0)),AND(H138&lt;&gt;"",OR(NOT(ISNUMBER(H138)),N(H138)&lt;0)),AND(I138&lt;&gt;"",OR(NOT(ISNUMBER(I138)),N(I138)&lt;0))),"Montant invalide",IF(OR(AND(J138&lt;&gt;"",OR(NOT(ISNUMBER(J138)),N(J138)&lt;0)),AND(K138&lt;&gt;"",OR(NOT(ISNUMBER(K138)),N(K138)&lt;0))),"Pourcentage invalide",IF(COUNTIF(bom_prod,A138)+COUNTIF(gam_prod,A138)=0,"Ni nomenclature ni gamme",IF(COUNTIFS(bom_prod,A138,bom_check,"&lt;&gt;OK")&gt;0,"Nomenclature à corriger",IF(COUNTIFS(gam_prod,A138,gam_check,"&lt;&gt;OK")&gt;0,"Gamme à corriger","OK")))))))))))</f>
        <v/>
      </c>
      <c r="Y138" s="70">
        <f>IF(J138="",N(p_fg),N(J138))</f>
        <v>0.15</v>
      </c>
      <c r="Z138" s="70">
        <f>IF(K138="",N(p_target),N(K138))</f>
        <v>0.25</v>
      </c>
      <c r="AA138" s="71" t="str">
        <f>IF(R138="","",IF(N(F138)&gt;0,ROUND(F138*N(E138),2),0))</f>
        <v/>
      </c>
      <c r="AB138" s="71">
        <f>IF(T138="",0,T138*N(E138))</f>
        <v>0.0</v>
      </c>
      <c r="AC138" s="71">
        <f>IF(T138="",0,R138*N(E138))</f>
        <v>0.0</v>
      </c>
      <c r="AD138" s="71">
        <f>IF(R138="",0,L138*N(E138))</f>
        <v>0.0</v>
      </c>
      <c r="AE138" s="71">
        <f>IF(R138="",0,M138*N(E138))</f>
        <v>0.0</v>
      </c>
      <c r="AF138" s="71">
        <f>IF(R138="",0,N138*N(E138))</f>
        <v>0.0</v>
      </c>
      <c r="AG138" s="71">
        <f>IF(R138="",0,O138*N(E138))</f>
        <v>0.0</v>
      </c>
      <c r="AH138" s="71">
        <f>IF(R138="",0,(N(G138)+N(H138)+N(I138)/D138)*N(E138))</f>
        <v>0.0</v>
      </c>
      <c r="AI138" s="71">
        <f>IF(R138="",0,P138*N(E138))</f>
        <v>0.0</v>
      </c>
      <c r="AJ138" s="71" t="str">
        <f>IF(AA138="","",COUNTIF(prod_ca,"&gt;"&amp;AA138)+COUNTIF(AA$6:AA138,AA138))</f>
        <v/>
      </c>
      <c r="AK138" s="71" t="str">
        <f>IF(OR(W138="Vendu à perte",W138="Sous la cible"),ROUND(U138,6),"")</f>
        <v/>
      </c>
      <c r="AL138" s="71" t="str">
        <f>IF(AK138="","",COUNTIF(prod_alk,"&lt;"&amp;AK138)+COUNTIF(AK$6:AK138,AK138))</f>
        <v/>
      </c>
    </row>
    <row r="139">
      <c r="A139" s="60" t="n"/>
      <c r="B139" s="60" t="n"/>
      <c r="C139" s="61" t="n"/>
      <c r="D139" s="62" t="n"/>
      <c r="E139" s="63" t="n"/>
      <c r="F139" s="64" t="n"/>
      <c r="G139" s="64" t="n"/>
      <c r="H139" s="64" t="n"/>
      <c r="I139" s="64" t="n"/>
      <c r="J139" s="65" t="n"/>
      <c r="K139" s="65" t="n"/>
      <c r="L139" s="66" t="str">
        <f>IF(X139="OK",SUMIF(bom_prod,A139,bom_cost),"")</f>
        <v/>
      </c>
      <c r="M139" s="66" t="str">
        <f>IF(X139="OK",SUMIF(gam_prod,A139,gam_mo),"")</f>
        <v/>
      </c>
      <c r="N139" s="66" t="str">
        <f>IF(X139="OK",SUMIF(gam_prod,A139,gam_mac),"")</f>
        <v/>
      </c>
      <c r="O139" s="66" t="str">
        <f>IF(X139="OK",SUMIF(gam_prod,A139,gam_setup)/D139,"")</f>
        <v/>
      </c>
      <c r="P139" s="66" t="str">
        <f>IF(X139="OK",(L139+M139+N139+O139+N(G139))*Y139,"")</f>
        <v/>
      </c>
      <c r="Q139" s="66" t="str">
        <f>IF(X139="OK",L139+M139+N139+O139+N(G139)+P139,"")</f>
        <v/>
      </c>
      <c r="R139" s="67" t="str">
        <f>IF(X139="OK",ROUND(Q139+N(H139)+N(I139)/D139,4),"")</f>
        <v/>
      </c>
      <c r="S139" s="66" t="str">
        <f>IF(X139="OK",ROUND(R139*(1+Z139),2),"")</f>
        <v/>
      </c>
      <c r="T139" s="66" t="str">
        <f>IF(AND(X139="OK",N(F139)&gt;0),F139-R139,"")</f>
        <v/>
      </c>
      <c r="U139" s="68" t="str">
        <f>IF(T139="","",IF(R139&lt;=0,"",T139/R139))</f>
        <v/>
      </c>
      <c r="V139" s="68" t="str">
        <f>IF(T139="","",T139/F139)</f>
        <v/>
      </c>
      <c r="W139" s="69" t="str">
        <f>IF(A139="","",IF(X139&lt;&gt;"OK","À corriger",IF(N(F139)&lt;=0,"Prix à saisir",IF(F139&lt;R139,"Vendu à perte",IF(F139&lt;S139,"Sous la cible","OK")))))</f>
        <v/>
      </c>
      <c r="X139" s="69" t="str">
        <f>IF(AND(A139="",COUNTA(B139:K139)=0),"",IF(A139="","Référence manquante",IF(COUNTIF($A$6:$A$305,A139)&gt;1,"Référence en double",IF(OR(NOT(ISNUMBER(D139)),N(D139)&lt;=0),"Taille de lot invalide",IF(AND(E139&lt;&gt;"",OR(NOT(ISNUMBER(E139)),N(E139)&lt;0)),"Volume annuel invalide",IF(AND(F139&lt;&gt;"",OR(NOT(ISNUMBER(F139)),N(F139)&lt;0)),"Prix de vente invalide",IF(OR(AND(G139&lt;&gt;"",OR(NOT(ISNUMBER(G139)),N(G139)&lt;0)),AND(H139&lt;&gt;"",OR(NOT(ISNUMBER(H139)),N(H139)&lt;0)),AND(I139&lt;&gt;"",OR(NOT(ISNUMBER(I139)),N(I139)&lt;0))),"Montant invalide",IF(OR(AND(J139&lt;&gt;"",OR(NOT(ISNUMBER(J139)),N(J139)&lt;0)),AND(K139&lt;&gt;"",OR(NOT(ISNUMBER(K139)),N(K139)&lt;0))),"Pourcentage invalide",IF(COUNTIF(bom_prod,A139)+COUNTIF(gam_prod,A139)=0,"Ni nomenclature ni gamme",IF(COUNTIFS(bom_prod,A139,bom_check,"&lt;&gt;OK")&gt;0,"Nomenclature à corriger",IF(COUNTIFS(gam_prod,A139,gam_check,"&lt;&gt;OK")&gt;0,"Gamme à corriger","OK")))))))))))</f>
        <v/>
      </c>
      <c r="Y139" s="70">
        <f>IF(J139="",N(p_fg),N(J139))</f>
        <v>0.15</v>
      </c>
      <c r="Z139" s="70">
        <f>IF(K139="",N(p_target),N(K139))</f>
        <v>0.25</v>
      </c>
      <c r="AA139" s="71" t="str">
        <f>IF(R139="","",IF(N(F139)&gt;0,ROUND(F139*N(E139),2),0))</f>
        <v/>
      </c>
      <c r="AB139" s="71">
        <f>IF(T139="",0,T139*N(E139))</f>
        <v>0.0</v>
      </c>
      <c r="AC139" s="71">
        <f>IF(T139="",0,R139*N(E139))</f>
        <v>0.0</v>
      </c>
      <c r="AD139" s="71">
        <f>IF(R139="",0,L139*N(E139))</f>
        <v>0.0</v>
      </c>
      <c r="AE139" s="71">
        <f>IF(R139="",0,M139*N(E139))</f>
        <v>0.0</v>
      </c>
      <c r="AF139" s="71">
        <f>IF(R139="",0,N139*N(E139))</f>
        <v>0.0</v>
      </c>
      <c r="AG139" s="71">
        <f>IF(R139="",0,O139*N(E139))</f>
        <v>0.0</v>
      </c>
      <c r="AH139" s="71">
        <f>IF(R139="",0,(N(G139)+N(H139)+N(I139)/D139)*N(E139))</f>
        <v>0.0</v>
      </c>
      <c r="AI139" s="71">
        <f>IF(R139="",0,P139*N(E139))</f>
        <v>0.0</v>
      </c>
      <c r="AJ139" s="71" t="str">
        <f>IF(AA139="","",COUNTIF(prod_ca,"&gt;"&amp;AA139)+COUNTIF(AA$6:AA139,AA139))</f>
        <v/>
      </c>
      <c r="AK139" s="71" t="str">
        <f>IF(OR(W139="Vendu à perte",W139="Sous la cible"),ROUND(U139,6),"")</f>
        <v/>
      </c>
      <c r="AL139" s="71" t="str">
        <f>IF(AK139="","",COUNTIF(prod_alk,"&lt;"&amp;AK139)+COUNTIF(AK$6:AK139,AK139))</f>
        <v/>
      </c>
    </row>
    <row r="140">
      <c r="A140" s="60" t="n"/>
      <c r="B140" s="60" t="n"/>
      <c r="C140" s="61" t="n"/>
      <c r="D140" s="62" t="n"/>
      <c r="E140" s="63" t="n"/>
      <c r="F140" s="64" t="n"/>
      <c r="G140" s="64" t="n"/>
      <c r="H140" s="64" t="n"/>
      <c r="I140" s="64" t="n"/>
      <c r="J140" s="65" t="n"/>
      <c r="K140" s="65" t="n"/>
      <c r="L140" s="66" t="str">
        <f>IF(X140="OK",SUMIF(bom_prod,A140,bom_cost),"")</f>
        <v/>
      </c>
      <c r="M140" s="66" t="str">
        <f>IF(X140="OK",SUMIF(gam_prod,A140,gam_mo),"")</f>
        <v/>
      </c>
      <c r="N140" s="66" t="str">
        <f>IF(X140="OK",SUMIF(gam_prod,A140,gam_mac),"")</f>
        <v/>
      </c>
      <c r="O140" s="66" t="str">
        <f>IF(X140="OK",SUMIF(gam_prod,A140,gam_setup)/D140,"")</f>
        <v/>
      </c>
      <c r="P140" s="66" t="str">
        <f>IF(X140="OK",(L140+M140+N140+O140+N(G140))*Y140,"")</f>
        <v/>
      </c>
      <c r="Q140" s="66" t="str">
        <f>IF(X140="OK",L140+M140+N140+O140+N(G140)+P140,"")</f>
        <v/>
      </c>
      <c r="R140" s="67" t="str">
        <f>IF(X140="OK",ROUND(Q140+N(H140)+N(I140)/D140,4),"")</f>
        <v/>
      </c>
      <c r="S140" s="66" t="str">
        <f>IF(X140="OK",ROUND(R140*(1+Z140),2),"")</f>
        <v/>
      </c>
      <c r="T140" s="66" t="str">
        <f>IF(AND(X140="OK",N(F140)&gt;0),F140-R140,"")</f>
        <v/>
      </c>
      <c r="U140" s="68" t="str">
        <f>IF(T140="","",IF(R140&lt;=0,"",T140/R140))</f>
        <v/>
      </c>
      <c r="V140" s="68" t="str">
        <f>IF(T140="","",T140/F140)</f>
        <v/>
      </c>
      <c r="W140" s="69" t="str">
        <f>IF(A140="","",IF(X140&lt;&gt;"OK","À corriger",IF(N(F140)&lt;=0,"Prix à saisir",IF(F140&lt;R140,"Vendu à perte",IF(F140&lt;S140,"Sous la cible","OK")))))</f>
        <v/>
      </c>
      <c r="X140" s="69" t="str">
        <f>IF(AND(A140="",COUNTA(B140:K140)=0),"",IF(A140="","Référence manquante",IF(COUNTIF($A$6:$A$305,A140)&gt;1,"Référence en double",IF(OR(NOT(ISNUMBER(D140)),N(D140)&lt;=0),"Taille de lot invalide",IF(AND(E140&lt;&gt;"",OR(NOT(ISNUMBER(E140)),N(E140)&lt;0)),"Volume annuel invalide",IF(AND(F140&lt;&gt;"",OR(NOT(ISNUMBER(F140)),N(F140)&lt;0)),"Prix de vente invalide",IF(OR(AND(G140&lt;&gt;"",OR(NOT(ISNUMBER(G140)),N(G140)&lt;0)),AND(H140&lt;&gt;"",OR(NOT(ISNUMBER(H140)),N(H140)&lt;0)),AND(I140&lt;&gt;"",OR(NOT(ISNUMBER(I140)),N(I140)&lt;0))),"Montant invalide",IF(OR(AND(J140&lt;&gt;"",OR(NOT(ISNUMBER(J140)),N(J140)&lt;0)),AND(K140&lt;&gt;"",OR(NOT(ISNUMBER(K140)),N(K140)&lt;0))),"Pourcentage invalide",IF(COUNTIF(bom_prod,A140)+COUNTIF(gam_prod,A140)=0,"Ni nomenclature ni gamme",IF(COUNTIFS(bom_prod,A140,bom_check,"&lt;&gt;OK")&gt;0,"Nomenclature à corriger",IF(COUNTIFS(gam_prod,A140,gam_check,"&lt;&gt;OK")&gt;0,"Gamme à corriger","OK")))))))))))</f>
        <v/>
      </c>
      <c r="Y140" s="70">
        <f>IF(J140="",N(p_fg),N(J140))</f>
        <v>0.15</v>
      </c>
      <c r="Z140" s="70">
        <f>IF(K140="",N(p_target),N(K140))</f>
        <v>0.25</v>
      </c>
      <c r="AA140" s="71" t="str">
        <f>IF(R140="","",IF(N(F140)&gt;0,ROUND(F140*N(E140),2),0))</f>
        <v/>
      </c>
      <c r="AB140" s="71">
        <f>IF(T140="",0,T140*N(E140))</f>
        <v>0.0</v>
      </c>
      <c r="AC140" s="71">
        <f>IF(T140="",0,R140*N(E140))</f>
        <v>0.0</v>
      </c>
      <c r="AD140" s="71">
        <f>IF(R140="",0,L140*N(E140))</f>
        <v>0.0</v>
      </c>
      <c r="AE140" s="71">
        <f>IF(R140="",0,M140*N(E140))</f>
        <v>0.0</v>
      </c>
      <c r="AF140" s="71">
        <f>IF(R140="",0,N140*N(E140))</f>
        <v>0.0</v>
      </c>
      <c r="AG140" s="71">
        <f>IF(R140="",0,O140*N(E140))</f>
        <v>0.0</v>
      </c>
      <c r="AH140" s="71">
        <f>IF(R140="",0,(N(G140)+N(H140)+N(I140)/D140)*N(E140))</f>
        <v>0.0</v>
      </c>
      <c r="AI140" s="71">
        <f>IF(R140="",0,P140*N(E140))</f>
        <v>0.0</v>
      </c>
      <c r="AJ140" s="71" t="str">
        <f>IF(AA140="","",COUNTIF(prod_ca,"&gt;"&amp;AA140)+COUNTIF(AA$6:AA140,AA140))</f>
        <v/>
      </c>
      <c r="AK140" s="71" t="str">
        <f>IF(OR(W140="Vendu à perte",W140="Sous la cible"),ROUND(U140,6),"")</f>
        <v/>
      </c>
      <c r="AL140" s="71" t="str">
        <f>IF(AK140="","",COUNTIF(prod_alk,"&lt;"&amp;AK140)+COUNTIF(AK$6:AK140,AK140))</f>
        <v/>
      </c>
    </row>
    <row r="141">
      <c r="A141" s="60" t="n"/>
      <c r="B141" s="60" t="n"/>
      <c r="C141" s="61" t="n"/>
      <c r="D141" s="62" t="n"/>
      <c r="E141" s="63" t="n"/>
      <c r="F141" s="64" t="n"/>
      <c r="G141" s="64" t="n"/>
      <c r="H141" s="64" t="n"/>
      <c r="I141" s="64" t="n"/>
      <c r="J141" s="65" t="n"/>
      <c r="K141" s="65" t="n"/>
      <c r="L141" s="66" t="str">
        <f>IF(X141="OK",SUMIF(bom_prod,A141,bom_cost),"")</f>
        <v/>
      </c>
      <c r="M141" s="66" t="str">
        <f>IF(X141="OK",SUMIF(gam_prod,A141,gam_mo),"")</f>
        <v/>
      </c>
      <c r="N141" s="66" t="str">
        <f>IF(X141="OK",SUMIF(gam_prod,A141,gam_mac),"")</f>
        <v/>
      </c>
      <c r="O141" s="66" t="str">
        <f>IF(X141="OK",SUMIF(gam_prod,A141,gam_setup)/D141,"")</f>
        <v/>
      </c>
      <c r="P141" s="66" t="str">
        <f>IF(X141="OK",(L141+M141+N141+O141+N(G141))*Y141,"")</f>
        <v/>
      </c>
      <c r="Q141" s="66" t="str">
        <f>IF(X141="OK",L141+M141+N141+O141+N(G141)+P141,"")</f>
        <v/>
      </c>
      <c r="R141" s="67" t="str">
        <f>IF(X141="OK",ROUND(Q141+N(H141)+N(I141)/D141,4),"")</f>
        <v/>
      </c>
      <c r="S141" s="66" t="str">
        <f>IF(X141="OK",ROUND(R141*(1+Z141),2),"")</f>
        <v/>
      </c>
      <c r="T141" s="66" t="str">
        <f>IF(AND(X141="OK",N(F141)&gt;0),F141-R141,"")</f>
        <v/>
      </c>
      <c r="U141" s="68" t="str">
        <f>IF(T141="","",IF(R141&lt;=0,"",T141/R141))</f>
        <v/>
      </c>
      <c r="V141" s="68" t="str">
        <f>IF(T141="","",T141/F141)</f>
        <v/>
      </c>
      <c r="W141" s="69" t="str">
        <f>IF(A141="","",IF(X141&lt;&gt;"OK","À corriger",IF(N(F141)&lt;=0,"Prix à saisir",IF(F141&lt;R141,"Vendu à perte",IF(F141&lt;S141,"Sous la cible","OK")))))</f>
        <v/>
      </c>
      <c r="X141" s="69" t="str">
        <f>IF(AND(A141="",COUNTA(B141:K141)=0),"",IF(A141="","Référence manquante",IF(COUNTIF($A$6:$A$305,A141)&gt;1,"Référence en double",IF(OR(NOT(ISNUMBER(D141)),N(D141)&lt;=0),"Taille de lot invalide",IF(AND(E141&lt;&gt;"",OR(NOT(ISNUMBER(E141)),N(E141)&lt;0)),"Volume annuel invalide",IF(AND(F141&lt;&gt;"",OR(NOT(ISNUMBER(F141)),N(F141)&lt;0)),"Prix de vente invalide",IF(OR(AND(G141&lt;&gt;"",OR(NOT(ISNUMBER(G141)),N(G141)&lt;0)),AND(H141&lt;&gt;"",OR(NOT(ISNUMBER(H141)),N(H141)&lt;0)),AND(I141&lt;&gt;"",OR(NOT(ISNUMBER(I141)),N(I141)&lt;0))),"Montant invalide",IF(OR(AND(J141&lt;&gt;"",OR(NOT(ISNUMBER(J141)),N(J141)&lt;0)),AND(K141&lt;&gt;"",OR(NOT(ISNUMBER(K141)),N(K141)&lt;0))),"Pourcentage invalide",IF(COUNTIF(bom_prod,A141)+COUNTIF(gam_prod,A141)=0,"Ni nomenclature ni gamme",IF(COUNTIFS(bom_prod,A141,bom_check,"&lt;&gt;OK")&gt;0,"Nomenclature à corriger",IF(COUNTIFS(gam_prod,A141,gam_check,"&lt;&gt;OK")&gt;0,"Gamme à corriger","OK")))))))))))</f>
        <v/>
      </c>
      <c r="Y141" s="70">
        <f>IF(J141="",N(p_fg),N(J141))</f>
        <v>0.15</v>
      </c>
      <c r="Z141" s="70">
        <f>IF(K141="",N(p_target),N(K141))</f>
        <v>0.25</v>
      </c>
      <c r="AA141" s="71" t="str">
        <f>IF(R141="","",IF(N(F141)&gt;0,ROUND(F141*N(E141),2),0))</f>
        <v/>
      </c>
      <c r="AB141" s="71">
        <f>IF(T141="",0,T141*N(E141))</f>
        <v>0.0</v>
      </c>
      <c r="AC141" s="71">
        <f>IF(T141="",0,R141*N(E141))</f>
        <v>0.0</v>
      </c>
      <c r="AD141" s="71">
        <f>IF(R141="",0,L141*N(E141))</f>
        <v>0.0</v>
      </c>
      <c r="AE141" s="71">
        <f>IF(R141="",0,M141*N(E141))</f>
        <v>0.0</v>
      </c>
      <c r="AF141" s="71">
        <f>IF(R141="",0,N141*N(E141))</f>
        <v>0.0</v>
      </c>
      <c r="AG141" s="71">
        <f>IF(R141="",0,O141*N(E141))</f>
        <v>0.0</v>
      </c>
      <c r="AH141" s="71">
        <f>IF(R141="",0,(N(G141)+N(H141)+N(I141)/D141)*N(E141))</f>
        <v>0.0</v>
      </c>
      <c r="AI141" s="71">
        <f>IF(R141="",0,P141*N(E141))</f>
        <v>0.0</v>
      </c>
      <c r="AJ141" s="71" t="str">
        <f>IF(AA141="","",COUNTIF(prod_ca,"&gt;"&amp;AA141)+COUNTIF(AA$6:AA141,AA141))</f>
        <v/>
      </c>
      <c r="AK141" s="71" t="str">
        <f>IF(OR(W141="Vendu à perte",W141="Sous la cible"),ROUND(U141,6),"")</f>
        <v/>
      </c>
      <c r="AL141" s="71" t="str">
        <f>IF(AK141="","",COUNTIF(prod_alk,"&lt;"&amp;AK141)+COUNTIF(AK$6:AK141,AK141))</f>
        <v/>
      </c>
    </row>
    <row r="142">
      <c r="A142" s="60" t="n"/>
      <c r="B142" s="60" t="n"/>
      <c r="C142" s="61" t="n"/>
      <c r="D142" s="62" t="n"/>
      <c r="E142" s="63" t="n"/>
      <c r="F142" s="64" t="n"/>
      <c r="G142" s="64" t="n"/>
      <c r="H142" s="64" t="n"/>
      <c r="I142" s="64" t="n"/>
      <c r="J142" s="65" t="n"/>
      <c r="K142" s="65" t="n"/>
      <c r="L142" s="66" t="str">
        <f>IF(X142="OK",SUMIF(bom_prod,A142,bom_cost),"")</f>
        <v/>
      </c>
      <c r="M142" s="66" t="str">
        <f>IF(X142="OK",SUMIF(gam_prod,A142,gam_mo),"")</f>
        <v/>
      </c>
      <c r="N142" s="66" t="str">
        <f>IF(X142="OK",SUMIF(gam_prod,A142,gam_mac),"")</f>
        <v/>
      </c>
      <c r="O142" s="66" t="str">
        <f>IF(X142="OK",SUMIF(gam_prod,A142,gam_setup)/D142,"")</f>
        <v/>
      </c>
      <c r="P142" s="66" t="str">
        <f>IF(X142="OK",(L142+M142+N142+O142+N(G142))*Y142,"")</f>
        <v/>
      </c>
      <c r="Q142" s="66" t="str">
        <f>IF(X142="OK",L142+M142+N142+O142+N(G142)+P142,"")</f>
        <v/>
      </c>
      <c r="R142" s="67" t="str">
        <f>IF(X142="OK",ROUND(Q142+N(H142)+N(I142)/D142,4),"")</f>
        <v/>
      </c>
      <c r="S142" s="66" t="str">
        <f>IF(X142="OK",ROUND(R142*(1+Z142),2),"")</f>
        <v/>
      </c>
      <c r="T142" s="66" t="str">
        <f>IF(AND(X142="OK",N(F142)&gt;0),F142-R142,"")</f>
        <v/>
      </c>
      <c r="U142" s="68" t="str">
        <f>IF(T142="","",IF(R142&lt;=0,"",T142/R142))</f>
        <v/>
      </c>
      <c r="V142" s="68" t="str">
        <f>IF(T142="","",T142/F142)</f>
        <v/>
      </c>
      <c r="W142" s="69" t="str">
        <f>IF(A142="","",IF(X142&lt;&gt;"OK","À corriger",IF(N(F142)&lt;=0,"Prix à saisir",IF(F142&lt;R142,"Vendu à perte",IF(F142&lt;S142,"Sous la cible","OK")))))</f>
        <v/>
      </c>
      <c r="X142" s="69" t="str">
        <f>IF(AND(A142="",COUNTA(B142:K142)=0),"",IF(A142="","Référence manquante",IF(COUNTIF($A$6:$A$305,A142)&gt;1,"Référence en double",IF(OR(NOT(ISNUMBER(D142)),N(D142)&lt;=0),"Taille de lot invalide",IF(AND(E142&lt;&gt;"",OR(NOT(ISNUMBER(E142)),N(E142)&lt;0)),"Volume annuel invalide",IF(AND(F142&lt;&gt;"",OR(NOT(ISNUMBER(F142)),N(F142)&lt;0)),"Prix de vente invalide",IF(OR(AND(G142&lt;&gt;"",OR(NOT(ISNUMBER(G142)),N(G142)&lt;0)),AND(H142&lt;&gt;"",OR(NOT(ISNUMBER(H142)),N(H142)&lt;0)),AND(I142&lt;&gt;"",OR(NOT(ISNUMBER(I142)),N(I142)&lt;0))),"Montant invalide",IF(OR(AND(J142&lt;&gt;"",OR(NOT(ISNUMBER(J142)),N(J142)&lt;0)),AND(K142&lt;&gt;"",OR(NOT(ISNUMBER(K142)),N(K142)&lt;0))),"Pourcentage invalide",IF(COUNTIF(bom_prod,A142)+COUNTIF(gam_prod,A142)=0,"Ni nomenclature ni gamme",IF(COUNTIFS(bom_prod,A142,bom_check,"&lt;&gt;OK")&gt;0,"Nomenclature à corriger",IF(COUNTIFS(gam_prod,A142,gam_check,"&lt;&gt;OK")&gt;0,"Gamme à corriger","OK")))))))))))</f>
        <v/>
      </c>
      <c r="Y142" s="70">
        <f>IF(J142="",N(p_fg),N(J142))</f>
        <v>0.15</v>
      </c>
      <c r="Z142" s="70">
        <f>IF(K142="",N(p_target),N(K142))</f>
        <v>0.25</v>
      </c>
      <c r="AA142" s="71" t="str">
        <f>IF(R142="","",IF(N(F142)&gt;0,ROUND(F142*N(E142),2),0))</f>
        <v/>
      </c>
      <c r="AB142" s="71">
        <f>IF(T142="",0,T142*N(E142))</f>
        <v>0.0</v>
      </c>
      <c r="AC142" s="71">
        <f>IF(T142="",0,R142*N(E142))</f>
        <v>0.0</v>
      </c>
      <c r="AD142" s="71">
        <f>IF(R142="",0,L142*N(E142))</f>
        <v>0.0</v>
      </c>
      <c r="AE142" s="71">
        <f>IF(R142="",0,M142*N(E142))</f>
        <v>0.0</v>
      </c>
      <c r="AF142" s="71">
        <f>IF(R142="",0,N142*N(E142))</f>
        <v>0.0</v>
      </c>
      <c r="AG142" s="71">
        <f>IF(R142="",0,O142*N(E142))</f>
        <v>0.0</v>
      </c>
      <c r="AH142" s="71">
        <f>IF(R142="",0,(N(G142)+N(H142)+N(I142)/D142)*N(E142))</f>
        <v>0.0</v>
      </c>
      <c r="AI142" s="71">
        <f>IF(R142="",0,P142*N(E142))</f>
        <v>0.0</v>
      </c>
      <c r="AJ142" s="71" t="str">
        <f>IF(AA142="","",COUNTIF(prod_ca,"&gt;"&amp;AA142)+COUNTIF(AA$6:AA142,AA142))</f>
        <v/>
      </c>
      <c r="AK142" s="71" t="str">
        <f>IF(OR(W142="Vendu à perte",W142="Sous la cible"),ROUND(U142,6),"")</f>
        <v/>
      </c>
      <c r="AL142" s="71" t="str">
        <f>IF(AK142="","",COUNTIF(prod_alk,"&lt;"&amp;AK142)+COUNTIF(AK$6:AK142,AK142))</f>
        <v/>
      </c>
    </row>
    <row r="143">
      <c r="A143" s="60" t="n"/>
      <c r="B143" s="60" t="n"/>
      <c r="C143" s="61" t="n"/>
      <c r="D143" s="62" t="n"/>
      <c r="E143" s="63" t="n"/>
      <c r="F143" s="64" t="n"/>
      <c r="G143" s="64" t="n"/>
      <c r="H143" s="64" t="n"/>
      <c r="I143" s="64" t="n"/>
      <c r="J143" s="65" t="n"/>
      <c r="K143" s="65" t="n"/>
      <c r="L143" s="66" t="str">
        <f>IF(X143="OK",SUMIF(bom_prod,A143,bom_cost),"")</f>
        <v/>
      </c>
      <c r="M143" s="66" t="str">
        <f>IF(X143="OK",SUMIF(gam_prod,A143,gam_mo),"")</f>
        <v/>
      </c>
      <c r="N143" s="66" t="str">
        <f>IF(X143="OK",SUMIF(gam_prod,A143,gam_mac),"")</f>
        <v/>
      </c>
      <c r="O143" s="66" t="str">
        <f>IF(X143="OK",SUMIF(gam_prod,A143,gam_setup)/D143,"")</f>
        <v/>
      </c>
      <c r="P143" s="66" t="str">
        <f>IF(X143="OK",(L143+M143+N143+O143+N(G143))*Y143,"")</f>
        <v/>
      </c>
      <c r="Q143" s="66" t="str">
        <f>IF(X143="OK",L143+M143+N143+O143+N(G143)+P143,"")</f>
        <v/>
      </c>
      <c r="R143" s="67" t="str">
        <f>IF(X143="OK",ROUND(Q143+N(H143)+N(I143)/D143,4),"")</f>
        <v/>
      </c>
      <c r="S143" s="66" t="str">
        <f>IF(X143="OK",ROUND(R143*(1+Z143),2),"")</f>
        <v/>
      </c>
      <c r="T143" s="66" t="str">
        <f>IF(AND(X143="OK",N(F143)&gt;0),F143-R143,"")</f>
        <v/>
      </c>
      <c r="U143" s="68" t="str">
        <f>IF(T143="","",IF(R143&lt;=0,"",T143/R143))</f>
        <v/>
      </c>
      <c r="V143" s="68" t="str">
        <f>IF(T143="","",T143/F143)</f>
        <v/>
      </c>
      <c r="W143" s="69" t="str">
        <f>IF(A143="","",IF(X143&lt;&gt;"OK","À corriger",IF(N(F143)&lt;=0,"Prix à saisir",IF(F143&lt;R143,"Vendu à perte",IF(F143&lt;S143,"Sous la cible","OK")))))</f>
        <v/>
      </c>
      <c r="X143" s="69" t="str">
        <f>IF(AND(A143="",COUNTA(B143:K143)=0),"",IF(A143="","Référence manquante",IF(COUNTIF($A$6:$A$305,A143)&gt;1,"Référence en double",IF(OR(NOT(ISNUMBER(D143)),N(D143)&lt;=0),"Taille de lot invalide",IF(AND(E143&lt;&gt;"",OR(NOT(ISNUMBER(E143)),N(E143)&lt;0)),"Volume annuel invalide",IF(AND(F143&lt;&gt;"",OR(NOT(ISNUMBER(F143)),N(F143)&lt;0)),"Prix de vente invalide",IF(OR(AND(G143&lt;&gt;"",OR(NOT(ISNUMBER(G143)),N(G143)&lt;0)),AND(H143&lt;&gt;"",OR(NOT(ISNUMBER(H143)),N(H143)&lt;0)),AND(I143&lt;&gt;"",OR(NOT(ISNUMBER(I143)),N(I143)&lt;0))),"Montant invalide",IF(OR(AND(J143&lt;&gt;"",OR(NOT(ISNUMBER(J143)),N(J143)&lt;0)),AND(K143&lt;&gt;"",OR(NOT(ISNUMBER(K143)),N(K143)&lt;0))),"Pourcentage invalide",IF(COUNTIF(bom_prod,A143)+COUNTIF(gam_prod,A143)=0,"Ni nomenclature ni gamme",IF(COUNTIFS(bom_prod,A143,bom_check,"&lt;&gt;OK")&gt;0,"Nomenclature à corriger",IF(COUNTIFS(gam_prod,A143,gam_check,"&lt;&gt;OK")&gt;0,"Gamme à corriger","OK")))))))))))</f>
        <v/>
      </c>
      <c r="Y143" s="70">
        <f>IF(J143="",N(p_fg),N(J143))</f>
        <v>0.15</v>
      </c>
      <c r="Z143" s="70">
        <f>IF(K143="",N(p_target),N(K143))</f>
        <v>0.25</v>
      </c>
      <c r="AA143" s="71" t="str">
        <f>IF(R143="","",IF(N(F143)&gt;0,ROUND(F143*N(E143),2),0))</f>
        <v/>
      </c>
      <c r="AB143" s="71">
        <f>IF(T143="",0,T143*N(E143))</f>
        <v>0.0</v>
      </c>
      <c r="AC143" s="71">
        <f>IF(T143="",0,R143*N(E143))</f>
        <v>0.0</v>
      </c>
      <c r="AD143" s="71">
        <f>IF(R143="",0,L143*N(E143))</f>
        <v>0.0</v>
      </c>
      <c r="AE143" s="71">
        <f>IF(R143="",0,M143*N(E143))</f>
        <v>0.0</v>
      </c>
      <c r="AF143" s="71">
        <f>IF(R143="",0,N143*N(E143))</f>
        <v>0.0</v>
      </c>
      <c r="AG143" s="71">
        <f>IF(R143="",0,O143*N(E143))</f>
        <v>0.0</v>
      </c>
      <c r="AH143" s="71">
        <f>IF(R143="",0,(N(G143)+N(H143)+N(I143)/D143)*N(E143))</f>
        <v>0.0</v>
      </c>
      <c r="AI143" s="71">
        <f>IF(R143="",0,P143*N(E143))</f>
        <v>0.0</v>
      </c>
      <c r="AJ143" s="71" t="str">
        <f>IF(AA143="","",COUNTIF(prod_ca,"&gt;"&amp;AA143)+COUNTIF(AA$6:AA143,AA143))</f>
        <v/>
      </c>
      <c r="AK143" s="71" t="str">
        <f>IF(OR(W143="Vendu à perte",W143="Sous la cible"),ROUND(U143,6),"")</f>
        <v/>
      </c>
      <c r="AL143" s="71" t="str">
        <f>IF(AK143="","",COUNTIF(prod_alk,"&lt;"&amp;AK143)+COUNTIF(AK$6:AK143,AK143))</f>
        <v/>
      </c>
    </row>
    <row r="144">
      <c r="A144" s="60" t="n"/>
      <c r="B144" s="60" t="n"/>
      <c r="C144" s="61" t="n"/>
      <c r="D144" s="62" t="n"/>
      <c r="E144" s="63" t="n"/>
      <c r="F144" s="64" t="n"/>
      <c r="G144" s="64" t="n"/>
      <c r="H144" s="64" t="n"/>
      <c r="I144" s="64" t="n"/>
      <c r="J144" s="65" t="n"/>
      <c r="K144" s="65" t="n"/>
      <c r="L144" s="66" t="str">
        <f>IF(X144="OK",SUMIF(bom_prod,A144,bom_cost),"")</f>
        <v/>
      </c>
      <c r="M144" s="66" t="str">
        <f>IF(X144="OK",SUMIF(gam_prod,A144,gam_mo),"")</f>
        <v/>
      </c>
      <c r="N144" s="66" t="str">
        <f>IF(X144="OK",SUMIF(gam_prod,A144,gam_mac),"")</f>
        <v/>
      </c>
      <c r="O144" s="66" t="str">
        <f>IF(X144="OK",SUMIF(gam_prod,A144,gam_setup)/D144,"")</f>
        <v/>
      </c>
      <c r="P144" s="66" t="str">
        <f>IF(X144="OK",(L144+M144+N144+O144+N(G144))*Y144,"")</f>
        <v/>
      </c>
      <c r="Q144" s="66" t="str">
        <f>IF(X144="OK",L144+M144+N144+O144+N(G144)+P144,"")</f>
        <v/>
      </c>
      <c r="R144" s="67" t="str">
        <f>IF(X144="OK",ROUND(Q144+N(H144)+N(I144)/D144,4),"")</f>
        <v/>
      </c>
      <c r="S144" s="66" t="str">
        <f>IF(X144="OK",ROUND(R144*(1+Z144),2),"")</f>
        <v/>
      </c>
      <c r="T144" s="66" t="str">
        <f>IF(AND(X144="OK",N(F144)&gt;0),F144-R144,"")</f>
        <v/>
      </c>
      <c r="U144" s="68" t="str">
        <f>IF(T144="","",IF(R144&lt;=0,"",T144/R144))</f>
        <v/>
      </c>
      <c r="V144" s="68" t="str">
        <f>IF(T144="","",T144/F144)</f>
        <v/>
      </c>
      <c r="W144" s="69" t="str">
        <f>IF(A144="","",IF(X144&lt;&gt;"OK","À corriger",IF(N(F144)&lt;=0,"Prix à saisir",IF(F144&lt;R144,"Vendu à perte",IF(F144&lt;S144,"Sous la cible","OK")))))</f>
        <v/>
      </c>
      <c r="X144" s="69" t="str">
        <f>IF(AND(A144="",COUNTA(B144:K144)=0),"",IF(A144="","Référence manquante",IF(COUNTIF($A$6:$A$305,A144)&gt;1,"Référence en double",IF(OR(NOT(ISNUMBER(D144)),N(D144)&lt;=0),"Taille de lot invalide",IF(AND(E144&lt;&gt;"",OR(NOT(ISNUMBER(E144)),N(E144)&lt;0)),"Volume annuel invalide",IF(AND(F144&lt;&gt;"",OR(NOT(ISNUMBER(F144)),N(F144)&lt;0)),"Prix de vente invalide",IF(OR(AND(G144&lt;&gt;"",OR(NOT(ISNUMBER(G144)),N(G144)&lt;0)),AND(H144&lt;&gt;"",OR(NOT(ISNUMBER(H144)),N(H144)&lt;0)),AND(I144&lt;&gt;"",OR(NOT(ISNUMBER(I144)),N(I144)&lt;0))),"Montant invalide",IF(OR(AND(J144&lt;&gt;"",OR(NOT(ISNUMBER(J144)),N(J144)&lt;0)),AND(K144&lt;&gt;"",OR(NOT(ISNUMBER(K144)),N(K144)&lt;0))),"Pourcentage invalide",IF(COUNTIF(bom_prod,A144)+COUNTIF(gam_prod,A144)=0,"Ni nomenclature ni gamme",IF(COUNTIFS(bom_prod,A144,bom_check,"&lt;&gt;OK")&gt;0,"Nomenclature à corriger",IF(COUNTIFS(gam_prod,A144,gam_check,"&lt;&gt;OK")&gt;0,"Gamme à corriger","OK")))))))))))</f>
        <v/>
      </c>
      <c r="Y144" s="70">
        <f>IF(J144="",N(p_fg),N(J144))</f>
        <v>0.15</v>
      </c>
      <c r="Z144" s="70">
        <f>IF(K144="",N(p_target),N(K144))</f>
        <v>0.25</v>
      </c>
      <c r="AA144" s="71" t="str">
        <f>IF(R144="","",IF(N(F144)&gt;0,ROUND(F144*N(E144),2),0))</f>
        <v/>
      </c>
      <c r="AB144" s="71">
        <f>IF(T144="",0,T144*N(E144))</f>
        <v>0.0</v>
      </c>
      <c r="AC144" s="71">
        <f>IF(T144="",0,R144*N(E144))</f>
        <v>0.0</v>
      </c>
      <c r="AD144" s="71">
        <f>IF(R144="",0,L144*N(E144))</f>
        <v>0.0</v>
      </c>
      <c r="AE144" s="71">
        <f>IF(R144="",0,M144*N(E144))</f>
        <v>0.0</v>
      </c>
      <c r="AF144" s="71">
        <f>IF(R144="",0,N144*N(E144))</f>
        <v>0.0</v>
      </c>
      <c r="AG144" s="71">
        <f>IF(R144="",0,O144*N(E144))</f>
        <v>0.0</v>
      </c>
      <c r="AH144" s="71">
        <f>IF(R144="",0,(N(G144)+N(H144)+N(I144)/D144)*N(E144))</f>
        <v>0.0</v>
      </c>
      <c r="AI144" s="71">
        <f>IF(R144="",0,P144*N(E144))</f>
        <v>0.0</v>
      </c>
      <c r="AJ144" s="71" t="str">
        <f>IF(AA144="","",COUNTIF(prod_ca,"&gt;"&amp;AA144)+COUNTIF(AA$6:AA144,AA144))</f>
        <v/>
      </c>
      <c r="AK144" s="71" t="str">
        <f>IF(OR(W144="Vendu à perte",W144="Sous la cible"),ROUND(U144,6),"")</f>
        <v/>
      </c>
      <c r="AL144" s="71" t="str">
        <f>IF(AK144="","",COUNTIF(prod_alk,"&lt;"&amp;AK144)+COUNTIF(AK$6:AK144,AK144))</f>
        <v/>
      </c>
    </row>
    <row r="145">
      <c r="A145" s="60" t="n"/>
      <c r="B145" s="60" t="n"/>
      <c r="C145" s="61" t="n"/>
      <c r="D145" s="62" t="n"/>
      <c r="E145" s="63" t="n"/>
      <c r="F145" s="64" t="n"/>
      <c r="G145" s="64" t="n"/>
      <c r="H145" s="64" t="n"/>
      <c r="I145" s="64" t="n"/>
      <c r="J145" s="65" t="n"/>
      <c r="K145" s="65" t="n"/>
      <c r="L145" s="66" t="str">
        <f>IF(X145="OK",SUMIF(bom_prod,A145,bom_cost),"")</f>
        <v/>
      </c>
      <c r="M145" s="66" t="str">
        <f>IF(X145="OK",SUMIF(gam_prod,A145,gam_mo),"")</f>
        <v/>
      </c>
      <c r="N145" s="66" t="str">
        <f>IF(X145="OK",SUMIF(gam_prod,A145,gam_mac),"")</f>
        <v/>
      </c>
      <c r="O145" s="66" t="str">
        <f>IF(X145="OK",SUMIF(gam_prod,A145,gam_setup)/D145,"")</f>
        <v/>
      </c>
      <c r="P145" s="66" t="str">
        <f>IF(X145="OK",(L145+M145+N145+O145+N(G145))*Y145,"")</f>
        <v/>
      </c>
      <c r="Q145" s="66" t="str">
        <f>IF(X145="OK",L145+M145+N145+O145+N(G145)+P145,"")</f>
        <v/>
      </c>
      <c r="R145" s="67" t="str">
        <f>IF(X145="OK",ROUND(Q145+N(H145)+N(I145)/D145,4),"")</f>
        <v/>
      </c>
      <c r="S145" s="66" t="str">
        <f>IF(X145="OK",ROUND(R145*(1+Z145),2),"")</f>
        <v/>
      </c>
      <c r="T145" s="66" t="str">
        <f>IF(AND(X145="OK",N(F145)&gt;0),F145-R145,"")</f>
        <v/>
      </c>
      <c r="U145" s="68" t="str">
        <f>IF(T145="","",IF(R145&lt;=0,"",T145/R145))</f>
        <v/>
      </c>
      <c r="V145" s="68" t="str">
        <f>IF(T145="","",T145/F145)</f>
        <v/>
      </c>
      <c r="W145" s="69" t="str">
        <f>IF(A145="","",IF(X145&lt;&gt;"OK","À corriger",IF(N(F145)&lt;=0,"Prix à saisir",IF(F145&lt;R145,"Vendu à perte",IF(F145&lt;S145,"Sous la cible","OK")))))</f>
        <v/>
      </c>
      <c r="X145" s="69" t="str">
        <f>IF(AND(A145="",COUNTA(B145:K145)=0),"",IF(A145="","Référence manquante",IF(COUNTIF($A$6:$A$305,A145)&gt;1,"Référence en double",IF(OR(NOT(ISNUMBER(D145)),N(D145)&lt;=0),"Taille de lot invalide",IF(AND(E145&lt;&gt;"",OR(NOT(ISNUMBER(E145)),N(E145)&lt;0)),"Volume annuel invalide",IF(AND(F145&lt;&gt;"",OR(NOT(ISNUMBER(F145)),N(F145)&lt;0)),"Prix de vente invalide",IF(OR(AND(G145&lt;&gt;"",OR(NOT(ISNUMBER(G145)),N(G145)&lt;0)),AND(H145&lt;&gt;"",OR(NOT(ISNUMBER(H145)),N(H145)&lt;0)),AND(I145&lt;&gt;"",OR(NOT(ISNUMBER(I145)),N(I145)&lt;0))),"Montant invalide",IF(OR(AND(J145&lt;&gt;"",OR(NOT(ISNUMBER(J145)),N(J145)&lt;0)),AND(K145&lt;&gt;"",OR(NOT(ISNUMBER(K145)),N(K145)&lt;0))),"Pourcentage invalide",IF(COUNTIF(bom_prod,A145)+COUNTIF(gam_prod,A145)=0,"Ni nomenclature ni gamme",IF(COUNTIFS(bom_prod,A145,bom_check,"&lt;&gt;OK")&gt;0,"Nomenclature à corriger",IF(COUNTIFS(gam_prod,A145,gam_check,"&lt;&gt;OK")&gt;0,"Gamme à corriger","OK")))))))))))</f>
        <v/>
      </c>
      <c r="Y145" s="70">
        <f>IF(J145="",N(p_fg),N(J145))</f>
        <v>0.15</v>
      </c>
      <c r="Z145" s="70">
        <f>IF(K145="",N(p_target),N(K145))</f>
        <v>0.25</v>
      </c>
      <c r="AA145" s="71" t="str">
        <f>IF(R145="","",IF(N(F145)&gt;0,ROUND(F145*N(E145),2),0))</f>
        <v/>
      </c>
      <c r="AB145" s="71">
        <f>IF(T145="",0,T145*N(E145))</f>
        <v>0.0</v>
      </c>
      <c r="AC145" s="71">
        <f>IF(T145="",0,R145*N(E145))</f>
        <v>0.0</v>
      </c>
      <c r="AD145" s="71">
        <f>IF(R145="",0,L145*N(E145))</f>
        <v>0.0</v>
      </c>
      <c r="AE145" s="71">
        <f>IF(R145="",0,M145*N(E145))</f>
        <v>0.0</v>
      </c>
      <c r="AF145" s="71">
        <f>IF(R145="",0,N145*N(E145))</f>
        <v>0.0</v>
      </c>
      <c r="AG145" s="71">
        <f>IF(R145="",0,O145*N(E145))</f>
        <v>0.0</v>
      </c>
      <c r="AH145" s="71">
        <f>IF(R145="",0,(N(G145)+N(H145)+N(I145)/D145)*N(E145))</f>
        <v>0.0</v>
      </c>
      <c r="AI145" s="71">
        <f>IF(R145="",0,P145*N(E145))</f>
        <v>0.0</v>
      </c>
      <c r="AJ145" s="71" t="str">
        <f>IF(AA145="","",COUNTIF(prod_ca,"&gt;"&amp;AA145)+COUNTIF(AA$6:AA145,AA145))</f>
        <v/>
      </c>
      <c r="AK145" s="71" t="str">
        <f>IF(OR(W145="Vendu à perte",W145="Sous la cible"),ROUND(U145,6),"")</f>
        <v/>
      </c>
      <c r="AL145" s="71" t="str">
        <f>IF(AK145="","",COUNTIF(prod_alk,"&lt;"&amp;AK145)+COUNTIF(AK$6:AK145,AK145))</f>
        <v/>
      </c>
    </row>
    <row r="146">
      <c r="A146" s="60" t="n"/>
      <c r="B146" s="60" t="n"/>
      <c r="C146" s="61" t="n"/>
      <c r="D146" s="62" t="n"/>
      <c r="E146" s="63" t="n"/>
      <c r="F146" s="64" t="n"/>
      <c r="G146" s="64" t="n"/>
      <c r="H146" s="64" t="n"/>
      <c r="I146" s="64" t="n"/>
      <c r="J146" s="65" t="n"/>
      <c r="K146" s="65" t="n"/>
      <c r="L146" s="66" t="str">
        <f>IF(X146="OK",SUMIF(bom_prod,A146,bom_cost),"")</f>
        <v/>
      </c>
      <c r="M146" s="66" t="str">
        <f>IF(X146="OK",SUMIF(gam_prod,A146,gam_mo),"")</f>
        <v/>
      </c>
      <c r="N146" s="66" t="str">
        <f>IF(X146="OK",SUMIF(gam_prod,A146,gam_mac),"")</f>
        <v/>
      </c>
      <c r="O146" s="66" t="str">
        <f>IF(X146="OK",SUMIF(gam_prod,A146,gam_setup)/D146,"")</f>
        <v/>
      </c>
      <c r="P146" s="66" t="str">
        <f>IF(X146="OK",(L146+M146+N146+O146+N(G146))*Y146,"")</f>
        <v/>
      </c>
      <c r="Q146" s="66" t="str">
        <f>IF(X146="OK",L146+M146+N146+O146+N(G146)+P146,"")</f>
        <v/>
      </c>
      <c r="R146" s="67" t="str">
        <f>IF(X146="OK",ROUND(Q146+N(H146)+N(I146)/D146,4),"")</f>
        <v/>
      </c>
      <c r="S146" s="66" t="str">
        <f>IF(X146="OK",ROUND(R146*(1+Z146),2),"")</f>
        <v/>
      </c>
      <c r="T146" s="66" t="str">
        <f>IF(AND(X146="OK",N(F146)&gt;0),F146-R146,"")</f>
        <v/>
      </c>
      <c r="U146" s="68" t="str">
        <f>IF(T146="","",IF(R146&lt;=0,"",T146/R146))</f>
        <v/>
      </c>
      <c r="V146" s="68" t="str">
        <f>IF(T146="","",T146/F146)</f>
        <v/>
      </c>
      <c r="W146" s="69" t="str">
        <f>IF(A146="","",IF(X146&lt;&gt;"OK","À corriger",IF(N(F146)&lt;=0,"Prix à saisir",IF(F146&lt;R146,"Vendu à perte",IF(F146&lt;S146,"Sous la cible","OK")))))</f>
        <v/>
      </c>
      <c r="X146" s="69" t="str">
        <f>IF(AND(A146="",COUNTA(B146:K146)=0),"",IF(A146="","Référence manquante",IF(COUNTIF($A$6:$A$305,A146)&gt;1,"Référence en double",IF(OR(NOT(ISNUMBER(D146)),N(D146)&lt;=0),"Taille de lot invalide",IF(AND(E146&lt;&gt;"",OR(NOT(ISNUMBER(E146)),N(E146)&lt;0)),"Volume annuel invalide",IF(AND(F146&lt;&gt;"",OR(NOT(ISNUMBER(F146)),N(F146)&lt;0)),"Prix de vente invalide",IF(OR(AND(G146&lt;&gt;"",OR(NOT(ISNUMBER(G146)),N(G146)&lt;0)),AND(H146&lt;&gt;"",OR(NOT(ISNUMBER(H146)),N(H146)&lt;0)),AND(I146&lt;&gt;"",OR(NOT(ISNUMBER(I146)),N(I146)&lt;0))),"Montant invalide",IF(OR(AND(J146&lt;&gt;"",OR(NOT(ISNUMBER(J146)),N(J146)&lt;0)),AND(K146&lt;&gt;"",OR(NOT(ISNUMBER(K146)),N(K146)&lt;0))),"Pourcentage invalide",IF(COUNTIF(bom_prod,A146)+COUNTIF(gam_prod,A146)=0,"Ni nomenclature ni gamme",IF(COUNTIFS(bom_prod,A146,bom_check,"&lt;&gt;OK")&gt;0,"Nomenclature à corriger",IF(COUNTIFS(gam_prod,A146,gam_check,"&lt;&gt;OK")&gt;0,"Gamme à corriger","OK")))))))))))</f>
        <v/>
      </c>
      <c r="Y146" s="70">
        <f>IF(J146="",N(p_fg),N(J146))</f>
        <v>0.15</v>
      </c>
      <c r="Z146" s="70">
        <f>IF(K146="",N(p_target),N(K146))</f>
        <v>0.25</v>
      </c>
      <c r="AA146" s="71" t="str">
        <f>IF(R146="","",IF(N(F146)&gt;0,ROUND(F146*N(E146),2),0))</f>
        <v/>
      </c>
      <c r="AB146" s="71">
        <f>IF(T146="",0,T146*N(E146))</f>
        <v>0.0</v>
      </c>
      <c r="AC146" s="71">
        <f>IF(T146="",0,R146*N(E146))</f>
        <v>0.0</v>
      </c>
      <c r="AD146" s="71">
        <f>IF(R146="",0,L146*N(E146))</f>
        <v>0.0</v>
      </c>
      <c r="AE146" s="71">
        <f>IF(R146="",0,M146*N(E146))</f>
        <v>0.0</v>
      </c>
      <c r="AF146" s="71">
        <f>IF(R146="",0,N146*N(E146))</f>
        <v>0.0</v>
      </c>
      <c r="AG146" s="71">
        <f>IF(R146="",0,O146*N(E146))</f>
        <v>0.0</v>
      </c>
      <c r="AH146" s="71">
        <f>IF(R146="",0,(N(G146)+N(H146)+N(I146)/D146)*N(E146))</f>
        <v>0.0</v>
      </c>
      <c r="AI146" s="71">
        <f>IF(R146="",0,P146*N(E146))</f>
        <v>0.0</v>
      </c>
      <c r="AJ146" s="71" t="str">
        <f>IF(AA146="","",COUNTIF(prod_ca,"&gt;"&amp;AA146)+COUNTIF(AA$6:AA146,AA146))</f>
        <v/>
      </c>
      <c r="AK146" s="71" t="str">
        <f>IF(OR(W146="Vendu à perte",W146="Sous la cible"),ROUND(U146,6),"")</f>
        <v/>
      </c>
      <c r="AL146" s="71" t="str">
        <f>IF(AK146="","",COUNTIF(prod_alk,"&lt;"&amp;AK146)+COUNTIF(AK$6:AK146,AK146))</f>
        <v/>
      </c>
    </row>
    <row r="147">
      <c r="A147" s="60" t="n"/>
      <c r="B147" s="60" t="n"/>
      <c r="C147" s="61" t="n"/>
      <c r="D147" s="62" t="n"/>
      <c r="E147" s="63" t="n"/>
      <c r="F147" s="64" t="n"/>
      <c r="G147" s="64" t="n"/>
      <c r="H147" s="64" t="n"/>
      <c r="I147" s="64" t="n"/>
      <c r="J147" s="65" t="n"/>
      <c r="K147" s="65" t="n"/>
      <c r="L147" s="66" t="str">
        <f>IF(X147="OK",SUMIF(bom_prod,A147,bom_cost),"")</f>
        <v/>
      </c>
      <c r="M147" s="66" t="str">
        <f>IF(X147="OK",SUMIF(gam_prod,A147,gam_mo),"")</f>
        <v/>
      </c>
      <c r="N147" s="66" t="str">
        <f>IF(X147="OK",SUMIF(gam_prod,A147,gam_mac),"")</f>
        <v/>
      </c>
      <c r="O147" s="66" t="str">
        <f>IF(X147="OK",SUMIF(gam_prod,A147,gam_setup)/D147,"")</f>
        <v/>
      </c>
      <c r="P147" s="66" t="str">
        <f>IF(X147="OK",(L147+M147+N147+O147+N(G147))*Y147,"")</f>
        <v/>
      </c>
      <c r="Q147" s="66" t="str">
        <f>IF(X147="OK",L147+M147+N147+O147+N(G147)+P147,"")</f>
        <v/>
      </c>
      <c r="R147" s="67" t="str">
        <f>IF(X147="OK",ROUND(Q147+N(H147)+N(I147)/D147,4),"")</f>
        <v/>
      </c>
      <c r="S147" s="66" t="str">
        <f>IF(X147="OK",ROUND(R147*(1+Z147),2),"")</f>
        <v/>
      </c>
      <c r="T147" s="66" t="str">
        <f>IF(AND(X147="OK",N(F147)&gt;0),F147-R147,"")</f>
        <v/>
      </c>
      <c r="U147" s="68" t="str">
        <f>IF(T147="","",IF(R147&lt;=0,"",T147/R147))</f>
        <v/>
      </c>
      <c r="V147" s="68" t="str">
        <f>IF(T147="","",T147/F147)</f>
        <v/>
      </c>
      <c r="W147" s="69" t="str">
        <f>IF(A147="","",IF(X147&lt;&gt;"OK","À corriger",IF(N(F147)&lt;=0,"Prix à saisir",IF(F147&lt;R147,"Vendu à perte",IF(F147&lt;S147,"Sous la cible","OK")))))</f>
        <v/>
      </c>
      <c r="X147" s="69" t="str">
        <f>IF(AND(A147="",COUNTA(B147:K147)=0),"",IF(A147="","Référence manquante",IF(COUNTIF($A$6:$A$305,A147)&gt;1,"Référence en double",IF(OR(NOT(ISNUMBER(D147)),N(D147)&lt;=0),"Taille de lot invalide",IF(AND(E147&lt;&gt;"",OR(NOT(ISNUMBER(E147)),N(E147)&lt;0)),"Volume annuel invalide",IF(AND(F147&lt;&gt;"",OR(NOT(ISNUMBER(F147)),N(F147)&lt;0)),"Prix de vente invalide",IF(OR(AND(G147&lt;&gt;"",OR(NOT(ISNUMBER(G147)),N(G147)&lt;0)),AND(H147&lt;&gt;"",OR(NOT(ISNUMBER(H147)),N(H147)&lt;0)),AND(I147&lt;&gt;"",OR(NOT(ISNUMBER(I147)),N(I147)&lt;0))),"Montant invalide",IF(OR(AND(J147&lt;&gt;"",OR(NOT(ISNUMBER(J147)),N(J147)&lt;0)),AND(K147&lt;&gt;"",OR(NOT(ISNUMBER(K147)),N(K147)&lt;0))),"Pourcentage invalide",IF(COUNTIF(bom_prod,A147)+COUNTIF(gam_prod,A147)=0,"Ni nomenclature ni gamme",IF(COUNTIFS(bom_prod,A147,bom_check,"&lt;&gt;OK")&gt;0,"Nomenclature à corriger",IF(COUNTIFS(gam_prod,A147,gam_check,"&lt;&gt;OK")&gt;0,"Gamme à corriger","OK")))))))))))</f>
        <v/>
      </c>
      <c r="Y147" s="70">
        <f>IF(J147="",N(p_fg),N(J147))</f>
        <v>0.15</v>
      </c>
      <c r="Z147" s="70">
        <f>IF(K147="",N(p_target),N(K147))</f>
        <v>0.25</v>
      </c>
      <c r="AA147" s="71" t="str">
        <f>IF(R147="","",IF(N(F147)&gt;0,ROUND(F147*N(E147),2),0))</f>
        <v/>
      </c>
      <c r="AB147" s="71">
        <f>IF(T147="",0,T147*N(E147))</f>
        <v>0.0</v>
      </c>
      <c r="AC147" s="71">
        <f>IF(T147="",0,R147*N(E147))</f>
        <v>0.0</v>
      </c>
      <c r="AD147" s="71">
        <f>IF(R147="",0,L147*N(E147))</f>
        <v>0.0</v>
      </c>
      <c r="AE147" s="71">
        <f>IF(R147="",0,M147*N(E147))</f>
        <v>0.0</v>
      </c>
      <c r="AF147" s="71">
        <f>IF(R147="",0,N147*N(E147))</f>
        <v>0.0</v>
      </c>
      <c r="AG147" s="71">
        <f>IF(R147="",0,O147*N(E147))</f>
        <v>0.0</v>
      </c>
      <c r="AH147" s="71">
        <f>IF(R147="",0,(N(G147)+N(H147)+N(I147)/D147)*N(E147))</f>
        <v>0.0</v>
      </c>
      <c r="AI147" s="71">
        <f>IF(R147="",0,P147*N(E147))</f>
        <v>0.0</v>
      </c>
      <c r="AJ147" s="71" t="str">
        <f>IF(AA147="","",COUNTIF(prod_ca,"&gt;"&amp;AA147)+COUNTIF(AA$6:AA147,AA147))</f>
        <v/>
      </c>
      <c r="AK147" s="71" t="str">
        <f>IF(OR(W147="Vendu à perte",W147="Sous la cible"),ROUND(U147,6),"")</f>
        <v/>
      </c>
      <c r="AL147" s="71" t="str">
        <f>IF(AK147="","",COUNTIF(prod_alk,"&lt;"&amp;AK147)+COUNTIF(AK$6:AK147,AK147))</f>
        <v/>
      </c>
    </row>
    <row r="148">
      <c r="A148" s="60" t="n"/>
      <c r="B148" s="60" t="n"/>
      <c r="C148" s="61" t="n"/>
      <c r="D148" s="62" t="n"/>
      <c r="E148" s="63" t="n"/>
      <c r="F148" s="64" t="n"/>
      <c r="G148" s="64" t="n"/>
      <c r="H148" s="64" t="n"/>
      <c r="I148" s="64" t="n"/>
      <c r="J148" s="65" t="n"/>
      <c r="K148" s="65" t="n"/>
      <c r="L148" s="66" t="str">
        <f>IF(X148="OK",SUMIF(bom_prod,A148,bom_cost),"")</f>
        <v/>
      </c>
      <c r="M148" s="66" t="str">
        <f>IF(X148="OK",SUMIF(gam_prod,A148,gam_mo),"")</f>
        <v/>
      </c>
      <c r="N148" s="66" t="str">
        <f>IF(X148="OK",SUMIF(gam_prod,A148,gam_mac),"")</f>
        <v/>
      </c>
      <c r="O148" s="66" t="str">
        <f>IF(X148="OK",SUMIF(gam_prod,A148,gam_setup)/D148,"")</f>
        <v/>
      </c>
      <c r="P148" s="66" t="str">
        <f>IF(X148="OK",(L148+M148+N148+O148+N(G148))*Y148,"")</f>
        <v/>
      </c>
      <c r="Q148" s="66" t="str">
        <f>IF(X148="OK",L148+M148+N148+O148+N(G148)+P148,"")</f>
        <v/>
      </c>
      <c r="R148" s="67" t="str">
        <f>IF(X148="OK",ROUND(Q148+N(H148)+N(I148)/D148,4),"")</f>
        <v/>
      </c>
      <c r="S148" s="66" t="str">
        <f>IF(X148="OK",ROUND(R148*(1+Z148),2),"")</f>
        <v/>
      </c>
      <c r="T148" s="66" t="str">
        <f>IF(AND(X148="OK",N(F148)&gt;0),F148-R148,"")</f>
        <v/>
      </c>
      <c r="U148" s="68" t="str">
        <f>IF(T148="","",IF(R148&lt;=0,"",T148/R148))</f>
        <v/>
      </c>
      <c r="V148" s="68" t="str">
        <f>IF(T148="","",T148/F148)</f>
        <v/>
      </c>
      <c r="W148" s="69" t="str">
        <f>IF(A148="","",IF(X148&lt;&gt;"OK","À corriger",IF(N(F148)&lt;=0,"Prix à saisir",IF(F148&lt;R148,"Vendu à perte",IF(F148&lt;S148,"Sous la cible","OK")))))</f>
        <v/>
      </c>
      <c r="X148" s="69" t="str">
        <f>IF(AND(A148="",COUNTA(B148:K148)=0),"",IF(A148="","Référence manquante",IF(COUNTIF($A$6:$A$305,A148)&gt;1,"Référence en double",IF(OR(NOT(ISNUMBER(D148)),N(D148)&lt;=0),"Taille de lot invalide",IF(AND(E148&lt;&gt;"",OR(NOT(ISNUMBER(E148)),N(E148)&lt;0)),"Volume annuel invalide",IF(AND(F148&lt;&gt;"",OR(NOT(ISNUMBER(F148)),N(F148)&lt;0)),"Prix de vente invalide",IF(OR(AND(G148&lt;&gt;"",OR(NOT(ISNUMBER(G148)),N(G148)&lt;0)),AND(H148&lt;&gt;"",OR(NOT(ISNUMBER(H148)),N(H148)&lt;0)),AND(I148&lt;&gt;"",OR(NOT(ISNUMBER(I148)),N(I148)&lt;0))),"Montant invalide",IF(OR(AND(J148&lt;&gt;"",OR(NOT(ISNUMBER(J148)),N(J148)&lt;0)),AND(K148&lt;&gt;"",OR(NOT(ISNUMBER(K148)),N(K148)&lt;0))),"Pourcentage invalide",IF(COUNTIF(bom_prod,A148)+COUNTIF(gam_prod,A148)=0,"Ni nomenclature ni gamme",IF(COUNTIFS(bom_prod,A148,bom_check,"&lt;&gt;OK")&gt;0,"Nomenclature à corriger",IF(COUNTIFS(gam_prod,A148,gam_check,"&lt;&gt;OK")&gt;0,"Gamme à corriger","OK")))))))))))</f>
        <v/>
      </c>
      <c r="Y148" s="70">
        <f>IF(J148="",N(p_fg),N(J148))</f>
        <v>0.15</v>
      </c>
      <c r="Z148" s="70">
        <f>IF(K148="",N(p_target),N(K148))</f>
        <v>0.25</v>
      </c>
      <c r="AA148" s="71" t="str">
        <f>IF(R148="","",IF(N(F148)&gt;0,ROUND(F148*N(E148),2),0))</f>
        <v/>
      </c>
      <c r="AB148" s="71">
        <f>IF(T148="",0,T148*N(E148))</f>
        <v>0.0</v>
      </c>
      <c r="AC148" s="71">
        <f>IF(T148="",0,R148*N(E148))</f>
        <v>0.0</v>
      </c>
      <c r="AD148" s="71">
        <f>IF(R148="",0,L148*N(E148))</f>
        <v>0.0</v>
      </c>
      <c r="AE148" s="71">
        <f>IF(R148="",0,M148*N(E148))</f>
        <v>0.0</v>
      </c>
      <c r="AF148" s="71">
        <f>IF(R148="",0,N148*N(E148))</f>
        <v>0.0</v>
      </c>
      <c r="AG148" s="71">
        <f>IF(R148="",0,O148*N(E148))</f>
        <v>0.0</v>
      </c>
      <c r="AH148" s="71">
        <f>IF(R148="",0,(N(G148)+N(H148)+N(I148)/D148)*N(E148))</f>
        <v>0.0</v>
      </c>
      <c r="AI148" s="71">
        <f>IF(R148="",0,P148*N(E148))</f>
        <v>0.0</v>
      </c>
      <c r="AJ148" s="71" t="str">
        <f>IF(AA148="","",COUNTIF(prod_ca,"&gt;"&amp;AA148)+COUNTIF(AA$6:AA148,AA148))</f>
        <v/>
      </c>
      <c r="AK148" s="71" t="str">
        <f>IF(OR(W148="Vendu à perte",W148="Sous la cible"),ROUND(U148,6),"")</f>
        <v/>
      </c>
      <c r="AL148" s="71" t="str">
        <f>IF(AK148="","",COUNTIF(prod_alk,"&lt;"&amp;AK148)+COUNTIF(AK$6:AK148,AK148))</f>
        <v/>
      </c>
    </row>
    <row r="149">
      <c r="A149" s="60" t="n"/>
      <c r="B149" s="60" t="n"/>
      <c r="C149" s="61" t="n"/>
      <c r="D149" s="62" t="n"/>
      <c r="E149" s="63" t="n"/>
      <c r="F149" s="64" t="n"/>
      <c r="G149" s="64" t="n"/>
      <c r="H149" s="64" t="n"/>
      <c r="I149" s="64" t="n"/>
      <c r="J149" s="65" t="n"/>
      <c r="K149" s="65" t="n"/>
      <c r="L149" s="66" t="str">
        <f>IF(X149="OK",SUMIF(bom_prod,A149,bom_cost),"")</f>
        <v/>
      </c>
      <c r="M149" s="66" t="str">
        <f>IF(X149="OK",SUMIF(gam_prod,A149,gam_mo),"")</f>
        <v/>
      </c>
      <c r="N149" s="66" t="str">
        <f>IF(X149="OK",SUMIF(gam_prod,A149,gam_mac),"")</f>
        <v/>
      </c>
      <c r="O149" s="66" t="str">
        <f>IF(X149="OK",SUMIF(gam_prod,A149,gam_setup)/D149,"")</f>
        <v/>
      </c>
      <c r="P149" s="66" t="str">
        <f>IF(X149="OK",(L149+M149+N149+O149+N(G149))*Y149,"")</f>
        <v/>
      </c>
      <c r="Q149" s="66" t="str">
        <f>IF(X149="OK",L149+M149+N149+O149+N(G149)+P149,"")</f>
        <v/>
      </c>
      <c r="R149" s="67" t="str">
        <f>IF(X149="OK",ROUND(Q149+N(H149)+N(I149)/D149,4),"")</f>
        <v/>
      </c>
      <c r="S149" s="66" t="str">
        <f>IF(X149="OK",ROUND(R149*(1+Z149),2),"")</f>
        <v/>
      </c>
      <c r="T149" s="66" t="str">
        <f>IF(AND(X149="OK",N(F149)&gt;0),F149-R149,"")</f>
        <v/>
      </c>
      <c r="U149" s="68" t="str">
        <f>IF(T149="","",IF(R149&lt;=0,"",T149/R149))</f>
        <v/>
      </c>
      <c r="V149" s="68" t="str">
        <f>IF(T149="","",T149/F149)</f>
        <v/>
      </c>
      <c r="W149" s="69" t="str">
        <f>IF(A149="","",IF(X149&lt;&gt;"OK","À corriger",IF(N(F149)&lt;=0,"Prix à saisir",IF(F149&lt;R149,"Vendu à perte",IF(F149&lt;S149,"Sous la cible","OK")))))</f>
        <v/>
      </c>
      <c r="X149" s="69" t="str">
        <f>IF(AND(A149="",COUNTA(B149:K149)=0),"",IF(A149="","Référence manquante",IF(COUNTIF($A$6:$A$305,A149)&gt;1,"Référence en double",IF(OR(NOT(ISNUMBER(D149)),N(D149)&lt;=0),"Taille de lot invalide",IF(AND(E149&lt;&gt;"",OR(NOT(ISNUMBER(E149)),N(E149)&lt;0)),"Volume annuel invalide",IF(AND(F149&lt;&gt;"",OR(NOT(ISNUMBER(F149)),N(F149)&lt;0)),"Prix de vente invalide",IF(OR(AND(G149&lt;&gt;"",OR(NOT(ISNUMBER(G149)),N(G149)&lt;0)),AND(H149&lt;&gt;"",OR(NOT(ISNUMBER(H149)),N(H149)&lt;0)),AND(I149&lt;&gt;"",OR(NOT(ISNUMBER(I149)),N(I149)&lt;0))),"Montant invalide",IF(OR(AND(J149&lt;&gt;"",OR(NOT(ISNUMBER(J149)),N(J149)&lt;0)),AND(K149&lt;&gt;"",OR(NOT(ISNUMBER(K149)),N(K149)&lt;0))),"Pourcentage invalide",IF(COUNTIF(bom_prod,A149)+COUNTIF(gam_prod,A149)=0,"Ni nomenclature ni gamme",IF(COUNTIFS(bom_prod,A149,bom_check,"&lt;&gt;OK")&gt;0,"Nomenclature à corriger",IF(COUNTIFS(gam_prod,A149,gam_check,"&lt;&gt;OK")&gt;0,"Gamme à corriger","OK")))))))))))</f>
        <v/>
      </c>
      <c r="Y149" s="70">
        <f>IF(J149="",N(p_fg),N(J149))</f>
        <v>0.15</v>
      </c>
      <c r="Z149" s="70">
        <f>IF(K149="",N(p_target),N(K149))</f>
        <v>0.25</v>
      </c>
      <c r="AA149" s="71" t="str">
        <f>IF(R149="","",IF(N(F149)&gt;0,ROUND(F149*N(E149),2),0))</f>
        <v/>
      </c>
      <c r="AB149" s="71">
        <f>IF(T149="",0,T149*N(E149))</f>
        <v>0.0</v>
      </c>
      <c r="AC149" s="71">
        <f>IF(T149="",0,R149*N(E149))</f>
        <v>0.0</v>
      </c>
      <c r="AD149" s="71">
        <f>IF(R149="",0,L149*N(E149))</f>
        <v>0.0</v>
      </c>
      <c r="AE149" s="71">
        <f>IF(R149="",0,M149*N(E149))</f>
        <v>0.0</v>
      </c>
      <c r="AF149" s="71">
        <f>IF(R149="",0,N149*N(E149))</f>
        <v>0.0</v>
      </c>
      <c r="AG149" s="71">
        <f>IF(R149="",0,O149*N(E149))</f>
        <v>0.0</v>
      </c>
      <c r="AH149" s="71">
        <f>IF(R149="",0,(N(G149)+N(H149)+N(I149)/D149)*N(E149))</f>
        <v>0.0</v>
      </c>
      <c r="AI149" s="71">
        <f>IF(R149="",0,P149*N(E149))</f>
        <v>0.0</v>
      </c>
      <c r="AJ149" s="71" t="str">
        <f>IF(AA149="","",COUNTIF(prod_ca,"&gt;"&amp;AA149)+COUNTIF(AA$6:AA149,AA149))</f>
        <v/>
      </c>
      <c r="AK149" s="71" t="str">
        <f>IF(OR(W149="Vendu à perte",W149="Sous la cible"),ROUND(U149,6),"")</f>
        <v/>
      </c>
      <c r="AL149" s="71" t="str">
        <f>IF(AK149="","",COUNTIF(prod_alk,"&lt;"&amp;AK149)+COUNTIF(AK$6:AK149,AK149))</f>
        <v/>
      </c>
    </row>
    <row r="150">
      <c r="A150" s="60" t="n"/>
      <c r="B150" s="60" t="n"/>
      <c r="C150" s="61" t="n"/>
      <c r="D150" s="62" t="n"/>
      <c r="E150" s="63" t="n"/>
      <c r="F150" s="64" t="n"/>
      <c r="G150" s="64" t="n"/>
      <c r="H150" s="64" t="n"/>
      <c r="I150" s="64" t="n"/>
      <c r="J150" s="65" t="n"/>
      <c r="K150" s="65" t="n"/>
      <c r="L150" s="66" t="str">
        <f>IF(X150="OK",SUMIF(bom_prod,A150,bom_cost),"")</f>
        <v/>
      </c>
      <c r="M150" s="66" t="str">
        <f>IF(X150="OK",SUMIF(gam_prod,A150,gam_mo),"")</f>
        <v/>
      </c>
      <c r="N150" s="66" t="str">
        <f>IF(X150="OK",SUMIF(gam_prod,A150,gam_mac),"")</f>
        <v/>
      </c>
      <c r="O150" s="66" t="str">
        <f>IF(X150="OK",SUMIF(gam_prod,A150,gam_setup)/D150,"")</f>
        <v/>
      </c>
      <c r="P150" s="66" t="str">
        <f>IF(X150="OK",(L150+M150+N150+O150+N(G150))*Y150,"")</f>
        <v/>
      </c>
      <c r="Q150" s="66" t="str">
        <f>IF(X150="OK",L150+M150+N150+O150+N(G150)+P150,"")</f>
        <v/>
      </c>
      <c r="R150" s="67" t="str">
        <f>IF(X150="OK",ROUND(Q150+N(H150)+N(I150)/D150,4),"")</f>
        <v/>
      </c>
      <c r="S150" s="66" t="str">
        <f>IF(X150="OK",ROUND(R150*(1+Z150),2),"")</f>
        <v/>
      </c>
      <c r="T150" s="66" t="str">
        <f>IF(AND(X150="OK",N(F150)&gt;0),F150-R150,"")</f>
        <v/>
      </c>
      <c r="U150" s="68" t="str">
        <f>IF(T150="","",IF(R150&lt;=0,"",T150/R150))</f>
        <v/>
      </c>
      <c r="V150" s="68" t="str">
        <f>IF(T150="","",T150/F150)</f>
        <v/>
      </c>
      <c r="W150" s="69" t="str">
        <f>IF(A150="","",IF(X150&lt;&gt;"OK","À corriger",IF(N(F150)&lt;=0,"Prix à saisir",IF(F150&lt;R150,"Vendu à perte",IF(F150&lt;S150,"Sous la cible","OK")))))</f>
        <v/>
      </c>
      <c r="X150" s="69" t="str">
        <f>IF(AND(A150="",COUNTA(B150:K150)=0),"",IF(A150="","Référence manquante",IF(COUNTIF($A$6:$A$305,A150)&gt;1,"Référence en double",IF(OR(NOT(ISNUMBER(D150)),N(D150)&lt;=0),"Taille de lot invalide",IF(AND(E150&lt;&gt;"",OR(NOT(ISNUMBER(E150)),N(E150)&lt;0)),"Volume annuel invalide",IF(AND(F150&lt;&gt;"",OR(NOT(ISNUMBER(F150)),N(F150)&lt;0)),"Prix de vente invalide",IF(OR(AND(G150&lt;&gt;"",OR(NOT(ISNUMBER(G150)),N(G150)&lt;0)),AND(H150&lt;&gt;"",OR(NOT(ISNUMBER(H150)),N(H150)&lt;0)),AND(I150&lt;&gt;"",OR(NOT(ISNUMBER(I150)),N(I150)&lt;0))),"Montant invalide",IF(OR(AND(J150&lt;&gt;"",OR(NOT(ISNUMBER(J150)),N(J150)&lt;0)),AND(K150&lt;&gt;"",OR(NOT(ISNUMBER(K150)),N(K150)&lt;0))),"Pourcentage invalide",IF(COUNTIF(bom_prod,A150)+COUNTIF(gam_prod,A150)=0,"Ni nomenclature ni gamme",IF(COUNTIFS(bom_prod,A150,bom_check,"&lt;&gt;OK")&gt;0,"Nomenclature à corriger",IF(COUNTIFS(gam_prod,A150,gam_check,"&lt;&gt;OK")&gt;0,"Gamme à corriger","OK")))))))))))</f>
        <v/>
      </c>
      <c r="Y150" s="70">
        <f>IF(J150="",N(p_fg),N(J150))</f>
        <v>0.15</v>
      </c>
      <c r="Z150" s="70">
        <f>IF(K150="",N(p_target),N(K150))</f>
        <v>0.25</v>
      </c>
      <c r="AA150" s="71" t="str">
        <f>IF(R150="","",IF(N(F150)&gt;0,ROUND(F150*N(E150),2),0))</f>
        <v/>
      </c>
      <c r="AB150" s="71">
        <f>IF(T150="",0,T150*N(E150))</f>
        <v>0.0</v>
      </c>
      <c r="AC150" s="71">
        <f>IF(T150="",0,R150*N(E150))</f>
        <v>0.0</v>
      </c>
      <c r="AD150" s="71">
        <f>IF(R150="",0,L150*N(E150))</f>
        <v>0.0</v>
      </c>
      <c r="AE150" s="71">
        <f>IF(R150="",0,M150*N(E150))</f>
        <v>0.0</v>
      </c>
      <c r="AF150" s="71">
        <f>IF(R150="",0,N150*N(E150))</f>
        <v>0.0</v>
      </c>
      <c r="AG150" s="71">
        <f>IF(R150="",0,O150*N(E150))</f>
        <v>0.0</v>
      </c>
      <c r="AH150" s="71">
        <f>IF(R150="",0,(N(G150)+N(H150)+N(I150)/D150)*N(E150))</f>
        <v>0.0</v>
      </c>
      <c r="AI150" s="71">
        <f>IF(R150="",0,P150*N(E150))</f>
        <v>0.0</v>
      </c>
      <c r="AJ150" s="71" t="str">
        <f>IF(AA150="","",COUNTIF(prod_ca,"&gt;"&amp;AA150)+COUNTIF(AA$6:AA150,AA150))</f>
        <v/>
      </c>
      <c r="AK150" s="71" t="str">
        <f>IF(OR(W150="Vendu à perte",W150="Sous la cible"),ROUND(U150,6),"")</f>
        <v/>
      </c>
      <c r="AL150" s="71" t="str">
        <f>IF(AK150="","",COUNTIF(prod_alk,"&lt;"&amp;AK150)+COUNTIF(AK$6:AK150,AK150))</f>
        <v/>
      </c>
    </row>
    <row r="151">
      <c r="A151" s="60" t="n"/>
      <c r="B151" s="60" t="n"/>
      <c r="C151" s="61" t="n"/>
      <c r="D151" s="62" t="n"/>
      <c r="E151" s="63" t="n"/>
      <c r="F151" s="64" t="n"/>
      <c r="G151" s="64" t="n"/>
      <c r="H151" s="64" t="n"/>
      <c r="I151" s="64" t="n"/>
      <c r="J151" s="65" t="n"/>
      <c r="K151" s="65" t="n"/>
      <c r="L151" s="66" t="str">
        <f>IF(X151="OK",SUMIF(bom_prod,A151,bom_cost),"")</f>
        <v/>
      </c>
      <c r="M151" s="66" t="str">
        <f>IF(X151="OK",SUMIF(gam_prod,A151,gam_mo),"")</f>
        <v/>
      </c>
      <c r="N151" s="66" t="str">
        <f>IF(X151="OK",SUMIF(gam_prod,A151,gam_mac),"")</f>
        <v/>
      </c>
      <c r="O151" s="66" t="str">
        <f>IF(X151="OK",SUMIF(gam_prod,A151,gam_setup)/D151,"")</f>
        <v/>
      </c>
      <c r="P151" s="66" t="str">
        <f>IF(X151="OK",(L151+M151+N151+O151+N(G151))*Y151,"")</f>
        <v/>
      </c>
      <c r="Q151" s="66" t="str">
        <f>IF(X151="OK",L151+M151+N151+O151+N(G151)+P151,"")</f>
        <v/>
      </c>
      <c r="R151" s="67" t="str">
        <f>IF(X151="OK",ROUND(Q151+N(H151)+N(I151)/D151,4),"")</f>
        <v/>
      </c>
      <c r="S151" s="66" t="str">
        <f>IF(X151="OK",ROUND(R151*(1+Z151),2),"")</f>
        <v/>
      </c>
      <c r="T151" s="66" t="str">
        <f>IF(AND(X151="OK",N(F151)&gt;0),F151-R151,"")</f>
        <v/>
      </c>
      <c r="U151" s="68" t="str">
        <f>IF(T151="","",IF(R151&lt;=0,"",T151/R151))</f>
        <v/>
      </c>
      <c r="V151" s="68" t="str">
        <f>IF(T151="","",T151/F151)</f>
        <v/>
      </c>
      <c r="W151" s="69" t="str">
        <f>IF(A151="","",IF(X151&lt;&gt;"OK","À corriger",IF(N(F151)&lt;=0,"Prix à saisir",IF(F151&lt;R151,"Vendu à perte",IF(F151&lt;S151,"Sous la cible","OK")))))</f>
        <v/>
      </c>
      <c r="X151" s="69" t="str">
        <f>IF(AND(A151="",COUNTA(B151:K151)=0),"",IF(A151="","Référence manquante",IF(COUNTIF($A$6:$A$305,A151)&gt;1,"Référence en double",IF(OR(NOT(ISNUMBER(D151)),N(D151)&lt;=0),"Taille de lot invalide",IF(AND(E151&lt;&gt;"",OR(NOT(ISNUMBER(E151)),N(E151)&lt;0)),"Volume annuel invalide",IF(AND(F151&lt;&gt;"",OR(NOT(ISNUMBER(F151)),N(F151)&lt;0)),"Prix de vente invalide",IF(OR(AND(G151&lt;&gt;"",OR(NOT(ISNUMBER(G151)),N(G151)&lt;0)),AND(H151&lt;&gt;"",OR(NOT(ISNUMBER(H151)),N(H151)&lt;0)),AND(I151&lt;&gt;"",OR(NOT(ISNUMBER(I151)),N(I151)&lt;0))),"Montant invalide",IF(OR(AND(J151&lt;&gt;"",OR(NOT(ISNUMBER(J151)),N(J151)&lt;0)),AND(K151&lt;&gt;"",OR(NOT(ISNUMBER(K151)),N(K151)&lt;0))),"Pourcentage invalide",IF(COUNTIF(bom_prod,A151)+COUNTIF(gam_prod,A151)=0,"Ni nomenclature ni gamme",IF(COUNTIFS(bom_prod,A151,bom_check,"&lt;&gt;OK")&gt;0,"Nomenclature à corriger",IF(COUNTIFS(gam_prod,A151,gam_check,"&lt;&gt;OK")&gt;0,"Gamme à corriger","OK")))))))))))</f>
        <v/>
      </c>
      <c r="Y151" s="70">
        <f>IF(J151="",N(p_fg),N(J151))</f>
        <v>0.15</v>
      </c>
      <c r="Z151" s="70">
        <f>IF(K151="",N(p_target),N(K151))</f>
        <v>0.25</v>
      </c>
      <c r="AA151" s="71" t="str">
        <f>IF(R151="","",IF(N(F151)&gt;0,ROUND(F151*N(E151),2),0))</f>
        <v/>
      </c>
      <c r="AB151" s="71">
        <f>IF(T151="",0,T151*N(E151))</f>
        <v>0.0</v>
      </c>
      <c r="AC151" s="71">
        <f>IF(T151="",0,R151*N(E151))</f>
        <v>0.0</v>
      </c>
      <c r="AD151" s="71">
        <f>IF(R151="",0,L151*N(E151))</f>
        <v>0.0</v>
      </c>
      <c r="AE151" s="71">
        <f>IF(R151="",0,M151*N(E151))</f>
        <v>0.0</v>
      </c>
      <c r="AF151" s="71">
        <f>IF(R151="",0,N151*N(E151))</f>
        <v>0.0</v>
      </c>
      <c r="AG151" s="71">
        <f>IF(R151="",0,O151*N(E151))</f>
        <v>0.0</v>
      </c>
      <c r="AH151" s="71">
        <f>IF(R151="",0,(N(G151)+N(H151)+N(I151)/D151)*N(E151))</f>
        <v>0.0</v>
      </c>
      <c r="AI151" s="71">
        <f>IF(R151="",0,P151*N(E151))</f>
        <v>0.0</v>
      </c>
      <c r="AJ151" s="71" t="str">
        <f>IF(AA151="","",COUNTIF(prod_ca,"&gt;"&amp;AA151)+COUNTIF(AA$6:AA151,AA151))</f>
        <v/>
      </c>
      <c r="AK151" s="71" t="str">
        <f>IF(OR(W151="Vendu à perte",W151="Sous la cible"),ROUND(U151,6),"")</f>
        <v/>
      </c>
      <c r="AL151" s="71" t="str">
        <f>IF(AK151="","",COUNTIF(prod_alk,"&lt;"&amp;AK151)+COUNTIF(AK$6:AK151,AK151))</f>
        <v/>
      </c>
    </row>
    <row r="152">
      <c r="A152" s="60" t="n"/>
      <c r="B152" s="60" t="n"/>
      <c r="C152" s="61" t="n"/>
      <c r="D152" s="62" t="n"/>
      <c r="E152" s="63" t="n"/>
      <c r="F152" s="64" t="n"/>
      <c r="G152" s="64" t="n"/>
      <c r="H152" s="64" t="n"/>
      <c r="I152" s="64" t="n"/>
      <c r="J152" s="65" t="n"/>
      <c r="K152" s="65" t="n"/>
      <c r="L152" s="66" t="str">
        <f>IF(X152="OK",SUMIF(bom_prod,A152,bom_cost),"")</f>
        <v/>
      </c>
      <c r="M152" s="66" t="str">
        <f>IF(X152="OK",SUMIF(gam_prod,A152,gam_mo),"")</f>
        <v/>
      </c>
      <c r="N152" s="66" t="str">
        <f>IF(X152="OK",SUMIF(gam_prod,A152,gam_mac),"")</f>
        <v/>
      </c>
      <c r="O152" s="66" t="str">
        <f>IF(X152="OK",SUMIF(gam_prod,A152,gam_setup)/D152,"")</f>
        <v/>
      </c>
      <c r="P152" s="66" t="str">
        <f>IF(X152="OK",(L152+M152+N152+O152+N(G152))*Y152,"")</f>
        <v/>
      </c>
      <c r="Q152" s="66" t="str">
        <f>IF(X152="OK",L152+M152+N152+O152+N(G152)+P152,"")</f>
        <v/>
      </c>
      <c r="R152" s="67" t="str">
        <f>IF(X152="OK",ROUND(Q152+N(H152)+N(I152)/D152,4),"")</f>
        <v/>
      </c>
      <c r="S152" s="66" t="str">
        <f>IF(X152="OK",ROUND(R152*(1+Z152),2),"")</f>
        <v/>
      </c>
      <c r="T152" s="66" t="str">
        <f>IF(AND(X152="OK",N(F152)&gt;0),F152-R152,"")</f>
        <v/>
      </c>
      <c r="U152" s="68" t="str">
        <f>IF(T152="","",IF(R152&lt;=0,"",T152/R152))</f>
        <v/>
      </c>
      <c r="V152" s="68" t="str">
        <f>IF(T152="","",T152/F152)</f>
        <v/>
      </c>
      <c r="W152" s="69" t="str">
        <f>IF(A152="","",IF(X152&lt;&gt;"OK","À corriger",IF(N(F152)&lt;=0,"Prix à saisir",IF(F152&lt;R152,"Vendu à perte",IF(F152&lt;S152,"Sous la cible","OK")))))</f>
        <v/>
      </c>
      <c r="X152" s="69" t="str">
        <f>IF(AND(A152="",COUNTA(B152:K152)=0),"",IF(A152="","Référence manquante",IF(COUNTIF($A$6:$A$305,A152)&gt;1,"Référence en double",IF(OR(NOT(ISNUMBER(D152)),N(D152)&lt;=0),"Taille de lot invalide",IF(AND(E152&lt;&gt;"",OR(NOT(ISNUMBER(E152)),N(E152)&lt;0)),"Volume annuel invalide",IF(AND(F152&lt;&gt;"",OR(NOT(ISNUMBER(F152)),N(F152)&lt;0)),"Prix de vente invalide",IF(OR(AND(G152&lt;&gt;"",OR(NOT(ISNUMBER(G152)),N(G152)&lt;0)),AND(H152&lt;&gt;"",OR(NOT(ISNUMBER(H152)),N(H152)&lt;0)),AND(I152&lt;&gt;"",OR(NOT(ISNUMBER(I152)),N(I152)&lt;0))),"Montant invalide",IF(OR(AND(J152&lt;&gt;"",OR(NOT(ISNUMBER(J152)),N(J152)&lt;0)),AND(K152&lt;&gt;"",OR(NOT(ISNUMBER(K152)),N(K152)&lt;0))),"Pourcentage invalide",IF(COUNTIF(bom_prod,A152)+COUNTIF(gam_prod,A152)=0,"Ni nomenclature ni gamme",IF(COUNTIFS(bom_prod,A152,bom_check,"&lt;&gt;OK")&gt;0,"Nomenclature à corriger",IF(COUNTIFS(gam_prod,A152,gam_check,"&lt;&gt;OK")&gt;0,"Gamme à corriger","OK")))))))))))</f>
        <v/>
      </c>
      <c r="Y152" s="70">
        <f>IF(J152="",N(p_fg),N(J152))</f>
        <v>0.15</v>
      </c>
      <c r="Z152" s="70">
        <f>IF(K152="",N(p_target),N(K152))</f>
        <v>0.25</v>
      </c>
      <c r="AA152" s="71" t="str">
        <f>IF(R152="","",IF(N(F152)&gt;0,ROUND(F152*N(E152),2),0))</f>
        <v/>
      </c>
      <c r="AB152" s="71">
        <f>IF(T152="",0,T152*N(E152))</f>
        <v>0.0</v>
      </c>
      <c r="AC152" s="71">
        <f>IF(T152="",0,R152*N(E152))</f>
        <v>0.0</v>
      </c>
      <c r="AD152" s="71">
        <f>IF(R152="",0,L152*N(E152))</f>
        <v>0.0</v>
      </c>
      <c r="AE152" s="71">
        <f>IF(R152="",0,M152*N(E152))</f>
        <v>0.0</v>
      </c>
      <c r="AF152" s="71">
        <f>IF(R152="",0,N152*N(E152))</f>
        <v>0.0</v>
      </c>
      <c r="AG152" s="71">
        <f>IF(R152="",0,O152*N(E152))</f>
        <v>0.0</v>
      </c>
      <c r="AH152" s="71">
        <f>IF(R152="",0,(N(G152)+N(H152)+N(I152)/D152)*N(E152))</f>
        <v>0.0</v>
      </c>
      <c r="AI152" s="71">
        <f>IF(R152="",0,P152*N(E152))</f>
        <v>0.0</v>
      </c>
      <c r="AJ152" s="71" t="str">
        <f>IF(AA152="","",COUNTIF(prod_ca,"&gt;"&amp;AA152)+COUNTIF(AA$6:AA152,AA152))</f>
        <v/>
      </c>
      <c r="AK152" s="71" t="str">
        <f>IF(OR(W152="Vendu à perte",W152="Sous la cible"),ROUND(U152,6),"")</f>
        <v/>
      </c>
      <c r="AL152" s="71" t="str">
        <f>IF(AK152="","",COUNTIF(prod_alk,"&lt;"&amp;AK152)+COUNTIF(AK$6:AK152,AK152))</f>
        <v/>
      </c>
    </row>
    <row r="153">
      <c r="A153" s="60" t="n"/>
      <c r="B153" s="60" t="n"/>
      <c r="C153" s="61" t="n"/>
      <c r="D153" s="62" t="n"/>
      <c r="E153" s="63" t="n"/>
      <c r="F153" s="64" t="n"/>
      <c r="G153" s="64" t="n"/>
      <c r="H153" s="64" t="n"/>
      <c r="I153" s="64" t="n"/>
      <c r="J153" s="65" t="n"/>
      <c r="K153" s="65" t="n"/>
      <c r="L153" s="66" t="str">
        <f>IF(X153="OK",SUMIF(bom_prod,A153,bom_cost),"")</f>
        <v/>
      </c>
      <c r="M153" s="66" t="str">
        <f>IF(X153="OK",SUMIF(gam_prod,A153,gam_mo),"")</f>
        <v/>
      </c>
      <c r="N153" s="66" t="str">
        <f>IF(X153="OK",SUMIF(gam_prod,A153,gam_mac),"")</f>
        <v/>
      </c>
      <c r="O153" s="66" t="str">
        <f>IF(X153="OK",SUMIF(gam_prod,A153,gam_setup)/D153,"")</f>
        <v/>
      </c>
      <c r="P153" s="66" t="str">
        <f>IF(X153="OK",(L153+M153+N153+O153+N(G153))*Y153,"")</f>
        <v/>
      </c>
      <c r="Q153" s="66" t="str">
        <f>IF(X153="OK",L153+M153+N153+O153+N(G153)+P153,"")</f>
        <v/>
      </c>
      <c r="R153" s="67" t="str">
        <f>IF(X153="OK",ROUND(Q153+N(H153)+N(I153)/D153,4),"")</f>
        <v/>
      </c>
      <c r="S153" s="66" t="str">
        <f>IF(X153="OK",ROUND(R153*(1+Z153),2),"")</f>
        <v/>
      </c>
      <c r="T153" s="66" t="str">
        <f>IF(AND(X153="OK",N(F153)&gt;0),F153-R153,"")</f>
        <v/>
      </c>
      <c r="U153" s="68" t="str">
        <f>IF(T153="","",IF(R153&lt;=0,"",T153/R153))</f>
        <v/>
      </c>
      <c r="V153" s="68" t="str">
        <f>IF(T153="","",T153/F153)</f>
        <v/>
      </c>
      <c r="W153" s="69" t="str">
        <f>IF(A153="","",IF(X153&lt;&gt;"OK","À corriger",IF(N(F153)&lt;=0,"Prix à saisir",IF(F153&lt;R153,"Vendu à perte",IF(F153&lt;S153,"Sous la cible","OK")))))</f>
        <v/>
      </c>
      <c r="X153" s="69" t="str">
        <f>IF(AND(A153="",COUNTA(B153:K153)=0),"",IF(A153="","Référence manquante",IF(COUNTIF($A$6:$A$305,A153)&gt;1,"Référence en double",IF(OR(NOT(ISNUMBER(D153)),N(D153)&lt;=0),"Taille de lot invalide",IF(AND(E153&lt;&gt;"",OR(NOT(ISNUMBER(E153)),N(E153)&lt;0)),"Volume annuel invalide",IF(AND(F153&lt;&gt;"",OR(NOT(ISNUMBER(F153)),N(F153)&lt;0)),"Prix de vente invalide",IF(OR(AND(G153&lt;&gt;"",OR(NOT(ISNUMBER(G153)),N(G153)&lt;0)),AND(H153&lt;&gt;"",OR(NOT(ISNUMBER(H153)),N(H153)&lt;0)),AND(I153&lt;&gt;"",OR(NOT(ISNUMBER(I153)),N(I153)&lt;0))),"Montant invalide",IF(OR(AND(J153&lt;&gt;"",OR(NOT(ISNUMBER(J153)),N(J153)&lt;0)),AND(K153&lt;&gt;"",OR(NOT(ISNUMBER(K153)),N(K153)&lt;0))),"Pourcentage invalide",IF(COUNTIF(bom_prod,A153)+COUNTIF(gam_prod,A153)=0,"Ni nomenclature ni gamme",IF(COUNTIFS(bom_prod,A153,bom_check,"&lt;&gt;OK")&gt;0,"Nomenclature à corriger",IF(COUNTIFS(gam_prod,A153,gam_check,"&lt;&gt;OK")&gt;0,"Gamme à corriger","OK")))))))))))</f>
        <v/>
      </c>
      <c r="Y153" s="70">
        <f>IF(J153="",N(p_fg),N(J153))</f>
        <v>0.15</v>
      </c>
      <c r="Z153" s="70">
        <f>IF(K153="",N(p_target),N(K153))</f>
        <v>0.25</v>
      </c>
      <c r="AA153" s="71" t="str">
        <f>IF(R153="","",IF(N(F153)&gt;0,ROUND(F153*N(E153),2),0))</f>
        <v/>
      </c>
      <c r="AB153" s="71">
        <f>IF(T153="",0,T153*N(E153))</f>
        <v>0.0</v>
      </c>
      <c r="AC153" s="71">
        <f>IF(T153="",0,R153*N(E153))</f>
        <v>0.0</v>
      </c>
      <c r="AD153" s="71">
        <f>IF(R153="",0,L153*N(E153))</f>
        <v>0.0</v>
      </c>
      <c r="AE153" s="71">
        <f>IF(R153="",0,M153*N(E153))</f>
        <v>0.0</v>
      </c>
      <c r="AF153" s="71">
        <f>IF(R153="",0,N153*N(E153))</f>
        <v>0.0</v>
      </c>
      <c r="AG153" s="71">
        <f>IF(R153="",0,O153*N(E153))</f>
        <v>0.0</v>
      </c>
      <c r="AH153" s="71">
        <f>IF(R153="",0,(N(G153)+N(H153)+N(I153)/D153)*N(E153))</f>
        <v>0.0</v>
      </c>
      <c r="AI153" s="71">
        <f>IF(R153="",0,P153*N(E153))</f>
        <v>0.0</v>
      </c>
      <c r="AJ153" s="71" t="str">
        <f>IF(AA153="","",COUNTIF(prod_ca,"&gt;"&amp;AA153)+COUNTIF(AA$6:AA153,AA153))</f>
        <v/>
      </c>
      <c r="AK153" s="71" t="str">
        <f>IF(OR(W153="Vendu à perte",W153="Sous la cible"),ROUND(U153,6),"")</f>
        <v/>
      </c>
      <c r="AL153" s="71" t="str">
        <f>IF(AK153="","",COUNTIF(prod_alk,"&lt;"&amp;AK153)+COUNTIF(AK$6:AK153,AK153))</f>
        <v/>
      </c>
    </row>
    <row r="154">
      <c r="A154" s="60" t="n"/>
      <c r="B154" s="60" t="n"/>
      <c r="C154" s="61" t="n"/>
      <c r="D154" s="62" t="n"/>
      <c r="E154" s="63" t="n"/>
      <c r="F154" s="64" t="n"/>
      <c r="G154" s="64" t="n"/>
      <c r="H154" s="64" t="n"/>
      <c r="I154" s="64" t="n"/>
      <c r="J154" s="65" t="n"/>
      <c r="K154" s="65" t="n"/>
      <c r="L154" s="66" t="str">
        <f>IF(X154="OK",SUMIF(bom_prod,A154,bom_cost),"")</f>
        <v/>
      </c>
      <c r="M154" s="66" t="str">
        <f>IF(X154="OK",SUMIF(gam_prod,A154,gam_mo),"")</f>
        <v/>
      </c>
      <c r="N154" s="66" t="str">
        <f>IF(X154="OK",SUMIF(gam_prod,A154,gam_mac),"")</f>
        <v/>
      </c>
      <c r="O154" s="66" t="str">
        <f>IF(X154="OK",SUMIF(gam_prod,A154,gam_setup)/D154,"")</f>
        <v/>
      </c>
      <c r="P154" s="66" t="str">
        <f>IF(X154="OK",(L154+M154+N154+O154+N(G154))*Y154,"")</f>
        <v/>
      </c>
      <c r="Q154" s="66" t="str">
        <f>IF(X154="OK",L154+M154+N154+O154+N(G154)+P154,"")</f>
        <v/>
      </c>
      <c r="R154" s="67" t="str">
        <f>IF(X154="OK",ROUND(Q154+N(H154)+N(I154)/D154,4),"")</f>
        <v/>
      </c>
      <c r="S154" s="66" t="str">
        <f>IF(X154="OK",ROUND(R154*(1+Z154),2),"")</f>
        <v/>
      </c>
      <c r="T154" s="66" t="str">
        <f>IF(AND(X154="OK",N(F154)&gt;0),F154-R154,"")</f>
        <v/>
      </c>
      <c r="U154" s="68" t="str">
        <f>IF(T154="","",IF(R154&lt;=0,"",T154/R154))</f>
        <v/>
      </c>
      <c r="V154" s="68" t="str">
        <f>IF(T154="","",T154/F154)</f>
        <v/>
      </c>
      <c r="W154" s="69" t="str">
        <f>IF(A154="","",IF(X154&lt;&gt;"OK","À corriger",IF(N(F154)&lt;=0,"Prix à saisir",IF(F154&lt;R154,"Vendu à perte",IF(F154&lt;S154,"Sous la cible","OK")))))</f>
        <v/>
      </c>
      <c r="X154" s="69" t="str">
        <f>IF(AND(A154="",COUNTA(B154:K154)=0),"",IF(A154="","Référence manquante",IF(COUNTIF($A$6:$A$305,A154)&gt;1,"Référence en double",IF(OR(NOT(ISNUMBER(D154)),N(D154)&lt;=0),"Taille de lot invalide",IF(AND(E154&lt;&gt;"",OR(NOT(ISNUMBER(E154)),N(E154)&lt;0)),"Volume annuel invalide",IF(AND(F154&lt;&gt;"",OR(NOT(ISNUMBER(F154)),N(F154)&lt;0)),"Prix de vente invalide",IF(OR(AND(G154&lt;&gt;"",OR(NOT(ISNUMBER(G154)),N(G154)&lt;0)),AND(H154&lt;&gt;"",OR(NOT(ISNUMBER(H154)),N(H154)&lt;0)),AND(I154&lt;&gt;"",OR(NOT(ISNUMBER(I154)),N(I154)&lt;0))),"Montant invalide",IF(OR(AND(J154&lt;&gt;"",OR(NOT(ISNUMBER(J154)),N(J154)&lt;0)),AND(K154&lt;&gt;"",OR(NOT(ISNUMBER(K154)),N(K154)&lt;0))),"Pourcentage invalide",IF(COUNTIF(bom_prod,A154)+COUNTIF(gam_prod,A154)=0,"Ni nomenclature ni gamme",IF(COUNTIFS(bom_prod,A154,bom_check,"&lt;&gt;OK")&gt;0,"Nomenclature à corriger",IF(COUNTIFS(gam_prod,A154,gam_check,"&lt;&gt;OK")&gt;0,"Gamme à corriger","OK")))))))))))</f>
        <v/>
      </c>
      <c r="Y154" s="70">
        <f>IF(J154="",N(p_fg),N(J154))</f>
        <v>0.15</v>
      </c>
      <c r="Z154" s="70">
        <f>IF(K154="",N(p_target),N(K154))</f>
        <v>0.25</v>
      </c>
      <c r="AA154" s="71" t="str">
        <f>IF(R154="","",IF(N(F154)&gt;0,ROUND(F154*N(E154),2),0))</f>
        <v/>
      </c>
      <c r="AB154" s="71">
        <f>IF(T154="",0,T154*N(E154))</f>
        <v>0.0</v>
      </c>
      <c r="AC154" s="71">
        <f>IF(T154="",0,R154*N(E154))</f>
        <v>0.0</v>
      </c>
      <c r="AD154" s="71">
        <f>IF(R154="",0,L154*N(E154))</f>
        <v>0.0</v>
      </c>
      <c r="AE154" s="71">
        <f>IF(R154="",0,M154*N(E154))</f>
        <v>0.0</v>
      </c>
      <c r="AF154" s="71">
        <f>IF(R154="",0,N154*N(E154))</f>
        <v>0.0</v>
      </c>
      <c r="AG154" s="71">
        <f>IF(R154="",0,O154*N(E154))</f>
        <v>0.0</v>
      </c>
      <c r="AH154" s="71">
        <f>IF(R154="",0,(N(G154)+N(H154)+N(I154)/D154)*N(E154))</f>
        <v>0.0</v>
      </c>
      <c r="AI154" s="71">
        <f>IF(R154="",0,P154*N(E154))</f>
        <v>0.0</v>
      </c>
      <c r="AJ154" s="71" t="str">
        <f>IF(AA154="","",COUNTIF(prod_ca,"&gt;"&amp;AA154)+COUNTIF(AA$6:AA154,AA154))</f>
        <v/>
      </c>
      <c r="AK154" s="71" t="str">
        <f>IF(OR(W154="Vendu à perte",W154="Sous la cible"),ROUND(U154,6),"")</f>
        <v/>
      </c>
      <c r="AL154" s="71" t="str">
        <f>IF(AK154="","",COUNTIF(prod_alk,"&lt;"&amp;AK154)+COUNTIF(AK$6:AK154,AK154))</f>
        <v/>
      </c>
    </row>
    <row r="155">
      <c r="A155" s="60" t="n"/>
      <c r="B155" s="60" t="n"/>
      <c r="C155" s="61" t="n"/>
      <c r="D155" s="62" t="n"/>
      <c r="E155" s="63" t="n"/>
      <c r="F155" s="64" t="n"/>
      <c r="G155" s="64" t="n"/>
      <c r="H155" s="64" t="n"/>
      <c r="I155" s="64" t="n"/>
      <c r="J155" s="65" t="n"/>
      <c r="K155" s="65" t="n"/>
      <c r="L155" s="66" t="str">
        <f>IF(X155="OK",SUMIF(bom_prod,A155,bom_cost),"")</f>
        <v/>
      </c>
      <c r="M155" s="66" t="str">
        <f>IF(X155="OK",SUMIF(gam_prod,A155,gam_mo),"")</f>
        <v/>
      </c>
      <c r="N155" s="66" t="str">
        <f>IF(X155="OK",SUMIF(gam_prod,A155,gam_mac),"")</f>
        <v/>
      </c>
      <c r="O155" s="66" t="str">
        <f>IF(X155="OK",SUMIF(gam_prod,A155,gam_setup)/D155,"")</f>
        <v/>
      </c>
      <c r="P155" s="66" t="str">
        <f>IF(X155="OK",(L155+M155+N155+O155+N(G155))*Y155,"")</f>
        <v/>
      </c>
      <c r="Q155" s="66" t="str">
        <f>IF(X155="OK",L155+M155+N155+O155+N(G155)+P155,"")</f>
        <v/>
      </c>
      <c r="R155" s="67" t="str">
        <f>IF(X155="OK",ROUND(Q155+N(H155)+N(I155)/D155,4),"")</f>
        <v/>
      </c>
      <c r="S155" s="66" t="str">
        <f>IF(X155="OK",ROUND(R155*(1+Z155),2),"")</f>
        <v/>
      </c>
      <c r="T155" s="66" t="str">
        <f>IF(AND(X155="OK",N(F155)&gt;0),F155-R155,"")</f>
        <v/>
      </c>
      <c r="U155" s="68" t="str">
        <f>IF(T155="","",IF(R155&lt;=0,"",T155/R155))</f>
        <v/>
      </c>
      <c r="V155" s="68" t="str">
        <f>IF(T155="","",T155/F155)</f>
        <v/>
      </c>
      <c r="W155" s="69" t="str">
        <f>IF(A155="","",IF(X155&lt;&gt;"OK","À corriger",IF(N(F155)&lt;=0,"Prix à saisir",IF(F155&lt;R155,"Vendu à perte",IF(F155&lt;S155,"Sous la cible","OK")))))</f>
        <v/>
      </c>
      <c r="X155" s="69" t="str">
        <f>IF(AND(A155="",COUNTA(B155:K155)=0),"",IF(A155="","Référence manquante",IF(COUNTIF($A$6:$A$305,A155)&gt;1,"Référence en double",IF(OR(NOT(ISNUMBER(D155)),N(D155)&lt;=0),"Taille de lot invalide",IF(AND(E155&lt;&gt;"",OR(NOT(ISNUMBER(E155)),N(E155)&lt;0)),"Volume annuel invalide",IF(AND(F155&lt;&gt;"",OR(NOT(ISNUMBER(F155)),N(F155)&lt;0)),"Prix de vente invalide",IF(OR(AND(G155&lt;&gt;"",OR(NOT(ISNUMBER(G155)),N(G155)&lt;0)),AND(H155&lt;&gt;"",OR(NOT(ISNUMBER(H155)),N(H155)&lt;0)),AND(I155&lt;&gt;"",OR(NOT(ISNUMBER(I155)),N(I155)&lt;0))),"Montant invalide",IF(OR(AND(J155&lt;&gt;"",OR(NOT(ISNUMBER(J155)),N(J155)&lt;0)),AND(K155&lt;&gt;"",OR(NOT(ISNUMBER(K155)),N(K155)&lt;0))),"Pourcentage invalide",IF(COUNTIF(bom_prod,A155)+COUNTIF(gam_prod,A155)=0,"Ni nomenclature ni gamme",IF(COUNTIFS(bom_prod,A155,bom_check,"&lt;&gt;OK")&gt;0,"Nomenclature à corriger",IF(COUNTIFS(gam_prod,A155,gam_check,"&lt;&gt;OK")&gt;0,"Gamme à corriger","OK")))))))))))</f>
        <v/>
      </c>
      <c r="Y155" s="70">
        <f>IF(J155="",N(p_fg),N(J155))</f>
        <v>0.15</v>
      </c>
      <c r="Z155" s="70">
        <f>IF(K155="",N(p_target),N(K155))</f>
        <v>0.25</v>
      </c>
      <c r="AA155" s="71" t="str">
        <f>IF(R155="","",IF(N(F155)&gt;0,ROUND(F155*N(E155),2),0))</f>
        <v/>
      </c>
      <c r="AB155" s="71">
        <f>IF(T155="",0,T155*N(E155))</f>
        <v>0.0</v>
      </c>
      <c r="AC155" s="71">
        <f>IF(T155="",0,R155*N(E155))</f>
        <v>0.0</v>
      </c>
      <c r="AD155" s="71">
        <f>IF(R155="",0,L155*N(E155))</f>
        <v>0.0</v>
      </c>
      <c r="AE155" s="71">
        <f>IF(R155="",0,M155*N(E155))</f>
        <v>0.0</v>
      </c>
      <c r="AF155" s="71">
        <f>IF(R155="",0,N155*N(E155))</f>
        <v>0.0</v>
      </c>
      <c r="AG155" s="71">
        <f>IF(R155="",0,O155*N(E155))</f>
        <v>0.0</v>
      </c>
      <c r="AH155" s="71">
        <f>IF(R155="",0,(N(G155)+N(H155)+N(I155)/D155)*N(E155))</f>
        <v>0.0</v>
      </c>
      <c r="AI155" s="71">
        <f>IF(R155="",0,P155*N(E155))</f>
        <v>0.0</v>
      </c>
      <c r="AJ155" s="71" t="str">
        <f>IF(AA155="","",COUNTIF(prod_ca,"&gt;"&amp;AA155)+COUNTIF(AA$6:AA155,AA155))</f>
        <v/>
      </c>
      <c r="AK155" s="71" t="str">
        <f>IF(OR(W155="Vendu à perte",W155="Sous la cible"),ROUND(U155,6),"")</f>
        <v/>
      </c>
      <c r="AL155" s="71" t="str">
        <f>IF(AK155="","",COUNTIF(prod_alk,"&lt;"&amp;AK155)+COUNTIF(AK$6:AK155,AK155))</f>
        <v/>
      </c>
    </row>
    <row r="156">
      <c r="A156" s="60" t="n"/>
      <c r="B156" s="60" t="n"/>
      <c r="C156" s="61" t="n"/>
      <c r="D156" s="62" t="n"/>
      <c r="E156" s="63" t="n"/>
      <c r="F156" s="64" t="n"/>
      <c r="G156" s="64" t="n"/>
      <c r="H156" s="64" t="n"/>
      <c r="I156" s="64" t="n"/>
      <c r="J156" s="65" t="n"/>
      <c r="K156" s="65" t="n"/>
      <c r="L156" s="66" t="str">
        <f>IF(X156="OK",SUMIF(bom_prod,A156,bom_cost),"")</f>
        <v/>
      </c>
      <c r="M156" s="66" t="str">
        <f>IF(X156="OK",SUMIF(gam_prod,A156,gam_mo),"")</f>
        <v/>
      </c>
      <c r="N156" s="66" t="str">
        <f>IF(X156="OK",SUMIF(gam_prod,A156,gam_mac),"")</f>
        <v/>
      </c>
      <c r="O156" s="66" t="str">
        <f>IF(X156="OK",SUMIF(gam_prod,A156,gam_setup)/D156,"")</f>
        <v/>
      </c>
      <c r="P156" s="66" t="str">
        <f>IF(X156="OK",(L156+M156+N156+O156+N(G156))*Y156,"")</f>
        <v/>
      </c>
      <c r="Q156" s="66" t="str">
        <f>IF(X156="OK",L156+M156+N156+O156+N(G156)+P156,"")</f>
        <v/>
      </c>
      <c r="R156" s="67" t="str">
        <f>IF(X156="OK",ROUND(Q156+N(H156)+N(I156)/D156,4),"")</f>
        <v/>
      </c>
      <c r="S156" s="66" t="str">
        <f>IF(X156="OK",ROUND(R156*(1+Z156),2),"")</f>
        <v/>
      </c>
      <c r="T156" s="66" t="str">
        <f>IF(AND(X156="OK",N(F156)&gt;0),F156-R156,"")</f>
        <v/>
      </c>
      <c r="U156" s="68" t="str">
        <f>IF(T156="","",IF(R156&lt;=0,"",T156/R156))</f>
        <v/>
      </c>
      <c r="V156" s="68" t="str">
        <f>IF(T156="","",T156/F156)</f>
        <v/>
      </c>
      <c r="W156" s="69" t="str">
        <f>IF(A156="","",IF(X156&lt;&gt;"OK","À corriger",IF(N(F156)&lt;=0,"Prix à saisir",IF(F156&lt;R156,"Vendu à perte",IF(F156&lt;S156,"Sous la cible","OK")))))</f>
        <v/>
      </c>
      <c r="X156" s="69" t="str">
        <f>IF(AND(A156="",COUNTA(B156:K156)=0),"",IF(A156="","Référence manquante",IF(COUNTIF($A$6:$A$305,A156)&gt;1,"Référence en double",IF(OR(NOT(ISNUMBER(D156)),N(D156)&lt;=0),"Taille de lot invalide",IF(AND(E156&lt;&gt;"",OR(NOT(ISNUMBER(E156)),N(E156)&lt;0)),"Volume annuel invalide",IF(AND(F156&lt;&gt;"",OR(NOT(ISNUMBER(F156)),N(F156)&lt;0)),"Prix de vente invalide",IF(OR(AND(G156&lt;&gt;"",OR(NOT(ISNUMBER(G156)),N(G156)&lt;0)),AND(H156&lt;&gt;"",OR(NOT(ISNUMBER(H156)),N(H156)&lt;0)),AND(I156&lt;&gt;"",OR(NOT(ISNUMBER(I156)),N(I156)&lt;0))),"Montant invalide",IF(OR(AND(J156&lt;&gt;"",OR(NOT(ISNUMBER(J156)),N(J156)&lt;0)),AND(K156&lt;&gt;"",OR(NOT(ISNUMBER(K156)),N(K156)&lt;0))),"Pourcentage invalide",IF(COUNTIF(bom_prod,A156)+COUNTIF(gam_prod,A156)=0,"Ni nomenclature ni gamme",IF(COUNTIFS(bom_prod,A156,bom_check,"&lt;&gt;OK")&gt;0,"Nomenclature à corriger",IF(COUNTIFS(gam_prod,A156,gam_check,"&lt;&gt;OK")&gt;0,"Gamme à corriger","OK")))))))))))</f>
        <v/>
      </c>
      <c r="Y156" s="70">
        <f>IF(J156="",N(p_fg),N(J156))</f>
        <v>0.15</v>
      </c>
      <c r="Z156" s="70">
        <f>IF(K156="",N(p_target),N(K156))</f>
        <v>0.25</v>
      </c>
      <c r="AA156" s="71" t="str">
        <f>IF(R156="","",IF(N(F156)&gt;0,ROUND(F156*N(E156),2),0))</f>
        <v/>
      </c>
      <c r="AB156" s="71">
        <f>IF(T156="",0,T156*N(E156))</f>
        <v>0.0</v>
      </c>
      <c r="AC156" s="71">
        <f>IF(T156="",0,R156*N(E156))</f>
        <v>0.0</v>
      </c>
      <c r="AD156" s="71">
        <f>IF(R156="",0,L156*N(E156))</f>
        <v>0.0</v>
      </c>
      <c r="AE156" s="71">
        <f>IF(R156="",0,M156*N(E156))</f>
        <v>0.0</v>
      </c>
      <c r="AF156" s="71">
        <f>IF(R156="",0,N156*N(E156))</f>
        <v>0.0</v>
      </c>
      <c r="AG156" s="71">
        <f>IF(R156="",0,O156*N(E156))</f>
        <v>0.0</v>
      </c>
      <c r="AH156" s="71">
        <f>IF(R156="",0,(N(G156)+N(H156)+N(I156)/D156)*N(E156))</f>
        <v>0.0</v>
      </c>
      <c r="AI156" s="71">
        <f>IF(R156="",0,P156*N(E156))</f>
        <v>0.0</v>
      </c>
      <c r="AJ156" s="71" t="str">
        <f>IF(AA156="","",COUNTIF(prod_ca,"&gt;"&amp;AA156)+COUNTIF(AA$6:AA156,AA156))</f>
        <v/>
      </c>
      <c r="AK156" s="71" t="str">
        <f>IF(OR(W156="Vendu à perte",W156="Sous la cible"),ROUND(U156,6),"")</f>
        <v/>
      </c>
      <c r="AL156" s="71" t="str">
        <f>IF(AK156="","",COUNTIF(prod_alk,"&lt;"&amp;AK156)+COUNTIF(AK$6:AK156,AK156))</f>
        <v/>
      </c>
    </row>
    <row r="157">
      <c r="A157" s="60" t="n"/>
      <c r="B157" s="60" t="n"/>
      <c r="C157" s="61" t="n"/>
      <c r="D157" s="62" t="n"/>
      <c r="E157" s="63" t="n"/>
      <c r="F157" s="64" t="n"/>
      <c r="G157" s="64" t="n"/>
      <c r="H157" s="64" t="n"/>
      <c r="I157" s="64" t="n"/>
      <c r="J157" s="65" t="n"/>
      <c r="K157" s="65" t="n"/>
      <c r="L157" s="66" t="str">
        <f>IF(X157="OK",SUMIF(bom_prod,A157,bom_cost),"")</f>
        <v/>
      </c>
      <c r="M157" s="66" t="str">
        <f>IF(X157="OK",SUMIF(gam_prod,A157,gam_mo),"")</f>
        <v/>
      </c>
      <c r="N157" s="66" t="str">
        <f>IF(X157="OK",SUMIF(gam_prod,A157,gam_mac),"")</f>
        <v/>
      </c>
      <c r="O157" s="66" t="str">
        <f>IF(X157="OK",SUMIF(gam_prod,A157,gam_setup)/D157,"")</f>
        <v/>
      </c>
      <c r="P157" s="66" t="str">
        <f>IF(X157="OK",(L157+M157+N157+O157+N(G157))*Y157,"")</f>
        <v/>
      </c>
      <c r="Q157" s="66" t="str">
        <f>IF(X157="OK",L157+M157+N157+O157+N(G157)+P157,"")</f>
        <v/>
      </c>
      <c r="R157" s="67" t="str">
        <f>IF(X157="OK",ROUND(Q157+N(H157)+N(I157)/D157,4),"")</f>
        <v/>
      </c>
      <c r="S157" s="66" t="str">
        <f>IF(X157="OK",ROUND(R157*(1+Z157),2),"")</f>
        <v/>
      </c>
      <c r="T157" s="66" t="str">
        <f>IF(AND(X157="OK",N(F157)&gt;0),F157-R157,"")</f>
        <v/>
      </c>
      <c r="U157" s="68" t="str">
        <f>IF(T157="","",IF(R157&lt;=0,"",T157/R157))</f>
        <v/>
      </c>
      <c r="V157" s="68" t="str">
        <f>IF(T157="","",T157/F157)</f>
        <v/>
      </c>
      <c r="W157" s="69" t="str">
        <f>IF(A157="","",IF(X157&lt;&gt;"OK","À corriger",IF(N(F157)&lt;=0,"Prix à saisir",IF(F157&lt;R157,"Vendu à perte",IF(F157&lt;S157,"Sous la cible","OK")))))</f>
        <v/>
      </c>
      <c r="X157" s="69" t="str">
        <f>IF(AND(A157="",COUNTA(B157:K157)=0),"",IF(A157="","Référence manquante",IF(COUNTIF($A$6:$A$305,A157)&gt;1,"Référence en double",IF(OR(NOT(ISNUMBER(D157)),N(D157)&lt;=0),"Taille de lot invalide",IF(AND(E157&lt;&gt;"",OR(NOT(ISNUMBER(E157)),N(E157)&lt;0)),"Volume annuel invalide",IF(AND(F157&lt;&gt;"",OR(NOT(ISNUMBER(F157)),N(F157)&lt;0)),"Prix de vente invalide",IF(OR(AND(G157&lt;&gt;"",OR(NOT(ISNUMBER(G157)),N(G157)&lt;0)),AND(H157&lt;&gt;"",OR(NOT(ISNUMBER(H157)),N(H157)&lt;0)),AND(I157&lt;&gt;"",OR(NOT(ISNUMBER(I157)),N(I157)&lt;0))),"Montant invalide",IF(OR(AND(J157&lt;&gt;"",OR(NOT(ISNUMBER(J157)),N(J157)&lt;0)),AND(K157&lt;&gt;"",OR(NOT(ISNUMBER(K157)),N(K157)&lt;0))),"Pourcentage invalide",IF(COUNTIF(bom_prod,A157)+COUNTIF(gam_prod,A157)=0,"Ni nomenclature ni gamme",IF(COUNTIFS(bom_prod,A157,bom_check,"&lt;&gt;OK")&gt;0,"Nomenclature à corriger",IF(COUNTIFS(gam_prod,A157,gam_check,"&lt;&gt;OK")&gt;0,"Gamme à corriger","OK")))))))))))</f>
        <v/>
      </c>
      <c r="Y157" s="70">
        <f>IF(J157="",N(p_fg),N(J157))</f>
        <v>0.15</v>
      </c>
      <c r="Z157" s="70">
        <f>IF(K157="",N(p_target),N(K157))</f>
        <v>0.25</v>
      </c>
      <c r="AA157" s="71" t="str">
        <f>IF(R157="","",IF(N(F157)&gt;0,ROUND(F157*N(E157),2),0))</f>
        <v/>
      </c>
      <c r="AB157" s="71">
        <f>IF(T157="",0,T157*N(E157))</f>
        <v>0.0</v>
      </c>
      <c r="AC157" s="71">
        <f>IF(T157="",0,R157*N(E157))</f>
        <v>0.0</v>
      </c>
      <c r="AD157" s="71">
        <f>IF(R157="",0,L157*N(E157))</f>
        <v>0.0</v>
      </c>
      <c r="AE157" s="71">
        <f>IF(R157="",0,M157*N(E157))</f>
        <v>0.0</v>
      </c>
      <c r="AF157" s="71">
        <f>IF(R157="",0,N157*N(E157))</f>
        <v>0.0</v>
      </c>
      <c r="AG157" s="71">
        <f>IF(R157="",0,O157*N(E157))</f>
        <v>0.0</v>
      </c>
      <c r="AH157" s="71">
        <f>IF(R157="",0,(N(G157)+N(H157)+N(I157)/D157)*N(E157))</f>
        <v>0.0</v>
      </c>
      <c r="AI157" s="71">
        <f>IF(R157="",0,P157*N(E157))</f>
        <v>0.0</v>
      </c>
      <c r="AJ157" s="71" t="str">
        <f>IF(AA157="","",COUNTIF(prod_ca,"&gt;"&amp;AA157)+COUNTIF(AA$6:AA157,AA157))</f>
        <v/>
      </c>
      <c r="AK157" s="71" t="str">
        <f>IF(OR(W157="Vendu à perte",W157="Sous la cible"),ROUND(U157,6),"")</f>
        <v/>
      </c>
      <c r="AL157" s="71" t="str">
        <f>IF(AK157="","",COUNTIF(prod_alk,"&lt;"&amp;AK157)+COUNTIF(AK$6:AK157,AK157))</f>
        <v/>
      </c>
    </row>
    <row r="158">
      <c r="A158" s="60" t="n"/>
      <c r="B158" s="60" t="n"/>
      <c r="C158" s="61" t="n"/>
      <c r="D158" s="62" t="n"/>
      <c r="E158" s="63" t="n"/>
      <c r="F158" s="64" t="n"/>
      <c r="G158" s="64" t="n"/>
      <c r="H158" s="64" t="n"/>
      <c r="I158" s="64" t="n"/>
      <c r="J158" s="65" t="n"/>
      <c r="K158" s="65" t="n"/>
      <c r="L158" s="66" t="str">
        <f>IF(X158="OK",SUMIF(bom_prod,A158,bom_cost),"")</f>
        <v/>
      </c>
      <c r="M158" s="66" t="str">
        <f>IF(X158="OK",SUMIF(gam_prod,A158,gam_mo),"")</f>
        <v/>
      </c>
      <c r="N158" s="66" t="str">
        <f>IF(X158="OK",SUMIF(gam_prod,A158,gam_mac),"")</f>
        <v/>
      </c>
      <c r="O158" s="66" t="str">
        <f>IF(X158="OK",SUMIF(gam_prod,A158,gam_setup)/D158,"")</f>
        <v/>
      </c>
      <c r="P158" s="66" t="str">
        <f>IF(X158="OK",(L158+M158+N158+O158+N(G158))*Y158,"")</f>
        <v/>
      </c>
      <c r="Q158" s="66" t="str">
        <f>IF(X158="OK",L158+M158+N158+O158+N(G158)+P158,"")</f>
        <v/>
      </c>
      <c r="R158" s="67" t="str">
        <f>IF(X158="OK",ROUND(Q158+N(H158)+N(I158)/D158,4),"")</f>
        <v/>
      </c>
      <c r="S158" s="66" t="str">
        <f>IF(X158="OK",ROUND(R158*(1+Z158),2),"")</f>
        <v/>
      </c>
      <c r="T158" s="66" t="str">
        <f>IF(AND(X158="OK",N(F158)&gt;0),F158-R158,"")</f>
        <v/>
      </c>
      <c r="U158" s="68" t="str">
        <f>IF(T158="","",IF(R158&lt;=0,"",T158/R158))</f>
        <v/>
      </c>
      <c r="V158" s="68" t="str">
        <f>IF(T158="","",T158/F158)</f>
        <v/>
      </c>
      <c r="W158" s="69" t="str">
        <f>IF(A158="","",IF(X158&lt;&gt;"OK","À corriger",IF(N(F158)&lt;=0,"Prix à saisir",IF(F158&lt;R158,"Vendu à perte",IF(F158&lt;S158,"Sous la cible","OK")))))</f>
        <v/>
      </c>
      <c r="X158" s="69" t="str">
        <f>IF(AND(A158="",COUNTA(B158:K158)=0),"",IF(A158="","Référence manquante",IF(COUNTIF($A$6:$A$305,A158)&gt;1,"Référence en double",IF(OR(NOT(ISNUMBER(D158)),N(D158)&lt;=0),"Taille de lot invalide",IF(AND(E158&lt;&gt;"",OR(NOT(ISNUMBER(E158)),N(E158)&lt;0)),"Volume annuel invalide",IF(AND(F158&lt;&gt;"",OR(NOT(ISNUMBER(F158)),N(F158)&lt;0)),"Prix de vente invalide",IF(OR(AND(G158&lt;&gt;"",OR(NOT(ISNUMBER(G158)),N(G158)&lt;0)),AND(H158&lt;&gt;"",OR(NOT(ISNUMBER(H158)),N(H158)&lt;0)),AND(I158&lt;&gt;"",OR(NOT(ISNUMBER(I158)),N(I158)&lt;0))),"Montant invalide",IF(OR(AND(J158&lt;&gt;"",OR(NOT(ISNUMBER(J158)),N(J158)&lt;0)),AND(K158&lt;&gt;"",OR(NOT(ISNUMBER(K158)),N(K158)&lt;0))),"Pourcentage invalide",IF(COUNTIF(bom_prod,A158)+COUNTIF(gam_prod,A158)=0,"Ni nomenclature ni gamme",IF(COUNTIFS(bom_prod,A158,bom_check,"&lt;&gt;OK")&gt;0,"Nomenclature à corriger",IF(COUNTIFS(gam_prod,A158,gam_check,"&lt;&gt;OK")&gt;0,"Gamme à corriger","OK")))))))))))</f>
        <v/>
      </c>
      <c r="Y158" s="70">
        <f>IF(J158="",N(p_fg),N(J158))</f>
        <v>0.15</v>
      </c>
      <c r="Z158" s="70">
        <f>IF(K158="",N(p_target),N(K158))</f>
        <v>0.25</v>
      </c>
      <c r="AA158" s="71" t="str">
        <f>IF(R158="","",IF(N(F158)&gt;0,ROUND(F158*N(E158),2),0))</f>
        <v/>
      </c>
      <c r="AB158" s="71">
        <f>IF(T158="",0,T158*N(E158))</f>
        <v>0.0</v>
      </c>
      <c r="AC158" s="71">
        <f>IF(T158="",0,R158*N(E158))</f>
        <v>0.0</v>
      </c>
      <c r="AD158" s="71">
        <f>IF(R158="",0,L158*N(E158))</f>
        <v>0.0</v>
      </c>
      <c r="AE158" s="71">
        <f>IF(R158="",0,M158*N(E158))</f>
        <v>0.0</v>
      </c>
      <c r="AF158" s="71">
        <f>IF(R158="",0,N158*N(E158))</f>
        <v>0.0</v>
      </c>
      <c r="AG158" s="71">
        <f>IF(R158="",0,O158*N(E158))</f>
        <v>0.0</v>
      </c>
      <c r="AH158" s="71">
        <f>IF(R158="",0,(N(G158)+N(H158)+N(I158)/D158)*N(E158))</f>
        <v>0.0</v>
      </c>
      <c r="AI158" s="71">
        <f>IF(R158="",0,P158*N(E158))</f>
        <v>0.0</v>
      </c>
      <c r="AJ158" s="71" t="str">
        <f>IF(AA158="","",COUNTIF(prod_ca,"&gt;"&amp;AA158)+COUNTIF(AA$6:AA158,AA158))</f>
        <v/>
      </c>
      <c r="AK158" s="71" t="str">
        <f>IF(OR(W158="Vendu à perte",W158="Sous la cible"),ROUND(U158,6),"")</f>
        <v/>
      </c>
      <c r="AL158" s="71" t="str">
        <f>IF(AK158="","",COUNTIF(prod_alk,"&lt;"&amp;AK158)+COUNTIF(AK$6:AK158,AK158))</f>
        <v/>
      </c>
    </row>
    <row r="159">
      <c r="A159" s="60" t="n"/>
      <c r="B159" s="60" t="n"/>
      <c r="C159" s="61" t="n"/>
      <c r="D159" s="62" t="n"/>
      <c r="E159" s="63" t="n"/>
      <c r="F159" s="64" t="n"/>
      <c r="G159" s="64" t="n"/>
      <c r="H159" s="64" t="n"/>
      <c r="I159" s="64" t="n"/>
      <c r="J159" s="65" t="n"/>
      <c r="K159" s="65" t="n"/>
      <c r="L159" s="66" t="str">
        <f>IF(X159="OK",SUMIF(bom_prod,A159,bom_cost),"")</f>
        <v/>
      </c>
      <c r="M159" s="66" t="str">
        <f>IF(X159="OK",SUMIF(gam_prod,A159,gam_mo),"")</f>
        <v/>
      </c>
      <c r="N159" s="66" t="str">
        <f>IF(X159="OK",SUMIF(gam_prod,A159,gam_mac),"")</f>
        <v/>
      </c>
      <c r="O159" s="66" t="str">
        <f>IF(X159="OK",SUMIF(gam_prod,A159,gam_setup)/D159,"")</f>
        <v/>
      </c>
      <c r="P159" s="66" t="str">
        <f>IF(X159="OK",(L159+M159+N159+O159+N(G159))*Y159,"")</f>
        <v/>
      </c>
      <c r="Q159" s="66" t="str">
        <f>IF(X159="OK",L159+M159+N159+O159+N(G159)+P159,"")</f>
        <v/>
      </c>
      <c r="R159" s="67" t="str">
        <f>IF(X159="OK",ROUND(Q159+N(H159)+N(I159)/D159,4),"")</f>
        <v/>
      </c>
      <c r="S159" s="66" t="str">
        <f>IF(X159="OK",ROUND(R159*(1+Z159),2),"")</f>
        <v/>
      </c>
      <c r="T159" s="66" t="str">
        <f>IF(AND(X159="OK",N(F159)&gt;0),F159-R159,"")</f>
        <v/>
      </c>
      <c r="U159" s="68" t="str">
        <f>IF(T159="","",IF(R159&lt;=0,"",T159/R159))</f>
        <v/>
      </c>
      <c r="V159" s="68" t="str">
        <f>IF(T159="","",T159/F159)</f>
        <v/>
      </c>
      <c r="W159" s="69" t="str">
        <f>IF(A159="","",IF(X159&lt;&gt;"OK","À corriger",IF(N(F159)&lt;=0,"Prix à saisir",IF(F159&lt;R159,"Vendu à perte",IF(F159&lt;S159,"Sous la cible","OK")))))</f>
        <v/>
      </c>
      <c r="X159" s="69" t="str">
        <f>IF(AND(A159="",COUNTA(B159:K159)=0),"",IF(A159="","Référence manquante",IF(COUNTIF($A$6:$A$305,A159)&gt;1,"Référence en double",IF(OR(NOT(ISNUMBER(D159)),N(D159)&lt;=0),"Taille de lot invalide",IF(AND(E159&lt;&gt;"",OR(NOT(ISNUMBER(E159)),N(E159)&lt;0)),"Volume annuel invalide",IF(AND(F159&lt;&gt;"",OR(NOT(ISNUMBER(F159)),N(F159)&lt;0)),"Prix de vente invalide",IF(OR(AND(G159&lt;&gt;"",OR(NOT(ISNUMBER(G159)),N(G159)&lt;0)),AND(H159&lt;&gt;"",OR(NOT(ISNUMBER(H159)),N(H159)&lt;0)),AND(I159&lt;&gt;"",OR(NOT(ISNUMBER(I159)),N(I159)&lt;0))),"Montant invalide",IF(OR(AND(J159&lt;&gt;"",OR(NOT(ISNUMBER(J159)),N(J159)&lt;0)),AND(K159&lt;&gt;"",OR(NOT(ISNUMBER(K159)),N(K159)&lt;0))),"Pourcentage invalide",IF(COUNTIF(bom_prod,A159)+COUNTIF(gam_prod,A159)=0,"Ni nomenclature ni gamme",IF(COUNTIFS(bom_prod,A159,bom_check,"&lt;&gt;OK")&gt;0,"Nomenclature à corriger",IF(COUNTIFS(gam_prod,A159,gam_check,"&lt;&gt;OK")&gt;0,"Gamme à corriger","OK")))))))))))</f>
        <v/>
      </c>
      <c r="Y159" s="70">
        <f>IF(J159="",N(p_fg),N(J159))</f>
        <v>0.15</v>
      </c>
      <c r="Z159" s="70">
        <f>IF(K159="",N(p_target),N(K159))</f>
        <v>0.25</v>
      </c>
      <c r="AA159" s="71" t="str">
        <f>IF(R159="","",IF(N(F159)&gt;0,ROUND(F159*N(E159),2),0))</f>
        <v/>
      </c>
      <c r="AB159" s="71">
        <f>IF(T159="",0,T159*N(E159))</f>
        <v>0.0</v>
      </c>
      <c r="AC159" s="71">
        <f>IF(T159="",0,R159*N(E159))</f>
        <v>0.0</v>
      </c>
      <c r="AD159" s="71">
        <f>IF(R159="",0,L159*N(E159))</f>
        <v>0.0</v>
      </c>
      <c r="AE159" s="71">
        <f>IF(R159="",0,M159*N(E159))</f>
        <v>0.0</v>
      </c>
      <c r="AF159" s="71">
        <f>IF(R159="",0,N159*N(E159))</f>
        <v>0.0</v>
      </c>
      <c r="AG159" s="71">
        <f>IF(R159="",0,O159*N(E159))</f>
        <v>0.0</v>
      </c>
      <c r="AH159" s="71">
        <f>IF(R159="",0,(N(G159)+N(H159)+N(I159)/D159)*N(E159))</f>
        <v>0.0</v>
      </c>
      <c r="AI159" s="71">
        <f>IF(R159="",0,P159*N(E159))</f>
        <v>0.0</v>
      </c>
      <c r="AJ159" s="71" t="str">
        <f>IF(AA159="","",COUNTIF(prod_ca,"&gt;"&amp;AA159)+COUNTIF(AA$6:AA159,AA159))</f>
        <v/>
      </c>
      <c r="AK159" s="71" t="str">
        <f>IF(OR(W159="Vendu à perte",W159="Sous la cible"),ROUND(U159,6),"")</f>
        <v/>
      </c>
      <c r="AL159" s="71" t="str">
        <f>IF(AK159="","",COUNTIF(prod_alk,"&lt;"&amp;AK159)+COUNTIF(AK$6:AK159,AK159))</f>
        <v/>
      </c>
    </row>
    <row r="160">
      <c r="A160" s="60" t="n"/>
      <c r="B160" s="60" t="n"/>
      <c r="C160" s="61" t="n"/>
      <c r="D160" s="62" t="n"/>
      <c r="E160" s="63" t="n"/>
      <c r="F160" s="64" t="n"/>
      <c r="G160" s="64" t="n"/>
      <c r="H160" s="64" t="n"/>
      <c r="I160" s="64" t="n"/>
      <c r="J160" s="65" t="n"/>
      <c r="K160" s="65" t="n"/>
      <c r="L160" s="66" t="str">
        <f>IF(X160="OK",SUMIF(bom_prod,A160,bom_cost),"")</f>
        <v/>
      </c>
      <c r="M160" s="66" t="str">
        <f>IF(X160="OK",SUMIF(gam_prod,A160,gam_mo),"")</f>
        <v/>
      </c>
      <c r="N160" s="66" t="str">
        <f>IF(X160="OK",SUMIF(gam_prod,A160,gam_mac),"")</f>
        <v/>
      </c>
      <c r="O160" s="66" t="str">
        <f>IF(X160="OK",SUMIF(gam_prod,A160,gam_setup)/D160,"")</f>
        <v/>
      </c>
      <c r="P160" s="66" t="str">
        <f>IF(X160="OK",(L160+M160+N160+O160+N(G160))*Y160,"")</f>
        <v/>
      </c>
      <c r="Q160" s="66" t="str">
        <f>IF(X160="OK",L160+M160+N160+O160+N(G160)+P160,"")</f>
        <v/>
      </c>
      <c r="R160" s="67" t="str">
        <f>IF(X160="OK",ROUND(Q160+N(H160)+N(I160)/D160,4),"")</f>
        <v/>
      </c>
      <c r="S160" s="66" t="str">
        <f>IF(X160="OK",ROUND(R160*(1+Z160),2),"")</f>
        <v/>
      </c>
      <c r="T160" s="66" t="str">
        <f>IF(AND(X160="OK",N(F160)&gt;0),F160-R160,"")</f>
        <v/>
      </c>
      <c r="U160" s="68" t="str">
        <f>IF(T160="","",IF(R160&lt;=0,"",T160/R160))</f>
        <v/>
      </c>
      <c r="V160" s="68" t="str">
        <f>IF(T160="","",T160/F160)</f>
        <v/>
      </c>
      <c r="W160" s="69" t="str">
        <f>IF(A160="","",IF(X160&lt;&gt;"OK","À corriger",IF(N(F160)&lt;=0,"Prix à saisir",IF(F160&lt;R160,"Vendu à perte",IF(F160&lt;S160,"Sous la cible","OK")))))</f>
        <v/>
      </c>
      <c r="X160" s="69" t="str">
        <f>IF(AND(A160="",COUNTA(B160:K160)=0),"",IF(A160="","Référence manquante",IF(COUNTIF($A$6:$A$305,A160)&gt;1,"Référence en double",IF(OR(NOT(ISNUMBER(D160)),N(D160)&lt;=0),"Taille de lot invalide",IF(AND(E160&lt;&gt;"",OR(NOT(ISNUMBER(E160)),N(E160)&lt;0)),"Volume annuel invalide",IF(AND(F160&lt;&gt;"",OR(NOT(ISNUMBER(F160)),N(F160)&lt;0)),"Prix de vente invalide",IF(OR(AND(G160&lt;&gt;"",OR(NOT(ISNUMBER(G160)),N(G160)&lt;0)),AND(H160&lt;&gt;"",OR(NOT(ISNUMBER(H160)),N(H160)&lt;0)),AND(I160&lt;&gt;"",OR(NOT(ISNUMBER(I160)),N(I160)&lt;0))),"Montant invalide",IF(OR(AND(J160&lt;&gt;"",OR(NOT(ISNUMBER(J160)),N(J160)&lt;0)),AND(K160&lt;&gt;"",OR(NOT(ISNUMBER(K160)),N(K160)&lt;0))),"Pourcentage invalide",IF(COUNTIF(bom_prod,A160)+COUNTIF(gam_prod,A160)=0,"Ni nomenclature ni gamme",IF(COUNTIFS(bom_prod,A160,bom_check,"&lt;&gt;OK")&gt;0,"Nomenclature à corriger",IF(COUNTIFS(gam_prod,A160,gam_check,"&lt;&gt;OK")&gt;0,"Gamme à corriger","OK")))))))))))</f>
        <v/>
      </c>
      <c r="Y160" s="70">
        <f>IF(J160="",N(p_fg),N(J160))</f>
        <v>0.15</v>
      </c>
      <c r="Z160" s="70">
        <f>IF(K160="",N(p_target),N(K160))</f>
        <v>0.25</v>
      </c>
      <c r="AA160" s="71" t="str">
        <f>IF(R160="","",IF(N(F160)&gt;0,ROUND(F160*N(E160),2),0))</f>
        <v/>
      </c>
      <c r="AB160" s="71">
        <f>IF(T160="",0,T160*N(E160))</f>
        <v>0.0</v>
      </c>
      <c r="AC160" s="71">
        <f>IF(T160="",0,R160*N(E160))</f>
        <v>0.0</v>
      </c>
      <c r="AD160" s="71">
        <f>IF(R160="",0,L160*N(E160))</f>
        <v>0.0</v>
      </c>
      <c r="AE160" s="71">
        <f>IF(R160="",0,M160*N(E160))</f>
        <v>0.0</v>
      </c>
      <c r="AF160" s="71">
        <f>IF(R160="",0,N160*N(E160))</f>
        <v>0.0</v>
      </c>
      <c r="AG160" s="71">
        <f>IF(R160="",0,O160*N(E160))</f>
        <v>0.0</v>
      </c>
      <c r="AH160" s="71">
        <f>IF(R160="",0,(N(G160)+N(H160)+N(I160)/D160)*N(E160))</f>
        <v>0.0</v>
      </c>
      <c r="AI160" s="71">
        <f>IF(R160="",0,P160*N(E160))</f>
        <v>0.0</v>
      </c>
      <c r="AJ160" s="71" t="str">
        <f>IF(AA160="","",COUNTIF(prod_ca,"&gt;"&amp;AA160)+COUNTIF(AA$6:AA160,AA160))</f>
        <v/>
      </c>
      <c r="AK160" s="71" t="str">
        <f>IF(OR(W160="Vendu à perte",W160="Sous la cible"),ROUND(U160,6),"")</f>
        <v/>
      </c>
      <c r="AL160" s="71" t="str">
        <f>IF(AK160="","",COUNTIF(prod_alk,"&lt;"&amp;AK160)+COUNTIF(AK$6:AK160,AK160))</f>
        <v/>
      </c>
    </row>
    <row r="161">
      <c r="A161" s="60" t="n"/>
      <c r="B161" s="60" t="n"/>
      <c r="C161" s="61" t="n"/>
      <c r="D161" s="62" t="n"/>
      <c r="E161" s="63" t="n"/>
      <c r="F161" s="64" t="n"/>
      <c r="G161" s="64" t="n"/>
      <c r="H161" s="64" t="n"/>
      <c r="I161" s="64" t="n"/>
      <c r="J161" s="65" t="n"/>
      <c r="K161" s="65" t="n"/>
      <c r="L161" s="66" t="str">
        <f>IF(X161="OK",SUMIF(bom_prod,A161,bom_cost),"")</f>
        <v/>
      </c>
      <c r="M161" s="66" t="str">
        <f>IF(X161="OK",SUMIF(gam_prod,A161,gam_mo),"")</f>
        <v/>
      </c>
      <c r="N161" s="66" t="str">
        <f>IF(X161="OK",SUMIF(gam_prod,A161,gam_mac),"")</f>
        <v/>
      </c>
      <c r="O161" s="66" t="str">
        <f>IF(X161="OK",SUMIF(gam_prod,A161,gam_setup)/D161,"")</f>
        <v/>
      </c>
      <c r="P161" s="66" t="str">
        <f>IF(X161="OK",(L161+M161+N161+O161+N(G161))*Y161,"")</f>
        <v/>
      </c>
      <c r="Q161" s="66" t="str">
        <f>IF(X161="OK",L161+M161+N161+O161+N(G161)+P161,"")</f>
        <v/>
      </c>
      <c r="R161" s="67" t="str">
        <f>IF(X161="OK",ROUND(Q161+N(H161)+N(I161)/D161,4),"")</f>
        <v/>
      </c>
      <c r="S161" s="66" t="str">
        <f>IF(X161="OK",ROUND(R161*(1+Z161),2),"")</f>
        <v/>
      </c>
      <c r="T161" s="66" t="str">
        <f>IF(AND(X161="OK",N(F161)&gt;0),F161-R161,"")</f>
        <v/>
      </c>
      <c r="U161" s="68" t="str">
        <f>IF(T161="","",IF(R161&lt;=0,"",T161/R161))</f>
        <v/>
      </c>
      <c r="V161" s="68" t="str">
        <f>IF(T161="","",T161/F161)</f>
        <v/>
      </c>
      <c r="W161" s="69" t="str">
        <f>IF(A161="","",IF(X161&lt;&gt;"OK","À corriger",IF(N(F161)&lt;=0,"Prix à saisir",IF(F161&lt;R161,"Vendu à perte",IF(F161&lt;S161,"Sous la cible","OK")))))</f>
        <v/>
      </c>
      <c r="X161" s="69" t="str">
        <f>IF(AND(A161="",COUNTA(B161:K161)=0),"",IF(A161="","Référence manquante",IF(COUNTIF($A$6:$A$305,A161)&gt;1,"Référence en double",IF(OR(NOT(ISNUMBER(D161)),N(D161)&lt;=0),"Taille de lot invalide",IF(AND(E161&lt;&gt;"",OR(NOT(ISNUMBER(E161)),N(E161)&lt;0)),"Volume annuel invalide",IF(AND(F161&lt;&gt;"",OR(NOT(ISNUMBER(F161)),N(F161)&lt;0)),"Prix de vente invalide",IF(OR(AND(G161&lt;&gt;"",OR(NOT(ISNUMBER(G161)),N(G161)&lt;0)),AND(H161&lt;&gt;"",OR(NOT(ISNUMBER(H161)),N(H161)&lt;0)),AND(I161&lt;&gt;"",OR(NOT(ISNUMBER(I161)),N(I161)&lt;0))),"Montant invalide",IF(OR(AND(J161&lt;&gt;"",OR(NOT(ISNUMBER(J161)),N(J161)&lt;0)),AND(K161&lt;&gt;"",OR(NOT(ISNUMBER(K161)),N(K161)&lt;0))),"Pourcentage invalide",IF(COUNTIF(bom_prod,A161)+COUNTIF(gam_prod,A161)=0,"Ni nomenclature ni gamme",IF(COUNTIFS(bom_prod,A161,bom_check,"&lt;&gt;OK")&gt;0,"Nomenclature à corriger",IF(COUNTIFS(gam_prod,A161,gam_check,"&lt;&gt;OK")&gt;0,"Gamme à corriger","OK")))))))))))</f>
        <v/>
      </c>
      <c r="Y161" s="70">
        <f>IF(J161="",N(p_fg),N(J161))</f>
        <v>0.15</v>
      </c>
      <c r="Z161" s="70">
        <f>IF(K161="",N(p_target),N(K161))</f>
        <v>0.25</v>
      </c>
      <c r="AA161" s="71" t="str">
        <f>IF(R161="","",IF(N(F161)&gt;0,ROUND(F161*N(E161),2),0))</f>
        <v/>
      </c>
      <c r="AB161" s="71">
        <f>IF(T161="",0,T161*N(E161))</f>
        <v>0.0</v>
      </c>
      <c r="AC161" s="71">
        <f>IF(T161="",0,R161*N(E161))</f>
        <v>0.0</v>
      </c>
      <c r="AD161" s="71">
        <f>IF(R161="",0,L161*N(E161))</f>
        <v>0.0</v>
      </c>
      <c r="AE161" s="71">
        <f>IF(R161="",0,M161*N(E161))</f>
        <v>0.0</v>
      </c>
      <c r="AF161" s="71">
        <f>IF(R161="",0,N161*N(E161))</f>
        <v>0.0</v>
      </c>
      <c r="AG161" s="71">
        <f>IF(R161="",0,O161*N(E161))</f>
        <v>0.0</v>
      </c>
      <c r="AH161" s="71">
        <f>IF(R161="",0,(N(G161)+N(H161)+N(I161)/D161)*N(E161))</f>
        <v>0.0</v>
      </c>
      <c r="AI161" s="71">
        <f>IF(R161="",0,P161*N(E161))</f>
        <v>0.0</v>
      </c>
      <c r="AJ161" s="71" t="str">
        <f>IF(AA161="","",COUNTIF(prod_ca,"&gt;"&amp;AA161)+COUNTIF(AA$6:AA161,AA161))</f>
        <v/>
      </c>
      <c r="AK161" s="71" t="str">
        <f>IF(OR(W161="Vendu à perte",W161="Sous la cible"),ROUND(U161,6),"")</f>
        <v/>
      </c>
      <c r="AL161" s="71" t="str">
        <f>IF(AK161="","",COUNTIF(prod_alk,"&lt;"&amp;AK161)+COUNTIF(AK$6:AK161,AK161))</f>
        <v/>
      </c>
    </row>
    <row r="162">
      <c r="A162" s="60" t="n"/>
      <c r="B162" s="60" t="n"/>
      <c r="C162" s="61" t="n"/>
      <c r="D162" s="62" t="n"/>
      <c r="E162" s="63" t="n"/>
      <c r="F162" s="64" t="n"/>
      <c r="G162" s="64" t="n"/>
      <c r="H162" s="64" t="n"/>
      <c r="I162" s="64" t="n"/>
      <c r="J162" s="65" t="n"/>
      <c r="K162" s="65" t="n"/>
      <c r="L162" s="66" t="str">
        <f>IF(X162="OK",SUMIF(bom_prod,A162,bom_cost),"")</f>
        <v/>
      </c>
      <c r="M162" s="66" t="str">
        <f>IF(X162="OK",SUMIF(gam_prod,A162,gam_mo),"")</f>
        <v/>
      </c>
      <c r="N162" s="66" t="str">
        <f>IF(X162="OK",SUMIF(gam_prod,A162,gam_mac),"")</f>
        <v/>
      </c>
      <c r="O162" s="66" t="str">
        <f>IF(X162="OK",SUMIF(gam_prod,A162,gam_setup)/D162,"")</f>
        <v/>
      </c>
      <c r="P162" s="66" t="str">
        <f>IF(X162="OK",(L162+M162+N162+O162+N(G162))*Y162,"")</f>
        <v/>
      </c>
      <c r="Q162" s="66" t="str">
        <f>IF(X162="OK",L162+M162+N162+O162+N(G162)+P162,"")</f>
        <v/>
      </c>
      <c r="R162" s="67" t="str">
        <f>IF(X162="OK",ROUND(Q162+N(H162)+N(I162)/D162,4),"")</f>
        <v/>
      </c>
      <c r="S162" s="66" t="str">
        <f>IF(X162="OK",ROUND(R162*(1+Z162),2),"")</f>
        <v/>
      </c>
      <c r="T162" s="66" t="str">
        <f>IF(AND(X162="OK",N(F162)&gt;0),F162-R162,"")</f>
        <v/>
      </c>
      <c r="U162" s="68" t="str">
        <f>IF(T162="","",IF(R162&lt;=0,"",T162/R162))</f>
        <v/>
      </c>
      <c r="V162" s="68" t="str">
        <f>IF(T162="","",T162/F162)</f>
        <v/>
      </c>
      <c r="W162" s="69" t="str">
        <f>IF(A162="","",IF(X162&lt;&gt;"OK","À corriger",IF(N(F162)&lt;=0,"Prix à saisir",IF(F162&lt;R162,"Vendu à perte",IF(F162&lt;S162,"Sous la cible","OK")))))</f>
        <v/>
      </c>
      <c r="X162" s="69" t="str">
        <f>IF(AND(A162="",COUNTA(B162:K162)=0),"",IF(A162="","Référence manquante",IF(COUNTIF($A$6:$A$305,A162)&gt;1,"Référence en double",IF(OR(NOT(ISNUMBER(D162)),N(D162)&lt;=0),"Taille de lot invalide",IF(AND(E162&lt;&gt;"",OR(NOT(ISNUMBER(E162)),N(E162)&lt;0)),"Volume annuel invalide",IF(AND(F162&lt;&gt;"",OR(NOT(ISNUMBER(F162)),N(F162)&lt;0)),"Prix de vente invalide",IF(OR(AND(G162&lt;&gt;"",OR(NOT(ISNUMBER(G162)),N(G162)&lt;0)),AND(H162&lt;&gt;"",OR(NOT(ISNUMBER(H162)),N(H162)&lt;0)),AND(I162&lt;&gt;"",OR(NOT(ISNUMBER(I162)),N(I162)&lt;0))),"Montant invalide",IF(OR(AND(J162&lt;&gt;"",OR(NOT(ISNUMBER(J162)),N(J162)&lt;0)),AND(K162&lt;&gt;"",OR(NOT(ISNUMBER(K162)),N(K162)&lt;0))),"Pourcentage invalide",IF(COUNTIF(bom_prod,A162)+COUNTIF(gam_prod,A162)=0,"Ni nomenclature ni gamme",IF(COUNTIFS(bom_prod,A162,bom_check,"&lt;&gt;OK")&gt;0,"Nomenclature à corriger",IF(COUNTIFS(gam_prod,A162,gam_check,"&lt;&gt;OK")&gt;0,"Gamme à corriger","OK")))))))))))</f>
        <v/>
      </c>
      <c r="Y162" s="70">
        <f>IF(J162="",N(p_fg),N(J162))</f>
        <v>0.15</v>
      </c>
      <c r="Z162" s="70">
        <f>IF(K162="",N(p_target),N(K162))</f>
        <v>0.25</v>
      </c>
      <c r="AA162" s="71" t="str">
        <f>IF(R162="","",IF(N(F162)&gt;0,ROUND(F162*N(E162),2),0))</f>
        <v/>
      </c>
      <c r="AB162" s="71">
        <f>IF(T162="",0,T162*N(E162))</f>
        <v>0.0</v>
      </c>
      <c r="AC162" s="71">
        <f>IF(T162="",0,R162*N(E162))</f>
        <v>0.0</v>
      </c>
      <c r="AD162" s="71">
        <f>IF(R162="",0,L162*N(E162))</f>
        <v>0.0</v>
      </c>
      <c r="AE162" s="71">
        <f>IF(R162="",0,M162*N(E162))</f>
        <v>0.0</v>
      </c>
      <c r="AF162" s="71">
        <f>IF(R162="",0,N162*N(E162))</f>
        <v>0.0</v>
      </c>
      <c r="AG162" s="71">
        <f>IF(R162="",0,O162*N(E162))</f>
        <v>0.0</v>
      </c>
      <c r="AH162" s="71">
        <f>IF(R162="",0,(N(G162)+N(H162)+N(I162)/D162)*N(E162))</f>
        <v>0.0</v>
      </c>
      <c r="AI162" s="71">
        <f>IF(R162="",0,P162*N(E162))</f>
        <v>0.0</v>
      </c>
      <c r="AJ162" s="71" t="str">
        <f>IF(AA162="","",COUNTIF(prod_ca,"&gt;"&amp;AA162)+COUNTIF(AA$6:AA162,AA162))</f>
        <v/>
      </c>
      <c r="AK162" s="71" t="str">
        <f>IF(OR(W162="Vendu à perte",W162="Sous la cible"),ROUND(U162,6),"")</f>
        <v/>
      </c>
      <c r="AL162" s="71" t="str">
        <f>IF(AK162="","",COUNTIF(prod_alk,"&lt;"&amp;AK162)+COUNTIF(AK$6:AK162,AK162))</f>
        <v/>
      </c>
    </row>
    <row r="163">
      <c r="A163" s="60" t="n"/>
      <c r="B163" s="60" t="n"/>
      <c r="C163" s="61" t="n"/>
      <c r="D163" s="62" t="n"/>
      <c r="E163" s="63" t="n"/>
      <c r="F163" s="64" t="n"/>
      <c r="G163" s="64" t="n"/>
      <c r="H163" s="64" t="n"/>
      <c r="I163" s="64" t="n"/>
      <c r="J163" s="65" t="n"/>
      <c r="K163" s="65" t="n"/>
      <c r="L163" s="66" t="str">
        <f>IF(X163="OK",SUMIF(bom_prod,A163,bom_cost),"")</f>
        <v/>
      </c>
      <c r="M163" s="66" t="str">
        <f>IF(X163="OK",SUMIF(gam_prod,A163,gam_mo),"")</f>
        <v/>
      </c>
      <c r="N163" s="66" t="str">
        <f>IF(X163="OK",SUMIF(gam_prod,A163,gam_mac),"")</f>
        <v/>
      </c>
      <c r="O163" s="66" t="str">
        <f>IF(X163="OK",SUMIF(gam_prod,A163,gam_setup)/D163,"")</f>
        <v/>
      </c>
      <c r="P163" s="66" t="str">
        <f>IF(X163="OK",(L163+M163+N163+O163+N(G163))*Y163,"")</f>
        <v/>
      </c>
      <c r="Q163" s="66" t="str">
        <f>IF(X163="OK",L163+M163+N163+O163+N(G163)+P163,"")</f>
        <v/>
      </c>
      <c r="R163" s="67" t="str">
        <f>IF(X163="OK",ROUND(Q163+N(H163)+N(I163)/D163,4),"")</f>
        <v/>
      </c>
      <c r="S163" s="66" t="str">
        <f>IF(X163="OK",ROUND(R163*(1+Z163),2),"")</f>
        <v/>
      </c>
      <c r="T163" s="66" t="str">
        <f>IF(AND(X163="OK",N(F163)&gt;0),F163-R163,"")</f>
        <v/>
      </c>
      <c r="U163" s="68" t="str">
        <f>IF(T163="","",IF(R163&lt;=0,"",T163/R163))</f>
        <v/>
      </c>
      <c r="V163" s="68" t="str">
        <f>IF(T163="","",T163/F163)</f>
        <v/>
      </c>
      <c r="W163" s="69" t="str">
        <f>IF(A163="","",IF(X163&lt;&gt;"OK","À corriger",IF(N(F163)&lt;=0,"Prix à saisir",IF(F163&lt;R163,"Vendu à perte",IF(F163&lt;S163,"Sous la cible","OK")))))</f>
        <v/>
      </c>
      <c r="X163" s="69" t="str">
        <f>IF(AND(A163="",COUNTA(B163:K163)=0),"",IF(A163="","Référence manquante",IF(COUNTIF($A$6:$A$305,A163)&gt;1,"Référence en double",IF(OR(NOT(ISNUMBER(D163)),N(D163)&lt;=0),"Taille de lot invalide",IF(AND(E163&lt;&gt;"",OR(NOT(ISNUMBER(E163)),N(E163)&lt;0)),"Volume annuel invalide",IF(AND(F163&lt;&gt;"",OR(NOT(ISNUMBER(F163)),N(F163)&lt;0)),"Prix de vente invalide",IF(OR(AND(G163&lt;&gt;"",OR(NOT(ISNUMBER(G163)),N(G163)&lt;0)),AND(H163&lt;&gt;"",OR(NOT(ISNUMBER(H163)),N(H163)&lt;0)),AND(I163&lt;&gt;"",OR(NOT(ISNUMBER(I163)),N(I163)&lt;0))),"Montant invalide",IF(OR(AND(J163&lt;&gt;"",OR(NOT(ISNUMBER(J163)),N(J163)&lt;0)),AND(K163&lt;&gt;"",OR(NOT(ISNUMBER(K163)),N(K163)&lt;0))),"Pourcentage invalide",IF(COUNTIF(bom_prod,A163)+COUNTIF(gam_prod,A163)=0,"Ni nomenclature ni gamme",IF(COUNTIFS(bom_prod,A163,bom_check,"&lt;&gt;OK")&gt;0,"Nomenclature à corriger",IF(COUNTIFS(gam_prod,A163,gam_check,"&lt;&gt;OK")&gt;0,"Gamme à corriger","OK")))))))))))</f>
        <v/>
      </c>
      <c r="Y163" s="70">
        <f>IF(J163="",N(p_fg),N(J163))</f>
        <v>0.15</v>
      </c>
      <c r="Z163" s="70">
        <f>IF(K163="",N(p_target),N(K163))</f>
        <v>0.25</v>
      </c>
      <c r="AA163" s="71" t="str">
        <f>IF(R163="","",IF(N(F163)&gt;0,ROUND(F163*N(E163),2),0))</f>
        <v/>
      </c>
      <c r="AB163" s="71">
        <f>IF(T163="",0,T163*N(E163))</f>
        <v>0.0</v>
      </c>
      <c r="AC163" s="71">
        <f>IF(T163="",0,R163*N(E163))</f>
        <v>0.0</v>
      </c>
      <c r="AD163" s="71">
        <f>IF(R163="",0,L163*N(E163))</f>
        <v>0.0</v>
      </c>
      <c r="AE163" s="71">
        <f>IF(R163="",0,M163*N(E163))</f>
        <v>0.0</v>
      </c>
      <c r="AF163" s="71">
        <f>IF(R163="",0,N163*N(E163))</f>
        <v>0.0</v>
      </c>
      <c r="AG163" s="71">
        <f>IF(R163="",0,O163*N(E163))</f>
        <v>0.0</v>
      </c>
      <c r="AH163" s="71">
        <f>IF(R163="",0,(N(G163)+N(H163)+N(I163)/D163)*N(E163))</f>
        <v>0.0</v>
      </c>
      <c r="AI163" s="71">
        <f>IF(R163="",0,P163*N(E163))</f>
        <v>0.0</v>
      </c>
      <c r="AJ163" s="71" t="str">
        <f>IF(AA163="","",COUNTIF(prod_ca,"&gt;"&amp;AA163)+COUNTIF(AA$6:AA163,AA163))</f>
        <v/>
      </c>
      <c r="AK163" s="71" t="str">
        <f>IF(OR(W163="Vendu à perte",W163="Sous la cible"),ROUND(U163,6),"")</f>
        <v/>
      </c>
      <c r="AL163" s="71" t="str">
        <f>IF(AK163="","",COUNTIF(prod_alk,"&lt;"&amp;AK163)+COUNTIF(AK$6:AK163,AK163))</f>
        <v/>
      </c>
    </row>
    <row r="164">
      <c r="A164" s="60" t="n"/>
      <c r="B164" s="60" t="n"/>
      <c r="C164" s="61" t="n"/>
      <c r="D164" s="62" t="n"/>
      <c r="E164" s="63" t="n"/>
      <c r="F164" s="64" t="n"/>
      <c r="G164" s="64" t="n"/>
      <c r="H164" s="64" t="n"/>
      <c r="I164" s="64" t="n"/>
      <c r="J164" s="65" t="n"/>
      <c r="K164" s="65" t="n"/>
      <c r="L164" s="66" t="str">
        <f>IF(X164="OK",SUMIF(bom_prod,A164,bom_cost),"")</f>
        <v/>
      </c>
      <c r="M164" s="66" t="str">
        <f>IF(X164="OK",SUMIF(gam_prod,A164,gam_mo),"")</f>
        <v/>
      </c>
      <c r="N164" s="66" t="str">
        <f>IF(X164="OK",SUMIF(gam_prod,A164,gam_mac),"")</f>
        <v/>
      </c>
      <c r="O164" s="66" t="str">
        <f>IF(X164="OK",SUMIF(gam_prod,A164,gam_setup)/D164,"")</f>
        <v/>
      </c>
      <c r="P164" s="66" t="str">
        <f>IF(X164="OK",(L164+M164+N164+O164+N(G164))*Y164,"")</f>
        <v/>
      </c>
      <c r="Q164" s="66" t="str">
        <f>IF(X164="OK",L164+M164+N164+O164+N(G164)+P164,"")</f>
        <v/>
      </c>
      <c r="R164" s="67" t="str">
        <f>IF(X164="OK",ROUND(Q164+N(H164)+N(I164)/D164,4),"")</f>
        <v/>
      </c>
      <c r="S164" s="66" t="str">
        <f>IF(X164="OK",ROUND(R164*(1+Z164),2),"")</f>
        <v/>
      </c>
      <c r="T164" s="66" t="str">
        <f>IF(AND(X164="OK",N(F164)&gt;0),F164-R164,"")</f>
        <v/>
      </c>
      <c r="U164" s="68" t="str">
        <f>IF(T164="","",IF(R164&lt;=0,"",T164/R164))</f>
        <v/>
      </c>
      <c r="V164" s="68" t="str">
        <f>IF(T164="","",T164/F164)</f>
        <v/>
      </c>
      <c r="W164" s="69" t="str">
        <f>IF(A164="","",IF(X164&lt;&gt;"OK","À corriger",IF(N(F164)&lt;=0,"Prix à saisir",IF(F164&lt;R164,"Vendu à perte",IF(F164&lt;S164,"Sous la cible","OK")))))</f>
        <v/>
      </c>
      <c r="X164" s="69" t="str">
        <f>IF(AND(A164="",COUNTA(B164:K164)=0),"",IF(A164="","Référence manquante",IF(COUNTIF($A$6:$A$305,A164)&gt;1,"Référence en double",IF(OR(NOT(ISNUMBER(D164)),N(D164)&lt;=0),"Taille de lot invalide",IF(AND(E164&lt;&gt;"",OR(NOT(ISNUMBER(E164)),N(E164)&lt;0)),"Volume annuel invalide",IF(AND(F164&lt;&gt;"",OR(NOT(ISNUMBER(F164)),N(F164)&lt;0)),"Prix de vente invalide",IF(OR(AND(G164&lt;&gt;"",OR(NOT(ISNUMBER(G164)),N(G164)&lt;0)),AND(H164&lt;&gt;"",OR(NOT(ISNUMBER(H164)),N(H164)&lt;0)),AND(I164&lt;&gt;"",OR(NOT(ISNUMBER(I164)),N(I164)&lt;0))),"Montant invalide",IF(OR(AND(J164&lt;&gt;"",OR(NOT(ISNUMBER(J164)),N(J164)&lt;0)),AND(K164&lt;&gt;"",OR(NOT(ISNUMBER(K164)),N(K164)&lt;0))),"Pourcentage invalide",IF(COUNTIF(bom_prod,A164)+COUNTIF(gam_prod,A164)=0,"Ni nomenclature ni gamme",IF(COUNTIFS(bom_prod,A164,bom_check,"&lt;&gt;OK")&gt;0,"Nomenclature à corriger",IF(COUNTIFS(gam_prod,A164,gam_check,"&lt;&gt;OK")&gt;0,"Gamme à corriger","OK")))))))))))</f>
        <v/>
      </c>
      <c r="Y164" s="70">
        <f>IF(J164="",N(p_fg),N(J164))</f>
        <v>0.15</v>
      </c>
      <c r="Z164" s="70">
        <f>IF(K164="",N(p_target),N(K164))</f>
        <v>0.25</v>
      </c>
      <c r="AA164" s="71" t="str">
        <f>IF(R164="","",IF(N(F164)&gt;0,ROUND(F164*N(E164),2),0))</f>
        <v/>
      </c>
      <c r="AB164" s="71">
        <f>IF(T164="",0,T164*N(E164))</f>
        <v>0.0</v>
      </c>
      <c r="AC164" s="71">
        <f>IF(T164="",0,R164*N(E164))</f>
        <v>0.0</v>
      </c>
      <c r="AD164" s="71">
        <f>IF(R164="",0,L164*N(E164))</f>
        <v>0.0</v>
      </c>
      <c r="AE164" s="71">
        <f>IF(R164="",0,M164*N(E164))</f>
        <v>0.0</v>
      </c>
      <c r="AF164" s="71">
        <f>IF(R164="",0,N164*N(E164))</f>
        <v>0.0</v>
      </c>
      <c r="AG164" s="71">
        <f>IF(R164="",0,O164*N(E164))</f>
        <v>0.0</v>
      </c>
      <c r="AH164" s="71">
        <f>IF(R164="",0,(N(G164)+N(H164)+N(I164)/D164)*N(E164))</f>
        <v>0.0</v>
      </c>
      <c r="AI164" s="71">
        <f>IF(R164="",0,P164*N(E164))</f>
        <v>0.0</v>
      </c>
      <c r="AJ164" s="71" t="str">
        <f>IF(AA164="","",COUNTIF(prod_ca,"&gt;"&amp;AA164)+COUNTIF(AA$6:AA164,AA164))</f>
        <v/>
      </c>
      <c r="AK164" s="71" t="str">
        <f>IF(OR(W164="Vendu à perte",W164="Sous la cible"),ROUND(U164,6),"")</f>
        <v/>
      </c>
      <c r="AL164" s="71" t="str">
        <f>IF(AK164="","",COUNTIF(prod_alk,"&lt;"&amp;AK164)+COUNTIF(AK$6:AK164,AK164))</f>
        <v/>
      </c>
    </row>
    <row r="165">
      <c r="A165" s="60" t="n"/>
      <c r="B165" s="60" t="n"/>
      <c r="C165" s="61" t="n"/>
      <c r="D165" s="62" t="n"/>
      <c r="E165" s="63" t="n"/>
      <c r="F165" s="64" t="n"/>
      <c r="G165" s="64" t="n"/>
      <c r="H165" s="64" t="n"/>
      <c r="I165" s="64" t="n"/>
      <c r="J165" s="65" t="n"/>
      <c r="K165" s="65" t="n"/>
      <c r="L165" s="66" t="str">
        <f>IF(X165="OK",SUMIF(bom_prod,A165,bom_cost),"")</f>
        <v/>
      </c>
      <c r="M165" s="66" t="str">
        <f>IF(X165="OK",SUMIF(gam_prod,A165,gam_mo),"")</f>
        <v/>
      </c>
      <c r="N165" s="66" t="str">
        <f>IF(X165="OK",SUMIF(gam_prod,A165,gam_mac),"")</f>
        <v/>
      </c>
      <c r="O165" s="66" t="str">
        <f>IF(X165="OK",SUMIF(gam_prod,A165,gam_setup)/D165,"")</f>
        <v/>
      </c>
      <c r="P165" s="66" t="str">
        <f>IF(X165="OK",(L165+M165+N165+O165+N(G165))*Y165,"")</f>
        <v/>
      </c>
      <c r="Q165" s="66" t="str">
        <f>IF(X165="OK",L165+M165+N165+O165+N(G165)+P165,"")</f>
        <v/>
      </c>
      <c r="R165" s="67" t="str">
        <f>IF(X165="OK",ROUND(Q165+N(H165)+N(I165)/D165,4),"")</f>
        <v/>
      </c>
      <c r="S165" s="66" t="str">
        <f>IF(X165="OK",ROUND(R165*(1+Z165),2),"")</f>
        <v/>
      </c>
      <c r="T165" s="66" t="str">
        <f>IF(AND(X165="OK",N(F165)&gt;0),F165-R165,"")</f>
        <v/>
      </c>
      <c r="U165" s="68" t="str">
        <f>IF(T165="","",IF(R165&lt;=0,"",T165/R165))</f>
        <v/>
      </c>
      <c r="V165" s="68" t="str">
        <f>IF(T165="","",T165/F165)</f>
        <v/>
      </c>
      <c r="W165" s="69" t="str">
        <f>IF(A165="","",IF(X165&lt;&gt;"OK","À corriger",IF(N(F165)&lt;=0,"Prix à saisir",IF(F165&lt;R165,"Vendu à perte",IF(F165&lt;S165,"Sous la cible","OK")))))</f>
        <v/>
      </c>
      <c r="X165" s="69" t="str">
        <f>IF(AND(A165="",COUNTA(B165:K165)=0),"",IF(A165="","Référence manquante",IF(COUNTIF($A$6:$A$305,A165)&gt;1,"Référence en double",IF(OR(NOT(ISNUMBER(D165)),N(D165)&lt;=0),"Taille de lot invalide",IF(AND(E165&lt;&gt;"",OR(NOT(ISNUMBER(E165)),N(E165)&lt;0)),"Volume annuel invalide",IF(AND(F165&lt;&gt;"",OR(NOT(ISNUMBER(F165)),N(F165)&lt;0)),"Prix de vente invalide",IF(OR(AND(G165&lt;&gt;"",OR(NOT(ISNUMBER(G165)),N(G165)&lt;0)),AND(H165&lt;&gt;"",OR(NOT(ISNUMBER(H165)),N(H165)&lt;0)),AND(I165&lt;&gt;"",OR(NOT(ISNUMBER(I165)),N(I165)&lt;0))),"Montant invalide",IF(OR(AND(J165&lt;&gt;"",OR(NOT(ISNUMBER(J165)),N(J165)&lt;0)),AND(K165&lt;&gt;"",OR(NOT(ISNUMBER(K165)),N(K165)&lt;0))),"Pourcentage invalide",IF(COUNTIF(bom_prod,A165)+COUNTIF(gam_prod,A165)=0,"Ni nomenclature ni gamme",IF(COUNTIFS(bom_prod,A165,bom_check,"&lt;&gt;OK")&gt;0,"Nomenclature à corriger",IF(COUNTIFS(gam_prod,A165,gam_check,"&lt;&gt;OK")&gt;0,"Gamme à corriger","OK")))))))))))</f>
        <v/>
      </c>
      <c r="Y165" s="70">
        <f>IF(J165="",N(p_fg),N(J165))</f>
        <v>0.15</v>
      </c>
      <c r="Z165" s="70">
        <f>IF(K165="",N(p_target),N(K165))</f>
        <v>0.25</v>
      </c>
      <c r="AA165" s="71" t="str">
        <f>IF(R165="","",IF(N(F165)&gt;0,ROUND(F165*N(E165),2),0))</f>
        <v/>
      </c>
      <c r="AB165" s="71">
        <f>IF(T165="",0,T165*N(E165))</f>
        <v>0.0</v>
      </c>
      <c r="AC165" s="71">
        <f>IF(T165="",0,R165*N(E165))</f>
        <v>0.0</v>
      </c>
      <c r="AD165" s="71">
        <f>IF(R165="",0,L165*N(E165))</f>
        <v>0.0</v>
      </c>
      <c r="AE165" s="71">
        <f>IF(R165="",0,M165*N(E165))</f>
        <v>0.0</v>
      </c>
      <c r="AF165" s="71">
        <f>IF(R165="",0,N165*N(E165))</f>
        <v>0.0</v>
      </c>
      <c r="AG165" s="71">
        <f>IF(R165="",0,O165*N(E165))</f>
        <v>0.0</v>
      </c>
      <c r="AH165" s="71">
        <f>IF(R165="",0,(N(G165)+N(H165)+N(I165)/D165)*N(E165))</f>
        <v>0.0</v>
      </c>
      <c r="AI165" s="71">
        <f>IF(R165="",0,P165*N(E165))</f>
        <v>0.0</v>
      </c>
      <c r="AJ165" s="71" t="str">
        <f>IF(AA165="","",COUNTIF(prod_ca,"&gt;"&amp;AA165)+COUNTIF(AA$6:AA165,AA165))</f>
        <v/>
      </c>
      <c r="AK165" s="71" t="str">
        <f>IF(OR(W165="Vendu à perte",W165="Sous la cible"),ROUND(U165,6),"")</f>
        <v/>
      </c>
      <c r="AL165" s="71" t="str">
        <f>IF(AK165="","",COUNTIF(prod_alk,"&lt;"&amp;AK165)+COUNTIF(AK$6:AK165,AK165))</f>
        <v/>
      </c>
    </row>
    <row r="166">
      <c r="A166" s="60" t="n"/>
      <c r="B166" s="60" t="n"/>
      <c r="C166" s="61" t="n"/>
      <c r="D166" s="62" t="n"/>
      <c r="E166" s="63" t="n"/>
      <c r="F166" s="64" t="n"/>
      <c r="G166" s="64" t="n"/>
      <c r="H166" s="64" t="n"/>
      <c r="I166" s="64" t="n"/>
      <c r="J166" s="65" t="n"/>
      <c r="K166" s="65" t="n"/>
      <c r="L166" s="66" t="str">
        <f>IF(X166="OK",SUMIF(bom_prod,A166,bom_cost),"")</f>
        <v/>
      </c>
      <c r="M166" s="66" t="str">
        <f>IF(X166="OK",SUMIF(gam_prod,A166,gam_mo),"")</f>
        <v/>
      </c>
      <c r="N166" s="66" t="str">
        <f>IF(X166="OK",SUMIF(gam_prod,A166,gam_mac),"")</f>
        <v/>
      </c>
      <c r="O166" s="66" t="str">
        <f>IF(X166="OK",SUMIF(gam_prod,A166,gam_setup)/D166,"")</f>
        <v/>
      </c>
      <c r="P166" s="66" t="str">
        <f>IF(X166="OK",(L166+M166+N166+O166+N(G166))*Y166,"")</f>
        <v/>
      </c>
      <c r="Q166" s="66" t="str">
        <f>IF(X166="OK",L166+M166+N166+O166+N(G166)+P166,"")</f>
        <v/>
      </c>
      <c r="R166" s="67" t="str">
        <f>IF(X166="OK",ROUND(Q166+N(H166)+N(I166)/D166,4),"")</f>
        <v/>
      </c>
      <c r="S166" s="66" t="str">
        <f>IF(X166="OK",ROUND(R166*(1+Z166),2),"")</f>
        <v/>
      </c>
      <c r="T166" s="66" t="str">
        <f>IF(AND(X166="OK",N(F166)&gt;0),F166-R166,"")</f>
        <v/>
      </c>
      <c r="U166" s="68" t="str">
        <f>IF(T166="","",IF(R166&lt;=0,"",T166/R166))</f>
        <v/>
      </c>
      <c r="V166" s="68" t="str">
        <f>IF(T166="","",T166/F166)</f>
        <v/>
      </c>
      <c r="W166" s="69" t="str">
        <f>IF(A166="","",IF(X166&lt;&gt;"OK","À corriger",IF(N(F166)&lt;=0,"Prix à saisir",IF(F166&lt;R166,"Vendu à perte",IF(F166&lt;S166,"Sous la cible","OK")))))</f>
        <v/>
      </c>
      <c r="X166" s="69" t="str">
        <f>IF(AND(A166="",COUNTA(B166:K166)=0),"",IF(A166="","Référence manquante",IF(COUNTIF($A$6:$A$305,A166)&gt;1,"Référence en double",IF(OR(NOT(ISNUMBER(D166)),N(D166)&lt;=0),"Taille de lot invalide",IF(AND(E166&lt;&gt;"",OR(NOT(ISNUMBER(E166)),N(E166)&lt;0)),"Volume annuel invalide",IF(AND(F166&lt;&gt;"",OR(NOT(ISNUMBER(F166)),N(F166)&lt;0)),"Prix de vente invalide",IF(OR(AND(G166&lt;&gt;"",OR(NOT(ISNUMBER(G166)),N(G166)&lt;0)),AND(H166&lt;&gt;"",OR(NOT(ISNUMBER(H166)),N(H166)&lt;0)),AND(I166&lt;&gt;"",OR(NOT(ISNUMBER(I166)),N(I166)&lt;0))),"Montant invalide",IF(OR(AND(J166&lt;&gt;"",OR(NOT(ISNUMBER(J166)),N(J166)&lt;0)),AND(K166&lt;&gt;"",OR(NOT(ISNUMBER(K166)),N(K166)&lt;0))),"Pourcentage invalide",IF(COUNTIF(bom_prod,A166)+COUNTIF(gam_prod,A166)=0,"Ni nomenclature ni gamme",IF(COUNTIFS(bom_prod,A166,bom_check,"&lt;&gt;OK")&gt;0,"Nomenclature à corriger",IF(COUNTIFS(gam_prod,A166,gam_check,"&lt;&gt;OK")&gt;0,"Gamme à corriger","OK")))))))))))</f>
        <v/>
      </c>
      <c r="Y166" s="70">
        <f>IF(J166="",N(p_fg),N(J166))</f>
        <v>0.15</v>
      </c>
      <c r="Z166" s="70">
        <f>IF(K166="",N(p_target),N(K166))</f>
        <v>0.25</v>
      </c>
      <c r="AA166" s="71" t="str">
        <f>IF(R166="","",IF(N(F166)&gt;0,ROUND(F166*N(E166),2),0))</f>
        <v/>
      </c>
      <c r="AB166" s="71">
        <f>IF(T166="",0,T166*N(E166))</f>
        <v>0.0</v>
      </c>
      <c r="AC166" s="71">
        <f>IF(T166="",0,R166*N(E166))</f>
        <v>0.0</v>
      </c>
      <c r="AD166" s="71">
        <f>IF(R166="",0,L166*N(E166))</f>
        <v>0.0</v>
      </c>
      <c r="AE166" s="71">
        <f>IF(R166="",0,M166*N(E166))</f>
        <v>0.0</v>
      </c>
      <c r="AF166" s="71">
        <f>IF(R166="",0,N166*N(E166))</f>
        <v>0.0</v>
      </c>
      <c r="AG166" s="71">
        <f>IF(R166="",0,O166*N(E166))</f>
        <v>0.0</v>
      </c>
      <c r="AH166" s="71">
        <f>IF(R166="",0,(N(G166)+N(H166)+N(I166)/D166)*N(E166))</f>
        <v>0.0</v>
      </c>
      <c r="AI166" s="71">
        <f>IF(R166="",0,P166*N(E166))</f>
        <v>0.0</v>
      </c>
      <c r="AJ166" s="71" t="str">
        <f>IF(AA166="","",COUNTIF(prod_ca,"&gt;"&amp;AA166)+COUNTIF(AA$6:AA166,AA166))</f>
        <v/>
      </c>
      <c r="AK166" s="71" t="str">
        <f>IF(OR(W166="Vendu à perte",W166="Sous la cible"),ROUND(U166,6),"")</f>
        <v/>
      </c>
      <c r="AL166" s="71" t="str">
        <f>IF(AK166="","",COUNTIF(prod_alk,"&lt;"&amp;AK166)+COUNTIF(AK$6:AK166,AK166))</f>
        <v/>
      </c>
    </row>
    <row r="167">
      <c r="A167" s="60" t="n"/>
      <c r="B167" s="60" t="n"/>
      <c r="C167" s="61" t="n"/>
      <c r="D167" s="62" t="n"/>
      <c r="E167" s="63" t="n"/>
      <c r="F167" s="64" t="n"/>
      <c r="G167" s="64" t="n"/>
      <c r="H167" s="64" t="n"/>
      <c r="I167" s="64" t="n"/>
      <c r="J167" s="65" t="n"/>
      <c r="K167" s="65" t="n"/>
      <c r="L167" s="66" t="str">
        <f>IF(X167="OK",SUMIF(bom_prod,A167,bom_cost),"")</f>
        <v/>
      </c>
      <c r="M167" s="66" t="str">
        <f>IF(X167="OK",SUMIF(gam_prod,A167,gam_mo),"")</f>
        <v/>
      </c>
      <c r="N167" s="66" t="str">
        <f>IF(X167="OK",SUMIF(gam_prod,A167,gam_mac),"")</f>
        <v/>
      </c>
      <c r="O167" s="66" t="str">
        <f>IF(X167="OK",SUMIF(gam_prod,A167,gam_setup)/D167,"")</f>
        <v/>
      </c>
      <c r="P167" s="66" t="str">
        <f>IF(X167="OK",(L167+M167+N167+O167+N(G167))*Y167,"")</f>
        <v/>
      </c>
      <c r="Q167" s="66" t="str">
        <f>IF(X167="OK",L167+M167+N167+O167+N(G167)+P167,"")</f>
        <v/>
      </c>
      <c r="R167" s="67" t="str">
        <f>IF(X167="OK",ROUND(Q167+N(H167)+N(I167)/D167,4),"")</f>
        <v/>
      </c>
      <c r="S167" s="66" t="str">
        <f>IF(X167="OK",ROUND(R167*(1+Z167),2),"")</f>
        <v/>
      </c>
      <c r="T167" s="66" t="str">
        <f>IF(AND(X167="OK",N(F167)&gt;0),F167-R167,"")</f>
        <v/>
      </c>
      <c r="U167" s="68" t="str">
        <f>IF(T167="","",IF(R167&lt;=0,"",T167/R167))</f>
        <v/>
      </c>
      <c r="V167" s="68" t="str">
        <f>IF(T167="","",T167/F167)</f>
        <v/>
      </c>
      <c r="W167" s="69" t="str">
        <f>IF(A167="","",IF(X167&lt;&gt;"OK","À corriger",IF(N(F167)&lt;=0,"Prix à saisir",IF(F167&lt;R167,"Vendu à perte",IF(F167&lt;S167,"Sous la cible","OK")))))</f>
        <v/>
      </c>
      <c r="X167" s="69" t="str">
        <f>IF(AND(A167="",COUNTA(B167:K167)=0),"",IF(A167="","Référence manquante",IF(COUNTIF($A$6:$A$305,A167)&gt;1,"Référence en double",IF(OR(NOT(ISNUMBER(D167)),N(D167)&lt;=0),"Taille de lot invalide",IF(AND(E167&lt;&gt;"",OR(NOT(ISNUMBER(E167)),N(E167)&lt;0)),"Volume annuel invalide",IF(AND(F167&lt;&gt;"",OR(NOT(ISNUMBER(F167)),N(F167)&lt;0)),"Prix de vente invalide",IF(OR(AND(G167&lt;&gt;"",OR(NOT(ISNUMBER(G167)),N(G167)&lt;0)),AND(H167&lt;&gt;"",OR(NOT(ISNUMBER(H167)),N(H167)&lt;0)),AND(I167&lt;&gt;"",OR(NOT(ISNUMBER(I167)),N(I167)&lt;0))),"Montant invalide",IF(OR(AND(J167&lt;&gt;"",OR(NOT(ISNUMBER(J167)),N(J167)&lt;0)),AND(K167&lt;&gt;"",OR(NOT(ISNUMBER(K167)),N(K167)&lt;0))),"Pourcentage invalide",IF(COUNTIF(bom_prod,A167)+COUNTIF(gam_prod,A167)=0,"Ni nomenclature ni gamme",IF(COUNTIFS(bom_prod,A167,bom_check,"&lt;&gt;OK")&gt;0,"Nomenclature à corriger",IF(COUNTIFS(gam_prod,A167,gam_check,"&lt;&gt;OK")&gt;0,"Gamme à corriger","OK")))))))))))</f>
        <v/>
      </c>
      <c r="Y167" s="70">
        <f>IF(J167="",N(p_fg),N(J167))</f>
        <v>0.15</v>
      </c>
      <c r="Z167" s="70">
        <f>IF(K167="",N(p_target),N(K167))</f>
        <v>0.25</v>
      </c>
      <c r="AA167" s="71" t="str">
        <f>IF(R167="","",IF(N(F167)&gt;0,ROUND(F167*N(E167),2),0))</f>
        <v/>
      </c>
      <c r="AB167" s="71">
        <f>IF(T167="",0,T167*N(E167))</f>
        <v>0.0</v>
      </c>
      <c r="AC167" s="71">
        <f>IF(T167="",0,R167*N(E167))</f>
        <v>0.0</v>
      </c>
      <c r="AD167" s="71">
        <f>IF(R167="",0,L167*N(E167))</f>
        <v>0.0</v>
      </c>
      <c r="AE167" s="71">
        <f>IF(R167="",0,M167*N(E167))</f>
        <v>0.0</v>
      </c>
      <c r="AF167" s="71">
        <f>IF(R167="",0,N167*N(E167))</f>
        <v>0.0</v>
      </c>
      <c r="AG167" s="71">
        <f>IF(R167="",0,O167*N(E167))</f>
        <v>0.0</v>
      </c>
      <c r="AH167" s="71">
        <f>IF(R167="",0,(N(G167)+N(H167)+N(I167)/D167)*N(E167))</f>
        <v>0.0</v>
      </c>
      <c r="AI167" s="71">
        <f>IF(R167="",0,P167*N(E167))</f>
        <v>0.0</v>
      </c>
      <c r="AJ167" s="71" t="str">
        <f>IF(AA167="","",COUNTIF(prod_ca,"&gt;"&amp;AA167)+COUNTIF(AA$6:AA167,AA167))</f>
        <v/>
      </c>
      <c r="AK167" s="71" t="str">
        <f>IF(OR(W167="Vendu à perte",W167="Sous la cible"),ROUND(U167,6),"")</f>
        <v/>
      </c>
      <c r="AL167" s="71" t="str">
        <f>IF(AK167="","",COUNTIF(prod_alk,"&lt;"&amp;AK167)+COUNTIF(AK$6:AK167,AK167))</f>
        <v/>
      </c>
    </row>
    <row r="168">
      <c r="A168" s="60" t="n"/>
      <c r="B168" s="60" t="n"/>
      <c r="C168" s="61" t="n"/>
      <c r="D168" s="62" t="n"/>
      <c r="E168" s="63" t="n"/>
      <c r="F168" s="64" t="n"/>
      <c r="G168" s="64" t="n"/>
      <c r="H168" s="64" t="n"/>
      <c r="I168" s="64" t="n"/>
      <c r="J168" s="65" t="n"/>
      <c r="K168" s="65" t="n"/>
      <c r="L168" s="66" t="str">
        <f>IF(X168="OK",SUMIF(bom_prod,A168,bom_cost),"")</f>
        <v/>
      </c>
      <c r="M168" s="66" t="str">
        <f>IF(X168="OK",SUMIF(gam_prod,A168,gam_mo),"")</f>
        <v/>
      </c>
      <c r="N168" s="66" t="str">
        <f>IF(X168="OK",SUMIF(gam_prod,A168,gam_mac),"")</f>
        <v/>
      </c>
      <c r="O168" s="66" t="str">
        <f>IF(X168="OK",SUMIF(gam_prod,A168,gam_setup)/D168,"")</f>
        <v/>
      </c>
      <c r="P168" s="66" t="str">
        <f>IF(X168="OK",(L168+M168+N168+O168+N(G168))*Y168,"")</f>
        <v/>
      </c>
      <c r="Q168" s="66" t="str">
        <f>IF(X168="OK",L168+M168+N168+O168+N(G168)+P168,"")</f>
        <v/>
      </c>
      <c r="R168" s="67" t="str">
        <f>IF(X168="OK",ROUND(Q168+N(H168)+N(I168)/D168,4),"")</f>
        <v/>
      </c>
      <c r="S168" s="66" t="str">
        <f>IF(X168="OK",ROUND(R168*(1+Z168),2),"")</f>
        <v/>
      </c>
      <c r="T168" s="66" t="str">
        <f>IF(AND(X168="OK",N(F168)&gt;0),F168-R168,"")</f>
        <v/>
      </c>
      <c r="U168" s="68" t="str">
        <f>IF(T168="","",IF(R168&lt;=0,"",T168/R168))</f>
        <v/>
      </c>
      <c r="V168" s="68" t="str">
        <f>IF(T168="","",T168/F168)</f>
        <v/>
      </c>
      <c r="W168" s="69" t="str">
        <f>IF(A168="","",IF(X168&lt;&gt;"OK","À corriger",IF(N(F168)&lt;=0,"Prix à saisir",IF(F168&lt;R168,"Vendu à perte",IF(F168&lt;S168,"Sous la cible","OK")))))</f>
        <v/>
      </c>
      <c r="X168" s="69" t="str">
        <f>IF(AND(A168="",COUNTA(B168:K168)=0),"",IF(A168="","Référence manquante",IF(COUNTIF($A$6:$A$305,A168)&gt;1,"Référence en double",IF(OR(NOT(ISNUMBER(D168)),N(D168)&lt;=0),"Taille de lot invalide",IF(AND(E168&lt;&gt;"",OR(NOT(ISNUMBER(E168)),N(E168)&lt;0)),"Volume annuel invalide",IF(AND(F168&lt;&gt;"",OR(NOT(ISNUMBER(F168)),N(F168)&lt;0)),"Prix de vente invalide",IF(OR(AND(G168&lt;&gt;"",OR(NOT(ISNUMBER(G168)),N(G168)&lt;0)),AND(H168&lt;&gt;"",OR(NOT(ISNUMBER(H168)),N(H168)&lt;0)),AND(I168&lt;&gt;"",OR(NOT(ISNUMBER(I168)),N(I168)&lt;0))),"Montant invalide",IF(OR(AND(J168&lt;&gt;"",OR(NOT(ISNUMBER(J168)),N(J168)&lt;0)),AND(K168&lt;&gt;"",OR(NOT(ISNUMBER(K168)),N(K168)&lt;0))),"Pourcentage invalide",IF(COUNTIF(bom_prod,A168)+COUNTIF(gam_prod,A168)=0,"Ni nomenclature ni gamme",IF(COUNTIFS(bom_prod,A168,bom_check,"&lt;&gt;OK")&gt;0,"Nomenclature à corriger",IF(COUNTIFS(gam_prod,A168,gam_check,"&lt;&gt;OK")&gt;0,"Gamme à corriger","OK")))))))))))</f>
        <v/>
      </c>
      <c r="Y168" s="70">
        <f>IF(J168="",N(p_fg),N(J168))</f>
        <v>0.15</v>
      </c>
      <c r="Z168" s="70">
        <f>IF(K168="",N(p_target),N(K168))</f>
        <v>0.25</v>
      </c>
      <c r="AA168" s="71" t="str">
        <f>IF(R168="","",IF(N(F168)&gt;0,ROUND(F168*N(E168),2),0))</f>
        <v/>
      </c>
      <c r="AB168" s="71">
        <f>IF(T168="",0,T168*N(E168))</f>
        <v>0.0</v>
      </c>
      <c r="AC168" s="71">
        <f>IF(T168="",0,R168*N(E168))</f>
        <v>0.0</v>
      </c>
      <c r="AD168" s="71">
        <f>IF(R168="",0,L168*N(E168))</f>
        <v>0.0</v>
      </c>
      <c r="AE168" s="71">
        <f>IF(R168="",0,M168*N(E168))</f>
        <v>0.0</v>
      </c>
      <c r="AF168" s="71">
        <f>IF(R168="",0,N168*N(E168))</f>
        <v>0.0</v>
      </c>
      <c r="AG168" s="71">
        <f>IF(R168="",0,O168*N(E168))</f>
        <v>0.0</v>
      </c>
      <c r="AH168" s="71">
        <f>IF(R168="",0,(N(G168)+N(H168)+N(I168)/D168)*N(E168))</f>
        <v>0.0</v>
      </c>
      <c r="AI168" s="71">
        <f>IF(R168="",0,P168*N(E168))</f>
        <v>0.0</v>
      </c>
      <c r="AJ168" s="71" t="str">
        <f>IF(AA168="","",COUNTIF(prod_ca,"&gt;"&amp;AA168)+COUNTIF(AA$6:AA168,AA168))</f>
        <v/>
      </c>
      <c r="AK168" s="71" t="str">
        <f>IF(OR(W168="Vendu à perte",W168="Sous la cible"),ROUND(U168,6),"")</f>
        <v/>
      </c>
      <c r="AL168" s="71" t="str">
        <f>IF(AK168="","",COUNTIF(prod_alk,"&lt;"&amp;AK168)+COUNTIF(AK$6:AK168,AK168))</f>
        <v/>
      </c>
    </row>
    <row r="169">
      <c r="A169" s="60" t="n"/>
      <c r="B169" s="60" t="n"/>
      <c r="C169" s="61" t="n"/>
      <c r="D169" s="62" t="n"/>
      <c r="E169" s="63" t="n"/>
      <c r="F169" s="64" t="n"/>
      <c r="G169" s="64" t="n"/>
      <c r="H169" s="64" t="n"/>
      <c r="I169" s="64" t="n"/>
      <c r="J169" s="65" t="n"/>
      <c r="K169" s="65" t="n"/>
      <c r="L169" s="66" t="str">
        <f>IF(X169="OK",SUMIF(bom_prod,A169,bom_cost),"")</f>
        <v/>
      </c>
      <c r="M169" s="66" t="str">
        <f>IF(X169="OK",SUMIF(gam_prod,A169,gam_mo),"")</f>
        <v/>
      </c>
      <c r="N169" s="66" t="str">
        <f>IF(X169="OK",SUMIF(gam_prod,A169,gam_mac),"")</f>
        <v/>
      </c>
      <c r="O169" s="66" t="str">
        <f>IF(X169="OK",SUMIF(gam_prod,A169,gam_setup)/D169,"")</f>
        <v/>
      </c>
      <c r="P169" s="66" t="str">
        <f>IF(X169="OK",(L169+M169+N169+O169+N(G169))*Y169,"")</f>
        <v/>
      </c>
      <c r="Q169" s="66" t="str">
        <f>IF(X169="OK",L169+M169+N169+O169+N(G169)+P169,"")</f>
        <v/>
      </c>
      <c r="R169" s="67" t="str">
        <f>IF(X169="OK",ROUND(Q169+N(H169)+N(I169)/D169,4),"")</f>
        <v/>
      </c>
      <c r="S169" s="66" t="str">
        <f>IF(X169="OK",ROUND(R169*(1+Z169),2),"")</f>
        <v/>
      </c>
      <c r="T169" s="66" t="str">
        <f>IF(AND(X169="OK",N(F169)&gt;0),F169-R169,"")</f>
        <v/>
      </c>
      <c r="U169" s="68" t="str">
        <f>IF(T169="","",IF(R169&lt;=0,"",T169/R169))</f>
        <v/>
      </c>
      <c r="V169" s="68" t="str">
        <f>IF(T169="","",T169/F169)</f>
        <v/>
      </c>
      <c r="W169" s="69" t="str">
        <f>IF(A169="","",IF(X169&lt;&gt;"OK","À corriger",IF(N(F169)&lt;=0,"Prix à saisir",IF(F169&lt;R169,"Vendu à perte",IF(F169&lt;S169,"Sous la cible","OK")))))</f>
        <v/>
      </c>
      <c r="X169" s="69" t="str">
        <f>IF(AND(A169="",COUNTA(B169:K169)=0),"",IF(A169="","Référence manquante",IF(COUNTIF($A$6:$A$305,A169)&gt;1,"Référence en double",IF(OR(NOT(ISNUMBER(D169)),N(D169)&lt;=0),"Taille de lot invalide",IF(AND(E169&lt;&gt;"",OR(NOT(ISNUMBER(E169)),N(E169)&lt;0)),"Volume annuel invalide",IF(AND(F169&lt;&gt;"",OR(NOT(ISNUMBER(F169)),N(F169)&lt;0)),"Prix de vente invalide",IF(OR(AND(G169&lt;&gt;"",OR(NOT(ISNUMBER(G169)),N(G169)&lt;0)),AND(H169&lt;&gt;"",OR(NOT(ISNUMBER(H169)),N(H169)&lt;0)),AND(I169&lt;&gt;"",OR(NOT(ISNUMBER(I169)),N(I169)&lt;0))),"Montant invalide",IF(OR(AND(J169&lt;&gt;"",OR(NOT(ISNUMBER(J169)),N(J169)&lt;0)),AND(K169&lt;&gt;"",OR(NOT(ISNUMBER(K169)),N(K169)&lt;0))),"Pourcentage invalide",IF(COUNTIF(bom_prod,A169)+COUNTIF(gam_prod,A169)=0,"Ni nomenclature ni gamme",IF(COUNTIFS(bom_prod,A169,bom_check,"&lt;&gt;OK")&gt;0,"Nomenclature à corriger",IF(COUNTIFS(gam_prod,A169,gam_check,"&lt;&gt;OK")&gt;0,"Gamme à corriger","OK")))))))))))</f>
        <v/>
      </c>
      <c r="Y169" s="70">
        <f>IF(J169="",N(p_fg),N(J169))</f>
        <v>0.15</v>
      </c>
      <c r="Z169" s="70">
        <f>IF(K169="",N(p_target),N(K169))</f>
        <v>0.25</v>
      </c>
      <c r="AA169" s="71" t="str">
        <f>IF(R169="","",IF(N(F169)&gt;0,ROUND(F169*N(E169),2),0))</f>
        <v/>
      </c>
      <c r="AB169" s="71">
        <f>IF(T169="",0,T169*N(E169))</f>
        <v>0.0</v>
      </c>
      <c r="AC169" s="71">
        <f>IF(T169="",0,R169*N(E169))</f>
        <v>0.0</v>
      </c>
      <c r="AD169" s="71">
        <f>IF(R169="",0,L169*N(E169))</f>
        <v>0.0</v>
      </c>
      <c r="AE169" s="71">
        <f>IF(R169="",0,M169*N(E169))</f>
        <v>0.0</v>
      </c>
      <c r="AF169" s="71">
        <f>IF(R169="",0,N169*N(E169))</f>
        <v>0.0</v>
      </c>
      <c r="AG169" s="71">
        <f>IF(R169="",0,O169*N(E169))</f>
        <v>0.0</v>
      </c>
      <c r="AH169" s="71">
        <f>IF(R169="",0,(N(G169)+N(H169)+N(I169)/D169)*N(E169))</f>
        <v>0.0</v>
      </c>
      <c r="AI169" s="71">
        <f>IF(R169="",0,P169*N(E169))</f>
        <v>0.0</v>
      </c>
      <c r="AJ169" s="71" t="str">
        <f>IF(AA169="","",COUNTIF(prod_ca,"&gt;"&amp;AA169)+COUNTIF(AA$6:AA169,AA169))</f>
        <v/>
      </c>
      <c r="AK169" s="71" t="str">
        <f>IF(OR(W169="Vendu à perte",W169="Sous la cible"),ROUND(U169,6),"")</f>
        <v/>
      </c>
      <c r="AL169" s="71" t="str">
        <f>IF(AK169="","",COUNTIF(prod_alk,"&lt;"&amp;AK169)+COUNTIF(AK$6:AK169,AK169))</f>
        <v/>
      </c>
    </row>
    <row r="170">
      <c r="A170" s="60" t="n"/>
      <c r="B170" s="60" t="n"/>
      <c r="C170" s="61" t="n"/>
      <c r="D170" s="62" t="n"/>
      <c r="E170" s="63" t="n"/>
      <c r="F170" s="64" t="n"/>
      <c r="G170" s="64" t="n"/>
      <c r="H170" s="64" t="n"/>
      <c r="I170" s="64" t="n"/>
      <c r="J170" s="65" t="n"/>
      <c r="K170" s="65" t="n"/>
      <c r="L170" s="66" t="str">
        <f>IF(X170="OK",SUMIF(bom_prod,A170,bom_cost),"")</f>
        <v/>
      </c>
      <c r="M170" s="66" t="str">
        <f>IF(X170="OK",SUMIF(gam_prod,A170,gam_mo),"")</f>
        <v/>
      </c>
      <c r="N170" s="66" t="str">
        <f>IF(X170="OK",SUMIF(gam_prod,A170,gam_mac),"")</f>
        <v/>
      </c>
      <c r="O170" s="66" t="str">
        <f>IF(X170="OK",SUMIF(gam_prod,A170,gam_setup)/D170,"")</f>
        <v/>
      </c>
      <c r="P170" s="66" t="str">
        <f>IF(X170="OK",(L170+M170+N170+O170+N(G170))*Y170,"")</f>
        <v/>
      </c>
      <c r="Q170" s="66" t="str">
        <f>IF(X170="OK",L170+M170+N170+O170+N(G170)+P170,"")</f>
        <v/>
      </c>
      <c r="R170" s="67" t="str">
        <f>IF(X170="OK",ROUND(Q170+N(H170)+N(I170)/D170,4),"")</f>
        <v/>
      </c>
      <c r="S170" s="66" t="str">
        <f>IF(X170="OK",ROUND(R170*(1+Z170),2),"")</f>
        <v/>
      </c>
      <c r="T170" s="66" t="str">
        <f>IF(AND(X170="OK",N(F170)&gt;0),F170-R170,"")</f>
        <v/>
      </c>
      <c r="U170" s="68" t="str">
        <f>IF(T170="","",IF(R170&lt;=0,"",T170/R170))</f>
        <v/>
      </c>
      <c r="V170" s="68" t="str">
        <f>IF(T170="","",T170/F170)</f>
        <v/>
      </c>
      <c r="W170" s="69" t="str">
        <f>IF(A170="","",IF(X170&lt;&gt;"OK","À corriger",IF(N(F170)&lt;=0,"Prix à saisir",IF(F170&lt;R170,"Vendu à perte",IF(F170&lt;S170,"Sous la cible","OK")))))</f>
        <v/>
      </c>
      <c r="X170" s="69" t="str">
        <f>IF(AND(A170="",COUNTA(B170:K170)=0),"",IF(A170="","Référence manquante",IF(COUNTIF($A$6:$A$305,A170)&gt;1,"Référence en double",IF(OR(NOT(ISNUMBER(D170)),N(D170)&lt;=0),"Taille de lot invalide",IF(AND(E170&lt;&gt;"",OR(NOT(ISNUMBER(E170)),N(E170)&lt;0)),"Volume annuel invalide",IF(AND(F170&lt;&gt;"",OR(NOT(ISNUMBER(F170)),N(F170)&lt;0)),"Prix de vente invalide",IF(OR(AND(G170&lt;&gt;"",OR(NOT(ISNUMBER(G170)),N(G170)&lt;0)),AND(H170&lt;&gt;"",OR(NOT(ISNUMBER(H170)),N(H170)&lt;0)),AND(I170&lt;&gt;"",OR(NOT(ISNUMBER(I170)),N(I170)&lt;0))),"Montant invalide",IF(OR(AND(J170&lt;&gt;"",OR(NOT(ISNUMBER(J170)),N(J170)&lt;0)),AND(K170&lt;&gt;"",OR(NOT(ISNUMBER(K170)),N(K170)&lt;0))),"Pourcentage invalide",IF(COUNTIF(bom_prod,A170)+COUNTIF(gam_prod,A170)=0,"Ni nomenclature ni gamme",IF(COUNTIFS(bom_prod,A170,bom_check,"&lt;&gt;OK")&gt;0,"Nomenclature à corriger",IF(COUNTIFS(gam_prod,A170,gam_check,"&lt;&gt;OK")&gt;0,"Gamme à corriger","OK")))))))))))</f>
        <v/>
      </c>
      <c r="Y170" s="70">
        <f>IF(J170="",N(p_fg),N(J170))</f>
        <v>0.15</v>
      </c>
      <c r="Z170" s="70">
        <f>IF(K170="",N(p_target),N(K170))</f>
        <v>0.25</v>
      </c>
      <c r="AA170" s="71" t="str">
        <f>IF(R170="","",IF(N(F170)&gt;0,ROUND(F170*N(E170),2),0))</f>
        <v/>
      </c>
      <c r="AB170" s="71">
        <f>IF(T170="",0,T170*N(E170))</f>
        <v>0.0</v>
      </c>
      <c r="AC170" s="71">
        <f>IF(T170="",0,R170*N(E170))</f>
        <v>0.0</v>
      </c>
      <c r="AD170" s="71">
        <f>IF(R170="",0,L170*N(E170))</f>
        <v>0.0</v>
      </c>
      <c r="AE170" s="71">
        <f>IF(R170="",0,M170*N(E170))</f>
        <v>0.0</v>
      </c>
      <c r="AF170" s="71">
        <f>IF(R170="",0,N170*N(E170))</f>
        <v>0.0</v>
      </c>
      <c r="AG170" s="71">
        <f>IF(R170="",0,O170*N(E170))</f>
        <v>0.0</v>
      </c>
      <c r="AH170" s="71">
        <f>IF(R170="",0,(N(G170)+N(H170)+N(I170)/D170)*N(E170))</f>
        <v>0.0</v>
      </c>
      <c r="AI170" s="71">
        <f>IF(R170="",0,P170*N(E170))</f>
        <v>0.0</v>
      </c>
      <c r="AJ170" s="71" t="str">
        <f>IF(AA170="","",COUNTIF(prod_ca,"&gt;"&amp;AA170)+COUNTIF(AA$6:AA170,AA170))</f>
        <v/>
      </c>
      <c r="AK170" s="71" t="str">
        <f>IF(OR(W170="Vendu à perte",W170="Sous la cible"),ROUND(U170,6),"")</f>
        <v/>
      </c>
      <c r="AL170" s="71" t="str">
        <f>IF(AK170="","",COUNTIF(prod_alk,"&lt;"&amp;AK170)+COUNTIF(AK$6:AK170,AK170))</f>
        <v/>
      </c>
    </row>
    <row r="171">
      <c r="A171" s="60" t="n"/>
      <c r="B171" s="60" t="n"/>
      <c r="C171" s="61" t="n"/>
      <c r="D171" s="62" t="n"/>
      <c r="E171" s="63" t="n"/>
      <c r="F171" s="64" t="n"/>
      <c r="G171" s="64" t="n"/>
      <c r="H171" s="64" t="n"/>
      <c r="I171" s="64" t="n"/>
      <c r="J171" s="65" t="n"/>
      <c r="K171" s="65" t="n"/>
      <c r="L171" s="66" t="str">
        <f>IF(X171="OK",SUMIF(bom_prod,A171,bom_cost),"")</f>
        <v/>
      </c>
      <c r="M171" s="66" t="str">
        <f>IF(X171="OK",SUMIF(gam_prod,A171,gam_mo),"")</f>
        <v/>
      </c>
      <c r="N171" s="66" t="str">
        <f>IF(X171="OK",SUMIF(gam_prod,A171,gam_mac),"")</f>
        <v/>
      </c>
      <c r="O171" s="66" t="str">
        <f>IF(X171="OK",SUMIF(gam_prod,A171,gam_setup)/D171,"")</f>
        <v/>
      </c>
      <c r="P171" s="66" t="str">
        <f>IF(X171="OK",(L171+M171+N171+O171+N(G171))*Y171,"")</f>
        <v/>
      </c>
      <c r="Q171" s="66" t="str">
        <f>IF(X171="OK",L171+M171+N171+O171+N(G171)+P171,"")</f>
        <v/>
      </c>
      <c r="R171" s="67" t="str">
        <f>IF(X171="OK",ROUND(Q171+N(H171)+N(I171)/D171,4),"")</f>
        <v/>
      </c>
      <c r="S171" s="66" t="str">
        <f>IF(X171="OK",ROUND(R171*(1+Z171),2),"")</f>
        <v/>
      </c>
      <c r="T171" s="66" t="str">
        <f>IF(AND(X171="OK",N(F171)&gt;0),F171-R171,"")</f>
        <v/>
      </c>
      <c r="U171" s="68" t="str">
        <f>IF(T171="","",IF(R171&lt;=0,"",T171/R171))</f>
        <v/>
      </c>
      <c r="V171" s="68" t="str">
        <f>IF(T171="","",T171/F171)</f>
        <v/>
      </c>
      <c r="W171" s="69" t="str">
        <f>IF(A171="","",IF(X171&lt;&gt;"OK","À corriger",IF(N(F171)&lt;=0,"Prix à saisir",IF(F171&lt;R171,"Vendu à perte",IF(F171&lt;S171,"Sous la cible","OK")))))</f>
        <v/>
      </c>
      <c r="X171" s="69" t="str">
        <f>IF(AND(A171="",COUNTA(B171:K171)=0),"",IF(A171="","Référence manquante",IF(COUNTIF($A$6:$A$305,A171)&gt;1,"Référence en double",IF(OR(NOT(ISNUMBER(D171)),N(D171)&lt;=0),"Taille de lot invalide",IF(AND(E171&lt;&gt;"",OR(NOT(ISNUMBER(E171)),N(E171)&lt;0)),"Volume annuel invalide",IF(AND(F171&lt;&gt;"",OR(NOT(ISNUMBER(F171)),N(F171)&lt;0)),"Prix de vente invalide",IF(OR(AND(G171&lt;&gt;"",OR(NOT(ISNUMBER(G171)),N(G171)&lt;0)),AND(H171&lt;&gt;"",OR(NOT(ISNUMBER(H171)),N(H171)&lt;0)),AND(I171&lt;&gt;"",OR(NOT(ISNUMBER(I171)),N(I171)&lt;0))),"Montant invalide",IF(OR(AND(J171&lt;&gt;"",OR(NOT(ISNUMBER(J171)),N(J171)&lt;0)),AND(K171&lt;&gt;"",OR(NOT(ISNUMBER(K171)),N(K171)&lt;0))),"Pourcentage invalide",IF(COUNTIF(bom_prod,A171)+COUNTIF(gam_prod,A171)=0,"Ni nomenclature ni gamme",IF(COUNTIFS(bom_prod,A171,bom_check,"&lt;&gt;OK")&gt;0,"Nomenclature à corriger",IF(COUNTIFS(gam_prod,A171,gam_check,"&lt;&gt;OK")&gt;0,"Gamme à corriger","OK")))))))))))</f>
        <v/>
      </c>
      <c r="Y171" s="70">
        <f>IF(J171="",N(p_fg),N(J171))</f>
        <v>0.15</v>
      </c>
      <c r="Z171" s="70">
        <f>IF(K171="",N(p_target),N(K171))</f>
        <v>0.25</v>
      </c>
      <c r="AA171" s="71" t="str">
        <f>IF(R171="","",IF(N(F171)&gt;0,ROUND(F171*N(E171),2),0))</f>
        <v/>
      </c>
      <c r="AB171" s="71">
        <f>IF(T171="",0,T171*N(E171))</f>
        <v>0.0</v>
      </c>
      <c r="AC171" s="71">
        <f>IF(T171="",0,R171*N(E171))</f>
        <v>0.0</v>
      </c>
      <c r="AD171" s="71">
        <f>IF(R171="",0,L171*N(E171))</f>
        <v>0.0</v>
      </c>
      <c r="AE171" s="71">
        <f>IF(R171="",0,M171*N(E171))</f>
        <v>0.0</v>
      </c>
      <c r="AF171" s="71">
        <f>IF(R171="",0,N171*N(E171))</f>
        <v>0.0</v>
      </c>
      <c r="AG171" s="71">
        <f>IF(R171="",0,O171*N(E171))</f>
        <v>0.0</v>
      </c>
      <c r="AH171" s="71">
        <f>IF(R171="",0,(N(G171)+N(H171)+N(I171)/D171)*N(E171))</f>
        <v>0.0</v>
      </c>
      <c r="AI171" s="71">
        <f>IF(R171="",0,P171*N(E171))</f>
        <v>0.0</v>
      </c>
      <c r="AJ171" s="71" t="str">
        <f>IF(AA171="","",COUNTIF(prod_ca,"&gt;"&amp;AA171)+COUNTIF(AA$6:AA171,AA171))</f>
        <v/>
      </c>
      <c r="AK171" s="71" t="str">
        <f>IF(OR(W171="Vendu à perte",W171="Sous la cible"),ROUND(U171,6),"")</f>
        <v/>
      </c>
      <c r="AL171" s="71" t="str">
        <f>IF(AK171="","",COUNTIF(prod_alk,"&lt;"&amp;AK171)+COUNTIF(AK$6:AK171,AK171))</f>
        <v/>
      </c>
    </row>
    <row r="172">
      <c r="A172" s="60" t="n"/>
      <c r="B172" s="60" t="n"/>
      <c r="C172" s="61" t="n"/>
      <c r="D172" s="62" t="n"/>
      <c r="E172" s="63" t="n"/>
      <c r="F172" s="64" t="n"/>
      <c r="G172" s="64" t="n"/>
      <c r="H172" s="64" t="n"/>
      <c r="I172" s="64" t="n"/>
      <c r="J172" s="65" t="n"/>
      <c r="K172" s="65" t="n"/>
      <c r="L172" s="66" t="str">
        <f>IF(X172="OK",SUMIF(bom_prod,A172,bom_cost),"")</f>
        <v/>
      </c>
      <c r="M172" s="66" t="str">
        <f>IF(X172="OK",SUMIF(gam_prod,A172,gam_mo),"")</f>
        <v/>
      </c>
      <c r="N172" s="66" t="str">
        <f>IF(X172="OK",SUMIF(gam_prod,A172,gam_mac),"")</f>
        <v/>
      </c>
      <c r="O172" s="66" t="str">
        <f>IF(X172="OK",SUMIF(gam_prod,A172,gam_setup)/D172,"")</f>
        <v/>
      </c>
      <c r="P172" s="66" t="str">
        <f>IF(X172="OK",(L172+M172+N172+O172+N(G172))*Y172,"")</f>
        <v/>
      </c>
      <c r="Q172" s="66" t="str">
        <f>IF(X172="OK",L172+M172+N172+O172+N(G172)+P172,"")</f>
        <v/>
      </c>
      <c r="R172" s="67" t="str">
        <f>IF(X172="OK",ROUND(Q172+N(H172)+N(I172)/D172,4),"")</f>
        <v/>
      </c>
      <c r="S172" s="66" t="str">
        <f>IF(X172="OK",ROUND(R172*(1+Z172),2),"")</f>
        <v/>
      </c>
      <c r="T172" s="66" t="str">
        <f>IF(AND(X172="OK",N(F172)&gt;0),F172-R172,"")</f>
        <v/>
      </c>
      <c r="U172" s="68" t="str">
        <f>IF(T172="","",IF(R172&lt;=0,"",T172/R172))</f>
        <v/>
      </c>
      <c r="V172" s="68" t="str">
        <f>IF(T172="","",T172/F172)</f>
        <v/>
      </c>
      <c r="W172" s="69" t="str">
        <f>IF(A172="","",IF(X172&lt;&gt;"OK","À corriger",IF(N(F172)&lt;=0,"Prix à saisir",IF(F172&lt;R172,"Vendu à perte",IF(F172&lt;S172,"Sous la cible","OK")))))</f>
        <v/>
      </c>
      <c r="X172" s="69" t="str">
        <f>IF(AND(A172="",COUNTA(B172:K172)=0),"",IF(A172="","Référence manquante",IF(COUNTIF($A$6:$A$305,A172)&gt;1,"Référence en double",IF(OR(NOT(ISNUMBER(D172)),N(D172)&lt;=0),"Taille de lot invalide",IF(AND(E172&lt;&gt;"",OR(NOT(ISNUMBER(E172)),N(E172)&lt;0)),"Volume annuel invalide",IF(AND(F172&lt;&gt;"",OR(NOT(ISNUMBER(F172)),N(F172)&lt;0)),"Prix de vente invalide",IF(OR(AND(G172&lt;&gt;"",OR(NOT(ISNUMBER(G172)),N(G172)&lt;0)),AND(H172&lt;&gt;"",OR(NOT(ISNUMBER(H172)),N(H172)&lt;0)),AND(I172&lt;&gt;"",OR(NOT(ISNUMBER(I172)),N(I172)&lt;0))),"Montant invalide",IF(OR(AND(J172&lt;&gt;"",OR(NOT(ISNUMBER(J172)),N(J172)&lt;0)),AND(K172&lt;&gt;"",OR(NOT(ISNUMBER(K172)),N(K172)&lt;0))),"Pourcentage invalide",IF(COUNTIF(bom_prod,A172)+COUNTIF(gam_prod,A172)=0,"Ni nomenclature ni gamme",IF(COUNTIFS(bom_prod,A172,bom_check,"&lt;&gt;OK")&gt;0,"Nomenclature à corriger",IF(COUNTIFS(gam_prod,A172,gam_check,"&lt;&gt;OK")&gt;0,"Gamme à corriger","OK")))))))))))</f>
        <v/>
      </c>
      <c r="Y172" s="70">
        <f>IF(J172="",N(p_fg),N(J172))</f>
        <v>0.15</v>
      </c>
      <c r="Z172" s="70">
        <f>IF(K172="",N(p_target),N(K172))</f>
        <v>0.25</v>
      </c>
      <c r="AA172" s="71" t="str">
        <f>IF(R172="","",IF(N(F172)&gt;0,ROUND(F172*N(E172),2),0))</f>
        <v/>
      </c>
      <c r="AB172" s="71">
        <f>IF(T172="",0,T172*N(E172))</f>
        <v>0.0</v>
      </c>
      <c r="AC172" s="71">
        <f>IF(T172="",0,R172*N(E172))</f>
        <v>0.0</v>
      </c>
      <c r="AD172" s="71">
        <f>IF(R172="",0,L172*N(E172))</f>
        <v>0.0</v>
      </c>
      <c r="AE172" s="71">
        <f>IF(R172="",0,M172*N(E172))</f>
        <v>0.0</v>
      </c>
      <c r="AF172" s="71">
        <f>IF(R172="",0,N172*N(E172))</f>
        <v>0.0</v>
      </c>
      <c r="AG172" s="71">
        <f>IF(R172="",0,O172*N(E172))</f>
        <v>0.0</v>
      </c>
      <c r="AH172" s="71">
        <f>IF(R172="",0,(N(G172)+N(H172)+N(I172)/D172)*N(E172))</f>
        <v>0.0</v>
      </c>
      <c r="AI172" s="71">
        <f>IF(R172="",0,P172*N(E172))</f>
        <v>0.0</v>
      </c>
      <c r="AJ172" s="71" t="str">
        <f>IF(AA172="","",COUNTIF(prod_ca,"&gt;"&amp;AA172)+COUNTIF(AA$6:AA172,AA172))</f>
        <v/>
      </c>
      <c r="AK172" s="71" t="str">
        <f>IF(OR(W172="Vendu à perte",W172="Sous la cible"),ROUND(U172,6),"")</f>
        <v/>
      </c>
      <c r="AL172" s="71" t="str">
        <f>IF(AK172="","",COUNTIF(prod_alk,"&lt;"&amp;AK172)+COUNTIF(AK$6:AK172,AK172))</f>
        <v/>
      </c>
    </row>
    <row r="173">
      <c r="A173" s="60" t="n"/>
      <c r="B173" s="60" t="n"/>
      <c r="C173" s="61" t="n"/>
      <c r="D173" s="62" t="n"/>
      <c r="E173" s="63" t="n"/>
      <c r="F173" s="64" t="n"/>
      <c r="G173" s="64" t="n"/>
      <c r="H173" s="64" t="n"/>
      <c r="I173" s="64" t="n"/>
      <c r="J173" s="65" t="n"/>
      <c r="K173" s="65" t="n"/>
      <c r="L173" s="66" t="str">
        <f>IF(X173="OK",SUMIF(bom_prod,A173,bom_cost),"")</f>
        <v/>
      </c>
      <c r="M173" s="66" t="str">
        <f>IF(X173="OK",SUMIF(gam_prod,A173,gam_mo),"")</f>
        <v/>
      </c>
      <c r="N173" s="66" t="str">
        <f>IF(X173="OK",SUMIF(gam_prod,A173,gam_mac),"")</f>
        <v/>
      </c>
      <c r="O173" s="66" t="str">
        <f>IF(X173="OK",SUMIF(gam_prod,A173,gam_setup)/D173,"")</f>
        <v/>
      </c>
      <c r="P173" s="66" t="str">
        <f>IF(X173="OK",(L173+M173+N173+O173+N(G173))*Y173,"")</f>
        <v/>
      </c>
      <c r="Q173" s="66" t="str">
        <f>IF(X173="OK",L173+M173+N173+O173+N(G173)+P173,"")</f>
        <v/>
      </c>
      <c r="R173" s="67" t="str">
        <f>IF(X173="OK",ROUND(Q173+N(H173)+N(I173)/D173,4),"")</f>
        <v/>
      </c>
      <c r="S173" s="66" t="str">
        <f>IF(X173="OK",ROUND(R173*(1+Z173),2),"")</f>
        <v/>
      </c>
      <c r="T173" s="66" t="str">
        <f>IF(AND(X173="OK",N(F173)&gt;0),F173-R173,"")</f>
        <v/>
      </c>
      <c r="U173" s="68" t="str">
        <f>IF(T173="","",IF(R173&lt;=0,"",T173/R173))</f>
        <v/>
      </c>
      <c r="V173" s="68" t="str">
        <f>IF(T173="","",T173/F173)</f>
        <v/>
      </c>
      <c r="W173" s="69" t="str">
        <f>IF(A173="","",IF(X173&lt;&gt;"OK","À corriger",IF(N(F173)&lt;=0,"Prix à saisir",IF(F173&lt;R173,"Vendu à perte",IF(F173&lt;S173,"Sous la cible","OK")))))</f>
        <v/>
      </c>
      <c r="X173" s="69" t="str">
        <f>IF(AND(A173="",COUNTA(B173:K173)=0),"",IF(A173="","Référence manquante",IF(COUNTIF($A$6:$A$305,A173)&gt;1,"Référence en double",IF(OR(NOT(ISNUMBER(D173)),N(D173)&lt;=0),"Taille de lot invalide",IF(AND(E173&lt;&gt;"",OR(NOT(ISNUMBER(E173)),N(E173)&lt;0)),"Volume annuel invalide",IF(AND(F173&lt;&gt;"",OR(NOT(ISNUMBER(F173)),N(F173)&lt;0)),"Prix de vente invalide",IF(OR(AND(G173&lt;&gt;"",OR(NOT(ISNUMBER(G173)),N(G173)&lt;0)),AND(H173&lt;&gt;"",OR(NOT(ISNUMBER(H173)),N(H173)&lt;0)),AND(I173&lt;&gt;"",OR(NOT(ISNUMBER(I173)),N(I173)&lt;0))),"Montant invalide",IF(OR(AND(J173&lt;&gt;"",OR(NOT(ISNUMBER(J173)),N(J173)&lt;0)),AND(K173&lt;&gt;"",OR(NOT(ISNUMBER(K173)),N(K173)&lt;0))),"Pourcentage invalide",IF(COUNTIF(bom_prod,A173)+COUNTIF(gam_prod,A173)=0,"Ni nomenclature ni gamme",IF(COUNTIFS(bom_prod,A173,bom_check,"&lt;&gt;OK")&gt;0,"Nomenclature à corriger",IF(COUNTIFS(gam_prod,A173,gam_check,"&lt;&gt;OK")&gt;0,"Gamme à corriger","OK")))))))))))</f>
        <v/>
      </c>
      <c r="Y173" s="70">
        <f>IF(J173="",N(p_fg),N(J173))</f>
        <v>0.15</v>
      </c>
      <c r="Z173" s="70">
        <f>IF(K173="",N(p_target),N(K173))</f>
        <v>0.25</v>
      </c>
      <c r="AA173" s="71" t="str">
        <f>IF(R173="","",IF(N(F173)&gt;0,ROUND(F173*N(E173),2),0))</f>
        <v/>
      </c>
      <c r="AB173" s="71">
        <f>IF(T173="",0,T173*N(E173))</f>
        <v>0.0</v>
      </c>
      <c r="AC173" s="71">
        <f>IF(T173="",0,R173*N(E173))</f>
        <v>0.0</v>
      </c>
      <c r="AD173" s="71">
        <f>IF(R173="",0,L173*N(E173))</f>
        <v>0.0</v>
      </c>
      <c r="AE173" s="71">
        <f>IF(R173="",0,M173*N(E173))</f>
        <v>0.0</v>
      </c>
      <c r="AF173" s="71">
        <f>IF(R173="",0,N173*N(E173))</f>
        <v>0.0</v>
      </c>
      <c r="AG173" s="71">
        <f>IF(R173="",0,O173*N(E173))</f>
        <v>0.0</v>
      </c>
      <c r="AH173" s="71">
        <f>IF(R173="",0,(N(G173)+N(H173)+N(I173)/D173)*N(E173))</f>
        <v>0.0</v>
      </c>
      <c r="AI173" s="71">
        <f>IF(R173="",0,P173*N(E173))</f>
        <v>0.0</v>
      </c>
      <c r="AJ173" s="71" t="str">
        <f>IF(AA173="","",COUNTIF(prod_ca,"&gt;"&amp;AA173)+COUNTIF(AA$6:AA173,AA173))</f>
        <v/>
      </c>
      <c r="AK173" s="71" t="str">
        <f>IF(OR(W173="Vendu à perte",W173="Sous la cible"),ROUND(U173,6),"")</f>
        <v/>
      </c>
      <c r="AL173" s="71" t="str">
        <f>IF(AK173="","",COUNTIF(prod_alk,"&lt;"&amp;AK173)+COUNTIF(AK$6:AK173,AK173))</f>
        <v/>
      </c>
    </row>
    <row r="174">
      <c r="A174" s="60" t="n"/>
      <c r="B174" s="60" t="n"/>
      <c r="C174" s="61" t="n"/>
      <c r="D174" s="62" t="n"/>
      <c r="E174" s="63" t="n"/>
      <c r="F174" s="64" t="n"/>
      <c r="G174" s="64" t="n"/>
      <c r="H174" s="64" t="n"/>
      <c r="I174" s="64" t="n"/>
      <c r="J174" s="65" t="n"/>
      <c r="K174" s="65" t="n"/>
      <c r="L174" s="66" t="str">
        <f>IF(X174="OK",SUMIF(bom_prod,A174,bom_cost),"")</f>
        <v/>
      </c>
      <c r="M174" s="66" t="str">
        <f>IF(X174="OK",SUMIF(gam_prod,A174,gam_mo),"")</f>
        <v/>
      </c>
      <c r="N174" s="66" t="str">
        <f>IF(X174="OK",SUMIF(gam_prod,A174,gam_mac),"")</f>
        <v/>
      </c>
      <c r="O174" s="66" t="str">
        <f>IF(X174="OK",SUMIF(gam_prod,A174,gam_setup)/D174,"")</f>
        <v/>
      </c>
      <c r="P174" s="66" t="str">
        <f>IF(X174="OK",(L174+M174+N174+O174+N(G174))*Y174,"")</f>
        <v/>
      </c>
      <c r="Q174" s="66" t="str">
        <f>IF(X174="OK",L174+M174+N174+O174+N(G174)+P174,"")</f>
        <v/>
      </c>
      <c r="R174" s="67" t="str">
        <f>IF(X174="OK",ROUND(Q174+N(H174)+N(I174)/D174,4),"")</f>
        <v/>
      </c>
      <c r="S174" s="66" t="str">
        <f>IF(X174="OK",ROUND(R174*(1+Z174),2),"")</f>
        <v/>
      </c>
      <c r="T174" s="66" t="str">
        <f>IF(AND(X174="OK",N(F174)&gt;0),F174-R174,"")</f>
        <v/>
      </c>
      <c r="U174" s="68" t="str">
        <f>IF(T174="","",IF(R174&lt;=0,"",T174/R174))</f>
        <v/>
      </c>
      <c r="V174" s="68" t="str">
        <f>IF(T174="","",T174/F174)</f>
        <v/>
      </c>
      <c r="W174" s="69" t="str">
        <f>IF(A174="","",IF(X174&lt;&gt;"OK","À corriger",IF(N(F174)&lt;=0,"Prix à saisir",IF(F174&lt;R174,"Vendu à perte",IF(F174&lt;S174,"Sous la cible","OK")))))</f>
        <v/>
      </c>
      <c r="X174" s="69" t="str">
        <f>IF(AND(A174="",COUNTA(B174:K174)=0),"",IF(A174="","Référence manquante",IF(COUNTIF($A$6:$A$305,A174)&gt;1,"Référence en double",IF(OR(NOT(ISNUMBER(D174)),N(D174)&lt;=0),"Taille de lot invalide",IF(AND(E174&lt;&gt;"",OR(NOT(ISNUMBER(E174)),N(E174)&lt;0)),"Volume annuel invalide",IF(AND(F174&lt;&gt;"",OR(NOT(ISNUMBER(F174)),N(F174)&lt;0)),"Prix de vente invalide",IF(OR(AND(G174&lt;&gt;"",OR(NOT(ISNUMBER(G174)),N(G174)&lt;0)),AND(H174&lt;&gt;"",OR(NOT(ISNUMBER(H174)),N(H174)&lt;0)),AND(I174&lt;&gt;"",OR(NOT(ISNUMBER(I174)),N(I174)&lt;0))),"Montant invalide",IF(OR(AND(J174&lt;&gt;"",OR(NOT(ISNUMBER(J174)),N(J174)&lt;0)),AND(K174&lt;&gt;"",OR(NOT(ISNUMBER(K174)),N(K174)&lt;0))),"Pourcentage invalide",IF(COUNTIF(bom_prod,A174)+COUNTIF(gam_prod,A174)=0,"Ni nomenclature ni gamme",IF(COUNTIFS(bom_prod,A174,bom_check,"&lt;&gt;OK")&gt;0,"Nomenclature à corriger",IF(COUNTIFS(gam_prod,A174,gam_check,"&lt;&gt;OK")&gt;0,"Gamme à corriger","OK")))))))))))</f>
        <v/>
      </c>
      <c r="Y174" s="70">
        <f>IF(J174="",N(p_fg),N(J174))</f>
        <v>0.15</v>
      </c>
      <c r="Z174" s="70">
        <f>IF(K174="",N(p_target),N(K174))</f>
        <v>0.25</v>
      </c>
      <c r="AA174" s="71" t="str">
        <f>IF(R174="","",IF(N(F174)&gt;0,ROUND(F174*N(E174),2),0))</f>
        <v/>
      </c>
      <c r="AB174" s="71">
        <f>IF(T174="",0,T174*N(E174))</f>
        <v>0.0</v>
      </c>
      <c r="AC174" s="71">
        <f>IF(T174="",0,R174*N(E174))</f>
        <v>0.0</v>
      </c>
      <c r="AD174" s="71">
        <f>IF(R174="",0,L174*N(E174))</f>
        <v>0.0</v>
      </c>
      <c r="AE174" s="71">
        <f>IF(R174="",0,M174*N(E174))</f>
        <v>0.0</v>
      </c>
      <c r="AF174" s="71">
        <f>IF(R174="",0,N174*N(E174))</f>
        <v>0.0</v>
      </c>
      <c r="AG174" s="71">
        <f>IF(R174="",0,O174*N(E174))</f>
        <v>0.0</v>
      </c>
      <c r="AH174" s="71">
        <f>IF(R174="",0,(N(G174)+N(H174)+N(I174)/D174)*N(E174))</f>
        <v>0.0</v>
      </c>
      <c r="AI174" s="71">
        <f>IF(R174="",0,P174*N(E174))</f>
        <v>0.0</v>
      </c>
      <c r="AJ174" s="71" t="str">
        <f>IF(AA174="","",COUNTIF(prod_ca,"&gt;"&amp;AA174)+COUNTIF(AA$6:AA174,AA174))</f>
        <v/>
      </c>
      <c r="AK174" s="71" t="str">
        <f>IF(OR(W174="Vendu à perte",W174="Sous la cible"),ROUND(U174,6),"")</f>
        <v/>
      </c>
      <c r="AL174" s="71" t="str">
        <f>IF(AK174="","",COUNTIF(prod_alk,"&lt;"&amp;AK174)+COUNTIF(AK$6:AK174,AK174))</f>
        <v/>
      </c>
    </row>
    <row r="175">
      <c r="A175" s="60" t="n"/>
      <c r="B175" s="60" t="n"/>
      <c r="C175" s="61" t="n"/>
      <c r="D175" s="62" t="n"/>
      <c r="E175" s="63" t="n"/>
      <c r="F175" s="64" t="n"/>
      <c r="G175" s="64" t="n"/>
      <c r="H175" s="64" t="n"/>
      <c r="I175" s="64" t="n"/>
      <c r="J175" s="65" t="n"/>
      <c r="K175" s="65" t="n"/>
      <c r="L175" s="66" t="str">
        <f>IF(X175="OK",SUMIF(bom_prod,A175,bom_cost),"")</f>
        <v/>
      </c>
      <c r="M175" s="66" t="str">
        <f>IF(X175="OK",SUMIF(gam_prod,A175,gam_mo),"")</f>
        <v/>
      </c>
      <c r="N175" s="66" t="str">
        <f>IF(X175="OK",SUMIF(gam_prod,A175,gam_mac),"")</f>
        <v/>
      </c>
      <c r="O175" s="66" t="str">
        <f>IF(X175="OK",SUMIF(gam_prod,A175,gam_setup)/D175,"")</f>
        <v/>
      </c>
      <c r="P175" s="66" t="str">
        <f>IF(X175="OK",(L175+M175+N175+O175+N(G175))*Y175,"")</f>
        <v/>
      </c>
      <c r="Q175" s="66" t="str">
        <f>IF(X175="OK",L175+M175+N175+O175+N(G175)+P175,"")</f>
        <v/>
      </c>
      <c r="R175" s="67" t="str">
        <f>IF(X175="OK",ROUND(Q175+N(H175)+N(I175)/D175,4),"")</f>
        <v/>
      </c>
      <c r="S175" s="66" t="str">
        <f>IF(X175="OK",ROUND(R175*(1+Z175),2),"")</f>
        <v/>
      </c>
      <c r="T175" s="66" t="str">
        <f>IF(AND(X175="OK",N(F175)&gt;0),F175-R175,"")</f>
        <v/>
      </c>
      <c r="U175" s="68" t="str">
        <f>IF(T175="","",IF(R175&lt;=0,"",T175/R175))</f>
        <v/>
      </c>
      <c r="V175" s="68" t="str">
        <f>IF(T175="","",T175/F175)</f>
        <v/>
      </c>
      <c r="W175" s="69" t="str">
        <f>IF(A175="","",IF(X175&lt;&gt;"OK","À corriger",IF(N(F175)&lt;=0,"Prix à saisir",IF(F175&lt;R175,"Vendu à perte",IF(F175&lt;S175,"Sous la cible","OK")))))</f>
        <v/>
      </c>
      <c r="X175" s="69" t="str">
        <f>IF(AND(A175="",COUNTA(B175:K175)=0),"",IF(A175="","Référence manquante",IF(COUNTIF($A$6:$A$305,A175)&gt;1,"Référence en double",IF(OR(NOT(ISNUMBER(D175)),N(D175)&lt;=0),"Taille de lot invalide",IF(AND(E175&lt;&gt;"",OR(NOT(ISNUMBER(E175)),N(E175)&lt;0)),"Volume annuel invalide",IF(AND(F175&lt;&gt;"",OR(NOT(ISNUMBER(F175)),N(F175)&lt;0)),"Prix de vente invalide",IF(OR(AND(G175&lt;&gt;"",OR(NOT(ISNUMBER(G175)),N(G175)&lt;0)),AND(H175&lt;&gt;"",OR(NOT(ISNUMBER(H175)),N(H175)&lt;0)),AND(I175&lt;&gt;"",OR(NOT(ISNUMBER(I175)),N(I175)&lt;0))),"Montant invalide",IF(OR(AND(J175&lt;&gt;"",OR(NOT(ISNUMBER(J175)),N(J175)&lt;0)),AND(K175&lt;&gt;"",OR(NOT(ISNUMBER(K175)),N(K175)&lt;0))),"Pourcentage invalide",IF(COUNTIF(bom_prod,A175)+COUNTIF(gam_prod,A175)=0,"Ni nomenclature ni gamme",IF(COUNTIFS(bom_prod,A175,bom_check,"&lt;&gt;OK")&gt;0,"Nomenclature à corriger",IF(COUNTIFS(gam_prod,A175,gam_check,"&lt;&gt;OK")&gt;0,"Gamme à corriger","OK")))))))))))</f>
        <v/>
      </c>
      <c r="Y175" s="70">
        <f>IF(J175="",N(p_fg),N(J175))</f>
        <v>0.15</v>
      </c>
      <c r="Z175" s="70">
        <f>IF(K175="",N(p_target),N(K175))</f>
        <v>0.25</v>
      </c>
      <c r="AA175" s="71" t="str">
        <f>IF(R175="","",IF(N(F175)&gt;0,ROUND(F175*N(E175),2),0))</f>
        <v/>
      </c>
      <c r="AB175" s="71">
        <f>IF(T175="",0,T175*N(E175))</f>
        <v>0.0</v>
      </c>
      <c r="AC175" s="71">
        <f>IF(T175="",0,R175*N(E175))</f>
        <v>0.0</v>
      </c>
      <c r="AD175" s="71">
        <f>IF(R175="",0,L175*N(E175))</f>
        <v>0.0</v>
      </c>
      <c r="AE175" s="71">
        <f>IF(R175="",0,M175*N(E175))</f>
        <v>0.0</v>
      </c>
      <c r="AF175" s="71">
        <f>IF(R175="",0,N175*N(E175))</f>
        <v>0.0</v>
      </c>
      <c r="AG175" s="71">
        <f>IF(R175="",0,O175*N(E175))</f>
        <v>0.0</v>
      </c>
      <c r="AH175" s="71">
        <f>IF(R175="",0,(N(G175)+N(H175)+N(I175)/D175)*N(E175))</f>
        <v>0.0</v>
      </c>
      <c r="AI175" s="71">
        <f>IF(R175="",0,P175*N(E175))</f>
        <v>0.0</v>
      </c>
      <c r="AJ175" s="71" t="str">
        <f>IF(AA175="","",COUNTIF(prod_ca,"&gt;"&amp;AA175)+COUNTIF(AA$6:AA175,AA175))</f>
        <v/>
      </c>
      <c r="AK175" s="71" t="str">
        <f>IF(OR(W175="Vendu à perte",W175="Sous la cible"),ROUND(U175,6),"")</f>
        <v/>
      </c>
      <c r="AL175" s="71" t="str">
        <f>IF(AK175="","",COUNTIF(prod_alk,"&lt;"&amp;AK175)+COUNTIF(AK$6:AK175,AK175))</f>
        <v/>
      </c>
    </row>
    <row r="176">
      <c r="A176" s="60" t="n"/>
      <c r="B176" s="60" t="n"/>
      <c r="C176" s="61" t="n"/>
      <c r="D176" s="62" t="n"/>
      <c r="E176" s="63" t="n"/>
      <c r="F176" s="64" t="n"/>
      <c r="G176" s="64" t="n"/>
      <c r="H176" s="64" t="n"/>
      <c r="I176" s="64" t="n"/>
      <c r="J176" s="65" t="n"/>
      <c r="K176" s="65" t="n"/>
      <c r="L176" s="66" t="str">
        <f>IF(X176="OK",SUMIF(bom_prod,A176,bom_cost),"")</f>
        <v/>
      </c>
      <c r="M176" s="66" t="str">
        <f>IF(X176="OK",SUMIF(gam_prod,A176,gam_mo),"")</f>
        <v/>
      </c>
      <c r="N176" s="66" t="str">
        <f>IF(X176="OK",SUMIF(gam_prod,A176,gam_mac),"")</f>
        <v/>
      </c>
      <c r="O176" s="66" t="str">
        <f>IF(X176="OK",SUMIF(gam_prod,A176,gam_setup)/D176,"")</f>
        <v/>
      </c>
      <c r="P176" s="66" t="str">
        <f>IF(X176="OK",(L176+M176+N176+O176+N(G176))*Y176,"")</f>
        <v/>
      </c>
      <c r="Q176" s="66" t="str">
        <f>IF(X176="OK",L176+M176+N176+O176+N(G176)+P176,"")</f>
        <v/>
      </c>
      <c r="R176" s="67" t="str">
        <f>IF(X176="OK",ROUND(Q176+N(H176)+N(I176)/D176,4),"")</f>
        <v/>
      </c>
      <c r="S176" s="66" t="str">
        <f>IF(X176="OK",ROUND(R176*(1+Z176),2),"")</f>
        <v/>
      </c>
      <c r="T176" s="66" t="str">
        <f>IF(AND(X176="OK",N(F176)&gt;0),F176-R176,"")</f>
        <v/>
      </c>
      <c r="U176" s="68" t="str">
        <f>IF(T176="","",IF(R176&lt;=0,"",T176/R176))</f>
        <v/>
      </c>
      <c r="V176" s="68" t="str">
        <f>IF(T176="","",T176/F176)</f>
        <v/>
      </c>
      <c r="W176" s="69" t="str">
        <f>IF(A176="","",IF(X176&lt;&gt;"OK","À corriger",IF(N(F176)&lt;=0,"Prix à saisir",IF(F176&lt;R176,"Vendu à perte",IF(F176&lt;S176,"Sous la cible","OK")))))</f>
        <v/>
      </c>
      <c r="X176" s="69" t="str">
        <f>IF(AND(A176="",COUNTA(B176:K176)=0),"",IF(A176="","Référence manquante",IF(COUNTIF($A$6:$A$305,A176)&gt;1,"Référence en double",IF(OR(NOT(ISNUMBER(D176)),N(D176)&lt;=0),"Taille de lot invalide",IF(AND(E176&lt;&gt;"",OR(NOT(ISNUMBER(E176)),N(E176)&lt;0)),"Volume annuel invalide",IF(AND(F176&lt;&gt;"",OR(NOT(ISNUMBER(F176)),N(F176)&lt;0)),"Prix de vente invalide",IF(OR(AND(G176&lt;&gt;"",OR(NOT(ISNUMBER(G176)),N(G176)&lt;0)),AND(H176&lt;&gt;"",OR(NOT(ISNUMBER(H176)),N(H176)&lt;0)),AND(I176&lt;&gt;"",OR(NOT(ISNUMBER(I176)),N(I176)&lt;0))),"Montant invalide",IF(OR(AND(J176&lt;&gt;"",OR(NOT(ISNUMBER(J176)),N(J176)&lt;0)),AND(K176&lt;&gt;"",OR(NOT(ISNUMBER(K176)),N(K176)&lt;0))),"Pourcentage invalide",IF(COUNTIF(bom_prod,A176)+COUNTIF(gam_prod,A176)=0,"Ni nomenclature ni gamme",IF(COUNTIFS(bom_prod,A176,bom_check,"&lt;&gt;OK")&gt;0,"Nomenclature à corriger",IF(COUNTIFS(gam_prod,A176,gam_check,"&lt;&gt;OK")&gt;0,"Gamme à corriger","OK")))))))))))</f>
        <v/>
      </c>
      <c r="Y176" s="70">
        <f>IF(J176="",N(p_fg),N(J176))</f>
        <v>0.15</v>
      </c>
      <c r="Z176" s="70">
        <f>IF(K176="",N(p_target),N(K176))</f>
        <v>0.25</v>
      </c>
      <c r="AA176" s="71" t="str">
        <f>IF(R176="","",IF(N(F176)&gt;0,ROUND(F176*N(E176),2),0))</f>
        <v/>
      </c>
      <c r="AB176" s="71">
        <f>IF(T176="",0,T176*N(E176))</f>
        <v>0.0</v>
      </c>
      <c r="AC176" s="71">
        <f>IF(T176="",0,R176*N(E176))</f>
        <v>0.0</v>
      </c>
      <c r="AD176" s="71">
        <f>IF(R176="",0,L176*N(E176))</f>
        <v>0.0</v>
      </c>
      <c r="AE176" s="71">
        <f>IF(R176="",0,M176*N(E176))</f>
        <v>0.0</v>
      </c>
      <c r="AF176" s="71">
        <f>IF(R176="",0,N176*N(E176))</f>
        <v>0.0</v>
      </c>
      <c r="AG176" s="71">
        <f>IF(R176="",0,O176*N(E176))</f>
        <v>0.0</v>
      </c>
      <c r="AH176" s="71">
        <f>IF(R176="",0,(N(G176)+N(H176)+N(I176)/D176)*N(E176))</f>
        <v>0.0</v>
      </c>
      <c r="AI176" s="71">
        <f>IF(R176="",0,P176*N(E176))</f>
        <v>0.0</v>
      </c>
      <c r="AJ176" s="71" t="str">
        <f>IF(AA176="","",COUNTIF(prod_ca,"&gt;"&amp;AA176)+COUNTIF(AA$6:AA176,AA176))</f>
        <v/>
      </c>
      <c r="AK176" s="71" t="str">
        <f>IF(OR(W176="Vendu à perte",W176="Sous la cible"),ROUND(U176,6),"")</f>
        <v/>
      </c>
      <c r="AL176" s="71" t="str">
        <f>IF(AK176="","",COUNTIF(prod_alk,"&lt;"&amp;AK176)+COUNTIF(AK$6:AK176,AK176))</f>
        <v/>
      </c>
    </row>
    <row r="177">
      <c r="A177" s="60" t="n"/>
      <c r="B177" s="60" t="n"/>
      <c r="C177" s="61" t="n"/>
      <c r="D177" s="62" t="n"/>
      <c r="E177" s="63" t="n"/>
      <c r="F177" s="64" t="n"/>
      <c r="G177" s="64" t="n"/>
      <c r="H177" s="64" t="n"/>
      <c r="I177" s="64" t="n"/>
      <c r="J177" s="65" t="n"/>
      <c r="K177" s="65" t="n"/>
      <c r="L177" s="66" t="str">
        <f>IF(X177="OK",SUMIF(bom_prod,A177,bom_cost),"")</f>
        <v/>
      </c>
      <c r="M177" s="66" t="str">
        <f>IF(X177="OK",SUMIF(gam_prod,A177,gam_mo),"")</f>
        <v/>
      </c>
      <c r="N177" s="66" t="str">
        <f>IF(X177="OK",SUMIF(gam_prod,A177,gam_mac),"")</f>
        <v/>
      </c>
      <c r="O177" s="66" t="str">
        <f>IF(X177="OK",SUMIF(gam_prod,A177,gam_setup)/D177,"")</f>
        <v/>
      </c>
      <c r="P177" s="66" t="str">
        <f>IF(X177="OK",(L177+M177+N177+O177+N(G177))*Y177,"")</f>
        <v/>
      </c>
      <c r="Q177" s="66" t="str">
        <f>IF(X177="OK",L177+M177+N177+O177+N(G177)+P177,"")</f>
        <v/>
      </c>
      <c r="R177" s="67" t="str">
        <f>IF(X177="OK",ROUND(Q177+N(H177)+N(I177)/D177,4),"")</f>
        <v/>
      </c>
      <c r="S177" s="66" t="str">
        <f>IF(X177="OK",ROUND(R177*(1+Z177),2),"")</f>
        <v/>
      </c>
      <c r="T177" s="66" t="str">
        <f>IF(AND(X177="OK",N(F177)&gt;0),F177-R177,"")</f>
        <v/>
      </c>
      <c r="U177" s="68" t="str">
        <f>IF(T177="","",IF(R177&lt;=0,"",T177/R177))</f>
        <v/>
      </c>
      <c r="V177" s="68" t="str">
        <f>IF(T177="","",T177/F177)</f>
        <v/>
      </c>
      <c r="W177" s="69" t="str">
        <f>IF(A177="","",IF(X177&lt;&gt;"OK","À corriger",IF(N(F177)&lt;=0,"Prix à saisir",IF(F177&lt;R177,"Vendu à perte",IF(F177&lt;S177,"Sous la cible","OK")))))</f>
        <v/>
      </c>
      <c r="X177" s="69" t="str">
        <f>IF(AND(A177="",COUNTA(B177:K177)=0),"",IF(A177="","Référence manquante",IF(COUNTIF($A$6:$A$305,A177)&gt;1,"Référence en double",IF(OR(NOT(ISNUMBER(D177)),N(D177)&lt;=0),"Taille de lot invalide",IF(AND(E177&lt;&gt;"",OR(NOT(ISNUMBER(E177)),N(E177)&lt;0)),"Volume annuel invalide",IF(AND(F177&lt;&gt;"",OR(NOT(ISNUMBER(F177)),N(F177)&lt;0)),"Prix de vente invalide",IF(OR(AND(G177&lt;&gt;"",OR(NOT(ISNUMBER(G177)),N(G177)&lt;0)),AND(H177&lt;&gt;"",OR(NOT(ISNUMBER(H177)),N(H177)&lt;0)),AND(I177&lt;&gt;"",OR(NOT(ISNUMBER(I177)),N(I177)&lt;0))),"Montant invalide",IF(OR(AND(J177&lt;&gt;"",OR(NOT(ISNUMBER(J177)),N(J177)&lt;0)),AND(K177&lt;&gt;"",OR(NOT(ISNUMBER(K177)),N(K177)&lt;0))),"Pourcentage invalide",IF(COUNTIF(bom_prod,A177)+COUNTIF(gam_prod,A177)=0,"Ni nomenclature ni gamme",IF(COUNTIFS(bom_prod,A177,bom_check,"&lt;&gt;OK")&gt;0,"Nomenclature à corriger",IF(COUNTIFS(gam_prod,A177,gam_check,"&lt;&gt;OK")&gt;0,"Gamme à corriger","OK")))))))))))</f>
        <v/>
      </c>
      <c r="Y177" s="70">
        <f>IF(J177="",N(p_fg),N(J177))</f>
        <v>0.15</v>
      </c>
      <c r="Z177" s="70">
        <f>IF(K177="",N(p_target),N(K177))</f>
        <v>0.25</v>
      </c>
      <c r="AA177" s="71" t="str">
        <f>IF(R177="","",IF(N(F177)&gt;0,ROUND(F177*N(E177),2),0))</f>
        <v/>
      </c>
      <c r="AB177" s="71">
        <f>IF(T177="",0,T177*N(E177))</f>
        <v>0.0</v>
      </c>
      <c r="AC177" s="71">
        <f>IF(T177="",0,R177*N(E177))</f>
        <v>0.0</v>
      </c>
      <c r="AD177" s="71">
        <f>IF(R177="",0,L177*N(E177))</f>
        <v>0.0</v>
      </c>
      <c r="AE177" s="71">
        <f>IF(R177="",0,M177*N(E177))</f>
        <v>0.0</v>
      </c>
      <c r="AF177" s="71">
        <f>IF(R177="",0,N177*N(E177))</f>
        <v>0.0</v>
      </c>
      <c r="AG177" s="71">
        <f>IF(R177="",0,O177*N(E177))</f>
        <v>0.0</v>
      </c>
      <c r="AH177" s="71">
        <f>IF(R177="",0,(N(G177)+N(H177)+N(I177)/D177)*N(E177))</f>
        <v>0.0</v>
      </c>
      <c r="AI177" s="71">
        <f>IF(R177="",0,P177*N(E177))</f>
        <v>0.0</v>
      </c>
      <c r="AJ177" s="71" t="str">
        <f>IF(AA177="","",COUNTIF(prod_ca,"&gt;"&amp;AA177)+COUNTIF(AA$6:AA177,AA177))</f>
        <v/>
      </c>
      <c r="AK177" s="71" t="str">
        <f>IF(OR(W177="Vendu à perte",W177="Sous la cible"),ROUND(U177,6),"")</f>
        <v/>
      </c>
      <c r="AL177" s="71" t="str">
        <f>IF(AK177="","",COUNTIF(prod_alk,"&lt;"&amp;AK177)+COUNTIF(AK$6:AK177,AK177))</f>
        <v/>
      </c>
    </row>
    <row r="178">
      <c r="A178" s="60" t="n"/>
      <c r="B178" s="60" t="n"/>
      <c r="C178" s="61" t="n"/>
      <c r="D178" s="62" t="n"/>
      <c r="E178" s="63" t="n"/>
      <c r="F178" s="64" t="n"/>
      <c r="G178" s="64" t="n"/>
      <c r="H178" s="64" t="n"/>
      <c r="I178" s="64" t="n"/>
      <c r="J178" s="65" t="n"/>
      <c r="K178" s="65" t="n"/>
      <c r="L178" s="66" t="str">
        <f>IF(X178="OK",SUMIF(bom_prod,A178,bom_cost),"")</f>
        <v/>
      </c>
      <c r="M178" s="66" t="str">
        <f>IF(X178="OK",SUMIF(gam_prod,A178,gam_mo),"")</f>
        <v/>
      </c>
      <c r="N178" s="66" t="str">
        <f>IF(X178="OK",SUMIF(gam_prod,A178,gam_mac),"")</f>
        <v/>
      </c>
      <c r="O178" s="66" t="str">
        <f>IF(X178="OK",SUMIF(gam_prod,A178,gam_setup)/D178,"")</f>
        <v/>
      </c>
      <c r="P178" s="66" t="str">
        <f>IF(X178="OK",(L178+M178+N178+O178+N(G178))*Y178,"")</f>
        <v/>
      </c>
      <c r="Q178" s="66" t="str">
        <f>IF(X178="OK",L178+M178+N178+O178+N(G178)+P178,"")</f>
        <v/>
      </c>
      <c r="R178" s="67" t="str">
        <f>IF(X178="OK",ROUND(Q178+N(H178)+N(I178)/D178,4),"")</f>
        <v/>
      </c>
      <c r="S178" s="66" t="str">
        <f>IF(X178="OK",ROUND(R178*(1+Z178),2),"")</f>
        <v/>
      </c>
      <c r="T178" s="66" t="str">
        <f>IF(AND(X178="OK",N(F178)&gt;0),F178-R178,"")</f>
        <v/>
      </c>
      <c r="U178" s="68" t="str">
        <f>IF(T178="","",IF(R178&lt;=0,"",T178/R178))</f>
        <v/>
      </c>
      <c r="V178" s="68" t="str">
        <f>IF(T178="","",T178/F178)</f>
        <v/>
      </c>
      <c r="W178" s="69" t="str">
        <f>IF(A178="","",IF(X178&lt;&gt;"OK","À corriger",IF(N(F178)&lt;=0,"Prix à saisir",IF(F178&lt;R178,"Vendu à perte",IF(F178&lt;S178,"Sous la cible","OK")))))</f>
        <v/>
      </c>
      <c r="X178" s="69" t="str">
        <f>IF(AND(A178="",COUNTA(B178:K178)=0),"",IF(A178="","Référence manquante",IF(COUNTIF($A$6:$A$305,A178)&gt;1,"Référence en double",IF(OR(NOT(ISNUMBER(D178)),N(D178)&lt;=0),"Taille de lot invalide",IF(AND(E178&lt;&gt;"",OR(NOT(ISNUMBER(E178)),N(E178)&lt;0)),"Volume annuel invalide",IF(AND(F178&lt;&gt;"",OR(NOT(ISNUMBER(F178)),N(F178)&lt;0)),"Prix de vente invalide",IF(OR(AND(G178&lt;&gt;"",OR(NOT(ISNUMBER(G178)),N(G178)&lt;0)),AND(H178&lt;&gt;"",OR(NOT(ISNUMBER(H178)),N(H178)&lt;0)),AND(I178&lt;&gt;"",OR(NOT(ISNUMBER(I178)),N(I178)&lt;0))),"Montant invalide",IF(OR(AND(J178&lt;&gt;"",OR(NOT(ISNUMBER(J178)),N(J178)&lt;0)),AND(K178&lt;&gt;"",OR(NOT(ISNUMBER(K178)),N(K178)&lt;0))),"Pourcentage invalide",IF(COUNTIF(bom_prod,A178)+COUNTIF(gam_prod,A178)=0,"Ni nomenclature ni gamme",IF(COUNTIFS(bom_prod,A178,bom_check,"&lt;&gt;OK")&gt;0,"Nomenclature à corriger",IF(COUNTIFS(gam_prod,A178,gam_check,"&lt;&gt;OK")&gt;0,"Gamme à corriger","OK")))))))))))</f>
        <v/>
      </c>
      <c r="Y178" s="70">
        <f>IF(J178="",N(p_fg),N(J178))</f>
        <v>0.15</v>
      </c>
      <c r="Z178" s="70">
        <f>IF(K178="",N(p_target),N(K178))</f>
        <v>0.25</v>
      </c>
      <c r="AA178" s="71" t="str">
        <f>IF(R178="","",IF(N(F178)&gt;0,ROUND(F178*N(E178),2),0))</f>
        <v/>
      </c>
      <c r="AB178" s="71">
        <f>IF(T178="",0,T178*N(E178))</f>
        <v>0.0</v>
      </c>
      <c r="AC178" s="71">
        <f>IF(T178="",0,R178*N(E178))</f>
        <v>0.0</v>
      </c>
      <c r="AD178" s="71">
        <f>IF(R178="",0,L178*N(E178))</f>
        <v>0.0</v>
      </c>
      <c r="AE178" s="71">
        <f>IF(R178="",0,M178*N(E178))</f>
        <v>0.0</v>
      </c>
      <c r="AF178" s="71">
        <f>IF(R178="",0,N178*N(E178))</f>
        <v>0.0</v>
      </c>
      <c r="AG178" s="71">
        <f>IF(R178="",0,O178*N(E178))</f>
        <v>0.0</v>
      </c>
      <c r="AH178" s="71">
        <f>IF(R178="",0,(N(G178)+N(H178)+N(I178)/D178)*N(E178))</f>
        <v>0.0</v>
      </c>
      <c r="AI178" s="71">
        <f>IF(R178="",0,P178*N(E178))</f>
        <v>0.0</v>
      </c>
      <c r="AJ178" s="71" t="str">
        <f>IF(AA178="","",COUNTIF(prod_ca,"&gt;"&amp;AA178)+COUNTIF(AA$6:AA178,AA178))</f>
        <v/>
      </c>
      <c r="AK178" s="71" t="str">
        <f>IF(OR(W178="Vendu à perte",W178="Sous la cible"),ROUND(U178,6),"")</f>
        <v/>
      </c>
      <c r="AL178" s="71" t="str">
        <f>IF(AK178="","",COUNTIF(prod_alk,"&lt;"&amp;AK178)+COUNTIF(AK$6:AK178,AK178))</f>
        <v/>
      </c>
    </row>
    <row r="179">
      <c r="A179" s="60" t="n"/>
      <c r="B179" s="60" t="n"/>
      <c r="C179" s="61" t="n"/>
      <c r="D179" s="62" t="n"/>
      <c r="E179" s="63" t="n"/>
      <c r="F179" s="64" t="n"/>
      <c r="G179" s="64" t="n"/>
      <c r="H179" s="64" t="n"/>
      <c r="I179" s="64" t="n"/>
      <c r="J179" s="65" t="n"/>
      <c r="K179" s="65" t="n"/>
      <c r="L179" s="66" t="str">
        <f>IF(X179="OK",SUMIF(bom_prod,A179,bom_cost),"")</f>
        <v/>
      </c>
      <c r="M179" s="66" t="str">
        <f>IF(X179="OK",SUMIF(gam_prod,A179,gam_mo),"")</f>
        <v/>
      </c>
      <c r="N179" s="66" t="str">
        <f>IF(X179="OK",SUMIF(gam_prod,A179,gam_mac),"")</f>
        <v/>
      </c>
      <c r="O179" s="66" t="str">
        <f>IF(X179="OK",SUMIF(gam_prod,A179,gam_setup)/D179,"")</f>
        <v/>
      </c>
      <c r="P179" s="66" t="str">
        <f>IF(X179="OK",(L179+M179+N179+O179+N(G179))*Y179,"")</f>
        <v/>
      </c>
      <c r="Q179" s="66" t="str">
        <f>IF(X179="OK",L179+M179+N179+O179+N(G179)+P179,"")</f>
        <v/>
      </c>
      <c r="R179" s="67" t="str">
        <f>IF(X179="OK",ROUND(Q179+N(H179)+N(I179)/D179,4),"")</f>
        <v/>
      </c>
      <c r="S179" s="66" t="str">
        <f>IF(X179="OK",ROUND(R179*(1+Z179),2),"")</f>
        <v/>
      </c>
      <c r="T179" s="66" t="str">
        <f>IF(AND(X179="OK",N(F179)&gt;0),F179-R179,"")</f>
        <v/>
      </c>
      <c r="U179" s="68" t="str">
        <f>IF(T179="","",IF(R179&lt;=0,"",T179/R179))</f>
        <v/>
      </c>
      <c r="V179" s="68" t="str">
        <f>IF(T179="","",T179/F179)</f>
        <v/>
      </c>
      <c r="W179" s="69" t="str">
        <f>IF(A179="","",IF(X179&lt;&gt;"OK","À corriger",IF(N(F179)&lt;=0,"Prix à saisir",IF(F179&lt;R179,"Vendu à perte",IF(F179&lt;S179,"Sous la cible","OK")))))</f>
        <v/>
      </c>
      <c r="X179" s="69" t="str">
        <f>IF(AND(A179="",COUNTA(B179:K179)=0),"",IF(A179="","Référence manquante",IF(COUNTIF($A$6:$A$305,A179)&gt;1,"Référence en double",IF(OR(NOT(ISNUMBER(D179)),N(D179)&lt;=0),"Taille de lot invalide",IF(AND(E179&lt;&gt;"",OR(NOT(ISNUMBER(E179)),N(E179)&lt;0)),"Volume annuel invalide",IF(AND(F179&lt;&gt;"",OR(NOT(ISNUMBER(F179)),N(F179)&lt;0)),"Prix de vente invalide",IF(OR(AND(G179&lt;&gt;"",OR(NOT(ISNUMBER(G179)),N(G179)&lt;0)),AND(H179&lt;&gt;"",OR(NOT(ISNUMBER(H179)),N(H179)&lt;0)),AND(I179&lt;&gt;"",OR(NOT(ISNUMBER(I179)),N(I179)&lt;0))),"Montant invalide",IF(OR(AND(J179&lt;&gt;"",OR(NOT(ISNUMBER(J179)),N(J179)&lt;0)),AND(K179&lt;&gt;"",OR(NOT(ISNUMBER(K179)),N(K179)&lt;0))),"Pourcentage invalide",IF(COUNTIF(bom_prod,A179)+COUNTIF(gam_prod,A179)=0,"Ni nomenclature ni gamme",IF(COUNTIFS(bom_prod,A179,bom_check,"&lt;&gt;OK")&gt;0,"Nomenclature à corriger",IF(COUNTIFS(gam_prod,A179,gam_check,"&lt;&gt;OK")&gt;0,"Gamme à corriger","OK")))))))))))</f>
        <v/>
      </c>
      <c r="Y179" s="70">
        <f>IF(J179="",N(p_fg),N(J179))</f>
        <v>0.15</v>
      </c>
      <c r="Z179" s="70">
        <f>IF(K179="",N(p_target),N(K179))</f>
        <v>0.25</v>
      </c>
      <c r="AA179" s="71" t="str">
        <f>IF(R179="","",IF(N(F179)&gt;0,ROUND(F179*N(E179),2),0))</f>
        <v/>
      </c>
      <c r="AB179" s="71">
        <f>IF(T179="",0,T179*N(E179))</f>
        <v>0.0</v>
      </c>
      <c r="AC179" s="71">
        <f>IF(T179="",0,R179*N(E179))</f>
        <v>0.0</v>
      </c>
      <c r="AD179" s="71">
        <f>IF(R179="",0,L179*N(E179))</f>
        <v>0.0</v>
      </c>
      <c r="AE179" s="71">
        <f>IF(R179="",0,M179*N(E179))</f>
        <v>0.0</v>
      </c>
      <c r="AF179" s="71">
        <f>IF(R179="",0,N179*N(E179))</f>
        <v>0.0</v>
      </c>
      <c r="AG179" s="71">
        <f>IF(R179="",0,O179*N(E179))</f>
        <v>0.0</v>
      </c>
      <c r="AH179" s="71">
        <f>IF(R179="",0,(N(G179)+N(H179)+N(I179)/D179)*N(E179))</f>
        <v>0.0</v>
      </c>
      <c r="AI179" s="71">
        <f>IF(R179="",0,P179*N(E179))</f>
        <v>0.0</v>
      </c>
      <c r="AJ179" s="71" t="str">
        <f>IF(AA179="","",COUNTIF(prod_ca,"&gt;"&amp;AA179)+COUNTIF(AA$6:AA179,AA179))</f>
        <v/>
      </c>
      <c r="AK179" s="71" t="str">
        <f>IF(OR(W179="Vendu à perte",W179="Sous la cible"),ROUND(U179,6),"")</f>
        <v/>
      </c>
      <c r="AL179" s="71" t="str">
        <f>IF(AK179="","",COUNTIF(prod_alk,"&lt;"&amp;AK179)+COUNTIF(AK$6:AK179,AK179))</f>
        <v/>
      </c>
    </row>
    <row r="180">
      <c r="A180" s="60" t="n"/>
      <c r="B180" s="60" t="n"/>
      <c r="C180" s="61" t="n"/>
      <c r="D180" s="62" t="n"/>
      <c r="E180" s="63" t="n"/>
      <c r="F180" s="64" t="n"/>
      <c r="G180" s="64" t="n"/>
      <c r="H180" s="64" t="n"/>
      <c r="I180" s="64" t="n"/>
      <c r="J180" s="65" t="n"/>
      <c r="K180" s="65" t="n"/>
      <c r="L180" s="66" t="str">
        <f>IF(X180="OK",SUMIF(bom_prod,A180,bom_cost),"")</f>
        <v/>
      </c>
      <c r="M180" s="66" t="str">
        <f>IF(X180="OK",SUMIF(gam_prod,A180,gam_mo),"")</f>
        <v/>
      </c>
      <c r="N180" s="66" t="str">
        <f>IF(X180="OK",SUMIF(gam_prod,A180,gam_mac),"")</f>
        <v/>
      </c>
      <c r="O180" s="66" t="str">
        <f>IF(X180="OK",SUMIF(gam_prod,A180,gam_setup)/D180,"")</f>
        <v/>
      </c>
      <c r="P180" s="66" t="str">
        <f>IF(X180="OK",(L180+M180+N180+O180+N(G180))*Y180,"")</f>
        <v/>
      </c>
      <c r="Q180" s="66" t="str">
        <f>IF(X180="OK",L180+M180+N180+O180+N(G180)+P180,"")</f>
        <v/>
      </c>
      <c r="R180" s="67" t="str">
        <f>IF(X180="OK",ROUND(Q180+N(H180)+N(I180)/D180,4),"")</f>
        <v/>
      </c>
      <c r="S180" s="66" t="str">
        <f>IF(X180="OK",ROUND(R180*(1+Z180),2),"")</f>
        <v/>
      </c>
      <c r="T180" s="66" t="str">
        <f>IF(AND(X180="OK",N(F180)&gt;0),F180-R180,"")</f>
        <v/>
      </c>
      <c r="U180" s="68" t="str">
        <f>IF(T180="","",IF(R180&lt;=0,"",T180/R180))</f>
        <v/>
      </c>
      <c r="V180" s="68" t="str">
        <f>IF(T180="","",T180/F180)</f>
        <v/>
      </c>
      <c r="W180" s="69" t="str">
        <f>IF(A180="","",IF(X180&lt;&gt;"OK","À corriger",IF(N(F180)&lt;=0,"Prix à saisir",IF(F180&lt;R180,"Vendu à perte",IF(F180&lt;S180,"Sous la cible","OK")))))</f>
        <v/>
      </c>
      <c r="X180" s="69" t="str">
        <f>IF(AND(A180="",COUNTA(B180:K180)=0),"",IF(A180="","Référence manquante",IF(COUNTIF($A$6:$A$305,A180)&gt;1,"Référence en double",IF(OR(NOT(ISNUMBER(D180)),N(D180)&lt;=0),"Taille de lot invalide",IF(AND(E180&lt;&gt;"",OR(NOT(ISNUMBER(E180)),N(E180)&lt;0)),"Volume annuel invalide",IF(AND(F180&lt;&gt;"",OR(NOT(ISNUMBER(F180)),N(F180)&lt;0)),"Prix de vente invalide",IF(OR(AND(G180&lt;&gt;"",OR(NOT(ISNUMBER(G180)),N(G180)&lt;0)),AND(H180&lt;&gt;"",OR(NOT(ISNUMBER(H180)),N(H180)&lt;0)),AND(I180&lt;&gt;"",OR(NOT(ISNUMBER(I180)),N(I180)&lt;0))),"Montant invalide",IF(OR(AND(J180&lt;&gt;"",OR(NOT(ISNUMBER(J180)),N(J180)&lt;0)),AND(K180&lt;&gt;"",OR(NOT(ISNUMBER(K180)),N(K180)&lt;0))),"Pourcentage invalide",IF(COUNTIF(bom_prod,A180)+COUNTIF(gam_prod,A180)=0,"Ni nomenclature ni gamme",IF(COUNTIFS(bom_prod,A180,bom_check,"&lt;&gt;OK")&gt;0,"Nomenclature à corriger",IF(COUNTIFS(gam_prod,A180,gam_check,"&lt;&gt;OK")&gt;0,"Gamme à corriger","OK")))))))))))</f>
        <v/>
      </c>
      <c r="Y180" s="70">
        <f>IF(J180="",N(p_fg),N(J180))</f>
        <v>0.15</v>
      </c>
      <c r="Z180" s="70">
        <f>IF(K180="",N(p_target),N(K180))</f>
        <v>0.25</v>
      </c>
      <c r="AA180" s="71" t="str">
        <f>IF(R180="","",IF(N(F180)&gt;0,ROUND(F180*N(E180),2),0))</f>
        <v/>
      </c>
      <c r="AB180" s="71">
        <f>IF(T180="",0,T180*N(E180))</f>
        <v>0.0</v>
      </c>
      <c r="AC180" s="71">
        <f>IF(T180="",0,R180*N(E180))</f>
        <v>0.0</v>
      </c>
      <c r="AD180" s="71">
        <f>IF(R180="",0,L180*N(E180))</f>
        <v>0.0</v>
      </c>
      <c r="AE180" s="71">
        <f>IF(R180="",0,M180*N(E180))</f>
        <v>0.0</v>
      </c>
      <c r="AF180" s="71">
        <f>IF(R180="",0,N180*N(E180))</f>
        <v>0.0</v>
      </c>
      <c r="AG180" s="71">
        <f>IF(R180="",0,O180*N(E180))</f>
        <v>0.0</v>
      </c>
      <c r="AH180" s="71">
        <f>IF(R180="",0,(N(G180)+N(H180)+N(I180)/D180)*N(E180))</f>
        <v>0.0</v>
      </c>
      <c r="AI180" s="71">
        <f>IF(R180="",0,P180*N(E180))</f>
        <v>0.0</v>
      </c>
      <c r="AJ180" s="71" t="str">
        <f>IF(AA180="","",COUNTIF(prod_ca,"&gt;"&amp;AA180)+COUNTIF(AA$6:AA180,AA180))</f>
        <v/>
      </c>
      <c r="AK180" s="71" t="str">
        <f>IF(OR(W180="Vendu à perte",W180="Sous la cible"),ROUND(U180,6),"")</f>
        <v/>
      </c>
      <c r="AL180" s="71" t="str">
        <f>IF(AK180="","",COUNTIF(prod_alk,"&lt;"&amp;AK180)+COUNTIF(AK$6:AK180,AK180))</f>
        <v/>
      </c>
    </row>
    <row r="181">
      <c r="A181" s="60" t="n"/>
      <c r="B181" s="60" t="n"/>
      <c r="C181" s="61" t="n"/>
      <c r="D181" s="62" t="n"/>
      <c r="E181" s="63" t="n"/>
      <c r="F181" s="64" t="n"/>
      <c r="G181" s="64" t="n"/>
      <c r="H181" s="64" t="n"/>
      <c r="I181" s="64" t="n"/>
      <c r="J181" s="65" t="n"/>
      <c r="K181" s="65" t="n"/>
      <c r="L181" s="66" t="str">
        <f>IF(X181="OK",SUMIF(bom_prod,A181,bom_cost),"")</f>
        <v/>
      </c>
      <c r="M181" s="66" t="str">
        <f>IF(X181="OK",SUMIF(gam_prod,A181,gam_mo),"")</f>
        <v/>
      </c>
      <c r="N181" s="66" t="str">
        <f>IF(X181="OK",SUMIF(gam_prod,A181,gam_mac),"")</f>
        <v/>
      </c>
      <c r="O181" s="66" t="str">
        <f>IF(X181="OK",SUMIF(gam_prod,A181,gam_setup)/D181,"")</f>
        <v/>
      </c>
      <c r="P181" s="66" t="str">
        <f>IF(X181="OK",(L181+M181+N181+O181+N(G181))*Y181,"")</f>
        <v/>
      </c>
      <c r="Q181" s="66" t="str">
        <f>IF(X181="OK",L181+M181+N181+O181+N(G181)+P181,"")</f>
        <v/>
      </c>
      <c r="R181" s="67" t="str">
        <f>IF(X181="OK",ROUND(Q181+N(H181)+N(I181)/D181,4),"")</f>
        <v/>
      </c>
      <c r="S181" s="66" t="str">
        <f>IF(X181="OK",ROUND(R181*(1+Z181),2),"")</f>
        <v/>
      </c>
      <c r="T181" s="66" t="str">
        <f>IF(AND(X181="OK",N(F181)&gt;0),F181-R181,"")</f>
        <v/>
      </c>
      <c r="U181" s="68" t="str">
        <f>IF(T181="","",IF(R181&lt;=0,"",T181/R181))</f>
        <v/>
      </c>
      <c r="V181" s="68" t="str">
        <f>IF(T181="","",T181/F181)</f>
        <v/>
      </c>
      <c r="W181" s="69" t="str">
        <f>IF(A181="","",IF(X181&lt;&gt;"OK","À corriger",IF(N(F181)&lt;=0,"Prix à saisir",IF(F181&lt;R181,"Vendu à perte",IF(F181&lt;S181,"Sous la cible","OK")))))</f>
        <v/>
      </c>
      <c r="X181" s="69" t="str">
        <f>IF(AND(A181="",COUNTA(B181:K181)=0),"",IF(A181="","Référence manquante",IF(COUNTIF($A$6:$A$305,A181)&gt;1,"Référence en double",IF(OR(NOT(ISNUMBER(D181)),N(D181)&lt;=0),"Taille de lot invalide",IF(AND(E181&lt;&gt;"",OR(NOT(ISNUMBER(E181)),N(E181)&lt;0)),"Volume annuel invalide",IF(AND(F181&lt;&gt;"",OR(NOT(ISNUMBER(F181)),N(F181)&lt;0)),"Prix de vente invalide",IF(OR(AND(G181&lt;&gt;"",OR(NOT(ISNUMBER(G181)),N(G181)&lt;0)),AND(H181&lt;&gt;"",OR(NOT(ISNUMBER(H181)),N(H181)&lt;0)),AND(I181&lt;&gt;"",OR(NOT(ISNUMBER(I181)),N(I181)&lt;0))),"Montant invalide",IF(OR(AND(J181&lt;&gt;"",OR(NOT(ISNUMBER(J181)),N(J181)&lt;0)),AND(K181&lt;&gt;"",OR(NOT(ISNUMBER(K181)),N(K181)&lt;0))),"Pourcentage invalide",IF(COUNTIF(bom_prod,A181)+COUNTIF(gam_prod,A181)=0,"Ni nomenclature ni gamme",IF(COUNTIFS(bom_prod,A181,bom_check,"&lt;&gt;OK")&gt;0,"Nomenclature à corriger",IF(COUNTIFS(gam_prod,A181,gam_check,"&lt;&gt;OK")&gt;0,"Gamme à corriger","OK")))))))))))</f>
        <v/>
      </c>
      <c r="Y181" s="70">
        <f>IF(J181="",N(p_fg),N(J181))</f>
        <v>0.15</v>
      </c>
      <c r="Z181" s="70">
        <f>IF(K181="",N(p_target),N(K181))</f>
        <v>0.25</v>
      </c>
      <c r="AA181" s="71" t="str">
        <f>IF(R181="","",IF(N(F181)&gt;0,ROUND(F181*N(E181),2),0))</f>
        <v/>
      </c>
      <c r="AB181" s="71">
        <f>IF(T181="",0,T181*N(E181))</f>
        <v>0.0</v>
      </c>
      <c r="AC181" s="71">
        <f>IF(T181="",0,R181*N(E181))</f>
        <v>0.0</v>
      </c>
      <c r="AD181" s="71">
        <f>IF(R181="",0,L181*N(E181))</f>
        <v>0.0</v>
      </c>
      <c r="AE181" s="71">
        <f>IF(R181="",0,M181*N(E181))</f>
        <v>0.0</v>
      </c>
      <c r="AF181" s="71">
        <f>IF(R181="",0,N181*N(E181))</f>
        <v>0.0</v>
      </c>
      <c r="AG181" s="71">
        <f>IF(R181="",0,O181*N(E181))</f>
        <v>0.0</v>
      </c>
      <c r="AH181" s="71">
        <f>IF(R181="",0,(N(G181)+N(H181)+N(I181)/D181)*N(E181))</f>
        <v>0.0</v>
      </c>
      <c r="AI181" s="71">
        <f>IF(R181="",0,P181*N(E181))</f>
        <v>0.0</v>
      </c>
      <c r="AJ181" s="71" t="str">
        <f>IF(AA181="","",COUNTIF(prod_ca,"&gt;"&amp;AA181)+COUNTIF(AA$6:AA181,AA181))</f>
        <v/>
      </c>
      <c r="AK181" s="71" t="str">
        <f>IF(OR(W181="Vendu à perte",W181="Sous la cible"),ROUND(U181,6),"")</f>
        <v/>
      </c>
      <c r="AL181" s="71" t="str">
        <f>IF(AK181="","",COUNTIF(prod_alk,"&lt;"&amp;AK181)+COUNTIF(AK$6:AK181,AK181))</f>
        <v/>
      </c>
    </row>
    <row r="182">
      <c r="A182" s="60" t="n"/>
      <c r="B182" s="60" t="n"/>
      <c r="C182" s="61" t="n"/>
      <c r="D182" s="62" t="n"/>
      <c r="E182" s="63" t="n"/>
      <c r="F182" s="64" t="n"/>
      <c r="G182" s="64" t="n"/>
      <c r="H182" s="64" t="n"/>
      <c r="I182" s="64" t="n"/>
      <c r="J182" s="65" t="n"/>
      <c r="K182" s="65" t="n"/>
      <c r="L182" s="66" t="str">
        <f>IF(X182="OK",SUMIF(bom_prod,A182,bom_cost),"")</f>
        <v/>
      </c>
      <c r="M182" s="66" t="str">
        <f>IF(X182="OK",SUMIF(gam_prod,A182,gam_mo),"")</f>
        <v/>
      </c>
      <c r="N182" s="66" t="str">
        <f>IF(X182="OK",SUMIF(gam_prod,A182,gam_mac),"")</f>
        <v/>
      </c>
      <c r="O182" s="66" t="str">
        <f>IF(X182="OK",SUMIF(gam_prod,A182,gam_setup)/D182,"")</f>
        <v/>
      </c>
      <c r="P182" s="66" t="str">
        <f>IF(X182="OK",(L182+M182+N182+O182+N(G182))*Y182,"")</f>
        <v/>
      </c>
      <c r="Q182" s="66" t="str">
        <f>IF(X182="OK",L182+M182+N182+O182+N(G182)+P182,"")</f>
        <v/>
      </c>
      <c r="R182" s="67" t="str">
        <f>IF(X182="OK",ROUND(Q182+N(H182)+N(I182)/D182,4),"")</f>
        <v/>
      </c>
      <c r="S182" s="66" t="str">
        <f>IF(X182="OK",ROUND(R182*(1+Z182),2),"")</f>
        <v/>
      </c>
      <c r="T182" s="66" t="str">
        <f>IF(AND(X182="OK",N(F182)&gt;0),F182-R182,"")</f>
        <v/>
      </c>
      <c r="U182" s="68" t="str">
        <f>IF(T182="","",IF(R182&lt;=0,"",T182/R182))</f>
        <v/>
      </c>
      <c r="V182" s="68" t="str">
        <f>IF(T182="","",T182/F182)</f>
        <v/>
      </c>
      <c r="W182" s="69" t="str">
        <f>IF(A182="","",IF(X182&lt;&gt;"OK","À corriger",IF(N(F182)&lt;=0,"Prix à saisir",IF(F182&lt;R182,"Vendu à perte",IF(F182&lt;S182,"Sous la cible","OK")))))</f>
        <v/>
      </c>
      <c r="X182" s="69" t="str">
        <f>IF(AND(A182="",COUNTA(B182:K182)=0),"",IF(A182="","Référence manquante",IF(COUNTIF($A$6:$A$305,A182)&gt;1,"Référence en double",IF(OR(NOT(ISNUMBER(D182)),N(D182)&lt;=0),"Taille de lot invalide",IF(AND(E182&lt;&gt;"",OR(NOT(ISNUMBER(E182)),N(E182)&lt;0)),"Volume annuel invalide",IF(AND(F182&lt;&gt;"",OR(NOT(ISNUMBER(F182)),N(F182)&lt;0)),"Prix de vente invalide",IF(OR(AND(G182&lt;&gt;"",OR(NOT(ISNUMBER(G182)),N(G182)&lt;0)),AND(H182&lt;&gt;"",OR(NOT(ISNUMBER(H182)),N(H182)&lt;0)),AND(I182&lt;&gt;"",OR(NOT(ISNUMBER(I182)),N(I182)&lt;0))),"Montant invalide",IF(OR(AND(J182&lt;&gt;"",OR(NOT(ISNUMBER(J182)),N(J182)&lt;0)),AND(K182&lt;&gt;"",OR(NOT(ISNUMBER(K182)),N(K182)&lt;0))),"Pourcentage invalide",IF(COUNTIF(bom_prod,A182)+COUNTIF(gam_prod,A182)=0,"Ni nomenclature ni gamme",IF(COUNTIFS(bom_prod,A182,bom_check,"&lt;&gt;OK")&gt;0,"Nomenclature à corriger",IF(COUNTIFS(gam_prod,A182,gam_check,"&lt;&gt;OK")&gt;0,"Gamme à corriger","OK")))))))))))</f>
        <v/>
      </c>
      <c r="Y182" s="70">
        <f>IF(J182="",N(p_fg),N(J182))</f>
        <v>0.15</v>
      </c>
      <c r="Z182" s="70">
        <f>IF(K182="",N(p_target),N(K182))</f>
        <v>0.25</v>
      </c>
      <c r="AA182" s="71" t="str">
        <f>IF(R182="","",IF(N(F182)&gt;0,ROUND(F182*N(E182),2),0))</f>
        <v/>
      </c>
      <c r="AB182" s="71">
        <f>IF(T182="",0,T182*N(E182))</f>
        <v>0.0</v>
      </c>
      <c r="AC182" s="71">
        <f>IF(T182="",0,R182*N(E182))</f>
        <v>0.0</v>
      </c>
      <c r="AD182" s="71">
        <f>IF(R182="",0,L182*N(E182))</f>
        <v>0.0</v>
      </c>
      <c r="AE182" s="71">
        <f>IF(R182="",0,M182*N(E182))</f>
        <v>0.0</v>
      </c>
      <c r="AF182" s="71">
        <f>IF(R182="",0,N182*N(E182))</f>
        <v>0.0</v>
      </c>
      <c r="AG182" s="71">
        <f>IF(R182="",0,O182*N(E182))</f>
        <v>0.0</v>
      </c>
      <c r="AH182" s="71">
        <f>IF(R182="",0,(N(G182)+N(H182)+N(I182)/D182)*N(E182))</f>
        <v>0.0</v>
      </c>
      <c r="AI182" s="71">
        <f>IF(R182="",0,P182*N(E182))</f>
        <v>0.0</v>
      </c>
      <c r="AJ182" s="71" t="str">
        <f>IF(AA182="","",COUNTIF(prod_ca,"&gt;"&amp;AA182)+COUNTIF(AA$6:AA182,AA182))</f>
        <v/>
      </c>
      <c r="AK182" s="71" t="str">
        <f>IF(OR(W182="Vendu à perte",W182="Sous la cible"),ROUND(U182,6),"")</f>
        <v/>
      </c>
      <c r="AL182" s="71" t="str">
        <f>IF(AK182="","",COUNTIF(prod_alk,"&lt;"&amp;AK182)+COUNTIF(AK$6:AK182,AK182))</f>
        <v/>
      </c>
    </row>
    <row r="183">
      <c r="A183" s="60" t="n"/>
      <c r="B183" s="60" t="n"/>
      <c r="C183" s="61" t="n"/>
      <c r="D183" s="62" t="n"/>
      <c r="E183" s="63" t="n"/>
      <c r="F183" s="64" t="n"/>
      <c r="G183" s="64" t="n"/>
      <c r="H183" s="64" t="n"/>
      <c r="I183" s="64" t="n"/>
      <c r="J183" s="65" t="n"/>
      <c r="K183" s="65" t="n"/>
      <c r="L183" s="66" t="str">
        <f>IF(X183="OK",SUMIF(bom_prod,A183,bom_cost),"")</f>
        <v/>
      </c>
      <c r="M183" s="66" t="str">
        <f>IF(X183="OK",SUMIF(gam_prod,A183,gam_mo),"")</f>
        <v/>
      </c>
      <c r="N183" s="66" t="str">
        <f>IF(X183="OK",SUMIF(gam_prod,A183,gam_mac),"")</f>
        <v/>
      </c>
      <c r="O183" s="66" t="str">
        <f>IF(X183="OK",SUMIF(gam_prod,A183,gam_setup)/D183,"")</f>
        <v/>
      </c>
      <c r="P183" s="66" t="str">
        <f>IF(X183="OK",(L183+M183+N183+O183+N(G183))*Y183,"")</f>
        <v/>
      </c>
      <c r="Q183" s="66" t="str">
        <f>IF(X183="OK",L183+M183+N183+O183+N(G183)+P183,"")</f>
        <v/>
      </c>
      <c r="R183" s="67" t="str">
        <f>IF(X183="OK",ROUND(Q183+N(H183)+N(I183)/D183,4),"")</f>
        <v/>
      </c>
      <c r="S183" s="66" t="str">
        <f>IF(X183="OK",ROUND(R183*(1+Z183),2),"")</f>
        <v/>
      </c>
      <c r="T183" s="66" t="str">
        <f>IF(AND(X183="OK",N(F183)&gt;0),F183-R183,"")</f>
        <v/>
      </c>
      <c r="U183" s="68" t="str">
        <f>IF(T183="","",IF(R183&lt;=0,"",T183/R183))</f>
        <v/>
      </c>
      <c r="V183" s="68" t="str">
        <f>IF(T183="","",T183/F183)</f>
        <v/>
      </c>
      <c r="W183" s="69" t="str">
        <f>IF(A183="","",IF(X183&lt;&gt;"OK","À corriger",IF(N(F183)&lt;=0,"Prix à saisir",IF(F183&lt;R183,"Vendu à perte",IF(F183&lt;S183,"Sous la cible","OK")))))</f>
        <v/>
      </c>
      <c r="X183" s="69" t="str">
        <f>IF(AND(A183="",COUNTA(B183:K183)=0),"",IF(A183="","Référence manquante",IF(COUNTIF($A$6:$A$305,A183)&gt;1,"Référence en double",IF(OR(NOT(ISNUMBER(D183)),N(D183)&lt;=0),"Taille de lot invalide",IF(AND(E183&lt;&gt;"",OR(NOT(ISNUMBER(E183)),N(E183)&lt;0)),"Volume annuel invalide",IF(AND(F183&lt;&gt;"",OR(NOT(ISNUMBER(F183)),N(F183)&lt;0)),"Prix de vente invalide",IF(OR(AND(G183&lt;&gt;"",OR(NOT(ISNUMBER(G183)),N(G183)&lt;0)),AND(H183&lt;&gt;"",OR(NOT(ISNUMBER(H183)),N(H183)&lt;0)),AND(I183&lt;&gt;"",OR(NOT(ISNUMBER(I183)),N(I183)&lt;0))),"Montant invalide",IF(OR(AND(J183&lt;&gt;"",OR(NOT(ISNUMBER(J183)),N(J183)&lt;0)),AND(K183&lt;&gt;"",OR(NOT(ISNUMBER(K183)),N(K183)&lt;0))),"Pourcentage invalide",IF(COUNTIF(bom_prod,A183)+COUNTIF(gam_prod,A183)=0,"Ni nomenclature ni gamme",IF(COUNTIFS(bom_prod,A183,bom_check,"&lt;&gt;OK")&gt;0,"Nomenclature à corriger",IF(COUNTIFS(gam_prod,A183,gam_check,"&lt;&gt;OK")&gt;0,"Gamme à corriger","OK")))))))))))</f>
        <v/>
      </c>
      <c r="Y183" s="70">
        <f>IF(J183="",N(p_fg),N(J183))</f>
        <v>0.15</v>
      </c>
      <c r="Z183" s="70">
        <f>IF(K183="",N(p_target),N(K183))</f>
        <v>0.25</v>
      </c>
      <c r="AA183" s="71" t="str">
        <f>IF(R183="","",IF(N(F183)&gt;0,ROUND(F183*N(E183),2),0))</f>
        <v/>
      </c>
      <c r="AB183" s="71">
        <f>IF(T183="",0,T183*N(E183))</f>
        <v>0.0</v>
      </c>
      <c r="AC183" s="71">
        <f>IF(T183="",0,R183*N(E183))</f>
        <v>0.0</v>
      </c>
      <c r="AD183" s="71">
        <f>IF(R183="",0,L183*N(E183))</f>
        <v>0.0</v>
      </c>
      <c r="AE183" s="71">
        <f>IF(R183="",0,M183*N(E183))</f>
        <v>0.0</v>
      </c>
      <c r="AF183" s="71">
        <f>IF(R183="",0,N183*N(E183))</f>
        <v>0.0</v>
      </c>
      <c r="AG183" s="71">
        <f>IF(R183="",0,O183*N(E183))</f>
        <v>0.0</v>
      </c>
      <c r="AH183" s="71">
        <f>IF(R183="",0,(N(G183)+N(H183)+N(I183)/D183)*N(E183))</f>
        <v>0.0</v>
      </c>
      <c r="AI183" s="71">
        <f>IF(R183="",0,P183*N(E183))</f>
        <v>0.0</v>
      </c>
      <c r="AJ183" s="71" t="str">
        <f>IF(AA183="","",COUNTIF(prod_ca,"&gt;"&amp;AA183)+COUNTIF(AA$6:AA183,AA183))</f>
        <v/>
      </c>
      <c r="AK183" s="71" t="str">
        <f>IF(OR(W183="Vendu à perte",W183="Sous la cible"),ROUND(U183,6),"")</f>
        <v/>
      </c>
      <c r="AL183" s="71" t="str">
        <f>IF(AK183="","",COUNTIF(prod_alk,"&lt;"&amp;AK183)+COUNTIF(AK$6:AK183,AK183))</f>
        <v/>
      </c>
    </row>
    <row r="184">
      <c r="A184" s="60" t="n"/>
      <c r="B184" s="60" t="n"/>
      <c r="C184" s="61" t="n"/>
      <c r="D184" s="62" t="n"/>
      <c r="E184" s="63" t="n"/>
      <c r="F184" s="64" t="n"/>
      <c r="G184" s="64" t="n"/>
      <c r="H184" s="64" t="n"/>
      <c r="I184" s="64" t="n"/>
      <c r="J184" s="65" t="n"/>
      <c r="K184" s="65" t="n"/>
      <c r="L184" s="66" t="str">
        <f>IF(X184="OK",SUMIF(bom_prod,A184,bom_cost),"")</f>
        <v/>
      </c>
      <c r="M184" s="66" t="str">
        <f>IF(X184="OK",SUMIF(gam_prod,A184,gam_mo),"")</f>
        <v/>
      </c>
      <c r="N184" s="66" t="str">
        <f>IF(X184="OK",SUMIF(gam_prod,A184,gam_mac),"")</f>
        <v/>
      </c>
      <c r="O184" s="66" t="str">
        <f>IF(X184="OK",SUMIF(gam_prod,A184,gam_setup)/D184,"")</f>
        <v/>
      </c>
      <c r="P184" s="66" t="str">
        <f>IF(X184="OK",(L184+M184+N184+O184+N(G184))*Y184,"")</f>
        <v/>
      </c>
      <c r="Q184" s="66" t="str">
        <f>IF(X184="OK",L184+M184+N184+O184+N(G184)+P184,"")</f>
        <v/>
      </c>
      <c r="R184" s="67" t="str">
        <f>IF(X184="OK",ROUND(Q184+N(H184)+N(I184)/D184,4),"")</f>
        <v/>
      </c>
      <c r="S184" s="66" t="str">
        <f>IF(X184="OK",ROUND(R184*(1+Z184),2),"")</f>
        <v/>
      </c>
      <c r="T184" s="66" t="str">
        <f>IF(AND(X184="OK",N(F184)&gt;0),F184-R184,"")</f>
        <v/>
      </c>
      <c r="U184" s="68" t="str">
        <f>IF(T184="","",IF(R184&lt;=0,"",T184/R184))</f>
        <v/>
      </c>
      <c r="V184" s="68" t="str">
        <f>IF(T184="","",T184/F184)</f>
        <v/>
      </c>
      <c r="W184" s="69" t="str">
        <f>IF(A184="","",IF(X184&lt;&gt;"OK","À corriger",IF(N(F184)&lt;=0,"Prix à saisir",IF(F184&lt;R184,"Vendu à perte",IF(F184&lt;S184,"Sous la cible","OK")))))</f>
        <v/>
      </c>
      <c r="X184" s="69" t="str">
        <f>IF(AND(A184="",COUNTA(B184:K184)=0),"",IF(A184="","Référence manquante",IF(COUNTIF($A$6:$A$305,A184)&gt;1,"Référence en double",IF(OR(NOT(ISNUMBER(D184)),N(D184)&lt;=0),"Taille de lot invalide",IF(AND(E184&lt;&gt;"",OR(NOT(ISNUMBER(E184)),N(E184)&lt;0)),"Volume annuel invalide",IF(AND(F184&lt;&gt;"",OR(NOT(ISNUMBER(F184)),N(F184)&lt;0)),"Prix de vente invalide",IF(OR(AND(G184&lt;&gt;"",OR(NOT(ISNUMBER(G184)),N(G184)&lt;0)),AND(H184&lt;&gt;"",OR(NOT(ISNUMBER(H184)),N(H184)&lt;0)),AND(I184&lt;&gt;"",OR(NOT(ISNUMBER(I184)),N(I184)&lt;0))),"Montant invalide",IF(OR(AND(J184&lt;&gt;"",OR(NOT(ISNUMBER(J184)),N(J184)&lt;0)),AND(K184&lt;&gt;"",OR(NOT(ISNUMBER(K184)),N(K184)&lt;0))),"Pourcentage invalide",IF(COUNTIF(bom_prod,A184)+COUNTIF(gam_prod,A184)=0,"Ni nomenclature ni gamme",IF(COUNTIFS(bom_prod,A184,bom_check,"&lt;&gt;OK")&gt;0,"Nomenclature à corriger",IF(COUNTIFS(gam_prod,A184,gam_check,"&lt;&gt;OK")&gt;0,"Gamme à corriger","OK")))))))))))</f>
        <v/>
      </c>
      <c r="Y184" s="70">
        <f>IF(J184="",N(p_fg),N(J184))</f>
        <v>0.15</v>
      </c>
      <c r="Z184" s="70">
        <f>IF(K184="",N(p_target),N(K184))</f>
        <v>0.25</v>
      </c>
      <c r="AA184" s="71" t="str">
        <f>IF(R184="","",IF(N(F184)&gt;0,ROUND(F184*N(E184),2),0))</f>
        <v/>
      </c>
      <c r="AB184" s="71">
        <f>IF(T184="",0,T184*N(E184))</f>
        <v>0.0</v>
      </c>
      <c r="AC184" s="71">
        <f>IF(T184="",0,R184*N(E184))</f>
        <v>0.0</v>
      </c>
      <c r="AD184" s="71">
        <f>IF(R184="",0,L184*N(E184))</f>
        <v>0.0</v>
      </c>
      <c r="AE184" s="71">
        <f>IF(R184="",0,M184*N(E184))</f>
        <v>0.0</v>
      </c>
      <c r="AF184" s="71">
        <f>IF(R184="",0,N184*N(E184))</f>
        <v>0.0</v>
      </c>
      <c r="AG184" s="71">
        <f>IF(R184="",0,O184*N(E184))</f>
        <v>0.0</v>
      </c>
      <c r="AH184" s="71">
        <f>IF(R184="",0,(N(G184)+N(H184)+N(I184)/D184)*N(E184))</f>
        <v>0.0</v>
      </c>
      <c r="AI184" s="71">
        <f>IF(R184="",0,P184*N(E184))</f>
        <v>0.0</v>
      </c>
      <c r="AJ184" s="71" t="str">
        <f>IF(AA184="","",COUNTIF(prod_ca,"&gt;"&amp;AA184)+COUNTIF(AA$6:AA184,AA184))</f>
        <v/>
      </c>
      <c r="AK184" s="71" t="str">
        <f>IF(OR(W184="Vendu à perte",W184="Sous la cible"),ROUND(U184,6),"")</f>
        <v/>
      </c>
      <c r="AL184" s="71" t="str">
        <f>IF(AK184="","",COUNTIF(prod_alk,"&lt;"&amp;AK184)+COUNTIF(AK$6:AK184,AK184))</f>
        <v/>
      </c>
    </row>
    <row r="185">
      <c r="A185" s="60" t="n"/>
      <c r="B185" s="60" t="n"/>
      <c r="C185" s="61" t="n"/>
      <c r="D185" s="62" t="n"/>
      <c r="E185" s="63" t="n"/>
      <c r="F185" s="64" t="n"/>
      <c r="G185" s="64" t="n"/>
      <c r="H185" s="64" t="n"/>
      <c r="I185" s="64" t="n"/>
      <c r="J185" s="65" t="n"/>
      <c r="K185" s="65" t="n"/>
      <c r="L185" s="66" t="str">
        <f>IF(X185="OK",SUMIF(bom_prod,A185,bom_cost),"")</f>
        <v/>
      </c>
      <c r="M185" s="66" t="str">
        <f>IF(X185="OK",SUMIF(gam_prod,A185,gam_mo),"")</f>
        <v/>
      </c>
      <c r="N185" s="66" t="str">
        <f>IF(X185="OK",SUMIF(gam_prod,A185,gam_mac),"")</f>
        <v/>
      </c>
      <c r="O185" s="66" t="str">
        <f>IF(X185="OK",SUMIF(gam_prod,A185,gam_setup)/D185,"")</f>
        <v/>
      </c>
      <c r="P185" s="66" t="str">
        <f>IF(X185="OK",(L185+M185+N185+O185+N(G185))*Y185,"")</f>
        <v/>
      </c>
      <c r="Q185" s="66" t="str">
        <f>IF(X185="OK",L185+M185+N185+O185+N(G185)+P185,"")</f>
        <v/>
      </c>
      <c r="R185" s="67" t="str">
        <f>IF(X185="OK",ROUND(Q185+N(H185)+N(I185)/D185,4),"")</f>
        <v/>
      </c>
      <c r="S185" s="66" t="str">
        <f>IF(X185="OK",ROUND(R185*(1+Z185),2),"")</f>
        <v/>
      </c>
      <c r="T185" s="66" t="str">
        <f>IF(AND(X185="OK",N(F185)&gt;0),F185-R185,"")</f>
        <v/>
      </c>
      <c r="U185" s="68" t="str">
        <f>IF(T185="","",IF(R185&lt;=0,"",T185/R185))</f>
        <v/>
      </c>
      <c r="V185" s="68" t="str">
        <f>IF(T185="","",T185/F185)</f>
        <v/>
      </c>
      <c r="W185" s="69" t="str">
        <f>IF(A185="","",IF(X185&lt;&gt;"OK","À corriger",IF(N(F185)&lt;=0,"Prix à saisir",IF(F185&lt;R185,"Vendu à perte",IF(F185&lt;S185,"Sous la cible","OK")))))</f>
        <v/>
      </c>
      <c r="X185" s="69" t="str">
        <f>IF(AND(A185="",COUNTA(B185:K185)=0),"",IF(A185="","Référence manquante",IF(COUNTIF($A$6:$A$305,A185)&gt;1,"Référence en double",IF(OR(NOT(ISNUMBER(D185)),N(D185)&lt;=0),"Taille de lot invalide",IF(AND(E185&lt;&gt;"",OR(NOT(ISNUMBER(E185)),N(E185)&lt;0)),"Volume annuel invalide",IF(AND(F185&lt;&gt;"",OR(NOT(ISNUMBER(F185)),N(F185)&lt;0)),"Prix de vente invalide",IF(OR(AND(G185&lt;&gt;"",OR(NOT(ISNUMBER(G185)),N(G185)&lt;0)),AND(H185&lt;&gt;"",OR(NOT(ISNUMBER(H185)),N(H185)&lt;0)),AND(I185&lt;&gt;"",OR(NOT(ISNUMBER(I185)),N(I185)&lt;0))),"Montant invalide",IF(OR(AND(J185&lt;&gt;"",OR(NOT(ISNUMBER(J185)),N(J185)&lt;0)),AND(K185&lt;&gt;"",OR(NOT(ISNUMBER(K185)),N(K185)&lt;0))),"Pourcentage invalide",IF(COUNTIF(bom_prod,A185)+COUNTIF(gam_prod,A185)=0,"Ni nomenclature ni gamme",IF(COUNTIFS(bom_prod,A185,bom_check,"&lt;&gt;OK")&gt;0,"Nomenclature à corriger",IF(COUNTIFS(gam_prod,A185,gam_check,"&lt;&gt;OK")&gt;0,"Gamme à corriger","OK")))))))))))</f>
        <v/>
      </c>
      <c r="Y185" s="70">
        <f>IF(J185="",N(p_fg),N(J185))</f>
        <v>0.15</v>
      </c>
      <c r="Z185" s="70">
        <f>IF(K185="",N(p_target),N(K185))</f>
        <v>0.25</v>
      </c>
      <c r="AA185" s="71" t="str">
        <f>IF(R185="","",IF(N(F185)&gt;0,ROUND(F185*N(E185),2),0))</f>
        <v/>
      </c>
      <c r="AB185" s="71">
        <f>IF(T185="",0,T185*N(E185))</f>
        <v>0.0</v>
      </c>
      <c r="AC185" s="71">
        <f>IF(T185="",0,R185*N(E185))</f>
        <v>0.0</v>
      </c>
      <c r="AD185" s="71">
        <f>IF(R185="",0,L185*N(E185))</f>
        <v>0.0</v>
      </c>
      <c r="AE185" s="71">
        <f>IF(R185="",0,M185*N(E185))</f>
        <v>0.0</v>
      </c>
      <c r="AF185" s="71">
        <f>IF(R185="",0,N185*N(E185))</f>
        <v>0.0</v>
      </c>
      <c r="AG185" s="71">
        <f>IF(R185="",0,O185*N(E185))</f>
        <v>0.0</v>
      </c>
      <c r="AH185" s="71">
        <f>IF(R185="",0,(N(G185)+N(H185)+N(I185)/D185)*N(E185))</f>
        <v>0.0</v>
      </c>
      <c r="AI185" s="71">
        <f>IF(R185="",0,P185*N(E185))</f>
        <v>0.0</v>
      </c>
      <c r="AJ185" s="71" t="str">
        <f>IF(AA185="","",COUNTIF(prod_ca,"&gt;"&amp;AA185)+COUNTIF(AA$6:AA185,AA185))</f>
        <v/>
      </c>
      <c r="AK185" s="71" t="str">
        <f>IF(OR(W185="Vendu à perte",W185="Sous la cible"),ROUND(U185,6),"")</f>
        <v/>
      </c>
      <c r="AL185" s="71" t="str">
        <f>IF(AK185="","",COUNTIF(prod_alk,"&lt;"&amp;AK185)+COUNTIF(AK$6:AK185,AK185))</f>
        <v/>
      </c>
    </row>
    <row r="186">
      <c r="A186" s="60" t="n"/>
      <c r="B186" s="60" t="n"/>
      <c r="C186" s="61" t="n"/>
      <c r="D186" s="62" t="n"/>
      <c r="E186" s="63" t="n"/>
      <c r="F186" s="64" t="n"/>
      <c r="G186" s="64" t="n"/>
      <c r="H186" s="64" t="n"/>
      <c r="I186" s="64" t="n"/>
      <c r="J186" s="65" t="n"/>
      <c r="K186" s="65" t="n"/>
      <c r="L186" s="66" t="str">
        <f>IF(X186="OK",SUMIF(bom_prod,A186,bom_cost),"")</f>
        <v/>
      </c>
      <c r="M186" s="66" t="str">
        <f>IF(X186="OK",SUMIF(gam_prod,A186,gam_mo),"")</f>
        <v/>
      </c>
      <c r="N186" s="66" t="str">
        <f>IF(X186="OK",SUMIF(gam_prod,A186,gam_mac),"")</f>
        <v/>
      </c>
      <c r="O186" s="66" t="str">
        <f>IF(X186="OK",SUMIF(gam_prod,A186,gam_setup)/D186,"")</f>
        <v/>
      </c>
      <c r="P186" s="66" t="str">
        <f>IF(X186="OK",(L186+M186+N186+O186+N(G186))*Y186,"")</f>
        <v/>
      </c>
      <c r="Q186" s="66" t="str">
        <f>IF(X186="OK",L186+M186+N186+O186+N(G186)+P186,"")</f>
        <v/>
      </c>
      <c r="R186" s="67" t="str">
        <f>IF(X186="OK",ROUND(Q186+N(H186)+N(I186)/D186,4),"")</f>
        <v/>
      </c>
      <c r="S186" s="66" t="str">
        <f>IF(X186="OK",ROUND(R186*(1+Z186),2),"")</f>
        <v/>
      </c>
      <c r="T186" s="66" t="str">
        <f>IF(AND(X186="OK",N(F186)&gt;0),F186-R186,"")</f>
        <v/>
      </c>
      <c r="U186" s="68" t="str">
        <f>IF(T186="","",IF(R186&lt;=0,"",T186/R186))</f>
        <v/>
      </c>
      <c r="V186" s="68" t="str">
        <f>IF(T186="","",T186/F186)</f>
        <v/>
      </c>
      <c r="W186" s="69" t="str">
        <f>IF(A186="","",IF(X186&lt;&gt;"OK","À corriger",IF(N(F186)&lt;=0,"Prix à saisir",IF(F186&lt;R186,"Vendu à perte",IF(F186&lt;S186,"Sous la cible","OK")))))</f>
        <v/>
      </c>
      <c r="X186" s="69" t="str">
        <f>IF(AND(A186="",COUNTA(B186:K186)=0),"",IF(A186="","Référence manquante",IF(COUNTIF($A$6:$A$305,A186)&gt;1,"Référence en double",IF(OR(NOT(ISNUMBER(D186)),N(D186)&lt;=0),"Taille de lot invalide",IF(AND(E186&lt;&gt;"",OR(NOT(ISNUMBER(E186)),N(E186)&lt;0)),"Volume annuel invalide",IF(AND(F186&lt;&gt;"",OR(NOT(ISNUMBER(F186)),N(F186)&lt;0)),"Prix de vente invalide",IF(OR(AND(G186&lt;&gt;"",OR(NOT(ISNUMBER(G186)),N(G186)&lt;0)),AND(H186&lt;&gt;"",OR(NOT(ISNUMBER(H186)),N(H186)&lt;0)),AND(I186&lt;&gt;"",OR(NOT(ISNUMBER(I186)),N(I186)&lt;0))),"Montant invalide",IF(OR(AND(J186&lt;&gt;"",OR(NOT(ISNUMBER(J186)),N(J186)&lt;0)),AND(K186&lt;&gt;"",OR(NOT(ISNUMBER(K186)),N(K186)&lt;0))),"Pourcentage invalide",IF(COUNTIF(bom_prod,A186)+COUNTIF(gam_prod,A186)=0,"Ni nomenclature ni gamme",IF(COUNTIFS(bom_prod,A186,bom_check,"&lt;&gt;OK")&gt;0,"Nomenclature à corriger",IF(COUNTIFS(gam_prod,A186,gam_check,"&lt;&gt;OK")&gt;0,"Gamme à corriger","OK")))))))))))</f>
        <v/>
      </c>
      <c r="Y186" s="70">
        <f>IF(J186="",N(p_fg),N(J186))</f>
        <v>0.15</v>
      </c>
      <c r="Z186" s="70">
        <f>IF(K186="",N(p_target),N(K186))</f>
        <v>0.25</v>
      </c>
      <c r="AA186" s="71" t="str">
        <f>IF(R186="","",IF(N(F186)&gt;0,ROUND(F186*N(E186),2),0))</f>
        <v/>
      </c>
      <c r="AB186" s="71">
        <f>IF(T186="",0,T186*N(E186))</f>
        <v>0.0</v>
      </c>
      <c r="AC186" s="71">
        <f>IF(T186="",0,R186*N(E186))</f>
        <v>0.0</v>
      </c>
      <c r="AD186" s="71">
        <f>IF(R186="",0,L186*N(E186))</f>
        <v>0.0</v>
      </c>
      <c r="AE186" s="71">
        <f>IF(R186="",0,M186*N(E186))</f>
        <v>0.0</v>
      </c>
      <c r="AF186" s="71">
        <f>IF(R186="",0,N186*N(E186))</f>
        <v>0.0</v>
      </c>
      <c r="AG186" s="71">
        <f>IF(R186="",0,O186*N(E186))</f>
        <v>0.0</v>
      </c>
      <c r="AH186" s="71">
        <f>IF(R186="",0,(N(G186)+N(H186)+N(I186)/D186)*N(E186))</f>
        <v>0.0</v>
      </c>
      <c r="AI186" s="71">
        <f>IF(R186="",0,P186*N(E186))</f>
        <v>0.0</v>
      </c>
      <c r="AJ186" s="71" t="str">
        <f>IF(AA186="","",COUNTIF(prod_ca,"&gt;"&amp;AA186)+COUNTIF(AA$6:AA186,AA186))</f>
        <v/>
      </c>
      <c r="AK186" s="71" t="str">
        <f>IF(OR(W186="Vendu à perte",W186="Sous la cible"),ROUND(U186,6),"")</f>
        <v/>
      </c>
      <c r="AL186" s="71" t="str">
        <f>IF(AK186="","",COUNTIF(prod_alk,"&lt;"&amp;AK186)+COUNTIF(AK$6:AK186,AK186))</f>
        <v/>
      </c>
    </row>
    <row r="187">
      <c r="A187" s="60" t="n"/>
      <c r="B187" s="60" t="n"/>
      <c r="C187" s="61" t="n"/>
      <c r="D187" s="62" t="n"/>
      <c r="E187" s="63" t="n"/>
      <c r="F187" s="64" t="n"/>
      <c r="G187" s="64" t="n"/>
      <c r="H187" s="64" t="n"/>
      <c r="I187" s="64" t="n"/>
      <c r="J187" s="65" t="n"/>
      <c r="K187" s="65" t="n"/>
      <c r="L187" s="66" t="str">
        <f>IF(X187="OK",SUMIF(bom_prod,A187,bom_cost),"")</f>
        <v/>
      </c>
      <c r="M187" s="66" t="str">
        <f>IF(X187="OK",SUMIF(gam_prod,A187,gam_mo),"")</f>
        <v/>
      </c>
      <c r="N187" s="66" t="str">
        <f>IF(X187="OK",SUMIF(gam_prod,A187,gam_mac),"")</f>
        <v/>
      </c>
      <c r="O187" s="66" t="str">
        <f>IF(X187="OK",SUMIF(gam_prod,A187,gam_setup)/D187,"")</f>
        <v/>
      </c>
      <c r="P187" s="66" t="str">
        <f>IF(X187="OK",(L187+M187+N187+O187+N(G187))*Y187,"")</f>
        <v/>
      </c>
      <c r="Q187" s="66" t="str">
        <f>IF(X187="OK",L187+M187+N187+O187+N(G187)+P187,"")</f>
        <v/>
      </c>
      <c r="R187" s="67" t="str">
        <f>IF(X187="OK",ROUND(Q187+N(H187)+N(I187)/D187,4),"")</f>
        <v/>
      </c>
      <c r="S187" s="66" t="str">
        <f>IF(X187="OK",ROUND(R187*(1+Z187),2),"")</f>
        <v/>
      </c>
      <c r="T187" s="66" t="str">
        <f>IF(AND(X187="OK",N(F187)&gt;0),F187-R187,"")</f>
        <v/>
      </c>
      <c r="U187" s="68" t="str">
        <f>IF(T187="","",IF(R187&lt;=0,"",T187/R187))</f>
        <v/>
      </c>
      <c r="V187" s="68" t="str">
        <f>IF(T187="","",T187/F187)</f>
        <v/>
      </c>
      <c r="W187" s="69" t="str">
        <f>IF(A187="","",IF(X187&lt;&gt;"OK","À corriger",IF(N(F187)&lt;=0,"Prix à saisir",IF(F187&lt;R187,"Vendu à perte",IF(F187&lt;S187,"Sous la cible","OK")))))</f>
        <v/>
      </c>
      <c r="X187" s="69" t="str">
        <f>IF(AND(A187="",COUNTA(B187:K187)=0),"",IF(A187="","Référence manquante",IF(COUNTIF($A$6:$A$305,A187)&gt;1,"Référence en double",IF(OR(NOT(ISNUMBER(D187)),N(D187)&lt;=0),"Taille de lot invalide",IF(AND(E187&lt;&gt;"",OR(NOT(ISNUMBER(E187)),N(E187)&lt;0)),"Volume annuel invalide",IF(AND(F187&lt;&gt;"",OR(NOT(ISNUMBER(F187)),N(F187)&lt;0)),"Prix de vente invalide",IF(OR(AND(G187&lt;&gt;"",OR(NOT(ISNUMBER(G187)),N(G187)&lt;0)),AND(H187&lt;&gt;"",OR(NOT(ISNUMBER(H187)),N(H187)&lt;0)),AND(I187&lt;&gt;"",OR(NOT(ISNUMBER(I187)),N(I187)&lt;0))),"Montant invalide",IF(OR(AND(J187&lt;&gt;"",OR(NOT(ISNUMBER(J187)),N(J187)&lt;0)),AND(K187&lt;&gt;"",OR(NOT(ISNUMBER(K187)),N(K187)&lt;0))),"Pourcentage invalide",IF(COUNTIF(bom_prod,A187)+COUNTIF(gam_prod,A187)=0,"Ni nomenclature ni gamme",IF(COUNTIFS(bom_prod,A187,bom_check,"&lt;&gt;OK")&gt;0,"Nomenclature à corriger",IF(COUNTIFS(gam_prod,A187,gam_check,"&lt;&gt;OK")&gt;0,"Gamme à corriger","OK")))))))))))</f>
        <v/>
      </c>
      <c r="Y187" s="70">
        <f>IF(J187="",N(p_fg),N(J187))</f>
        <v>0.15</v>
      </c>
      <c r="Z187" s="70">
        <f>IF(K187="",N(p_target),N(K187))</f>
        <v>0.25</v>
      </c>
      <c r="AA187" s="71" t="str">
        <f>IF(R187="","",IF(N(F187)&gt;0,ROUND(F187*N(E187),2),0))</f>
        <v/>
      </c>
      <c r="AB187" s="71">
        <f>IF(T187="",0,T187*N(E187))</f>
        <v>0.0</v>
      </c>
      <c r="AC187" s="71">
        <f>IF(T187="",0,R187*N(E187))</f>
        <v>0.0</v>
      </c>
      <c r="AD187" s="71">
        <f>IF(R187="",0,L187*N(E187))</f>
        <v>0.0</v>
      </c>
      <c r="AE187" s="71">
        <f>IF(R187="",0,M187*N(E187))</f>
        <v>0.0</v>
      </c>
      <c r="AF187" s="71">
        <f>IF(R187="",0,N187*N(E187))</f>
        <v>0.0</v>
      </c>
      <c r="AG187" s="71">
        <f>IF(R187="",0,O187*N(E187))</f>
        <v>0.0</v>
      </c>
      <c r="AH187" s="71">
        <f>IF(R187="",0,(N(G187)+N(H187)+N(I187)/D187)*N(E187))</f>
        <v>0.0</v>
      </c>
      <c r="AI187" s="71">
        <f>IF(R187="",0,P187*N(E187))</f>
        <v>0.0</v>
      </c>
      <c r="AJ187" s="71" t="str">
        <f>IF(AA187="","",COUNTIF(prod_ca,"&gt;"&amp;AA187)+COUNTIF(AA$6:AA187,AA187))</f>
        <v/>
      </c>
      <c r="AK187" s="71" t="str">
        <f>IF(OR(W187="Vendu à perte",W187="Sous la cible"),ROUND(U187,6),"")</f>
        <v/>
      </c>
      <c r="AL187" s="71" t="str">
        <f>IF(AK187="","",COUNTIF(prod_alk,"&lt;"&amp;AK187)+COUNTIF(AK$6:AK187,AK187))</f>
        <v/>
      </c>
    </row>
    <row r="188">
      <c r="A188" s="60" t="n"/>
      <c r="B188" s="60" t="n"/>
      <c r="C188" s="61" t="n"/>
      <c r="D188" s="62" t="n"/>
      <c r="E188" s="63" t="n"/>
      <c r="F188" s="64" t="n"/>
      <c r="G188" s="64" t="n"/>
      <c r="H188" s="64" t="n"/>
      <c r="I188" s="64" t="n"/>
      <c r="J188" s="65" t="n"/>
      <c r="K188" s="65" t="n"/>
      <c r="L188" s="66" t="str">
        <f>IF(X188="OK",SUMIF(bom_prod,A188,bom_cost),"")</f>
        <v/>
      </c>
      <c r="M188" s="66" t="str">
        <f>IF(X188="OK",SUMIF(gam_prod,A188,gam_mo),"")</f>
        <v/>
      </c>
      <c r="N188" s="66" t="str">
        <f>IF(X188="OK",SUMIF(gam_prod,A188,gam_mac),"")</f>
        <v/>
      </c>
      <c r="O188" s="66" t="str">
        <f>IF(X188="OK",SUMIF(gam_prod,A188,gam_setup)/D188,"")</f>
        <v/>
      </c>
      <c r="P188" s="66" t="str">
        <f>IF(X188="OK",(L188+M188+N188+O188+N(G188))*Y188,"")</f>
        <v/>
      </c>
      <c r="Q188" s="66" t="str">
        <f>IF(X188="OK",L188+M188+N188+O188+N(G188)+P188,"")</f>
        <v/>
      </c>
      <c r="R188" s="67" t="str">
        <f>IF(X188="OK",ROUND(Q188+N(H188)+N(I188)/D188,4),"")</f>
        <v/>
      </c>
      <c r="S188" s="66" t="str">
        <f>IF(X188="OK",ROUND(R188*(1+Z188),2),"")</f>
        <v/>
      </c>
      <c r="T188" s="66" t="str">
        <f>IF(AND(X188="OK",N(F188)&gt;0),F188-R188,"")</f>
        <v/>
      </c>
      <c r="U188" s="68" t="str">
        <f>IF(T188="","",IF(R188&lt;=0,"",T188/R188))</f>
        <v/>
      </c>
      <c r="V188" s="68" t="str">
        <f>IF(T188="","",T188/F188)</f>
        <v/>
      </c>
      <c r="W188" s="69" t="str">
        <f>IF(A188="","",IF(X188&lt;&gt;"OK","À corriger",IF(N(F188)&lt;=0,"Prix à saisir",IF(F188&lt;R188,"Vendu à perte",IF(F188&lt;S188,"Sous la cible","OK")))))</f>
        <v/>
      </c>
      <c r="X188" s="69" t="str">
        <f>IF(AND(A188="",COUNTA(B188:K188)=0),"",IF(A188="","Référence manquante",IF(COUNTIF($A$6:$A$305,A188)&gt;1,"Référence en double",IF(OR(NOT(ISNUMBER(D188)),N(D188)&lt;=0),"Taille de lot invalide",IF(AND(E188&lt;&gt;"",OR(NOT(ISNUMBER(E188)),N(E188)&lt;0)),"Volume annuel invalide",IF(AND(F188&lt;&gt;"",OR(NOT(ISNUMBER(F188)),N(F188)&lt;0)),"Prix de vente invalide",IF(OR(AND(G188&lt;&gt;"",OR(NOT(ISNUMBER(G188)),N(G188)&lt;0)),AND(H188&lt;&gt;"",OR(NOT(ISNUMBER(H188)),N(H188)&lt;0)),AND(I188&lt;&gt;"",OR(NOT(ISNUMBER(I188)),N(I188)&lt;0))),"Montant invalide",IF(OR(AND(J188&lt;&gt;"",OR(NOT(ISNUMBER(J188)),N(J188)&lt;0)),AND(K188&lt;&gt;"",OR(NOT(ISNUMBER(K188)),N(K188)&lt;0))),"Pourcentage invalide",IF(COUNTIF(bom_prod,A188)+COUNTIF(gam_prod,A188)=0,"Ni nomenclature ni gamme",IF(COUNTIFS(bom_prod,A188,bom_check,"&lt;&gt;OK")&gt;0,"Nomenclature à corriger",IF(COUNTIFS(gam_prod,A188,gam_check,"&lt;&gt;OK")&gt;0,"Gamme à corriger","OK")))))))))))</f>
        <v/>
      </c>
      <c r="Y188" s="70">
        <f>IF(J188="",N(p_fg),N(J188))</f>
        <v>0.15</v>
      </c>
      <c r="Z188" s="70">
        <f>IF(K188="",N(p_target),N(K188))</f>
        <v>0.25</v>
      </c>
      <c r="AA188" s="71" t="str">
        <f>IF(R188="","",IF(N(F188)&gt;0,ROUND(F188*N(E188),2),0))</f>
        <v/>
      </c>
      <c r="AB188" s="71">
        <f>IF(T188="",0,T188*N(E188))</f>
        <v>0.0</v>
      </c>
      <c r="AC188" s="71">
        <f>IF(T188="",0,R188*N(E188))</f>
        <v>0.0</v>
      </c>
      <c r="AD188" s="71">
        <f>IF(R188="",0,L188*N(E188))</f>
        <v>0.0</v>
      </c>
      <c r="AE188" s="71">
        <f>IF(R188="",0,M188*N(E188))</f>
        <v>0.0</v>
      </c>
      <c r="AF188" s="71">
        <f>IF(R188="",0,N188*N(E188))</f>
        <v>0.0</v>
      </c>
      <c r="AG188" s="71">
        <f>IF(R188="",0,O188*N(E188))</f>
        <v>0.0</v>
      </c>
      <c r="AH188" s="71">
        <f>IF(R188="",0,(N(G188)+N(H188)+N(I188)/D188)*N(E188))</f>
        <v>0.0</v>
      </c>
      <c r="AI188" s="71">
        <f>IF(R188="",0,P188*N(E188))</f>
        <v>0.0</v>
      </c>
      <c r="AJ188" s="71" t="str">
        <f>IF(AA188="","",COUNTIF(prod_ca,"&gt;"&amp;AA188)+COUNTIF(AA$6:AA188,AA188))</f>
        <v/>
      </c>
      <c r="AK188" s="71" t="str">
        <f>IF(OR(W188="Vendu à perte",W188="Sous la cible"),ROUND(U188,6),"")</f>
        <v/>
      </c>
      <c r="AL188" s="71" t="str">
        <f>IF(AK188="","",COUNTIF(prod_alk,"&lt;"&amp;AK188)+COUNTIF(AK$6:AK188,AK188))</f>
        <v/>
      </c>
    </row>
    <row r="189">
      <c r="A189" s="60" t="n"/>
      <c r="B189" s="60" t="n"/>
      <c r="C189" s="61" t="n"/>
      <c r="D189" s="62" t="n"/>
      <c r="E189" s="63" t="n"/>
      <c r="F189" s="64" t="n"/>
      <c r="G189" s="64" t="n"/>
      <c r="H189" s="64" t="n"/>
      <c r="I189" s="64" t="n"/>
      <c r="J189" s="65" t="n"/>
      <c r="K189" s="65" t="n"/>
      <c r="L189" s="66" t="str">
        <f>IF(X189="OK",SUMIF(bom_prod,A189,bom_cost),"")</f>
        <v/>
      </c>
      <c r="M189" s="66" t="str">
        <f>IF(X189="OK",SUMIF(gam_prod,A189,gam_mo),"")</f>
        <v/>
      </c>
      <c r="N189" s="66" t="str">
        <f>IF(X189="OK",SUMIF(gam_prod,A189,gam_mac),"")</f>
        <v/>
      </c>
      <c r="O189" s="66" t="str">
        <f>IF(X189="OK",SUMIF(gam_prod,A189,gam_setup)/D189,"")</f>
        <v/>
      </c>
      <c r="P189" s="66" t="str">
        <f>IF(X189="OK",(L189+M189+N189+O189+N(G189))*Y189,"")</f>
        <v/>
      </c>
      <c r="Q189" s="66" t="str">
        <f>IF(X189="OK",L189+M189+N189+O189+N(G189)+P189,"")</f>
        <v/>
      </c>
      <c r="R189" s="67" t="str">
        <f>IF(X189="OK",ROUND(Q189+N(H189)+N(I189)/D189,4),"")</f>
        <v/>
      </c>
      <c r="S189" s="66" t="str">
        <f>IF(X189="OK",ROUND(R189*(1+Z189),2),"")</f>
        <v/>
      </c>
      <c r="T189" s="66" t="str">
        <f>IF(AND(X189="OK",N(F189)&gt;0),F189-R189,"")</f>
        <v/>
      </c>
      <c r="U189" s="68" t="str">
        <f>IF(T189="","",IF(R189&lt;=0,"",T189/R189))</f>
        <v/>
      </c>
      <c r="V189" s="68" t="str">
        <f>IF(T189="","",T189/F189)</f>
        <v/>
      </c>
      <c r="W189" s="69" t="str">
        <f>IF(A189="","",IF(X189&lt;&gt;"OK","À corriger",IF(N(F189)&lt;=0,"Prix à saisir",IF(F189&lt;R189,"Vendu à perte",IF(F189&lt;S189,"Sous la cible","OK")))))</f>
        <v/>
      </c>
      <c r="X189" s="69" t="str">
        <f>IF(AND(A189="",COUNTA(B189:K189)=0),"",IF(A189="","Référence manquante",IF(COUNTIF($A$6:$A$305,A189)&gt;1,"Référence en double",IF(OR(NOT(ISNUMBER(D189)),N(D189)&lt;=0),"Taille de lot invalide",IF(AND(E189&lt;&gt;"",OR(NOT(ISNUMBER(E189)),N(E189)&lt;0)),"Volume annuel invalide",IF(AND(F189&lt;&gt;"",OR(NOT(ISNUMBER(F189)),N(F189)&lt;0)),"Prix de vente invalide",IF(OR(AND(G189&lt;&gt;"",OR(NOT(ISNUMBER(G189)),N(G189)&lt;0)),AND(H189&lt;&gt;"",OR(NOT(ISNUMBER(H189)),N(H189)&lt;0)),AND(I189&lt;&gt;"",OR(NOT(ISNUMBER(I189)),N(I189)&lt;0))),"Montant invalide",IF(OR(AND(J189&lt;&gt;"",OR(NOT(ISNUMBER(J189)),N(J189)&lt;0)),AND(K189&lt;&gt;"",OR(NOT(ISNUMBER(K189)),N(K189)&lt;0))),"Pourcentage invalide",IF(COUNTIF(bom_prod,A189)+COUNTIF(gam_prod,A189)=0,"Ni nomenclature ni gamme",IF(COUNTIFS(bom_prod,A189,bom_check,"&lt;&gt;OK")&gt;0,"Nomenclature à corriger",IF(COUNTIFS(gam_prod,A189,gam_check,"&lt;&gt;OK")&gt;0,"Gamme à corriger","OK")))))))))))</f>
        <v/>
      </c>
      <c r="Y189" s="70">
        <f>IF(J189="",N(p_fg),N(J189))</f>
        <v>0.15</v>
      </c>
      <c r="Z189" s="70">
        <f>IF(K189="",N(p_target),N(K189))</f>
        <v>0.25</v>
      </c>
      <c r="AA189" s="71" t="str">
        <f>IF(R189="","",IF(N(F189)&gt;0,ROUND(F189*N(E189),2),0))</f>
        <v/>
      </c>
      <c r="AB189" s="71">
        <f>IF(T189="",0,T189*N(E189))</f>
        <v>0.0</v>
      </c>
      <c r="AC189" s="71">
        <f>IF(T189="",0,R189*N(E189))</f>
        <v>0.0</v>
      </c>
      <c r="AD189" s="71">
        <f>IF(R189="",0,L189*N(E189))</f>
        <v>0.0</v>
      </c>
      <c r="AE189" s="71">
        <f>IF(R189="",0,M189*N(E189))</f>
        <v>0.0</v>
      </c>
      <c r="AF189" s="71">
        <f>IF(R189="",0,N189*N(E189))</f>
        <v>0.0</v>
      </c>
      <c r="AG189" s="71">
        <f>IF(R189="",0,O189*N(E189))</f>
        <v>0.0</v>
      </c>
      <c r="AH189" s="71">
        <f>IF(R189="",0,(N(G189)+N(H189)+N(I189)/D189)*N(E189))</f>
        <v>0.0</v>
      </c>
      <c r="AI189" s="71">
        <f>IF(R189="",0,P189*N(E189))</f>
        <v>0.0</v>
      </c>
      <c r="AJ189" s="71" t="str">
        <f>IF(AA189="","",COUNTIF(prod_ca,"&gt;"&amp;AA189)+COUNTIF(AA$6:AA189,AA189))</f>
        <v/>
      </c>
      <c r="AK189" s="71" t="str">
        <f>IF(OR(W189="Vendu à perte",W189="Sous la cible"),ROUND(U189,6),"")</f>
        <v/>
      </c>
      <c r="AL189" s="71" t="str">
        <f>IF(AK189="","",COUNTIF(prod_alk,"&lt;"&amp;AK189)+COUNTIF(AK$6:AK189,AK189))</f>
        <v/>
      </c>
    </row>
    <row r="190">
      <c r="A190" s="60" t="n"/>
      <c r="B190" s="60" t="n"/>
      <c r="C190" s="61" t="n"/>
      <c r="D190" s="62" t="n"/>
      <c r="E190" s="63" t="n"/>
      <c r="F190" s="64" t="n"/>
      <c r="G190" s="64" t="n"/>
      <c r="H190" s="64" t="n"/>
      <c r="I190" s="64" t="n"/>
      <c r="J190" s="65" t="n"/>
      <c r="K190" s="65" t="n"/>
      <c r="L190" s="66" t="str">
        <f>IF(X190="OK",SUMIF(bom_prod,A190,bom_cost),"")</f>
        <v/>
      </c>
      <c r="M190" s="66" t="str">
        <f>IF(X190="OK",SUMIF(gam_prod,A190,gam_mo),"")</f>
        <v/>
      </c>
      <c r="N190" s="66" t="str">
        <f>IF(X190="OK",SUMIF(gam_prod,A190,gam_mac),"")</f>
        <v/>
      </c>
      <c r="O190" s="66" t="str">
        <f>IF(X190="OK",SUMIF(gam_prod,A190,gam_setup)/D190,"")</f>
        <v/>
      </c>
      <c r="P190" s="66" t="str">
        <f>IF(X190="OK",(L190+M190+N190+O190+N(G190))*Y190,"")</f>
        <v/>
      </c>
      <c r="Q190" s="66" t="str">
        <f>IF(X190="OK",L190+M190+N190+O190+N(G190)+P190,"")</f>
        <v/>
      </c>
      <c r="R190" s="67" t="str">
        <f>IF(X190="OK",ROUND(Q190+N(H190)+N(I190)/D190,4),"")</f>
        <v/>
      </c>
      <c r="S190" s="66" t="str">
        <f>IF(X190="OK",ROUND(R190*(1+Z190),2),"")</f>
        <v/>
      </c>
      <c r="T190" s="66" t="str">
        <f>IF(AND(X190="OK",N(F190)&gt;0),F190-R190,"")</f>
        <v/>
      </c>
      <c r="U190" s="68" t="str">
        <f>IF(T190="","",IF(R190&lt;=0,"",T190/R190))</f>
        <v/>
      </c>
      <c r="V190" s="68" t="str">
        <f>IF(T190="","",T190/F190)</f>
        <v/>
      </c>
      <c r="W190" s="69" t="str">
        <f>IF(A190="","",IF(X190&lt;&gt;"OK","À corriger",IF(N(F190)&lt;=0,"Prix à saisir",IF(F190&lt;R190,"Vendu à perte",IF(F190&lt;S190,"Sous la cible","OK")))))</f>
        <v/>
      </c>
      <c r="X190" s="69" t="str">
        <f>IF(AND(A190="",COUNTA(B190:K190)=0),"",IF(A190="","Référence manquante",IF(COUNTIF($A$6:$A$305,A190)&gt;1,"Référence en double",IF(OR(NOT(ISNUMBER(D190)),N(D190)&lt;=0),"Taille de lot invalide",IF(AND(E190&lt;&gt;"",OR(NOT(ISNUMBER(E190)),N(E190)&lt;0)),"Volume annuel invalide",IF(AND(F190&lt;&gt;"",OR(NOT(ISNUMBER(F190)),N(F190)&lt;0)),"Prix de vente invalide",IF(OR(AND(G190&lt;&gt;"",OR(NOT(ISNUMBER(G190)),N(G190)&lt;0)),AND(H190&lt;&gt;"",OR(NOT(ISNUMBER(H190)),N(H190)&lt;0)),AND(I190&lt;&gt;"",OR(NOT(ISNUMBER(I190)),N(I190)&lt;0))),"Montant invalide",IF(OR(AND(J190&lt;&gt;"",OR(NOT(ISNUMBER(J190)),N(J190)&lt;0)),AND(K190&lt;&gt;"",OR(NOT(ISNUMBER(K190)),N(K190)&lt;0))),"Pourcentage invalide",IF(COUNTIF(bom_prod,A190)+COUNTIF(gam_prod,A190)=0,"Ni nomenclature ni gamme",IF(COUNTIFS(bom_prod,A190,bom_check,"&lt;&gt;OK")&gt;0,"Nomenclature à corriger",IF(COUNTIFS(gam_prod,A190,gam_check,"&lt;&gt;OK")&gt;0,"Gamme à corriger","OK")))))))))))</f>
        <v/>
      </c>
      <c r="Y190" s="70">
        <f>IF(J190="",N(p_fg),N(J190))</f>
        <v>0.15</v>
      </c>
      <c r="Z190" s="70">
        <f>IF(K190="",N(p_target),N(K190))</f>
        <v>0.25</v>
      </c>
      <c r="AA190" s="71" t="str">
        <f>IF(R190="","",IF(N(F190)&gt;0,ROUND(F190*N(E190),2),0))</f>
        <v/>
      </c>
      <c r="AB190" s="71">
        <f>IF(T190="",0,T190*N(E190))</f>
        <v>0.0</v>
      </c>
      <c r="AC190" s="71">
        <f>IF(T190="",0,R190*N(E190))</f>
        <v>0.0</v>
      </c>
      <c r="AD190" s="71">
        <f>IF(R190="",0,L190*N(E190))</f>
        <v>0.0</v>
      </c>
      <c r="AE190" s="71">
        <f>IF(R190="",0,M190*N(E190))</f>
        <v>0.0</v>
      </c>
      <c r="AF190" s="71">
        <f>IF(R190="",0,N190*N(E190))</f>
        <v>0.0</v>
      </c>
      <c r="AG190" s="71">
        <f>IF(R190="",0,O190*N(E190))</f>
        <v>0.0</v>
      </c>
      <c r="AH190" s="71">
        <f>IF(R190="",0,(N(G190)+N(H190)+N(I190)/D190)*N(E190))</f>
        <v>0.0</v>
      </c>
      <c r="AI190" s="71">
        <f>IF(R190="",0,P190*N(E190))</f>
        <v>0.0</v>
      </c>
      <c r="AJ190" s="71" t="str">
        <f>IF(AA190="","",COUNTIF(prod_ca,"&gt;"&amp;AA190)+COUNTIF(AA$6:AA190,AA190))</f>
        <v/>
      </c>
      <c r="AK190" s="71" t="str">
        <f>IF(OR(W190="Vendu à perte",W190="Sous la cible"),ROUND(U190,6),"")</f>
        <v/>
      </c>
      <c r="AL190" s="71" t="str">
        <f>IF(AK190="","",COUNTIF(prod_alk,"&lt;"&amp;AK190)+COUNTIF(AK$6:AK190,AK190))</f>
        <v/>
      </c>
    </row>
    <row r="191">
      <c r="A191" s="60" t="n"/>
      <c r="B191" s="60" t="n"/>
      <c r="C191" s="61" t="n"/>
      <c r="D191" s="62" t="n"/>
      <c r="E191" s="63" t="n"/>
      <c r="F191" s="64" t="n"/>
      <c r="G191" s="64" t="n"/>
      <c r="H191" s="64" t="n"/>
      <c r="I191" s="64" t="n"/>
      <c r="J191" s="65" t="n"/>
      <c r="K191" s="65" t="n"/>
      <c r="L191" s="66" t="str">
        <f>IF(X191="OK",SUMIF(bom_prod,A191,bom_cost),"")</f>
        <v/>
      </c>
      <c r="M191" s="66" t="str">
        <f>IF(X191="OK",SUMIF(gam_prod,A191,gam_mo),"")</f>
        <v/>
      </c>
      <c r="N191" s="66" t="str">
        <f>IF(X191="OK",SUMIF(gam_prod,A191,gam_mac),"")</f>
        <v/>
      </c>
      <c r="O191" s="66" t="str">
        <f>IF(X191="OK",SUMIF(gam_prod,A191,gam_setup)/D191,"")</f>
        <v/>
      </c>
      <c r="P191" s="66" t="str">
        <f>IF(X191="OK",(L191+M191+N191+O191+N(G191))*Y191,"")</f>
        <v/>
      </c>
      <c r="Q191" s="66" t="str">
        <f>IF(X191="OK",L191+M191+N191+O191+N(G191)+P191,"")</f>
        <v/>
      </c>
      <c r="R191" s="67" t="str">
        <f>IF(X191="OK",ROUND(Q191+N(H191)+N(I191)/D191,4),"")</f>
        <v/>
      </c>
      <c r="S191" s="66" t="str">
        <f>IF(X191="OK",ROUND(R191*(1+Z191),2),"")</f>
        <v/>
      </c>
      <c r="T191" s="66" t="str">
        <f>IF(AND(X191="OK",N(F191)&gt;0),F191-R191,"")</f>
        <v/>
      </c>
      <c r="U191" s="68" t="str">
        <f>IF(T191="","",IF(R191&lt;=0,"",T191/R191))</f>
        <v/>
      </c>
      <c r="V191" s="68" t="str">
        <f>IF(T191="","",T191/F191)</f>
        <v/>
      </c>
      <c r="W191" s="69" t="str">
        <f>IF(A191="","",IF(X191&lt;&gt;"OK","À corriger",IF(N(F191)&lt;=0,"Prix à saisir",IF(F191&lt;R191,"Vendu à perte",IF(F191&lt;S191,"Sous la cible","OK")))))</f>
        <v/>
      </c>
      <c r="X191" s="69" t="str">
        <f>IF(AND(A191="",COUNTA(B191:K191)=0),"",IF(A191="","Référence manquante",IF(COUNTIF($A$6:$A$305,A191)&gt;1,"Référence en double",IF(OR(NOT(ISNUMBER(D191)),N(D191)&lt;=0),"Taille de lot invalide",IF(AND(E191&lt;&gt;"",OR(NOT(ISNUMBER(E191)),N(E191)&lt;0)),"Volume annuel invalide",IF(AND(F191&lt;&gt;"",OR(NOT(ISNUMBER(F191)),N(F191)&lt;0)),"Prix de vente invalide",IF(OR(AND(G191&lt;&gt;"",OR(NOT(ISNUMBER(G191)),N(G191)&lt;0)),AND(H191&lt;&gt;"",OR(NOT(ISNUMBER(H191)),N(H191)&lt;0)),AND(I191&lt;&gt;"",OR(NOT(ISNUMBER(I191)),N(I191)&lt;0))),"Montant invalide",IF(OR(AND(J191&lt;&gt;"",OR(NOT(ISNUMBER(J191)),N(J191)&lt;0)),AND(K191&lt;&gt;"",OR(NOT(ISNUMBER(K191)),N(K191)&lt;0))),"Pourcentage invalide",IF(COUNTIF(bom_prod,A191)+COUNTIF(gam_prod,A191)=0,"Ni nomenclature ni gamme",IF(COUNTIFS(bom_prod,A191,bom_check,"&lt;&gt;OK")&gt;0,"Nomenclature à corriger",IF(COUNTIFS(gam_prod,A191,gam_check,"&lt;&gt;OK")&gt;0,"Gamme à corriger","OK")))))))))))</f>
        <v/>
      </c>
      <c r="Y191" s="70">
        <f>IF(J191="",N(p_fg),N(J191))</f>
        <v>0.15</v>
      </c>
      <c r="Z191" s="70">
        <f>IF(K191="",N(p_target),N(K191))</f>
        <v>0.25</v>
      </c>
      <c r="AA191" s="71" t="str">
        <f>IF(R191="","",IF(N(F191)&gt;0,ROUND(F191*N(E191),2),0))</f>
        <v/>
      </c>
      <c r="AB191" s="71">
        <f>IF(T191="",0,T191*N(E191))</f>
        <v>0.0</v>
      </c>
      <c r="AC191" s="71">
        <f>IF(T191="",0,R191*N(E191))</f>
        <v>0.0</v>
      </c>
      <c r="AD191" s="71">
        <f>IF(R191="",0,L191*N(E191))</f>
        <v>0.0</v>
      </c>
      <c r="AE191" s="71">
        <f>IF(R191="",0,M191*N(E191))</f>
        <v>0.0</v>
      </c>
      <c r="AF191" s="71">
        <f>IF(R191="",0,N191*N(E191))</f>
        <v>0.0</v>
      </c>
      <c r="AG191" s="71">
        <f>IF(R191="",0,O191*N(E191))</f>
        <v>0.0</v>
      </c>
      <c r="AH191" s="71">
        <f>IF(R191="",0,(N(G191)+N(H191)+N(I191)/D191)*N(E191))</f>
        <v>0.0</v>
      </c>
      <c r="AI191" s="71">
        <f>IF(R191="",0,P191*N(E191))</f>
        <v>0.0</v>
      </c>
      <c r="AJ191" s="71" t="str">
        <f>IF(AA191="","",COUNTIF(prod_ca,"&gt;"&amp;AA191)+COUNTIF(AA$6:AA191,AA191))</f>
        <v/>
      </c>
      <c r="AK191" s="71" t="str">
        <f>IF(OR(W191="Vendu à perte",W191="Sous la cible"),ROUND(U191,6),"")</f>
        <v/>
      </c>
      <c r="AL191" s="71" t="str">
        <f>IF(AK191="","",COUNTIF(prod_alk,"&lt;"&amp;AK191)+COUNTIF(AK$6:AK191,AK191))</f>
        <v/>
      </c>
    </row>
    <row r="192">
      <c r="A192" s="60" t="n"/>
      <c r="B192" s="60" t="n"/>
      <c r="C192" s="61" t="n"/>
      <c r="D192" s="62" t="n"/>
      <c r="E192" s="63" t="n"/>
      <c r="F192" s="64" t="n"/>
      <c r="G192" s="64" t="n"/>
      <c r="H192" s="64" t="n"/>
      <c r="I192" s="64" t="n"/>
      <c r="J192" s="65" t="n"/>
      <c r="K192" s="65" t="n"/>
      <c r="L192" s="66" t="str">
        <f>IF(X192="OK",SUMIF(bom_prod,A192,bom_cost),"")</f>
        <v/>
      </c>
      <c r="M192" s="66" t="str">
        <f>IF(X192="OK",SUMIF(gam_prod,A192,gam_mo),"")</f>
        <v/>
      </c>
      <c r="N192" s="66" t="str">
        <f>IF(X192="OK",SUMIF(gam_prod,A192,gam_mac),"")</f>
        <v/>
      </c>
      <c r="O192" s="66" t="str">
        <f>IF(X192="OK",SUMIF(gam_prod,A192,gam_setup)/D192,"")</f>
        <v/>
      </c>
      <c r="P192" s="66" t="str">
        <f>IF(X192="OK",(L192+M192+N192+O192+N(G192))*Y192,"")</f>
        <v/>
      </c>
      <c r="Q192" s="66" t="str">
        <f>IF(X192="OK",L192+M192+N192+O192+N(G192)+P192,"")</f>
        <v/>
      </c>
      <c r="R192" s="67" t="str">
        <f>IF(X192="OK",ROUND(Q192+N(H192)+N(I192)/D192,4),"")</f>
        <v/>
      </c>
      <c r="S192" s="66" t="str">
        <f>IF(X192="OK",ROUND(R192*(1+Z192),2),"")</f>
        <v/>
      </c>
      <c r="T192" s="66" t="str">
        <f>IF(AND(X192="OK",N(F192)&gt;0),F192-R192,"")</f>
        <v/>
      </c>
      <c r="U192" s="68" t="str">
        <f>IF(T192="","",IF(R192&lt;=0,"",T192/R192))</f>
        <v/>
      </c>
      <c r="V192" s="68" t="str">
        <f>IF(T192="","",T192/F192)</f>
        <v/>
      </c>
      <c r="W192" s="69" t="str">
        <f>IF(A192="","",IF(X192&lt;&gt;"OK","À corriger",IF(N(F192)&lt;=0,"Prix à saisir",IF(F192&lt;R192,"Vendu à perte",IF(F192&lt;S192,"Sous la cible","OK")))))</f>
        <v/>
      </c>
      <c r="X192" s="69" t="str">
        <f>IF(AND(A192="",COUNTA(B192:K192)=0),"",IF(A192="","Référence manquante",IF(COUNTIF($A$6:$A$305,A192)&gt;1,"Référence en double",IF(OR(NOT(ISNUMBER(D192)),N(D192)&lt;=0),"Taille de lot invalide",IF(AND(E192&lt;&gt;"",OR(NOT(ISNUMBER(E192)),N(E192)&lt;0)),"Volume annuel invalide",IF(AND(F192&lt;&gt;"",OR(NOT(ISNUMBER(F192)),N(F192)&lt;0)),"Prix de vente invalide",IF(OR(AND(G192&lt;&gt;"",OR(NOT(ISNUMBER(G192)),N(G192)&lt;0)),AND(H192&lt;&gt;"",OR(NOT(ISNUMBER(H192)),N(H192)&lt;0)),AND(I192&lt;&gt;"",OR(NOT(ISNUMBER(I192)),N(I192)&lt;0))),"Montant invalide",IF(OR(AND(J192&lt;&gt;"",OR(NOT(ISNUMBER(J192)),N(J192)&lt;0)),AND(K192&lt;&gt;"",OR(NOT(ISNUMBER(K192)),N(K192)&lt;0))),"Pourcentage invalide",IF(COUNTIF(bom_prod,A192)+COUNTIF(gam_prod,A192)=0,"Ni nomenclature ni gamme",IF(COUNTIFS(bom_prod,A192,bom_check,"&lt;&gt;OK")&gt;0,"Nomenclature à corriger",IF(COUNTIFS(gam_prod,A192,gam_check,"&lt;&gt;OK")&gt;0,"Gamme à corriger","OK")))))))))))</f>
        <v/>
      </c>
      <c r="Y192" s="70">
        <f>IF(J192="",N(p_fg),N(J192))</f>
        <v>0.15</v>
      </c>
      <c r="Z192" s="70">
        <f>IF(K192="",N(p_target),N(K192))</f>
        <v>0.25</v>
      </c>
      <c r="AA192" s="71" t="str">
        <f>IF(R192="","",IF(N(F192)&gt;0,ROUND(F192*N(E192),2),0))</f>
        <v/>
      </c>
      <c r="AB192" s="71">
        <f>IF(T192="",0,T192*N(E192))</f>
        <v>0.0</v>
      </c>
      <c r="AC192" s="71">
        <f>IF(T192="",0,R192*N(E192))</f>
        <v>0.0</v>
      </c>
      <c r="AD192" s="71">
        <f>IF(R192="",0,L192*N(E192))</f>
        <v>0.0</v>
      </c>
      <c r="AE192" s="71">
        <f>IF(R192="",0,M192*N(E192))</f>
        <v>0.0</v>
      </c>
      <c r="AF192" s="71">
        <f>IF(R192="",0,N192*N(E192))</f>
        <v>0.0</v>
      </c>
      <c r="AG192" s="71">
        <f>IF(R192="",0,O192*N(E192))</f>
        <v>0.0</v>
      </c>
      <c r="AH192" s="71">
        <f>IF(R192="",0,(N(G192)+N(H192)+N(I192)/D192)*N(E192))</f>
        <v>0.0</v>
      </c>
      <c r="AI192" s="71">
        <f>IF(R192="",0,P192*N(E192))</f>
        <v>0.0</v>
      </c>
      <c r="AJ192" s="71" t="str">
        <f>IF(AA192="","",COUNTIF(prod_ca,"&gt;"&amp;AA192)+COUNTIF(AA$6:AA192,AA192))</f>
        <v/>
      </c>
      <c r="AK192" s="71" t="str">
        <f>IF(OR(W192="Vendu à perte",W192="Sous la cible"),ROUND(U192,6),"")</f>
        <v/>
      </c>
      <c r="AL192" s="71" t="str">
        <f>IF(AK192="","",COUNTIF(prod_alk,"&lt;"&amp;AK192)+COUNTIF(AK$6:AK192,AK192))</f>
        <v/>
      </c>
    </row>
    <row r="193">
      <c r="A193" s="60" t="n"/>
      <c r="B193" s="60" t="n"/>
      <c r="C193" s="61" t="n"/>
      <c r="D193" s="62" t="n"/>
      <c r="E193" s="63" t="n"/>
      <c r="F193" s="64" t="n"/>
      <c r="G193" s="64" t="n"/>
      <c r="H193" s="64" t="n"/>
      <c r="I193" s="64" t="n"/>
      <c r="J193" s="65" t="n"/>
      <c r="K193" s="65" t="n"/>
      <c r="L193" s="66" t="str">
        <f>IF(X193="OK",SUMIF(bom_prod,A193,bom_cost),"")</f>
        <v/>
      </c>
      <c r="M193" s="66" t="str">
        <f>IF(X193="OK",SUMIF(gam_prod,A193,gam_mo),"")</f>
        <v/>
      </c>
      <c r="N193" s="66" t="str">
        <f>IF(X193="OK",SUMIF(gam_prod,A193,gam_mac),"")</f>
        <v/>
      </c>
      <c r="O193" s="66" t="str">
        <f>IF(X193="OK",SUMIF(gam_prod,A193,gam_setup)/D193,"")</f>
        <v/>
      </c>
      <c r="P193" s="66" t="str">
        <f>IF(X193="OK",(L193+M193+N193+O193+N(G193))*Y193,"")</f>
        <v/>
      </c>
      <c r="Q193" s="66" t="str">
        <f>IF(X193="OK",L193+M193+N193+O193+N(G193)+P193,"")</f>
        <v/>
      </c>
      <c r="R193" s="67" t="str">
        <f>IF(X193="OK",ROUND(Q193+N(H193)+N(I193)/D193,4),"")</f>
        <v/>
      </c>
      <c r="S193" s="66" t="str">
        <f>IF(X193="OK",ROUND(R193*(1+Z193),2),"")</f>
        <v/>
      </c>
      <c r="T193" s="66" t="str">
        <f>IF(AND(X193="OK",N(F193)&gt;0),F193-R193,"")</f>
        <v/>
      </c>
      <c r="U193" s="68" t="str">
        <f>IF(T193="","",IF(R193&lt;=0,"",T193/R193))</f>
        <v/>
      </c>
      <c r="V193" s="68" t="str">
        <f>IF(T193="","",T193/F193)</f>
        <v/>
      </c>
      <c r="W193" s="69" t="str">
        <f>IF(A193="","",IF(X193&lt;&gt;"OK","À corriger",IF(N(F193)&lt;=0,"Prix à saisir",IF(F193&lt;R193,"Vendu à perte",IF(F193&lt;S193,"Sous la cible","OK")))))</f>
        <v/>
      </c>
      <c r="X193" s="69" t="str">
        <f>IF(AND(A193="",COUNTA(B193:K193)=0),"",IF(A193="","Référence manquante",IF(COUNTIF($A$6:$A$305,A193)&gt;1,"Référence en double",IF(OR(NOT(ISNUMBER(D193)),N(D193)&lt;=0),"Taille de lot invalide",IF(AND(E193&lt;&gt;"",OR(NOT(ISNUMBER(E193)),N(E193)&lt;0)),"Volume annuel invalide",IF(AND(F193&lt;&gt;"",OR(NOT(ISNUMBER(F193)),N(F193)&lt;0)),"Prix de vente invalide",IF(OR(AND(G193&lt;&gt;"",OR(NOT(ISNUMBER(G193)),N(G193)&lt;0)),AND(H193&lt;&gt;"",OR(NOT(ISNUMBER(H193)),N(H193)&lt;0)),AND(I193&lt;&gt;"",OR(NOT(ISNUMBER(I193)),N(I193)&lt;0))),"Montant invalide",IF(OR(AND(J193&lt;&gt;"",OR(NOT(ISNUMBER(J193)),N(J193)&lt;0)),AND(K193&lt;&gt;"",OR(NOT(ISNUMBER(K193)),N(K193)&lt;0))),"Pourcentage invalide",IF(COUNTIF(bom_prod,A193)+COUNTIF(gam_prod,A193)=0,"Ni nomenclature ni gamme",IF(COUNTIFS(bom_prod,A193,bom_check,"&lt;&gt;OK")&gt;0,"Nomenclature à corriger",IF(COUNTIFS(gam_prod,A193,gam_check,"&lt;&gt;OK")&gt;0,"Gamme à corriger","OK")))))))))))</f>
        <v/>
      </c>
      <c r="Y193" s="70">
        <f>IF(J193="",N(p_fg),N(J193))</f>
        <v>0.15</v>
      </c>
      <c r="Z193" s="70">
        <f>IF(K193="",N(p_target),N(K193))</f>
        <v>0.25</v>
      </c>
      <c r="AA193" s="71" t="str">
        <f>IF(R193="","",IF(N(F193)&gt;0,ROUND(F193*N(E193),2),0))</f>
        <v/>
      </c>
      <c r="AB193" s="71">
        <f>IF(T193="",0,T193*N(E193))</f>
        <v>0.0</v>
      </c>
      <c r="AC193" s="71">
        <f>IF(T193="",0,R193*N(E193))</f>
        <v>0.0</v>
      </c>
      <c r="AD193" s="71">
        <f>IF(R193="",0,L193*N(E193))</f>
        <v>0.0</v>
      </c>
      <c r="AE193" s="71">
        <f>IF(R193="",0,M193*N(E193))</f>
        <v>0.0</v>
      </c>
      <c r="AF193" s="71">
        <f>IF(R193="",0,N193*N(E193))</f>
        <v>0.0</v>
      </c>
      <c r="AG193" s="71">
        <f>IF(R193="",0,O193*N(E193))</f>
        <v>0.0</v>
      </c>
      <c r="AH193" s="71">
        <f>IF(R193="",0,(N(G193)+N(H193)+N(I193)/D193)*N(E193))</f>
        <v>0.0</v>
      </c>
      <c r="AI193" s="71">
        <f>IF(R193="",0,P193*N(E193))</f>
        <v>0.0</v>
      </c>
      <c r="AJ193" s="71" t="str">
        <f>IF(AA193="","",COUNTIF(prod_ca,"&gt;"&amp;AA193)+COUNTIF(AA$6:AA193,AA193))</f>
        <v/>
      </c>
      <c r="AK193" s="71" t="str">
        <f>IF(OR(W193="Vendu à perte",W193="Sous la cible"),ROUND(U193,6),"")</f>
        <v/>
      </c>
      <c r="AL193" s="71" t="str">
        <f>IF(AK193="","",COUNTIF(prod_alk,"&lt;"&amp;AK193)+COUNTIF(AK$6:AK193,AK193))</f>
        <v/>
      </c>
    </row>
    <row r="194">
      <c r="A194" s="60" t="n"/>
      <c r="B194" s="60" t="n"/>
      <c r="C194" s="61" t="n"/>
      <c r="D194" s="62" t="n"/>
      <c r="E194" s="63" t="n"/>
      <c r="F194" s="64" t="n"/>
      <c r="G194" s="64" t="n"/>
      <c r="H194" s="64" t="n"/>
      <c r="I194" s="64" t="n"/>
      <c r="J194" s="65" t="n"/>
      <c r="K194" s="65" t="n"/>
      <c r="L194" s="66" t="str">
        <f>IF(X194="OK",SUMIF(bom_prod,A194,bom_cost),"")</f>
        <v/>
      </c>
      <c r="M194" s="66" t="str">
        <f>IF(X194="OK",SUMIF(gam_prod,A194,gam_mo),"")</f>
        <v/>
      </c>
      <c r="N194" s="66" t="str">
        <f>IF(X194="OK",SUMIF(gam_prod,A194,gam_mac),"")</f>
        <v/>
      </c>
      <c r="O194" s="66" t="str">
        <f>IF(X194="OK",SUMIF(gam_prod,A194,gam_setup)/D194,"")</f>
        <v/>
      </c>
      <c r="P194" s="66" t="str">
        <f>IF(X194="OK",(L194+M194+N194+O194+N(G194))*Y194,"")</f>
        <v/>
      </c>
      <c r="Q194" s="66" t="str">
        <f>IF(X194="OK",L194+M194+N194+O194+N(G194)+P194,"")</f>
        <v/>
      </c>
      <c r="R194" s="67" t="str">
        <f>IF(X194="OK",ROUND(Q194+N(H194)+N(I194)/D194,4),"")</f>
        <v/>
      </c>
      <c r="S194" s="66" t="str">
        <f>IF(X194="OK",ROUND(R194*(1+Z194),2),"")</f>
        <v/>
      </c>
      <c r="T194" s="66" t="str">
        <f>IF(AND(X194="OK",N(F194)&gt;0),F194-R194,"")</f>
        <v/>
      </c>
      <c r="U194" s="68" t="str">
        <f>IF(T194="","",IF(R194&lt;=0,"",T194/R194))</f>
        <v/>
      </c>
      <c r="V194" s="68" t="str">
        <f>IF(T194="","",T194/F194)</f>
        <v/>
      </c>
      <c r="W194" s="69" t="str">
        <f>IF(A194="","",IF(X194&lt;&gt;"OK","À corriger",IF(N(F194)&lt;=0,"Prix à saisir",IF(F194&lt;R194,"Vendu à perte",IF(F194&lt;S194,"Sous la cible","OK")))))</f>
        <v/>
      </c>
      <c r="X194" s="69" t="str">
        <f>IF(AND(A194="",COUNTA(B194:K194)=0),"",IF(A194="","Référence manquante",IF(COUNTIF($A$6:$A$305,A194)&gt;1,"Référence en double",IF(OR(NOT(ISNUMBER(D194)),N(D194)&lt;=0),"Taille de lot invalide",IF(AND(E194&lt;&gt;"",OR(NOT(ISNUMBER(E194)),N(E194)&lt;0)),"Volume annuel invalide",IF(AND(F194&lt;&gt;"",OR(NOT(ISNUMBER(F194)),N(F194)&lt;0)),"Prix de vente invalide",IF(OR(AND(G194&lt;&gt;"",OR(NOT(ISNUMBER(G194)),N(G194)&lt;0)),AND(H194&lt;&gt;"",OR(NOT(ISNUMBER(H194)),N(H194)&lt;0)),AND(I194&lt;&gt;"",OR(NOT(ISNUMBER(I194)),N(I194)&lt;0))),"Montant invalide",IF(OR(AND(J194&lt;&gt;"",OR(NOT(ISNUMBER(J194)),N(J194)&lt;0)),AND(K194&lt;&gt;"",OR(NOT(ISNUMBER(K194)),N(K194)&lt;0))),"Pourcentage invalide",IF(COUNTIF(bom_prod,A194)+COUNTIF(gam_prod,A194)=0,"Ni nomenclature ni gamme",IF(COUNTIFS(bom_prod,A194,bom_check,"&lt;&gt;OK")&gt;0,"Nomenclature à corriger",IF(COUNTIFS(gam_prod,A194,gam_check,"&lt;&gt;OK")&gt;0,"Gamme à corriger","OK")))))))))))</f>
        <v/>
      </c>
      <c r="Y194" s="70">
        <f>IF(J194="",N(p_fg),N(J194))</f>
        <v>0.15</v>
      </c>
      <c r="Z194" s="70">
        <f>IF(K194="",N(p_target),N(K194))</f>
        <v>0.25</v>
      </c>
      <c r="AA194" s="71" t="str">
        <f>IF(R194="","",IF(N(F194)&gt;0,ROUND(F194*N(E194),2),0))</f>
        <v/>
      </c>
      <c r="AB194" s="71">
        <f>IF(T194="",0,T194*N(E194))</f>
        <v>0.0</v>
      </c>
      <c r="AC194" s="71">
        <f>IF(T194="",0,R194*N(E194))</f>
        <v>0.0</v>
      </c>
      <c r="AD194" s="71">
        <f>IF(R194="",0,L194*N(E194))</f>
        <v>0.0</v>
      </c>
      <c r="AE194" s="71">
        <f>IF(R194="",0,M194*N(E194))</f>
        <v>0.0</v>
      </c>
      <c r="AF194" s="71">
        <f>IF(R194="",0,N194*N(E194))</f>
        <v>0.0</v>
      </c>
      <c r="AG194" s="71">
        <f>IF(R194="",0,O194*N(E194))</f>
        <v>0.0</v>
      </c>
      <c r="AH194" s="71">
        <f>IF(R194="",0,(N(G194)+N(H194)+N(I194)/D194)*N(E194))</f>
        <v>0.0</v>
      </c>
      <c r="AI194" s="71">
        <f>IF(R194="",0,P194*N(E194))</f>
        <v>0.0</v>
      </c>
      <c r="AJ194" s="71" t="str">
        <f>IF(AA194="","",COUNTIF(prod_ca,"&gt;"&amp;AA194)+COUNTIF(AA$6:AA194,AA194))</f>
        <v/>
      </c>
      <c r="AK194" s="71" t="str">
        <f>IF(OR(W194="Vendu à perte",W194="Sous la cible"),ROUND(U194,6),"")</f>
        <v/>
      </c>
      <c r="AL194" s="71" t="str">
        <f>IF(AK194="","",COUNTIF(prod_alk,"&lt;"&amp;AK194)+COUNTIF(AK$6:AK194,AK194))</f>
        <v/>
      </c>
    </row>
    <row r="195">
      <c r="A195" s="60" t="n"/>
      <c r="B195" s="60" t="n"/>
      <c r="C195" s="61" t="n"/>
      <c r="D195" s="62" t="n"/>
      <c r="E195" s="63" t="n"/>
      <c r="F195" s="64" t="n"/>
      <c r="G195" s="64" t="n"/>
      <c r="H195" s="64" t="n"/>
      <c r="I195" s="64" t="n"/>
      <c r="J195" s="65" t="n"/>
      <c r="K195" s="65" t="n"/>
      <c r="L195" s="66" t="str">
        <f>IF(X195="OK",SUMIF(bom_prod,A195,bom_cost),"")</f>
        <v/>
      </c>
      <c r="M195" s="66" t="str">
        <f>IF(X195="OK",SUMIF(gam_prod,A195,gam_mo),"")</f>
        <v/>
      </c>
      <c r="N195" s="66" t="str">
        <f>IF(X195="OK",SUMIF(gam_prod,A195,gam_mac),"")</f>
        <v/>
      </c>
      <c r="O195" s="66" t="str">
        <f>IF(X195="OK",SUMIF(gam_prod,A195,gam_setup)/D195,"")</f>
        <v/>
      </c>
      <c r="P195" s="66" t="str">
        <f>IF(X195="OK",(L195+M195+N195+O195+N(G195))*Y195,"")</f>
        <v/>
      </c>
      <c r="Q195" s="66" t="str">
        <f>IF(X195="OK",L195+M195+N195+O195+N(G195)+P195,"")</f>
        <v/>
      </c>
      <c r="R195" s="67" t="str">
        <f>IF(X195="OK",ROUND(Q195+N(H195)+N(I195)/D195,4),"")</f>
        <v/>
      </c>
      <c r="S195" s="66" t="str">
        <f>IF(X195="OK",ROUND(R195*(1+Z195),2),"")</f>
        <v/>
      </c>
      <c r="T195" s="66" t="str">
        <f>IF(AND(X195="OK",N(F195)&gt;0),F195-R195,"")</f>
        <v/>
      </c>
      <c r="U195" s="68" t="str">
        <f>IF(T195="","",IF(R195&lt;=0,"",T195/R195))</f>
        <v/>
      </c>
      <c r="V195" s="68" t="str">
        <f>IF(T195="","",T195/F195)</f>
        <v/>
      </c>
      <c r="W195" s="69" t="str">
        <f>IF(A195="","",IF(X195&lt;&gt;"OK","À corriger",IF(N(F195)&lt;=0,"Prix à saisir",IF(F195&lt;R195,"Vendu à perte",IF(F195&lt;S195,"Sous la cible","OK")))))</f>
        <v/>
      </c>
      <c r="X195" s="69" t="str">
        <f>IF(AND(A195="",COUNTA(B195:K195)=0),"",IF(A195="","Référence manquante",IF(COUNTIF($A$6:$A$305,A195)&gt;1,"Référence en double",IF(OR(NOT(ISNUMBER(D195)),N(D195)&lt;=0),"Taille de lot invalide",IF(AND(E195&lt;&gt;"",OR(NOT(ISNUMBER(E195)),N(E195)&lt;0)),"Volume annuel invalide",IF(AND(F195&lt;&gt;"",OR(NOT(ISNUMBER(F195)),N(F195)&lt;0)),"Prix de vente invalide",IF(OR(AND(G195&lt;&gt;"",OR(NOT(ISNUMBER(G195)),N(G195)&lt;0)),AND(H195&lt;&gt;"",OR(NOT(ISNUMBER(H195)),N(H195)&lt;0)),AND(I195&lt;&gt;"",OR(NOT(ISNUMBER(I195)),N(I195)&lt;0))),"Montant invalide",IF(OR(AND(J195&lt;&gt;"",OR(NOT(ISNUMBER(J195)),N(J195)&lt;0)),AND(K195&lt;&gt;"",OR(NOT(ISNUMBER(K195)),N(K195)&lt;0))),"Pourcentage invalide",IF(COUNTIF(bom_prod,A195)+COUNTIF(gam_prod,A195)=0,"Ni nomenclature ni gamme",IF(COUNTIFS(bom_prod,A195,bom_check,"&lt;&gt;OK")&gt;0,"Nomenclature à corriger",IF(COUNTIFS(gam_prod,A195,gam_check,"&lt;&gt;OK")&gt;0,"Gamme à corriger","OK")))))))))))</f>
        <v/>
      </c>
      <c r="Y195" s="70">
        <f>IF(J195="",N(p_fg),N(J195))</f>
        <v>0.15</v>
      </c>
      <c r="Z195" s="70">
        <f>IF(K195="",N(p_target),N(K195))</f>
        <v>0.25</v>
      </c>
      <c r="AA195" s="71" t="str">
        <f>IF(R195="","",IF(N(F195)&gt;0,ROUND(F195*N(E195),2),0))</f>
        <v/>
      </c>
      <c r="AB195" s="71">
        <f>IF(T195="",0,T195*N(E195))</f>
        <v>0.0</v>
      </c>
      <c r="AC195" s="71">
        <f>IF(T195="",0,R195*N(E195))</f>
        <v>0.0</v>
      </c>
      <c r="AD195" s="71">
        <f>IF(R195="",0,L195*N(E195))</f>
        <v>0.0</v>
      </c>
      <c r="AE195" s="71">
        <f>IF(R195="",0,M195*N(E195))</f>
        <v>0.0</v>
      </c>
      <c r="AF195" s="71">
        <f>IF(R195="",0,N195*N(E195))</f>
        <v>0.0</v>
      </c>
      <c r="AG195" s="71">
        <f>IF(R195="",0,O195*N(E195))</f>
        <v>0.0</v>
      </c>
      <c r="AH195" s="71">
        <f>IF(R195="",0,(N(G195)+N(H195)+N(I195)/D195)*N(E195))</f>
        <v>0.0</v>
      </c>
      <c r="AI195" s="71">
        <f>IF(R195="",0,P195*N(E195))</f>
        <v>0.0</v>
      </c>
      <c r="AJ195" s="71" t="str">
        <f>IF(AA195="","",COUNTIF(prod_ca,"&gt;"&amp;AA195)+COUNTIF(AA$6:AA195,AA195))</f>
        <v/>
      </c>
      <c r="AK195" s="71" t="str">
        <f>IF(OR(W195="Vendu à perte",W195="Sous la cible"),ROUND(U195,6),"")</f>
        <v/>
      </c>
      <c r="AL195" s="71" t="str">
        <f>IF(AK195="","",COUNTIF(prod_alk,"&lt;"&amp;AK195)+COUNTIF(AK$6:AK195,AK195))</f>
        <v/>
      </c>
    </row>
    <row r="196">
      <c r="A196" s="60" t="n"/>
      <c r="B196" s="60" t="n"/>
      <c r="C196" s="61" t="n"/>
      <c r="D196" s="62" t="n"/>
      <c r="E196" s="63" t="n"/>
      <c r="F196" s="64" t="n"/>
      <c r="G196" s="64" t="n"/>
      <c r="H196" s="64" t="n"/>
      <c r="I196" s="64" t="n"/>
      <c r="J196" s="65" t="n"/>
      <c r="K196" s="65" t="n"/>
      <c r="L196" s="66" t="str">
        <f>IF(X196="OK",SUMIF(bom_prod,A196,bom_cost),"")</f>
        <v/>
      </c>
      <c r="M196" s="66" t="str">
        <f>IF(X196="OK",SUMIF(gam_prod,A196,gam_mo),"")</f>
        <v/>
      </c>
      <c r="N196" s="66" t="str">
        <f>IF(X196="OK",SUMIF(gam_prod,A196,gam_mac),"")</f>
        <v/>
      </c>
      <c r="O196" s="66" t="str">
        <f>IF(X196="OK",SUMIF(gam_prod,A196,gam_setup)/D196,"")</f>
        <v/>
      </c>
      <c r="P196" s="66" t="str">
        <f>IF(X196="OK",(L196+M196+N196+O196+N(G196))*Y196,"")</f>
        <v/>
      </c>
      <c r="Q196" s="66" t="str">
        <f>IF(X196="OK",L196+M196+N196+O196+N(G196)+P196,"")</f>
        <v/>
      </c>
      <c r="R196" s="67" t="str">
        <f>IF(X196="OK",ROUND(Q196+N(H196)+N(I196)/D196,4),"")</f>
        <v/>
      </c>
      <c r="S196" s="66" t="str">
        <f>IF(X196="OK",ROUND(R196*(1+Z196),2),"")</f>
        <v/>
      </c>
      <c r="T196" s="66" t="str">
        <f>IF(AND(X196="OK",N(F196)&gt;0),F196-R196,"")</f>
        <v/>
      </c>
      <c r="U196" s="68" t="str">
        <f>IF(T196="","",IF(R196&lt;=0,"",T196/R196))</f>
        <v/>
      </c>
      <c r="V196" s="68" t="str">
        <f>IF(T196="","",T196/F196)</f>
        <v/>
      </c>
      <c r="W196" s="69" t="str">
        <f>IF(A196="","",IF(X196&lt;&gt;"OK","À corriger",IF(N(F196)&lt;=0,"Prix à saisir",IF(F196&lt;R196,"Vendu à perte",IF(F196&lt;S196,"Sous la cible","OK")))))</f>
        <v/>
      </c>
      <c r="X196" s="69" t="str">
        <f>IF(AND(A196="",COUNTA(B196:K196)=0),"",IF(A196="","Référence manquante",IF(COUNTIF($A$6:$A$305,A196)&gt;1,"Référence en double",IF(OR(NOT(ISNUMBER(D196)),N(D196)&lt;=0),"Taille de lot invalide",IF(AND(E196&lt;&gt;"",OR(NOT(ISNUMBER(E196)),N(E196)&lt;0)),"Volume annuel invalide",IF(AND(F196&lt;&gt;"",OR(NOT(ISNUMBER(F196)),N(F196)&lt;0)),"Prix de vente invalide",IF(OR(AND(G196&lt;&gt;"",OR(NOT(ISNUMBER(G196)),N(G196)&lt;0)),AND(H196&lt;&gt;"",OR(NOT(ISNUMBER(H196)),N(H196)&lt;0)),AND(I196&lt;&gt;"",OR(NOT(ISNUMBER(I196)),N(I196)&lt;0))),"Montant invalide",IF(OR(AND(J196&lt;&gt;"",OR(NOT(ISNUMBER(J196)),N(J196)&lt;0)),AND(K196&lt;&gt;"",OR(NOT(ISNUMBER(K196)),N(K196)&lt;0))),"Pourcentage invalide",IF(COUNTIF(bom_prod,A196)+COUNTIF(gam_prod,A196)=0,"Ni nomenclature ni gamme",IF(COUNTIFS(bom_prod,A196,bom_check,"&lt;&gt;OK")&gt;0,"Nomenclature à corriger",IF(COUNTIFS(gam_prod,A196,gam_check,"&lt;&gt;OK")&gt;0,"Gamme à corriger","OK")))))))))))</f>
        <v/>
      </c>
      <c r="Y196" s="70">
        <f>IF(J196="",N(p_fg),N(J196))</f>
        <v>0.15</v>
      </c>
      <c r="Z196" s="70">
        <f>IF(K196="",N(p_target),N(K196))</f>
        <v>0.25</v>
      </c>
      <c r="AA196" s="71" t="str">
        <f>IF(R196="","",IF(N(F196)&gt;0,ROUND(F196*N(E196),2),0))</f>
        <v/>
      </c>
      <c r="AB196" s="71">
        <f>IF(T196="",0,T196*N(E196))</f>
        <v>0.0</v>
      </c>
      <c r="AC196" s="71">
        <f>IF(T196="",0,R196*N(E196))</f>
        <v>0.0</v>
      </c>
      <c r="AD196" s="71">
        <f>IF(R196="",0,L196*N(E196))</f>
        <v>0.0</v>
      </c>
      <c r="AE196" s="71">
        <f>IF(R196="",0,M196*N(E196))</f>
        <v>0.0</v>
      </c>
      <c r="AF196" s="71">
        <f>IF(R196="",0,N196*N(E196))</f>
        <v>0.0</v>
      </c>
      <c r="AG196" s="71">
        <f>IF(R196="",0,O196*N(E196))</f>
        <v>0.0</v>
      </c>
      <c r="AH196" s="71">
        <f>IF(R196="",0,(N(G196)+N(H196)+N(I196)/D196)*N(E196))</f>
        <v>0.0</v>
      </c>
      <c r="AI196" s="71">
        <f>IF(R196="",0,P196*N(E196))</f>
        <v>0.0</v>
      </c>
      <c r="AJ196" s="71" t="str">
        <f>IF(AA196="","",COUNTIF(prod_ca,"&gt;"&amp;AA196)+COUNTIF(AA$6:AA196,AA196))</f>
        <v/>
      </c>
      <c r="AK196" s="71" t="str">
        <f>IF(OR(W196="Vendu à perte",W196="Sous la cible"),ROUND(U196,6),"")</f>
        <v/>
      </c>
      <c r="AL196" s="71" t="str">
        <f>IF(AK196="","",COUNTIF(prod_alk,"&lt;"&amp;AK196)+COUNTIF(AK$6:AK196,AK196))</f>
        <v/>
      </c>
    </row>
    <row r="197">
      <c r="A197" s="60" t="n"/>
      <c r="B197" s="60" t="n"/>
      <c r="C197" s="61" t="n"/>
      <c r="D197" s="62" t="n"/>
      <c r="E197" s="63" t="n"/>
      <c r="F197" s="64" t="n"/>
      <c r="G197" s="64" t="n"/>
      <c r="H197" s="64" t="n"/>
      <c r="I197" s="64" t="n"/>
      <c r="J197" s="65" t="n"/>
      <c r="K197" s="65" t="n"/>
      <c r="L197" s="66" t="str">
        <f>IF(X197="OK",SUMIF(bom_prod,A197,bom_cost),"")</f>
        <v/>
      </c>
      <c r="M197" s="66" t="str">
        <f>IF(X197="OK",SUMIF(gam_prod,A197,gam_mo),"")</f>
        <v/>
      </c>
      <c r="N197" s="66" t="str">
        <f>IF(X197="OK",SUMIF(gam_prod,A197,gam_mac),"")</f>
        <v/>
      </c>
      <c r="O197" s="66" t="str">
        <f>IF(X197="OK",SUMIF(gam_prod,A197,gam_setup)/D197,"")</f>
        <v/>
      </c>
      <c r="P197" s="66" t="str">
        <f>IF(X197="OK",(L197+M197+N197+O197+N(G197))*Y197,"")</f>
        <v/>
      </c>
      <c r="Q197" s="66" t="str">
        <f>IF(X197="OK",L197+M197+N197+O197+N(G197)+P197,"")</f>
        <v/>
      </c>
      <c r="R197" s="67" t="str">
        <f>IF(X197="OK",ROUND(Q197+N(H197)+N(I197)/D197,4),"")</f>
        <v/>
      </c>
      <c r="S197" s="66" t="str">
        <f>IF(X197="OK",ROUND(R197*(1+Z197),2),"")</f>
        <v/>
      </c>
      <c r="T197" s="66" t="str">
        <f>IF(AND(X197="OK",N(F197)&gt;0),F197-R197,"")</f>
        <v/>
      </c>
      <c r="U197" s="68" t="str">
        <f>IF(T197="","",IF(R197&lt;=0,"",T197/R197))</f>
        <v/>
      </c>
      <c r="V197" s="68" t="str">
        <f>IF(T197="","",T197/F197)</f>
        <v/>
      </c>
      <c r="W197" s="69" t="str">
        <f>IF(A197="","",IF(X197&lt;&gt;"OK","À corriger",IF(N(F197)&lt;=0,"Prix à saisir",IF(F197&lt;R197,"Vendu à perte",IF(F197&lt;S197,"Sous la cible","OK")))))</f>
        <v/>
      </c>
      <c r="X197" s="69" t="str">
        <f>IF(AND(A197="",COUNTA(B197:K197)=0),"",IF(A197="","Référence manquante",IF(COUNTIF($A$6:$A$305,A197)&gt;1,"Référence en double",IF(OR(NOT(ISNUMBER(D197)),N(D197)&lt;=0),"Taille de lot invalide",IF(AND(E197&lt;&gt;"",OR(NOT(ISNUMBER(E197)),N(E197)&lt;0)),"Volume annuel invalide",IF(AND(F197&lt;&gt;"",OR(NOT(ISNUMBER(F197)),N(F197)&lt;0)),"Prix de vente invalide",IF(OR(AND(G197&lt;&gt;"",OR(NOT(ISNUMBER(G197)),N(G197)&lt;0)),AND(H197&lt;&gt;"",OR(NOT(ISNUMBER(H197)),N(H197)&lt;0)),AND(I197&lt;&gt;"",OR(NOT(ISNUMBER(I197)),N(I197)&lt;0))),"Montant invalide",IF(OR(AND(J197&lt;&gt;"",OR(NOT(ISNUMBER(J197)),N(J197)&lt;0)),AND(K197&lt;&gt;"",OR(NOT(ISNUMBER(K197)),N(K197)&lt;0))),"Pourcentage invalide",IF(COUNTIF(bom_prod,A197)+COUNTIF(gam_prod,A197)=0,"Ni nomenclature ni gamme",IF(COUNTIFS(bom_prod,A197,bom_check,"&lt;&gt;OK")&gt;0,"Nomenclature à corriger",IF(COUNTIFS(gam_prod,A197,gam_check,"&lt;&gt;OK")&gt;0,"Gamme à corriger","OK")))))))))))</f>
        <v/>
      </c>
      <c r="Y197" s="70">
        <f>IF(J197="",N(p_fg),N(J197))</f>
        <v>0.15</v>
      </c>
      <c r="Z197" s="70">
        <f>IF(K197="",N(p_target),N(K197))</f>
        <v>0.25</v>
      </c>
      <c r="AA197" s="71" t="str">
        <f>IF(R197="","",IF(N(F197)&gt;0,ROUND(F197*N(E197),2),0))</f>
        <v/>
      </c>
      <c r="AB197" s="71">
        <f>IF(T197="",0,T197*N(E197))</f>
        <v>0.0</v>
      </c>
      <c r="AC197" s="71">
        <f>IF(T197="",0,R197*N(E197))</f>
        <v>0.0</v>
      </c>
      <c r="AD197" s="71">
        <f>IF(R197="",0,L197*N(E197))</f>
        <v>0.0</v>
      </c>
      <c r="AE197" s="71">
        <f>IF(R197="",0,M197*N(E197))</f>
        <v>0.0</v>
      </c>
      <c r="AF197" s="71">
        <f>IF(R197="",0,N197*N(E197))</f>
        <v>0.0</v>
      </c>
      <c r="AG197" s="71">
        <f>IF(R197="",0,O197*N(E197))</f>
        <v>0.0</v>
      </c>
      <c r="AH197" s="71">
        <f>IF(R197="",0,(N(G197)+N(H197)+N(I197)/D197)*N(E197))</f>
        <v>0.0</v>
      </c>
      <c r="AI197" s="71">
        <f>IF(R197="",0,P197*N(E197))</f>
        <v>0.0</v>
      </c>
      <c r="AJ197" s="71" t="str">
        <f>IF(AA197="","",COUNTIF(prod_ca,"&gt;"&amp;AA197)+COUNTIF(AA$6:AA197,AA197))</f>
        <v/>
      </c>
      <c r="AK197" s="71" t="str">
        <f>IF(OR(W197="Vendu à perte",W197="Sous la cible"),ROUND(U197,6),"")</f>
        <v/>
      </c>
      <c r="AL197" s="71" t="str">
        <f>IF(AK197="","",COUNTIF(prod_alk,"&lt;"&amp;AK197)+COUNTIF(AK$6:AK197,AK197))</f>
        <v/>
      </c>
    </row>
    <row r="198">
      <c r="A198" s="60" t="n"/>
      <c r="B198" s="60" t="n"/>
      <c r="C198" s="61" t="n"/>
      <c r="D198" s="62" t="n"/>
      <c r="E198" s="63" t="n"/>
      <c r="F198" s="64" t="n"/>
      <c r="G198" s="64" t="n"/>
      <c r="H198" s="64" t="n"/>
      <c r="I198" s="64" t="n"/>
      <c r="J198" s="65" t="n"/>
      <c r="K198" s="65" t="n"/>
      <c r="L198" s="66" t="str">
        <f>IF(X198="OK",SUMIF(bom_prod,A198,bom_cost),"")</f>
        <v/>
      </c>
      <c r="M198" s="66" t="str">
        <f>IF(X198="OK",SUMIF(gam_prod,A198,gam_mo),"")</f>
        <v/>
      </c>
      <c r="N198" s="66" t="str">
        <f>IF(X198="OK",SUMIF(gam_prod,A198,gam_mac),"")</f>
        <v/>
      </c>
      <c r="O198" s="66" t="str">
        <f>IF(X198="OK",SUMIF(gam_prod,A198,gam_setup)/D198,"")</f>
        <v/>
      </c>
      <c r="P198" s="66" t="str">
        <f>IF(X198="OK",(L198+M198+N198+O198+N(G198))*Y198,"")</f>
        <v/>
      </c>
      <c r="Q198" s="66" t="str">
        <f>IF(X198="OK",L198+M198+N198+O198+N(G198)+P198,"")</f>
        <v/>
      </c>
      <c r="R198" s="67" t="str">
        <f>IF(X198="OK",ROUND(Q198+N(H198)+N(I198)/D198,4),"")</f>
        <v/>
      </c>
      <c r="S198" s="66" t="str">
        <f>IF(X198="OK",ROUND(R198*(1+Z198),2),"")</f>
        <v/>
      </c>
      <c r="T198" s="66" t="str">
        <f>IF(AND(X198="OK",N(F198)&gt;0),F198-R198,"")</f>
        <v/>
      </c>
      <c r="U198" s="68" t="str">
        <f>IF(T198="","",IF(R198&lt;=0,"",T198/R198))</f>
        <v/>
      </c>
      <c r="V198" s="68" t="str">
        <f>IF(T198="","",T198/F198)</f>
        <v/>
      </c>
      <c r="W198" s="69" t="str">
        <f>IF(A198="","",IF(X198&lt;&gt;"OK","À corriger",IF(N(F198)&lt;=0,"Prix à saisir",IF(F198&lt;R198,"Vendu à perte",IF(F198&lt;S198,"Sous la cible","OK")))))</f>
        <v/>
      </c>
      <c r="X198" s="69" t="str">
        <f>IF(AND(A198="",COUNTA(B198:K198)=0),"",IF(A198="","Référence manquante",IF(COUNTIF($A$6:$A$305,A198)&gt;1,"Référence en double",IF(OR(NOT(ISNUMBER(D198)),N(D198)&lt;=0),"Taille de lot invalide",IF(AND(E198&lt;&gt;"",OR(NOT(ISNUMBER(E198)),N(E198)&lt;0)),"Volume annuel invalide",IF(AND(F198&lt;&gt;"",OR(NOT(ISNUMBER(F198)),N(F198)&lt;0)),"Prix de vente invalide",IF(OR(AND(G198&lt;&gt;"",OR(NOT(ISNUMBER(G198)),N(G198)&lt;0)),AND(H198&lt;&gt;"",OR(NOT(ISNUMBER(H198)),N(H198)&lt;0)),AND(I198&lt;&gt;"",OR(NOT(ISNUMBER(I198)),N(I198)&lt;0))),"Montant invalide",IF(OR(AND(J198&lt;&gt;"",OR(NOT(ISNUMBER(J198)),N(J198)&lt;0)),AND(K198&lt;&gt;"",OR(NOT(ISNUMBER(K198)),N(K198)&lt;0))),"Pourcentage invalide",IF(COUNTIF(bom_prod,A198)+COUNTIF(gam_prod,A198)=0,"Ni nomenclature ni gamme",IF(COUNTIFS(bom_prod,A198,bom_check,"&lt;&gt;OK")&gt;0,"Nomenclature à corriger",IF(COUNTIFS(gam_prod,A198,gam_check,"&lt;&gt;OK")&gt;0,"Gamme à corriger","OK")))))))))))</f>
        <v/>
      </c>
      <c r="Y198" s="70">
        <f>IF(J198="",N(p_fg),N(J198))</f>
        <v>0.15</v>
      </c>
      <c r="Z198" s="70">
        <f>IF(K198="",N(p_target),N(K198))</f>
        <v>0.25</v>
      </c>
      <c r="AA198" s="71" t="str">
        <f>IF(R198="","",IF(N(F198)&gt;0,ROUND(F198*N(E198),2),0))</f>
        <v/>
      </c>
      <c r="AB198" s="71">
        <f>IF(T198="",0,T198*N(E198))</f>
        <v>0.0</v>
      </c>
      <c r="AC198" s="71">
        <f>IF(T198="",0,R198*N(E198))</f>
        <v>0.0</v>
      </c>
      <c r="AD198" s="71">
        <f>IF(R198="",0,L198*N(E198))</f>
        <v>0.0</v>
      </c>
      <c r="AE198" s="71">
        <f>IF(R198="",0,M198*N(E198))</f>
        <v>0.0</v>
      </c>
      <c r="AF198" s="71">
        <f>IF(R198="",0,N198*N(E198))</f>
        <v>0.0</v>
      </c>
      <c r="AG198" s="71">
        <f>IF(R198="",0,O198*N(E198))</f>
        <v>0.0</v>
      </c>
      <c r="AH198" s="71">
        <f>IF(R198="",0,(N(G198)+N(H198)+N(I198)/D198)*N(E198))</f>
        <v>0.0</v>
      </c>
      <c r="AI198" s="71">
        <f>IF(R198="",0,P198*N(E198))</f>
        <v>0.0</v>
      </c>
      <c r="AJ198" s="71" t="str">
        <f>IF(AA198="","",COUNTIF(prod_ca,"&gt;"&amp;AA198)+COUNTIF(AA$6:AA198,AA198))</f>
        <v/>
      </c>
      <c r="AK198" s="71" t="str">
        <f>IF(OR(W198="Vendu à perte",W198="Sous la cible"),ROUND(U198,6),"")</f>
        <v/>
      </c>
      <c r="AL198" s="71" t="str">
        <f>IF(AK198="","",COUNTIF(prod_alk,"&lt;"&amp;AK198)+COUNTIF(AK$6:AK198,AK198))</f>
        <v/>
      </c>
    </row>
    <row r="199">
      <c r="A199" s="60" t="n"/>
      <c r="B199" s="60" t="n"/>
      <c r="C199" s="61" t="n"/>
      <c r="D199" s="62" t="n"/>
      <c r="E199" s="63" t="n"/>
      <c r="F199" s="64" t="n"/>
      <c r="G199" s="64" t="n"/>
      <c r="H199" s="64" t="n"/>
      <c r="I199" s="64" t="n"/>
      <c r="J199" s="65" t="n"/>
      <c r="K199" s="65" t="n"/>
      <c r="L199" s="66" t="str">
        <f>IF(X199="OK",SUMIF(bom_prod,A199,bom_cost),"")</f>
        <v/>
      </c>
      <c r="M199" s="66" t="str">
        <f>IF(X199="OK",SUMIF(gam_prod,A199,gam_mo),"")</f>
        <v/>
      </c>
      <c r="N199" s="66" t="str">
        <f>IF(X199="OK",SUMIF(gam_prod,A199,gam_mac),"")</f>
        <v/>
      </c>
      <c r="O199" s="66" t="str">
        <f>IF(X199="OK",SUMIF(gam_prod,A199,gam_setup)/D199,"")</f>
        <v/>
      </c>
      <c r="P199" s="66" t="str">
        <f>IF(X199="OK",(L199+M199+N199+O199+N(G199))*Y199,"")</f>
        <v/>
      </c>
      <c r="Q199" s="66" t="str">
        <f>IF(X199="OK",L199+M199+N199+O199+N(G199)+P199,"")</f>
        <v/>
      </c>
      <c r="R199" s="67" t="str">
        <f>IF(X199="OK",ROUND(Q199+N(H199)+N(I199)/D199,4),"")</f>
        <v/>
      </c>
      <c r="S199" s="66" t="str">
        <f>IF(X199="OK",ROUND(R199*(1+Z199),2),"")</f>
        <v/>
      </c>
      <c r="T199" s="66" t="str">
        <f>IF(AND(X199="OK",N(F199)&gt;0),F199-R199,"")</f>
        <v/>
      </c>
      <c r="U199" s="68" t="str">
        <f>IF(T199="","",IF(R199&lt;=0,"",T199/R199))</f>
        <v/>
      </c>
      <c r="V199" s="68" t="str">
        <f>IF(T199="","",T199/F199)</f>
        <v/>
      </c>
      <c r="W199" s="69" t="str">
        <f>IF(A199="","",IF(X199&lt;&gt;"OK","À corriger",IF(N(F199)&lt;=0,"Prix à saisir",IF(F199&lt;R199,"Vendu à perte",IF(F199&lt;S199,"Sous la cible","OK")))))</f>
        <v/>
      </c>
      <c r="X199" s="69" t="str">
        <f>IF(AND(A199="",COUNTA(B199:K199)=0),"",IF(A199="","Référence manquante",IF(COUNTIF($A$6:$A$305,A199)&gt;1,"Référence en double",IF(OR(NOT(ISNUMBER(D199)),N(D199)&lt;=0),"Taille de lot invalide",IF(AND(E199&lt;&gt;"",OR(NOT(ISNUMBER(E199)),N(E199)&lt;0)),"Volume annuel invalide",IF(AND(F199&lt;&gt;"",OR(NOT(ISNUMBER(F199)),N(F199)&lt;0)),"Prix de vente invalide",IF(OR(AND(G199&lt;&gt;"",OR(NOT(ISNUMBER(G199)),N(G199)&lt;0)),AND(H199&lt;&gt;"",OR(NOT(ISNUMBER(H199)),N(H199)&lt;0)),AND(I199&lt;&gt;"",OR(NOT(ISNUMBER(I199)),N(I199)&lt;0))),"Montant invalide",IF(OR(AND(J199&lt;&gt;"",OR(NOT(ISNUMBER(J199)),N(J199)&lt;0)),AND(K199&lt;&gt;"",OR(NOT(ISNUMBER(K199)),N(K199)&lt;0))),"Pourcentage invalide",IF(COUNTIF(bom_prod,A199)+COUNTIF(gam_prod,A199)=0,"Ni nomenclature ni gamme",IF(COUNTIFS(bom_prod,A199,bom_check,"&lt;&gt;OK")&gt;0,"Nomenclature à corriger",IF(COUNTIFS(gam_prod,A199,gam_check,"&lt;&gt;OK")&gt;0,"Gamme à corriger","OK")))))))))))</f>
        <v/>
      </c>
      <c r="Y199" s="70">
        <f>IF(J199="",N(p_fg),N(J199))</f>
        <v>0.15</v>
      </c>
      <c r="Z199" s="70">
        <f>IF(K199="",N(p_target),N(K199))</f>
        <v>0.25</v>
      </c>
      <c r="AA199" s="71" t="str">
        <f>IF(R199="","",IF(N(F199)&gt;0,ROUND(F199*N(E199),2),0))</f>
        <v/>
      </c>
      <c r="AB199" s="71">
        <f>IF(T199="",0,T199*N(E199))</f>
        <v>0.0</v>
      </c>
      <c r="AC199" s="71">
        <f>IF(T199="",0,R199*N(E199))</f>
        <v>0.0</v>
      </c>
      <c r="AD199" s="71">
        <f>IF(R199="",0,L199*N(E199))</f>
        <v>0.0</v>
      </c>
      <c r="AE199" s="71">
        <f>IF(R199="",0,M199*N(E199))</f>
        <v>0.0</v>
      </c>
      <c r="AF199" s="71">
        <f>IF(R199="",0,N199*N(E199))</f>
        <v>0.0</v>
      </c>
      <c r="AG199" s="71">
        <f>IF(R199="",0,O199*N(E199))</f>
        <v>0.0</v>
      </c>
      <c r="AH199" s="71">
        <f>IF(R199="",0,(N(G199)+N(H199)+N(I199)/D199)*N(E199))</f>
        <v>0.0</v>
      </c>
      <c r="AI199" s="71">
        <f>IF(R199="",0,P199*N(E199))</f>
        <v>0.0</v>
      </c>
      <c r="AJ199" s="71" t="str">
        <f>IF(AA199="","",COUNTIF(prod_ca,"&gt;"&amp;AA199)+COUNTIF(AA$6:AA199,AA199))</f>
        <v/>
      </c>
      <c r="AK199" s="71" t="str">
        <f>IF(OR(W199="Vendu à perte",W199="Sous la cible"),ROUND(U199,6),"")</f>
        <v/>
      </c>
      <c r="AL199" s="71" t="str">
        <f>IF(AK199="","",COUNTIF(prod_alk,"&lt;"&amp;AK199)+COUNTIF(AK$6:AK199,AK199))</f>
        <v/>
      </c>
    </row>
    <row r="200">
      <c r="A200" s="60" t="n"/>
      <c r="B200" s="60" t="n"/>
      <c r="C200" s="61" t="n"/>
      <c r="D200" s="62" t="n"/>
      <c r="E200" s="63" t="n"/>
      <c r="F200" s="64" t="n"/>
      <c r="G200" s="64" t="n"/>
      <c r="H200" s="64" t="n"/>
      <c r="I200" s="64" t="n"/>
      <c r="J200" s="65" t="n"/>
      <c r="K200" s="65" t="n"/>
      <c r="L200" s="66" t="str">
        <f>IF(X200="OK",SUMIF(bom_prod,A200,bom_cost),"")</f>
        <v/>
      </c>
      <c r="M200" s="66" t="str">
        <f>IF(X200="OK",SUMIF(gam_prod,A200,gam_mo),"")</f>
        <v/>
      </c>
      <c r="N200" s="66" t="str">
        <f>IF(X200="OK",SUMIF(gam_prod,A200,gam_mac),"")</f>
        <v/>
      </c>
      <c r="O200" s="66" t="str">
        <f>IF(X200="OK",SUMIF(gam_prod,A200,gam_setup)/D200,"")</f>
        <v/>
      </c>
      <c r="P200" s="66" t="str">
        <f>IF(X200="OK",(L200+M200+N200+O200+N(G200))*Y200,"")</f>
        <v/>
      </c>
      <c r="Q200" s="66" t="str">
        <f>IF(X200="OK",L200+M200+N200+O200+N(G200)+P200,"")</f>
        <v/>
      </c>
      <c r="R200" s="67" t="str">
        <f>IF(X200="OK",ROUND(Q200+N(H200)+N(I200)/D200,4),"")</f>
        <v/>
      </c>
      <c r="S200" s="66" t="str">
        <f>IF(X200="OK",ROUND(R200*(1+Z200),2),"")</f>
        <v/>
      </c>
      <c r="T200" s="66" t="str">
        <f>IF(AND(X200="OK",N(F200)&gt;0),F200-R200,"")</f>
        <v/>
      </c>
      <c r="U200" s="68" t="str">
        <f>IF(T200="","",IF(R200&lt;=0,"",T200/R200))</f>
        <v/>
      </c>
      <c r="V200" s="68" t="str">
        <f>IF(T200="","",T200/F200)</f>
        <v/>
      </c>
      <c r="W200" s="69" t="str">
        <f>IF(A200="","",IF(X200&lt;&gt;"OK","À corriger",IF(N(F200)&lt;=0,"Prix à saisir",IF(F200&lt;R200,"Vendu à perte",IF(F200&lt;S200,"Sous la cible","OK")))))</f>
        <v/>
      </c>
      <c r="X200" s="69" t="str">
        <f>IF(AND(A200="",COUNTA(B200:K200)=0),"",IF(A200="","Référence manquante",IF(COUNTIF($A$6:$A$305,A200)&gt;1,"Référence en double",IF(OR(NOT(ISNUMBER(D200)),N(D200)&lt;=0),"Taille de lot invalide",IF(AND(E200&lt;&gt;"",OR(NOT(ISNUMBER(E200)),N(E200)&lt;0)),"Volume annuel invalide",IF(AND(F200&lt;&gt;"",OR(NOT(ISNUMBER(F200)),N(F200)&lt;0)),"Prix de vente invalide",IF(OR(AND(G200&lt;&gt;"",OR(NOT(ISNUMBER(G200)),N(G200)&lt;0)),AND(H200&lt;&gt;"",OR(NOT(ISNUMBER(H200)),N(H200)&lt;0)),AND(I200&lt;&gt;"",OR(NOT(ISNUMBER(I200)),N(I200)&lt;0))),"Montant invalide",IF(OR(AND(J200&lt;&gt;"",OR(NOT(ISNUMBER(J200)),N(J200)&lt;0)),AND(K200&lt;&gt;"",OR(NOT(ISNUMBER(K200)),N(K200)&lt;0))),"Pourcentage invalide",IF(COUNTIF(bom_prod,A200)+COUNTIF(gam_prod,A200)=0,"Ni nomenclature ni gamme",IF(COUNTIFS(bom_prod,A200,bom_check,"&lt;&gt;OK")&gt;0,"Nomenclature à corriger",IF(COUNTIFS(gam_prod,A200,gam_check,"&lt;&gt;OK")&gt;0,"Gamme à corriger","OK")))))))))))</f>
        <v/>
      </c>
      <c r="Y200" s="70">
        <f>IF(J200="",N(p_fg),N(J200))</f>
        <v>0.15</v>
      </c>
      <c r="Z200" s="70">
        <f>IF(K200="",N(p_target),N(K200))</f>
        <v>0.25</v>
      </c>
      <c r="AA200" s="71" t="str">
        <f>IF(R200="","",IF(N(F200)&gt;0,ROUND(F200*N(E200),2),0))</f>
        <v/>
      </c>
      <c r="AB200" s="71">
        <f>IF(T200="",0,T200*N(E200))</f>
        <v>0.0</v>
      </c>
      <c r="AC200" s="71">
        <f>IF(T200="",0,R200*N(E200))</f>
        <v>0.0</v>
      </c>
      <c r="AD200" s="71">
        <f>IF(R200="",0,L200*N(E200))</f>
        <v>0.0</v>
      </c>
      <c r="AE200" s="71">
        <f>IF(R200="",0,M200*N(E200))</f>
        <v>0.0</v>
      </c>
      <c r="AF200" s="71">
        <f>IF(R200="",0,N200*N(E200))</f>
        <v>0.0</v>
      </c>
      <c r="AG200" s="71">
        <f>IF(R200="",0,O200*N(E200))</f>
        <v>0.0</v>
      </c>
      <c r="AH200" s="71">
        <f>IF(R200="",0,(N(G200)+N(H200)+N(I200)/D200)*N(E200))</f>
        <v>0.0</v>
      </c>
      <c r="AI200" s="71">
        <f>IF(R200="",0,P200*N(E200))</f>
        <v>0.0</v>
      </c>
      <c r="AJ200" s="71" t="str">
        <f>IF(AA200="","",COUNTIF(prod_ca,"&gt;"&amp;AA200)+COUNTIF(AA$6:AA200,AA200))</f>
        <v/>
      </c>
      <c r="AK200" s="71" t="str">
        <f>IF(OR(W200="Vendu à perte",W200="Sous la cible"),ROUND(U200,6),"")</f>
        <v/>
      </c>
      <c r="AL200" s="71" t="str">
        <f>IF(AK200="","",COUNTIF(prod_alk,"&lt;"&amp;AK200)+COUNTIF(AK$6:AK200,AK200))</f>
        <v/>
      </c>
    </row>
    <row r="201">
      <c r="A201" s="60" t="n"/>
      <c r="B201" s="60" t="n"/>
      <c r="C201" s="61" t="n"/>
      <c r="D201" s="62" t="n"/>
      <c r="E201" s="63" t="n"/>
      <c r="F201" s="64" t="n"/>
      <c r="G201" s="64" t="n"/>
      <c r="H201" s="64" t="n"/>
      <c r="I201" s="64" t="n"/>
      <c r="J201" s="65" t="n"/>
      <c r="K201" s="65" t="n"/>
      <c r="L201" s="66" t="str">
        <f>IF(X201="OK",SUMIF(bom_prod,A201,bom_cost),"")</f>
        <v/>
      </c>
      <c r="M201" s="66" t="str">
        <f>IF(X201="OK",SUMIF(gam_prod,A201,gam_mo),"")</f>
        <v/>
      </c>
      <c r="N201" s="66" t="str">
        <f>IF(X201="OK",SUMIF(gam_prod,A201,gam_mac),"")</f>
        <v/>
      </c>
      <c r="O201" s="66" t="str">
        <f>IF(X201="OK",SUMIF(gam_prod,A201,gam_setup)/D201,"")</f>
        <v/>
      </c>
      <c r="P201" s="66" t="str">
        <f>IF(X201="OK",(L201+M201+N201+O201+N(G201))*Y201,"")</f>
        <v/>
      </c>
      <c r="Q201" s="66" t="str">
        <f>IF(X201="OK",L201+M201+N201+O201+N(G201)+P201,"")</f>
        <v/>
      </c>
      <c r="R201" s="67" t="str">
        <f>IF(X201="OK",ROUND(Q201+N(H201)+N(I201)/D201,4),"")</f>
        <v/>
      </c>
      <c r="S201" s="66" t="str">
        <f>IF(X201="OK",ROUND(R201*(1+Z201),2),"")</f>
        <v/>
      </c>
      <c r="T201" s="66" t="str">
        <f>IF(AND(X201="OK",N(F201)&gt;0),F201-R201,"")</f>
        <v/>
      </c>
      <c r="U201" s="68" t="str">
        <f>IF(T201="","",IF(R201&lt;=0,"",T201/R201))</f>
        <v/>
      </c>
      <c r="V201" s="68" t="str">
        <f>IF(T201="","",T201/F201)</f>
        <v/>
      </c>
      <c r="W201" s="69" t="str">
        <f>IF(A201="","",IF(X201&lt;&gt;"OK","À corriger",IF(N(F201)&lt;=0,"Prix à saisir",IF(F201&lt;R201,"Vendu à perte",IF(F201&lt;S201,"Sous la cible","OK")))))</f>
        <v/>
      </c>
      <c r="X201" s="69" t="str">
        <f>IF(AND(A201="",COUNTA(B201:K201)=0),"",IF(A201="","Référence manquante",IF(COUNTIF($A$6:$A$305,A201)&gt;1,"Référence en double",IF(OR(NOT(ISNUMBER(D201)),N(D201)&lt;=0),"Taille de lot invalide",IF(AND(E201&lt;&gt;"",OR(NOT(ISNUMBER(E201)),N(E201)&lt;0)),"Volume annuel invalide",IF(AND(F201&lt;&gt;"",OR(NOT(ISNUMBER(F201)),N(F201)&lt;0)),"Prix de vente invalide",IF(OR(AND(G201&lt;&gt;"",OR(NOT(ISNUMBER(G201)),N(G201)&lt;0)),AND(H201&lt;&gt;"",OR(NOT(ISNUMBER(H201)),N(H201)&lt;0)),AND(I201&lt;&gt;"",OR(NOT(ISNUMBER(I201)),N(I201)&lt;0))),"Montant invalide",IF(OR(AND(J201&lt;&gt;"",OR(NOT(ISNUMBER(J201)),N(J201)&lt;0)),AND(K201&lt;&gt;"",OR(NOT(ISNUMBER(K201)),N(K201)&lt;0))),"Pourcentage invalide",IF(COUNTIF(bom_prod,A201)+COUNTIF(gam_prod,A201)=0,"Ni nomenclature ni gamme",IF(COUNTIFS(bom_prod,A201,bom_check,"&lt;&gt;OK")&gt;0,"Nomenclature à corriger",IF(COUNTIFS(gam_prod,A201,gam_check,"&lt;&gt;OK")&gt;0,"Gamme à corriger","OK")))))))))))</f>
        <v/>
      </c>
      <c r="Y201" s="70">
        <f>IF(J201="",N(p_fg),N(J201))</f>
        <v>0.15</v>
      </c>
      <c r="Z201" s="70">
        <f>IF(K201="",N(p_target),N(K201))</f>
        <v>0.25</v>
      </c>
      <c r="AA201" s="71" t="str">
        <f>IF(R201="","",IF(N(F201)&gt;0,ROUND(F201*N(E201),2),0))</f>
        <v/>
      </c>
      <c r="AB201" s="71">
        <f>IF(T201="",0,T201*N(E201))</f>
        <v>0.0</v>
      </c>
      <c r="AC201" s="71">
        <f>IF(T201="",0,R201*N(E201))</f>
        <v>0.0</v>
      </c>
      <c r="AD201" s="71">
        <f>IF(R201="",0,L201*N(E201))</f>
        <v>0.0</v>
      </c>
      <c r="AE201" s="71">
        <f>IF(R201="",0,M201*N(E201))</f>
        <v>0.0</v>
      </c>
      <c r="AF201" s="71">
        <f>IF(R201="",0,N201*N(E201))</f>
        <v>0.0</v>
      </c>
      <c r="AG201" s="71">
        <f>IF(R201="",0,O201*N(E201))</f>
        <v>0.0</v>
      </c>
      <c r="AH201" s="71">
        <f>IF(R201="",0,(N(G201)+N(H201)+N(I201)/D201)*N(E201))</f>
        <v>0.0</v>
      </c>
      <c r="AI201" s="71">
        <f>IF(R201="",0,P201*N(E201))</f>
        <v>0.0</v>
      </c>
      <c r="AJ201" s="71" t="str">
        <f>IF(AA201="","",COUNTIF(prod_ca,"&gt;"&amp;AA201)+COUNTIF(AA$6:AA201,AA201))</f>
        <v/>
      </c>
      <c r="AK201" s="71" t="str">
        <f>IF(OR(W201="Vendu à perte",W201="Sous la cible"),ROUND(U201,6),"")</f>
        <v/>
      </c>
      <c r="AL201" s="71" t="str">
        <f>IF(AK201="","",COUNTIF(prod_alk,"&lt;"&amp;AK201)+COUNTIF(AK$6:AK201,AK201))</f>
        <v/>
      </c>
    </row>
    <row r="202">
      <c r="A202" s="60" t="n"/>
      <c r="B202" s="60" t="n"/>
      <c r="C202" s="61" t="n"/>
      <c r="D202" s="62" t="n"/>
      <c r="E202" s="63" t="n"/>
      <c r="F202" s="64" t="n"/>
      <c r="G202" s="64" t="n"/>
      <c r="H202" s="64" t="n"/>
      <c r="I202" s="64" t="n"/>
      <c r="J202" s="65" t="n"/>
      <c r="K202" s="65" t="n"/>
      <c r="L202" s="66" t="str">
        <f>IF(X202="OK",SUMIF(bom_prod,A202,bom_cost),"")</f>
        <v/>
      </c>
      <c r="M202" s="66" t="str">
        <f>IF(X202="OK",SUMIF(gam_prod,A202,gam_mo),"")</f>
        <v/>
      </c>
      <c r="N202" s="66" t="str">
        <f>IF(X202="OK",SUMIF(gam_prod,A202,gam_mac),"")</f>
        <v/>
      </c>
      <c r="O202" s="66" t="str">
        <f>IF(X202="OK",SUMIF(gam_prod,A202,gam_setup)/D202,"")</f>
        <v/>
      </c>
      <c r="P202" s="66" t="str">
        <f>IF(X202="OK",(L202+M202+N202+O202+N(G202))*Y202,"")</f>
        <v/>
      </c>
      <c r="Q202" s="66" t="str">
        <f>IF(X202="OK",L202+M202+N202+O202+N(G202)+P202,"")</f>
        <v/>
      </c>
      <c r="R202" s="67" t="str">
        <f>IF(X202="OK",ROUND(Q202+N(H202)+N(I202)/D202,4),"")</f>
        <v/>
      </c>
      <c r="S202" s="66" t="str">
        <f>IF(X202="OK",ROUND(R202*(1+Z202),2),"")</f>
        <v/>
      </c>
      <c r="T202" s="66" t="str">
        <f>IF(AND(X202="OK",N(F202)&gt;0),F202-R202,"")</f>
        <v/>
      </c>
      <c r="U202" s="68" t="str">
        <f>IF(T202="","",IF(R202&lt;=0,"",T202/R202))</f>
        <v/>
      </c>
      <c r="V202" s="68" t="str">
        <f>IF(T202="","",T202/F202)</f>
        <v/>
      </c>
      <c r="W202" s="69" t="str">
        <f>IF(A202="","",IF(X202&lt;&gt;"OK","À corriger",IF(N(F202)&lt;=0,"Prix à saisir",IF(F202&lt;R202,"Vendu à perte",IF(F202&lt;S202,"Sous la cible","OK")))))</f>
        <v/>
      </c>
      <c r="X202" s="69" t="str">
        <f>IF(AND(A202="",COUNTA(B202:K202)=0),"",IF(A202="","Référence manquante",IF(COUNTIF($A$6:$A$305,A202)&gt;1,"Référence en double",IF(OR(NOT(ISNUMBER(D202)),N(D202)&lt;=0),"Taille de lot invalide",IF(AND(E202&lt;&gt;"",OR(NOT(ISNUMBER(E202)),N(E202)&lt;0)),"Volume annuel invalide",IF(AND(F202&lt;&gt;"",OR(NOT(ISNUMBER(F202)),N(F202)&lt;0)),"Prix de vente invalide",IF(OR(AND(G202&lt;&gt;"",OR(NOT(ISNUMBER(G202)),N(G202)&lt;0)),AND(H202&lt;&gt;"",OR(NOT(ISNUMBER(H202)),N(H202)&lt;0)),AND(I202&lt;&gt;"",OR(NOT(ISNUMBER(I202)),N(I202)&lt;0))),"Montant invalide",IF(OR(AND(J202&lt;&gt;"",OR(NOT(ISNUMBER(J202)),N(J202)&lt;0)),AND(K202&lt;&gt;"",OR(NOT(ISNUMBER(K202)),N(K202)&lt;0))),"Pourcentage invalide",IF(COUNTIF(bom_prod,A202)+COUNTIF(gam_prod,A202)=0,"Ni nomenclature ni gamme",IF(COUNTIFS(bom_prod,A202,bom_check,"&lt;&gt;OK")&gt;0,"Nomenclature à corriger",IF(COUNTIFS(gam_prod,A202,gam_check,"&lt;&gt;OK")&gt;0,"Gamme à corriger","OK")))))))))))</f>
        <v/>
      </c>
      <c r="Y202" s="70">
        <f>IF(J202="",N(p_fg),N(J202))</f>
        <v>0.15</v>
      </c>
      <c r="Z202" s="70">
        <f>IF(K202="",N(p_target),N(K202))</f>
        <v>0.25</v>
      </c>
      <c r="AA202" s="71" t="str">
        <f>IF(R202="","",IF(N(F202)&gt;0,ROUND(F202*N(E202),2),0))</f>
        <v/>
      </c>
      <c r="AB202" s="71">
        <f>IF(T202="",0,T202*N(E202))</f>
        <v>0.0</v>
      </c>
      <c r="AC202" s="71">
        <f>IF(T202="",0,R202*N(E202))</f>
        <v>0.0</v>
      </c>
      <c r="AD202" s="71">
        <f>IF(R202="",0,L202*N(E202))</f>
        <v>0.0</v>
      </c>
      <c r="AE202" s="71">
        <f>IF(R202="",0,M202*N(E202))</f>
        <v>0.0</v>
      </c>
      <c r="AF202" s="71">
        <f>IF(R202="",0,N202*N(E202))</f>
        <v>0.0</v>
      </c>
      <c r="AG202" s="71">
        <f>IF(R202="",0,O202*N(E202))</f>
        <v>0.0</v>
      </c>
      <c r="AH202" s="71">
        <f>IF(R202="",0,(N(G202)+N(H202)+N(I202)/D202)*N(E202))</f>
        <v>0.0</v>
      </c>
      <c r="AI202" s="71">
        <f>IF(R202="",0,P202*N(E202))</f>
        <v>0.0</v>
      </c>
      <c r="AJ202" s="71" t="str">
        <f>IF(AA202="","",COUNTIF(prod_ca,"&gt;"&amp;AA202)+COUNTIF(AA$6:AA202,AA202))</f>
        <v/>
      </c>
      <c r="AK202" s="71" t="str">
        <f>IF(OR(W202="Vendu à perte",W202="Sous la cible"),ROUND(U202,6),"")</f>
        <v/>
      </c>
      <c r="AL202" s="71" t="str">
        <f>IF(AK202="","",COUNTIF(prod_alk,"&lt;"&amp;AK202)+COUNTIF(AK$6:AK202,AK202))</f>
        <v/>
      </c>
    </row>
    <row r="203">
      <c r="A203" s="60" t="n"/>
      <c r="B203" s="60" t="n"/>
      <c r="C203" s="61" t="n"/>
      <c r="D203" s="62" t="n"/>
      <c r="E203" s="63" t="n"/>
      <c r="F203" s="64" t="n"/>
      <c r="G203" s="64" t="n"/>
      <c r="H203" s="64" t="n"/>
      <c r="I203" s="64" t="n"/>
      <c r="J203" s="65" t="n"/>
      <c r="K203" s="65" t="n"/>
      <c r="L203" s="66" t="str">
        <f>IF(X203="OK",SUMIF(bom_prod,A203,bom_cost),"")</f>
        <v/>
      </c>
      <c r="M203" s="66" t="str">
        <f>IF(X203="OK",SUMIF(gam_prod,A203,gam_mo),"")</f>
        <v/>
      </c>
      <c r="N203" s="66" t="str">
        <f>IF(X203="OK",SUMIF(gam_prod,A203,gam_mac),"")</f>
        <v/>
      </c>
      <c r="O203" s="66" t="str">
        <f>IF(X203="OK",SUMIF(gam_prod,A203,gam_setup)/D203,"")</f>
        <v/>
      </c>
      <c r="P203" s="66" t="str">
        <f>IF(X203="OK",(L203+M203+N203+O203+N(G203))*Y203,"")</f>
        <v/>
      </c>
      <c r="Q203" s="66" t="str">
        <f>IF(X203="OK",L203+M203+N203+O203+N(G203)+P203,"")</f>
        <v/>
      </c>
      <c r="R203" s="67" t="str">
        <f>IF(X203="OK",ROUND(Q203+N(H203)+N(I203)/D203,4),"")</f>
        <v/>
      </c>
      <c r="S203" s="66" t="str">
        <f>IF(X203="OK",ROUND(R203*(1+Z203),2),"")</f>
        <v/>
      </c>
      <c r="T203" s="66" t="str">
        <f>IF(AND(X203="OK",N(F203)&gt;0),F203-R203,"")</f>
        <v/>
      </c>
      <c r="U203" s="68" t="str">
        <f>IF(T203="","",IF(R203&lt;=0,"",T203/R203))</f>
        <v/>
      </c>
      <c r="V203" s="68" t="str">
        <f>IF(T203="","",T203/F203)</f>
        <v/>
      </c>
      <c r="W203" s="69" t="str">
        <f>IF(A203="","",IF(X203&lt;&gt;"OK","À corriger",IF(N(F203)&lt;=0,"Prix à saisir",IF(F203&lt;R203,"Vendu à perte",IF(F203&lt;S203,"Sous la cible","OK")))))</f>
        <v/>
      </c>
      <c r="X203" s="69" t="str">
        <f>IF(AND(A203="",COUNTA(B203:K203)=0),"",IF(A203="","Référence manquante",IF(COUNTIF($A$6:$A$305,A203)&gt;1,"Référence en double",IF(OR(NOT(ISNUMBER(D203)),N(D203)&lt;=0),"Taille de lot invalide",IF(AND(E203&lt;&gt;"",OR(NOT(ISNUMBER(E203)),N(E203)&lt;0)),"Volume annuel invalide",IF(AND(F203&lt;&gt;"",OR(NOT(ISNUMBER(F203)),N(F203)&lt;0)),"Prix de vente invalide",IF(OR(AND(G203&lt;&gt;"",OR(NOT(ISNUMBER(G203)),N(G203)&lt;0)),AND(H203&lt;&gt;"",OR(NOT(ISNUMBER(H203)),N(H203)&lt;0)),AND(I203&lt;&gt;"",OR(NOT(ISNUMBER(I203)),N(I203)&lt;0))),"Montant invalide",IF(OR(AND(J203&lt;&gt;"",OR(NOT(ISNUMBER(J203)),N(J203)&lt;0)),AND(K203&lt;&gt;"",OR(NOT(ISNUMBER(K203)),N(K203)&lt;0))),"Pourcentage invalide",IF(COUNTIF(bom_prod,A203)+COUNTIF(gam_prod,A203)=0,"Ni nomenclature ni gamme",IF(COUNTIFS(bom_prod,A203,bom_check,"&lt;&gt;OK")&gt;0,"Nomenclature à corriger",IF(COUNTIFS(gam_prod,A203,gam_check,"&lt;&gt;OK")&gt;0,"Gamme à corriger","OK")))))))))))</f>
        <v/>
      </c>
      <c r="Y203" s="70">
        <f>IF(J203="",N(p_fg),N(J203))</f>
        <v>0.15</v>
      </c>
      <c r="Z203" s="70">
        <f>IF(K203="",N(p_target),N(K203))</f>
        <v>0.25</v>
      </c>
      <c r="AA203" s="71" t="str">
        <f>IF(R203="","",IF(N(F203)&gt;0,ROUND(F203*N(E203),2),0))</f>
        <v/>
      </c>
      <c r="AB203" s="71">
        <f>IF(T203="",0,T203*N(E203))</f>
        <v>0.0</v>
      </c>
      <c r="AC203" s="71">
        <f>IF(T203="",0,R203*N(E203))</f>
        <v>0.0</v>
      </c>
      <c r="AD203" s="71">
        <f>IF(R203="",0,L203*N(E203))</f>
        <v>0.0</v>
      </c>
      <c r="AE203" s="71">
        <f>IF(R203="",0,M203*N(E203))</f>
        <v>0.0</v>
      </c>
      <c r="AF203" s="71">
        <f>IF(R203="",0,N203*N(E203))</f>
        <v>0.0</v>
      </c>
      <c r="AG203" s="71">
        <f>IF(R203="",0,O203*N(E203))</f>
        <v>0.0</v>
      </c>
      <c r="AH203" s="71">
        <f>IF(R203="",0,(N(G203)+N(H203)+N(I203)/D203)*N(E203))</f>
        <v>0.0</v>
      </c>
      <c r="AI203" s="71">
        <f>IF(R203="",0,P203*N(E203))</f>
        <v>0.0</v>
      </c>
      <c r="AJ203" s="71" t="str">
        <f>IF(AA203="","",COUNTIF(prod_ca,"&gt;"&amp;AA203)+COUNTIF(AA$6:AA203,AA203))</f>
        <v/>
      </c>
      <c r="AK203" s="71" t="str">
        <f>IF(OR(W203="Vendu à perte",W203="Sous la cible"),ROUND(U203,6),"")</f>
        <v/>
      </c>
      <c r="AL203" s="71" t="str">
        <f>IF(AK203="","",COUNTIF(prod_alk,"&lt;"&amp;AK203)+COUNTIF(AK$6:AK203,AK203))</f>
        <v/>
      </c>
    </row>
    <row r="204">
      <c r="A204" s="60" t="n"/>
      <c r="B204" s="60" t="n"/>
      <c r="C204" s="61" t="n"/>
      <c r="D204" s="62" t="n"/>
      <c r="E204" s="63" t="n"/>
      <c r="F204" s="64" t="n"/>
      <c r="G204" s="64" t="n"/>
      <c r="H204" s="64" t="n"/>
      <c r="I204" s="64" t="n"/>
      <c r="J204" s="65" t="n"/>
      <c r="K204" s="65" t="n"/>
      <c r="L204" s="66" t="str">
        <f>IF(X204="OK",SUMIF(bom_prod,A204,bom_cost),"")</f>
        <v/>
      </c>
      <c r="M204" s="66" t="str">
        <f>IF(X204="OK",SUMIF(gam_prod,A204,gam_mo),"")</f>
        <v/>
      </c>
      <c r="N204" s="66" t="str">
        <f>IF(X204="OK",SUMIF(gam_prod,A204,gam_mac),"")</f>
        <v/>
      </c>
      <c r="O204" s="66" t="str">
        <f>IF(X204="OK",SUMIF(gam_prod,A204,gam_setup)/D204,"")</f>
        <v/>
      </c>
      <c r="P204" s="66" t="str">
        <f>IF(X204="OK",(L204+M204+N204+O204+N(G204))*Y204,"")</f>
        <v/>
      </c>
      <c r="Q204" s="66" t="str">
        <f>IF(X204="OK",L204+M204+N204+O204+N(G204)+P204,"")</f>
        <v/>
      </c>
      <c r="R204" s="67" t="str">
        <f>IF(X204="OK",ROUND(Q204+N(H204)+N(I204)/D204,4),"")</f>
        <v/>
      </c>
      <c r="S204" s="66" t="str">
        <f>IF(X204="OK",ROUND(R204*(1+Z204),2),"")</f>
        <v/>
      </c>
      <c r="T204" s="66" t="str">
        <f>IF(AND(X204="OK",N(F204)&gt;0),F204-R204,"")</f>
        <v/>
      </c>
      <c r="U204" s="68" t="str">
        <f>IF(T204="","",IF(R204&lt;=0,"",T204/R204))</f>
        <v/>
      </c>
      <c r="V204" s="68" t="str">
        <f>IF(T204="","",T204/F204)</f>
        <v/>
      </c>
      <c r="W204" s="69" t="str">
        <f>IF(A204="","",IF(X204&lt;&gt;"OK","À corriger",IF(N(F204)&lt;=0,"Prix à saisir",IF(F204&lt;R204,"Vendu à perte",IF(F204&lt;S204,"Sous la cible","OK")))))</f>
        <v/>
      </c>
      <c r="X204" s="69" t="str">
        <f>IF(AND(A204="",COUNTA(B204:K204)=0),"",IF(A204="","Référence manquante",IF(COUNTIF($A$6:$A$305,A204)&gt;1,"Référence en double",IF(OR(NOT(ISNUMBER(D204)),N(D204)&lt;=0),"Taille de lot invalide",IF(AND(E204&lt;&gt;"",OR(NOT(ISNUMBER(E204)),N(E204)&lt;0)),"Volume annuel invalide",IF(AND(F204&lt;&gt;"",OR(NOT(ISNUMBER(F204)),N(F204)&lt;0)),"Prix de vente invalide",IF(OR(AND(G204&lt;&gt;"",OR(NOT(ISNUMBER(G204)),N(G204)&lt;0)),AND(H204&lt;&gt;"",OR(NOT(ISNUMBER(H204)),N(H204)&lt;0)),AND(I204&lt;&gt;"",OR(NOT(ISNUMBER(I204)),N(I204)&lt;0))),"Montant invalide",IF(OR(AND(J204&lt;&gt;"",OR(NOT(ISNUMBER(J204)),N(J204)&lt;0)),AND(K204&lt;&gt;"",OR(NOT(ISNUMBER(K204)),N(K204)&lt;0))),"Pourcentage invalide",IF(COUNTIF(bom_prod,A204)+COUNTIF(gam_prod,A204)=0,"Ni nomenclature ni gamme",IF(COUNTIFS(bom_prod,A204,bom_check,"&lt;&gt;OK")&gt;0,"Nomenclature à corriger",IF(COUNTIFS(gam_prod,A204,gam_check,"&lt;&gt;OK")&gt;0,"Gamme à corriger","OK")))))))))))</f>
        <v/>
      </c>
      <c r="Y204" s="70">
        <f>IF(J204="",N(p_fg),N(J204))</f>
        <v>0.15</v>
      </c>
      <c r="Z204" s="70">
        <f>IF(K204="",N(p_target),N(K204))</f>
        <v>0.25</v>
      </c>
      <c r="AA204" s="71" t="str">
        <f>IF(R204="","",IF(N(F204)&gt;0,ROUND(F204*N(E204),2),0))</f>
        <v/>
      </c>
      <c r="AB204" s="71">
        <f>IF(T204="",0,T204*N(E204))</f>
        <v>0.0</v>
      </c>
      <c r="AC204" s="71">
        <f>IF(T204="",0,R204*N(E204))</f>
        <v>0.0</v>
      </c>
      <c r="AD204" s="71">
        <f>IF(R204="",0,L204*N(E204))</f>
        <v>0.0</v>
      </c>
      <c r="AE204" s="71">
        <f>IF(R204="",0,M204*N(E204))</f>
        <v>0.0</v>
      </c>
      <c r="AF204" s="71">
        <f>IF(R204="",0,N204*N(E204))</f>
        <v>0.0</v>
      </c>
      <c r="AG204" s="71">
        <f>IF(R204="",0,O204*N(E204))</f>
        <v>0.0</v>
      </c>
      <c r="AH204" s="71">
        <f>IF(R204="",0,(N(G204)+N(H204)+N(I204)/D204)*N(E204))</f>
        <v>0.0</v>
      </c>
      <c r="AI204" s="71">
        <f>IF(R204="",0,P204*N(E204))</f>
        <v>0.0</v>
      </c>
      <c r="AJ204" s="71" t="str">
        <f>IF(AA204="","",COUNTIF(prod_ca,"&gt;"&amp;AA204)+COUNTIF(AA$6:AA204,AA204))</f>
        <v/>
      </c>
      <c r="AK204" s="71" t="str">
        <f>IF(OR(W204="Vendu à perte",W204="Sous la cible"),ROUND(U204,6),"")</f>
        <v/>
      </c>
      <c r="AL204" s="71" t="str">
        <f>IF(AK204="","",COUNTIF(prod_alk,"&lt;"&amp;AK204)+COUNTIF(AK$6:AK204,AK204))</f>
        <v/>
      </c>
    </row>
    <row r="205">
      <c r="A205" s="60" t="n"/>
      <c r="B205" s="60" t="n"/>
      <c r="C205" s="61" t="n"/>
      <c r="D205" s="62" t="n"/>
      <c r="E205" s="63" t="n"/>
      <c r="F205" s="64" t="n"/>
      <c r="G205" s="64" t="n"/>
      <c r="H205" s="64" t="n"/>
      <c r="I205" s="64" t="n"/>
      <c r="J205" s="65" t="n"/>
      <c r="K205" s="65" t="n"/>
      <c r="L205" s="66" t="str">
        <f>IF(X205="OK",SUMIF(bom_prod,A205,bom_cost),"")</f>
        <v/>
      </c>
      <c r="M205" s="66" t="str">
        <f>IF(X205="OK",SUMIF(gam_prod,A205,gam_mo),"")</f>
        <v/>
      </c>
      <c r="N205" s="66" t="str">
        <f>IF(X205="OK",SUMIF(gam_prod,A205,gam_mac),"")</f>
        <v/>
      </c>
      <c r="O205" s="66" t="str">
        <f>IF(X205="OK",SUMIF(gam_prod,A205,gam_setup)/D205,"")</f>
        <v/>
      </c>
      <c r="P205" s="66" t="str">
        <f>IF(X205="OK",(L205+M205+N205+O205+N(G205))*Y205,"")</f>
        <v/>
      </c>
      <c r="Q205" s="66" t="str">
        <f>IF(X205="OK",L205+M205+N205+O205+N(G205)+P205,"")</f>
        <v/>
      </c>
      <c r="R205" s="67" t="str">
        <f>IF(X205="OK",ROUND(Q205+N(H205)+N(I205)/D205,4),"")</f>
        <v/>
      </c>
      <c r="S205" s="66" t="str">
        <f>IF(X205="OK",ROUND(R205*(1+Z205),2),"")</f>
        <v/>
      </c>
      <c r="T205" s="66" t="str">
        <f>IF(AND(X205="OK",N(F205)&gt;0),F205-R205,"")</f>
        <v/>
      </c>
      <c r="U205" s="68" t="str">
        <f>IF(T205="","",IF(R205&lt;=0,"",T205/R205))</f>
        <v/>
      </c>
      <c r="V205" s="68" t="str">
        <f>IF(T205="","",T205/F205)</f>
        <v/>
      </c>
      <c r="W205" s="69" t="str">
        <f>IF(A205="","",IF(X205&lt;&gt;"OK","À corriger",IF(N(F205)&lt;=0,"Prix à saisir",IF(F205&lt;R205,"Vendu à perte",IF(F205&lt;S205,"Sous la cible","OK")))))</f>
        <v/>
      </c>
      <c r="X205" s="69" t="str">
        <f>IF(AND(A205="",COUNTA(B205:K205)=0),"",IF(A205="","Référence manquante",IF(COUNTIF($A$6:$A$305,A205)&gt;1,"Référence en double",IF(OR(NOT(ISNUMBER(D205)),N(D205)&lt;=0),"Taille de lot invalide",IF(AND(E205&lt;&gt;"",OR(NOT(ISNUMBER(E205)),N(E205)&lt;0)),"Volume annuel invalide",IF(AND(F205&lt;&gt;"",OR(NOT(ISNUMBER(F205)),N(F205)&lt;0)),"Prix de vente invalide",IF(OR(AND(G205&lt;&gt;"",OR(NOT(ISNUMBER(G205)),N(G205)&lt;0)),AND(H205&lt;&gt;"",OR(NOT(ISNUMBER(H205)),N(H205)&lt;0)),AND(I205&lt;&gt;"",OR(NOT(ISNUMBER(I205)),N(I205)&lt;0))),"Montant invalide",IF(OR(AND(J205&lt;&gt;"",OR(NOT(ISNUMBER(J205)),N(J205)&lt;0)),AND(K205&lt;&gt;"",OR(NOT(ISNUMBER(K205)),N(K205)&lt;0))),"Pourcentage invalide",IF(COUNTIF(bom_prod,A205)+COUNTIF(gam_prod,A205)=0,"Ni nomenclature ni gamme",IF(COUNTIFS(bom_prod,A205,bom_check,"&lt;&gt;OK")&gt;0,"Nomenclature à corriger",IF(COUNTIFS(gam_prod,A205,gam_check,"&lt;&gt;OK")&gt;0,"Gamme à corriger","OK")))))))))))</f>
        <v/>
      </c>
      <c r="Y205" s="70">
        <f>IF(J205="",N(p_fg),N(J205))</f>
        <v>0.15</v>
      </c>
      <c r="Z205" s="70">
        <f>IF(K205="",N(p_target),N(K205))</f>
        <v>0.25</v>
      </c>
      <c r="AA205" s="71" t="str">
        <f>IF(R205="","",IF(N(F205)&gt;0,ROUND(F205*N(E205),2),0))</f>
        <v/>
      </c>
      <c r="AB205" s="71">
        <f>IF(T205="",0,T205*N(E205))</f>
        <v>0.0</v>
      </c>
      <c r="AC205" s="71">
        <f>IF(T205="",0,R205*N(E205))</f>
        <v>0.0</v>
      </c>
      <c r="AD205" s="71">
        <f>IF(R205="",0,L205*N(E205))</f>
        <v>0.0</v>
      </c>
      <c r="AE205" s="71">
        <f>IF(R205="",0,M205*N(E205))</f>
        <v>0.0</v>
      </c>
      <c r="AF205" s="71">
        <f>IF(R205="",0,N205*N(E205))</f>
        <v>0.0</v>
      </c>
      <c r="AG205" s="71">
        <f>IF(R205="",0,O205*N(E205))</f>
        <v>0.0</v>
      </c>
      <c r="AH205" s="71">
        <f>IF(R205="",0,(N(G205)+N(H205)+N(I205)/D205)*N(E205))</f>
        <v>0.0</v>
      </c>
      <c r="AI205" s="71">
        <f>IF(R205="",0,P205*N(E205))</f>
        <v>0.0</v>
      </c>
      <c r="AJ205" s="71" t="str">
        <f>IF(AA205="","",COUNTIF(prod_ca,"&gt;"&amp;AA205)+COUNTIF(AA$6:AA205,AA205))</f>
        <v/>
      </c>
      <c r="AK205" s="71" t="str">
        <f>IF(OR(W205="Vendu à perte",W205="Sous la cible"),ROUND(U205,6),"")</f>
        <v/>
      </c>
      <c r="AL205" s="71" t="str">
        <f>IF(AK205="","",COUNTIF(prod_alk,"&lt;"&amp;AK205)+COUNTIF(AK$6:AK205,AK205))</f>
        <v/>
      </c>
    </row>
    <row r="206">
      <c r="A206" s="60" t="n"/>
      <c r="B206" s="60" t="n"/>
      <c r="C206" s="61" t="n"/>
      <c r="D206" s="62" t="n"/>
      <c r="E206" s="63" t="n"/>
      <c r="F206" s="64" t="n"/>
      <c r="G206" s="64" t="n"/>
      <c r="H206" s="64" t="n"/>
      <c r="I206" s="64" t="n"/>
      <c r="J206" s="65" t="n"/>
      <c r="K206" s="65" t="n"/>
      <c r="L206" s="66" t="str">
        <f>IF(X206="OK",SUMIF(bom_prod,A206,bom_cost),"")</f>
        <v/>
      </c>
      <c r="M206" s="66" t="str">
        <f>IF(X206="OK",SUMIF(gam_prod,A206,gam_mo),"")</f>
        <v/>
      </c>
      <c r="N206" s="66" t="str">
        <f>IF(X206="OK",SUMIF(gam_prod,A206,gam_mac),"")</f>
        <v/>
      </c>
      <c r="O206" s="66" t="str">
        <f>IF(X206="OK",SUMIF(gam_prod,A206,gam_setup)/D206,"")</f>
        <v/>
      </c>
      <c r="P206" s="66" t="str">
        <f>IF(X206="OK",(L206+M206+N206+O206+N(G206))*Y206,"")</f>
        <v/>
      </c>
      <c r="Q206" s="66" t="str">
        <f>IF(X206="OK",L206+M206+N206+O206+N(G206)+P206,"")</f>
        <v/>
      </c>
      <c r="R206" s="67" t="str">
        <f>IF(X206="OK",ROUND(Q206+N(H206)+N(I206)/D206,4),"")</f>
        <v/>
      </c>
      <c r="S206" s="66" t="str">
        <f>IF(X206="OK",ROUND(R206*(1+Z206),2),"")</f>
        <v/>
      </c>
      <c r="T206" s="66" t="str">
        <f>IF(AND(X206="OK",N(F206)&gt;0),F206-R206,"")</f>
        <v/>
      </c>
      <c r="U206" s="68" t="str">
        <f>IF(T206="","",IF(R206&lt;=0,"",T206/R206))</f>
        <v/>
      </c>
      <c r="V206" s="68" t="str">
        <f>IF(T206="","",T206/F206)</f>
        <v/>
      </c>
      <c r="W206" s="69" t="str">
        <f>IF(A206="","",IF(X206&lt;&gt;"OK","À corriger",IF(N(F206)&lt;=0,"Prix à saisir",IF(F206&lt;R206,"Vendu à perte",IF(F206&lt;S206,"Sous la cible","OK")))))</f>
        <v/>
      </c>
      <c r="X206" s="69" t="str">
        <f>IF(AND(A206="",COUNTA(B206:K206)=0),"",IF(A206="","Référence manquante",IF(COUNTIF($A$6:$A$305,A206)&gt;1,"Référence en double",IF(OR(NOT(ISNUMBER(D206)),N(D206)&lt;=0),"Taille de lot invalide",IF(AND(E206&lt;&gt;"",OR(NOT(ISNUMBER(E206)),N(E206)&lt;0)),"Volume annuel invalide",IF(AND(F206&lt;&gt;"",OR(NOT(ISNUMBER(F206)),N(F206)&lt;0)),"Prix de vente invalide",IF(OR(AND(G206&lt;&gt;"",OR(NOT(ISNUMBER(G206)),N(G206)&lt;0)),AND(H206&lt;&gt;"",OR(NOT(ISNUMBER(H206)),N(H206)&lt;0)),AND(I206&lt;&gt;"",OR(NOT(ISNUMBER(I206)),N(I206)&lt;0))),"Montant invalide",IF(OR(AND(J206&lt;&gt;"",OR(NOT(ISNUMBER(J206)),N(J206)&lt;0)),AND(K206&lt;&gt;"",OR(NOT(ISNUMBER(K206)),N(K206)&lt;0))),"Pourcentage invalide",IF(COUNTIF(bom_prod,A206)+COUNTIF(gam_prod,A206)=0,"Ni nomenclature ni gamme",IF(COUNTIFS(bom_prod,A206,bom_check,"&lt;&gt;OK")&gt;0,"Nomenclature à corriger",IF(COUNTIFS(gam_prod,A206,gam_check,"&lt;&gt;OK")&gt;0,"Gamme à corriger","OK")))))))))))</f>
        <v/>
      </c>
      <c r="Y206" s="70">
        <f>IF(J206="",N(p_fg),N(J206))</f>
        <v>0.15</v>
      </c>
      <c r="Z206" s="70">
        <f>IF(K206="",N(p_target),N(K206))</f>
        <v>0.25</v>
      </c>
      <c r="AA206" s="71" t="str">
        <f>IF(R206="","",IF(N(F206)&gt;0,ROUND(F206*N(E206),2),0))</f>
        <v/>
      </c>
      <c r="AB206" s="71">
        <f>IF(T206="",0,T206*N(E206))</f>
        <v>0.0</v>
      </c>
      <c r="AC206" s="71">
        <f>IF(T206="",0,R206*N(E206))</f>
        <v>0.0</v>
      </c>
      <c r="AD206" s="71">
        <f>IF(R206="",0,L206*N(E206))</f>
        <v>0.0</v>
      </c>
      <c r="AE206" s="71">
        <f>IF(R206="",0,M206*N(E206))</f>
        <v>0.0</v>
      </c>
      <c r="AF206" s="71">
        <f>IF(R206="",0,N206*N(E206))</f>
        <v>0.0</v>
      </c>
      <c r="AG206" s="71">
        <f>IF(R206="",0,O206*N(E206))</f>
        <v>0.0</v>
      </c>
      <c r="AH206" s="71">
        <f>IF(R206="",0,(N(G206)+N(H206)+N(I206)/D206)*N(E206))</f>
        <v>0.0</v>
      </c>
      <c r="AI206" s="71">
        <f>IF(R206="",0,P206*N(E206))</f>
        <v>0.0</v>
      </c>
      <c r="AJ206" s="71" t="str">
        <f>IF(AA206="","",COUNTIF(prod_ca,"&gt;"&amp;AA206)+COUNTIF(AA$6:AA206,AA206))</f>
        <v/>
      </c>
      <c r="AK206" s="71" t="str">
        <f>IF(OR(W206="Vendu à perte",W206="Sous la cible"),ROUND(U206,6),"")</f>
        <v/>
      </c>
      <c r="AL206" s="71" t="str">
        <f>IF(AK206="","",COUNTIF(prod_alk,"&lt;"&amp;AK206)+COUNTIF(AK$6:AK206,AK206))</f>
        <v/>
      </c>
    </row>
    <row r="207">
      <c r="A207" s="60" t="n"/>
      <c r="B207" s="60" t="n"/>
      <c r="C207" s="61" t="n"/>
      <c r="D207" s="62" t="n"/>
      <c r="E207" s="63" t="n"/>
      <c r="F207" s="64" t="n"/>
      <c r="G207" s="64" t="n"/>
      <c r="H207" s="64" t="n"/>
      <c r="I207" s="64" t="n"/>
      <c r="J207" s="65" t="n"/>
      <c r="K207" s="65" t="n"/>
      <c r="L207" s="66" t="str">
        <f>IF(X207="OK",SUMIF(bom_prod,A207,bom_cost),"")</f>
        <v/>
      </c>
      <c r="M207" s="66" t="str">
        <f>IF(X207="OK",SUMIF(gam_prod,A207,gam_mo),"")</f>
        <v/>
      </c>
      <c r="N207" s="66" t="str">
        <f>IF(X207="OK",SUMIF(gam_prod,A207,gam_mac),"")</f>
        <v/>
      </c>
      <c r="O207" s="66" t="str">
        <f>IF(X207="OK",SUMIF(gam_prod,A207,gam_setup)/D207,"")</f>
        <v/>
      </c>
      <c r="P207" s="66" t="str">
        <f>IF(X207="OK",(L207+M207+N207+O207+N(G207))*Y207,"")</f>
        <v/>
      </c>
      <c r="Q207" s="66" t="str">
        <f>IF(X207="OK",L207+M207+N207+O207+N(G207)+P207,"")</f>
        <v/>
      </c>
      <c r="R207" s="67" t="str">
        <f>IF(X207="OK",ROUND(Q207+N(H207)+N(I207)/D207,4),"")</f>
        <v/>
      </c>
      <c r="S207" s="66" t="str">
        <f>IF(X207="OK",ROUND(R207*(1+Z207),2),"")</f>
        <v/>
      </c>
      <c r="T207" s="66" t="str">
        <f>IF(AND(X207="OK",N(F207)&gt;0),F207-R207,"")</f>
        <v/>
      </c>
      <c r="U207" s="68" t="str">
        <f>IF(T207="","",IF(R207&lt;=0,"",T207/R207))</f>
        <v/>
      </c>
      <c r="V207" s="68" t="str">
        <f>IF(T207="","",T207/F207)</f>
        <v/>
      </c>
      <c r="W207" s="69" t="str">
        <f>IF(A207="","",IF(X207&lt;&gt;"OK","À corriger",IF(N(F207)&lt;=0,"Prix à saisir",IF(F207&lt;R207,"Vendu à perte",IF(F207&lt;S207,"Sous la cible","OK")))))</f>
        <v/>
      </c>
      <c r="X207" s="69" t="str">
        <f>IF(AND(A207="",COUNTA(B207:K207)=0),"",IF(A207="","Référence manquante",IF(COUNTIF($A$6:$A$305,A207)&gt;1,"Référence en double",IF(OR(NOT(ISNUMBER(D207)),N(D207)&lt;=0),"Taille de lot invalide",IF(AND(E207&lt;&gt;"",OR(NOT(ISNUMBER(E207)),N(E207)&lt;0)),"Volume annuel invalide",IF(AND(F207&lt;&gt;"",OR(NOT(ISNUMBER(F207)),N(F207)&lt;0)),"Prix de vente invalide",IF(OR(AND(G207&lt;&gt;"",OR(NOT(ISNUMBER(G207)),N(G207)&lt;0)),AND(H207&lt;&gt;"",OR(NOT(ISNUMBER(H207)),N(H207)&lt;0)),AND(I207&lt;&gt;"",OR(NOT(ISNUMBER(I207)),N(I207)&lt;0))),"Montant invalide",IF(OR(AND(J207&lt;&gt;"",OR(NOT(ISNUMBER(J207)),N(J207)&lt;0)),AND(K207&lt;&gt;"",OR(NOT(ISNUMBER(K207)),N(K207)&lt;0))),"Pourcentage invalide",IF(COUNTIF(bom_prod,A207)+COUNTIF(gam_prod,A207)=0,"Ni nomenclature ni gamme",IF(COUNTIFS(bom_prod,A207,bom_check,"&lt;&gt;OK")&gt;0,"Nomenclature à corriger",IF(COUNTIFS(gam_prod,A207,gam_check,"&lt;&gt;OK")&gt;0,"Gamme à corriger","OK")))))))))))</f>
        <v/>
      </c>
      <c r="Y207" s="70">
        <f>IF(J207="",N(p_fg),N(J207))</f>
        <v>0.15</v>
      </c>
      <c r="Z207" s="70">
        <f>IF(K207="",N(p_target),N(K207))</f>
        <v>0.25</v>
      </c>
      <c r="AA207" s="71" t="str">
        <f>IF(R207="","",IF(N(F207)&gt;0,ROUND(F207*N(E207),2),0))</f>
        <v/>
      </c>
      <c r="AB207" s="71">
        <f>IF(T207="",0,T207*N(E207))</f>
        <v>0.0</v>
      </c>
      <c r="AC207" s="71">
        <f>IF(T207="",0,R207*N(E207))</f>
        <v>0.0</v>
      </c>
      <c r="AD207" s="71">
        <f>IF(R207="",0,L207*N(E207))</f>
        <v>0.0</v>
      </c>
      <c r="AE207" s="71">
        <f>IF(R207="",0,M207*N(E207))</f>
        <v>0.0</v>
      </c>
      <c r="AF207" s="71">
        <f>IF(R207="",0,N207*N(E207))</f>
        <v>0.0</v>
      </c>
      <c r="AG207" s="71">
        <f>IF(R207="",0,O207*N(E207))</f>
        <v>0.0</v>
      </c>
      <c r="AH207" s="71">
        <f>IF(R207="",0,(N(G207)+N(H207)+N(I207)/D207)*N(E207))</f>
        <v>0.0</v>
      </c>
      <c r="AI207" s="71">
        <f>IF(R207="",0,P207*N(E207))</f>
        <v>0.0</v>
      </c>
      <c r="AJ207" s="71" t="str">
        <f>IF(AA207="","",COUNTIF(prod_ca,"&gt;"&amp;AA207)+COUNTIF(AA$6:AA207,AA207))</f>
        <v/>
      </c>
      <c r="AK207" s="71" t="str">
        <f>IF(OR(W207="Vendu à perte",W207="Sous la cible"),ROUND(U207,6),"")</f>
        <v/>
      </c>
      <c r="AL207" s="71" t="str">
        <f>IF(AK207="","",COUNTIF(prod_alk,"&lt;"&amp;AK207)+COUNTIF(AK$6:AK207,AK207))</f>
        <v/>
      </c>
    </row>
    <row r="208">
      <c r="A208" s="60" t="n"/>
      <c r="B208" s="60" t="n"/>
      <c r="C208" s="61" t="n"/>
      <c r="D208" s="62" t="n"/>
      <c r="E208" s="63" t="n"/>
      <c r="F208" s="64" t="n"/>
      <c r="G208" s="64" t="n"/>
      <c r="H208" s="64" t="n"/>
      <c r="I208" s="64" t="n"/>
      <c r="J208" s="65" t="n"/>
      <c r="K208" s="65" t="n"/>
      <c r="L208" s="66" t="str">
        <f>IF(X208="OK",SUMIF(bom_prod,A208,bom_cost),"")</f>
        <v/>
      </c>
      <c r="M208" s="66" t="str">
        <f>IF(X208="OK",SUMIF(gam_prod,A208,gam_mo),"")</f>
        <v/>
      </c>
      <c r="N208" s="66" t="str">
        <f>IF(X208="OK",SUMIF(gam_prod,A208,gam_mac),"")</f>
        <v/>
      </c>
      <c r="O208" s="66" t="str">
        <f>IF(X208="OK",SUMIF(gam_prod,A208,gam_setup)/D208,"")</f>
        <v/>
      </c>
      <c r="P208" s="66" t="str">
        <f>IF(X208="OK",(L208+M208+N208+O208+N(G208))*Y208,"")</f>
        <v/>
      </c>
      <c r="Q208" s="66" t="str">
        <f>IF(X208="OK",L208+M208+N208+O208+N(G208)+P208,"")</f>
        <v/>
      </c>
      <c r="R208" s="67" t="str">
        <f>IF(X208="OK",ROUND(Q208+N(H208)+N(I208)/D208,4),"")</f>
        <v/>
      </c>
      <c r="S208" s="66" t="str">
        <f>IF(X208="OK",ROUND(R208*(1+Z208),2),"")</f>
        <v/>
      </c>
      <c r="T208" s="66" t="str">
        <f>IF(AND(X208="OK",N(F208)&gt;0),F208-R208,"")</f>
        <v/>
      </c>
      <c r="U208" s="68" t="str">
        <f>IF(T208="","",IF(R208&lt;=0,"",T208/R208))</f>
        <v/>
      </c>
      <c r="V208" s="68" t="str">
        <f>IF(T208="","",T208/F208)</f>
        <v/>
      </c>
      <c r="W208" s="69" t="str">
        <f>IF(A208="","",IF(X208&lt;&gt;"OK","À corriger",IF(N(F208)&lt;=0,"Prix à saisir",IF(F208&lt;R208,"Vendu à perte",IF(F208&lt;S208,"Sous la cible","OK")))))</f>
        <v/>
      </c>
      <c r="X208" s="69" t="str">
        <f>IF(AND(A208="",COUNTA(B208:K208)=0),"",IF(A208="","Référence manquante",IF(COUNTIF($A$6:$A$305,A208)&gt;1,"Référence en double",IF(OR(NOT(ISNUMBER(D208)),N(D208)&lt;=0),"Taille de lot invalide",IF(AND(E208&lt;&gt;"",OR(NOT(ISNUMBER(E208)),N(E208)&lt;0)),"Volume annuel invalide",IF(AND(F208&lt;&gt;"",OR(NOT(ISNUMBER(F208)),N(F208)&lt;0)),"Prix de vente invalide",IF(OR(AND(G208&lt;&gt;"",OR(NOT(ISNUMBER(G208)),N(G208)&lt;0)),AND(H208&lt;&gt;"",OR(NOT(ISNUMBER(H208)),N(H208)&lt;0)),AND(I208&lt;&gt;"",OR(NOT(ISNUMBER(I208)),N(I208)&lt;0))),"Montant invalide",IF(OR(AND(J208&lt;&gt;"",OR(NOT(ISNUMBER(J208)),N(J208)&lt;0)),AND(K208&lt;&gt;"",OR(NOT(ISNUMBER(K208)),N(K208)&lt;0))),"Pourcentage invalide",IF(COUNTIF(bom_prod,A208)+COUNTIF(gam_prod,A208)=0,"Ni nomenclature ni gamme",IF(COUNTIFS(bom_prod,A208,bom_check,"&lt;&gt;OK")&gt;0,"Nomenclature à corriger",IF(COUNTIFS(gam_prod,A208,gam_check,"&lt;&gt;OK")&gt;0,"Gamme à corriger","OK")))))))))))</f>
        <v/>
      </c>
      <c r="Y208" s="70">
        <f>IF(J208="",N(p_fg),N(J208))</f>
        <v>0.15</v>
      </c>
      <c r="Z208" s="70">
        <f>IF(K208="",N(p_target),N(K208))</f>
        <v>0.25</v>
      </c>
      <c r="AA208" s="71" t="str">
        <f>IF(R208="","",IF(N(F208)&gt;0,ROUND(F208*N(E208),2),0))</f>
        <v/>
      </c>
      <c r="AB208" s="71">
        <f>IF(T208="",0,T208*N(E208))</f>
        <v>0.0</v>
      </c>
      <c r="AC208" s="71">
        <f>IF(T208="",0,R208*N(E208))</f>
        <v>0.0</v>
      </c>
      <c r="AD208" s="71">
        <f>IF(R208="",0,L208*N(E208))</f>
        <v>0.0</v>
      </c>
      <c r="AE208" s="71">
        <f>IF(R208="",0,M208*N(E208))</f>
        <v>0.0</v>
      </c>
      <c r="AF208" s="71">
        <f>IF(R208="",0,N208*N(E208))</f>
        <v>0.0</v>
      </c>
      <c r="AG208" s="71">
        <f>IF(R208="",0,O208*N(E208))</f>
        <v>0.0</v>
      </c>
      <c r="AH208" s="71">
        <f>IF(R208="",0,(N(G208)+N(H208)+N(I208)/D208)*N(E208))</f>
        <v>0.0</v>
      </c>
      <c r="AI208" s="71">
        <f>IF(R208="",0,P208*N(E208))</f>
        <v>0.0</v>
      </c>
      <c r="AJ208" s="71" t="str">
        <f>IF(AA208="","",COUNTIF(prod_ca,"&gt;"&amp;AA208)+COUNTIF(AA$6:AA208,AA208))</f>
        <v/>
      </c>
      <c r="AK208" s="71" t="str">
        <f>IF(OR(W208="Vendu à perte",W208="Sous la cible"),ROUND(U208,6),"")</f>
        <v/>
      </c>
      <c r="AL208" s="71" t="str">
        <f>IF(AK208="","",COUNTIF(prod_alk,"&lt;"&amp;AK208)+COUNTIF(AK$6:AK208,AK208))</f>
        <v/>
      </c>
    </row>
    <row r="209">
      <c r="A209" s="60" t="n"/>
      <c r="B209" s="60" t="n"/>
      <c r="C209" s="61" t="n"/>
      <c r="D209" s="62" t="n"/>
      <c r="E209" s="63" t="n"/>
      <c r="F209" s="64" t="n"/>
      <c r="G209" s="64" t="n"/>
      <c r="H209" s="64" t="n"/>
      <c r="I209" s="64" t="n"/>
      <c r="J209" s="65" t="n"/>
      <c r="K209" s="65" t="n"/>
      <c r="L209" s="66" t="str">
        <f>IF(X209="OK",SUMIF(bom_prod,A209,bom_cost),"")</f>
        <v/>
      </c>
      <c r="M209" s="66" t="str">
        <f>IF(X209="OK",SUMIF(gam_prod,A209,gam_mo),"")</f>
        <v/>
      </c>
      <c r="N209" s="66" t="str">
        <f>IF(X209="OK",SUMIF(gam_prod,A209,gam_mac),"")</f>
        <v/>
      </c>
      <c r="O209" s="66" t="str">
        <f>IF(X209="OK",SUMIF(gam_prod,A209,gam_setup)/D209,"")</f>
        <v/>
      </c>
      <c r="P209" s="66" t="str">
        <f>IF(X209="OK",(L209+M209+N209+O209+N(G209))*Y209,"")</f>
        <v/>
      </c>
      <c r="Q209" s="66" t="str">
        <f>IF(X209="OK",L209+M209+N209+O209+N(G209)+P209,"")</f>
        <v/>
      </c>
      <c r="R209" s="67" t="str">
        <f>IF(X209="OK",ROUND(Q209+N(H209)+N(I209)/D209,4),"")</f>
        <v/>
      </c>
      <c r="S209" s="66" t="str">
        <f>IF(X209="OK",ROUND(R209*(1+Z209),2),"")</f>
        <v/>
      </c>
      <c r="T209" s="66" t="str">
        <f>IF(AND(X209="OK",N(F209)&gt;0),F209-R209,"")</f>
        <v/>
      </c>
      <c r="U209" s="68" t="str">
        <f>IF(T209="","",IF(R209&lt;=0,"",T209/R209))</f>
        <v/>
      </c>
      <c r="V209" s="68" t="str">
        <f>IF(T209="","",T209/F209)</f>
        <v/>
      </c>
      <c r="W209" s="69" t="str">
        <f>IF(A209="","",IF(X209&lt;&gt;"OK","À corriger",IF(N(F209)&lt;=0,"Prix à saisir",IF(F209&lt;R209,"Vendu à perte",IF(F209&lt;S209,"Sous la cible","OK")))))</f>
        <v/>
      </c>
      <c r="X209" s="69" t="str">
        <f>IF(AND(A209="",COUNTA(B209:K209)=0),"",IF(A209="","Référence manquante",IF(COUNTIF($A$6:$A$305,A209)&gt;1,"Référence en double",IF(OR(NOT(ISNUMBER(D209)),N(D209)&lt;=0),"Taille de lot invalide",IF(AND(E209&lt;&gt;"",OR(NOT(ISNUMBER(E209)),N(E209)&lt;0)),"Volume annuel invalide",IF(AND(F209&lt;&gt;"",OR(NOT(ISNUMBER(F209)),N(F209)&lt;0)),"Prix de vente invalide",IF(OR(AND(G209&lt;&gt;"",OR(NOT(ISNUMBER(G209)),N(G209)&lt;0)),AND(H209&lt;&gt;"",OR(NOT(ISNUMBER(H209)),N(H209)&lt;0)),AND(I209&lt;&gt;"",OR(NOT(ISNUMBER(I209)),N(I209)&lt;0))),"Montant invalide",IF(OR(AND(J209&lt;&gt;"",OR(NOT(ISNUMBER(J209)),N(J209)&lt;0)),AND(K209&lt;&gt;"",OR(NOT(ISNUMBER(K209)),N(K209)&lt;0))),"Pourcentage invalide",IF(COUNTIF(bom_prod,A209)+COUNTIF(gam_prod,A209)=0,"Ni nomenclature ni gamme",IF(COUNTIFS(bom_prod,A209,bom_check,"&lt;&gt;OK")&gt;0,"Nomenclature à corriger",IF(COUNTIFS(gam_prod,A209,gam_check,"&lt;&gt;OK")&gt;0,"Gamme à corriger","OK")))))))))))</f>
        <v/>
      </c>
      <c r="Y209" s="70">
        <f>IF(J209="",N(p_fg),N(J209))</f>
        <v>0.15</v>
      </c>
      <c r="Z209" s="70">
        <f>IF(K209="",N(p_target),N(K209))</f>
        <v>0.25</v>
      </c>
      <c r="AA209" s="71" t="str">
        <f>IF(R209="","",IF(N(F209)&gt;0,ROUND(F209*N(E209),2),0))</f>
        <v/>
      </c>
      <c r="AB209" s="71">
        <f>IF(T209="",0,T209*N(E209))</f>
        <v>0.0</v>
      </c>
      <c r="AC209" s="71">
        <f>IF(T209="",0,R209*N(E209))</f>
        <v>0.0</v>
      </c>
      <c r="AD209" s="71">
        <f>IF(R209="",0,L209*N(E209))</f>
        <v>0.0</v>
      </c>
      <c r="AE209" s="71">
        <f>IF(R209="",0,M209*N(E209))</f>
        <v>0.0</v>
      </c>
      <c r="AF209" s="71">
        <f>IF(R209="",0,N209*N(E209))</f>
        <v>0.0</v>
      </c>
      <c r="AG209" s="71">
        <f>IF(R209="",0,O209*N(E209))</f>
        <v>0.0</v>
      </c>
      <c r="AH209" s="71">
        <f>IF(R209="",0,(N(G209)+N(H209)+N(I209)/D209)*N(E209))</f>
        <v>0.0</v>
      </c>
      <c r="AI209" s="71">
        <f>IF(R209="",0,P209*N(E209))</f>
        <v>0.0</v>
      </c>
      <c r="AJ209" s="71" t="str">
        <f>IF(AA209="","",COUNTIF(prod_ca,"&gt;"&amp;AA209)+COUNTIF(AA$6:AA209,AA209))</f>
        <v/>
      </c>
      <c r="AK209" s="71" t="str">
        <f>IF(OR(W209="Vendu à perte",W209="Sous la cible"),ROUND(U209,6),"")</f>
        <v/>
      </c>
      <c r="AL209" s="71" t="str">
        <f>IF(AK209="","",COUNTIF(prod_alk,"&lt;"&amp;AK209)+COUNTIF(AK$6:AK209,AK209))</f>
        <v/>
      </c>
    </row>
    <row r="210">
      <c r="A210" s="60" t="n"/>
      <c r="B210" s="60" t="n"/>
      <c r="C210" s="61" t="n"/>
      <c r="D210" s="62" t="n"/>
      <c r="E210" s="63" t="n"/>
      <c r="F210" s="64" t="n"/>
      <c r="G210" s="64" t="n"/>
      <c r="H210" s="64" t="n"/>
      <c r="I210" s="64" t="n"/>
      <c r="J210" s="65" t="n"/>
      <c r="K210" s="65" t="n"/>
      <c r="L210" s="66" t="str">
        <f>IF(X210="OK",SUMIF(bom_prod,A210,bom_cost),"")</f>
        <v/>
      </c>
      <c r="M210" s="66" t="str">
        <f>IF(X210="OK",SUMIF(gam_prod,A210,gam_mo),"")</f>
        <v/>
      </c>
      <c r="N210" s="66" t="str">
        <f>IF(X210="OK",SUMIF(gam_prod,A210,gam_mac),"")</f>
        <v/>
      </c>
      <c r="O210" s="66" t="str">
        <f>IF(X210="OK",SUMIF(gam_prod,A210,gam_setup)/D210,"")</f>
        <v/>
      </c>
      <c r="P210" s="66" t="str">
        <f>IF(X210="OK",(L210+M210+N210+O210+N(G210))*Y210,"")</f>
        <v/>
      </c>
      <c r="Q210" s="66" t="str">
        <f>IF(X210="OK",L210+M210+N210+O210+N(G210)+P210,"")</f>
        <v/>
      </c>
      <c r="R210" s="67" t="str">
        <f>IF(X210="OK",ROUND(Q210+N(H210)+N(I210)/D210,4),"")</f>
        <v/>
      </c>
      <c r="S210" s="66" t="str">
        <f>IF(X210="OK",ROUND(R210*(1+Z210),2),"")</f>
        <v/>
      </c>
      <c r="T210" s="66" t="str">
        <f>IF(AND(X210="OK",N(F210)&gt;0),F210-R210,"")</f>
        <v/>
      </c>
      <c r="U210" s="68" t="str">
        <f>IF(T210="","",IF(R210&lt;=0,"",T210/R210))</f>
        <v/>
      </c>
      <c r="V210" s="68" t="str">
        <f>IF(T210="","",T210/F210)</f>
        <v/>
      </c>
      <c r="W210" s="69" t="str">
        <f>IF(A210="","",IF(X210&lt;&gt;"OK","À corriger",IF(N(F210)&lt;=0,"Prix à saisir",IF(F210&lt;R210,"Vendu à perte",IF(F210&lt;S210,"Sous la cible","OK")))))</f>
        <v/>
      </c>
      <c r="X210" s="69" t="str">
        <f>IF(AND(A210="",COUNTA(B210:K210)=0),"",IF(A210="","Référence manquante",IF(COUNTIF($A$6:$A$305,A210)&gt;1,"Référence en double",IF(OR(NOT(ISNUMBER(D210)),N(D210)&lt;=0),"Taille de lot invalide",IF(AND(E210&lt;&gt;"",OR(NOT(ISNUMBER(E210)),N(E210)&lt;0)),"Volume annuel invalide",IF(AND(F210&lt;&gt;"",OR(NOT(ISNUMBER(F210)),N(F210)&lt;0)),"Prix de vente invalide",IF(OR(AND(G210&lt;&gt;"",OR(NOT(ISNUMBER(G210)),N(G210)&lt;0)),AND(H210&lt;&gt;"",OR(NOT(ISNUMBER(H210)),N(H210)&lt;0)),AND(I210&lt;&gt;"",OR(NOT(ISNUMBER(I210)),N(I210)&lt;0))),"Montant invalide",IF(OR(AND(J210&lt;&gt;"",OR(NOT(ISNUMBER(J210)),N(J210)&lt;0)),AND(K210&lt;&gt;"",OR(NOT(ISNUMBER(K210)),N(K210)&lt;0))),"Pourcentage invalide",IF(COUNTIF(bom_prod,A210)+COUNTIF(gam_prod,A210)=0,"Ni nomenclature ni gamme",IF(COUNTIFS(bom_prod,A210,bom_check,"&lt;&gt;OK")&gt;0,"Nomenclature à corriger",IF(COUNTIFS(gam_prod,A210,gam_check,"&lt;&gt;OK")&gt;0,"Gamme à corriger","OK")))))))))))</f>
        <v/>
      </c>
      <c r="Y210" s="70">
        <f>IF(J210="",N(p_fg),N(J210))</f>
        <v>0.15</v>
      </c>
      <c r="Z210" s="70">
        <f>IF(K210="",N(p_target),N(K210))</f>
        <v>0.25</v>
      </c>
      <c r="AA210" s="71" t="str">
        <f>IF(R210="","",IF(N(F210)&gt;0,ROUND(F210*N(E210),2),0))</f>
        <v/>
      </c>
      <c r="AB210" s="71">
        <f>IF(T210="",0,T210*N(E210))</f>
        <v>0.0</v>
      </c>
      <c r="AC210" s="71">
        <f>IF(T210="",0,R210*N(E210))</f>
        <v>0.0</v>
      </c>
      <c r="AD210" s="71">
        <f>IF(R210="",0,L210*N(E210))</f>
        <v>0.0</v>
      </c>
      <c r="AE210" s="71">
        <f>IF(R210="",0,M210*N(E210))</f>
        <v>0.0</v>
      </c>
      <c r="AF210" s="71">
        <f>IF(R210="",0,N210*N(E210))</f>
        <v>0.0</v>
      </c>
      <c r="AG210" s="71">
        <f>IF(R210="",0,O210*N(E210))</f>
        <v>0.0</v>
      </c>
      <c r="AH210" s="71">
        <f>IF(R210="",0,(N(G210)+N(H210)+N(I210)/D210)*N(E210))</f>
        <v>0.0</v>
      </c>
      <c r="AI210" s="71">
        <f>IF(R210="",0,P210*N(E210))</f>
        <v>0.0</v>
      </c>
      <c r="AJ210" s="71" t="str">
        <f>IF(AA210="","",COUNTIF(prod_ca,"&gt;"&amp;AA210)+COUNTIF(AA$6:AA210,AA210))</f>
        <v/>
      </c>
      <c r="AK210" s="71" t="str">
        <f>IF(OR(W210="Vendu à perte",W210="Sous la cible"),ROUND(U210,6),"")</f>
        <v/>
      </c>
      <c r="AL210" s="71" t="str">
        <f>IF(AK210="","",COUNTIF(prod_alk,"&lt;"&amp;AK210)+COUNTIF(AK$6:AK210,AK210))</f>
        <v/>
      </c>
    </row>
    <row r="211">
      <c r="A211" s="60" t="n"/>
      <c r="B211" s="60" t="n"/>
      <c r="C211" s="61" t="n"/>
      <c r="D211" s="62" t="n"/>
      <c r="E211" s="63" t="n"/>
      <c r="F211" s="64" t="n"/>
      <c r="G211" s="64" t="n"/>
      <c r="H211" s="64" t="n"/>
      <c r="I211" s="64" t="n"/>
      <c r="J211" s="65" t="n"/>
      <c r="K211" s="65" t="n"/>
      <c r="L211" s="66" t="str">
        <f>IF(X211="OK",SUMIF(bom_prod,A211,bom_cost),"")</f>
        <v/>
      </c>
      <c r="M211" s="66" t="str">
        <f>IF(X211="OK",SUMIF(gam_prod,A211,gam_mo),"")</f>
        <v/>
      </c>
      <c r="N211" s="66" t="str">
        <f>IF(X211="OK",SUMIF(gam_prod,A211,gam_mac),"")</f>
        <v/>
      </c>
      <c r="O211" s="66" t="str">
        <f>IF(X211="OK",SUMIF(gam_prod,A211,gam_setup)/D211,"")</f>
        <v/>
      </c>
      <c r="P211" s="66" t="str">
        <f>IF(X211="OK",(L211+M211+N211+O211+N(G211))*Y211,"")</f>
        <v/>
      </c>
      <c r="Q211" s="66" t="str">
        <f>IF(X211="OK",L211+M211+N211+O211+N(G211)+P211,"")</f>
        <v/>
      </c>
      <c r="R211" s="67" t="str">
        <f>IF(X211="OK",ROUND(Q211+N(H211)+N(I211)/D211,4),"")</f>
        <v/>
      </c>
      <c r="S211" s="66" t="str">
        <f>IF(X211="OK",ROUND(R211*(1+Z211),2),"")</f>
        <v/>
      </c>
      <c r="T211" s="66" t="str">
        <f>IF(AND(X211="OK",N(F211)&gt;0),F211-R211,"")</f>
        <v/>
      </c>
      <c r="U211" s="68" t="str">
        <f>IF(T211="","",IF(R211&lt;=0,"",T211/R211))</f>
        <v/>
      </c>
      <c r="V211" s="68" t="str">
        <f>IF(T211="","",T211/F211)</f>
        <v/>
      </c>
      <c r="W211" s="69" t="str">
        <f>IF(A211="","",IF(X211&lt;&gt;"OK","À corriger",IF(N(F211)&lt;=0,"Prix à saisir",IF(F211&lt;R211,"Vendu à perte",IF(F211&lt;S211,"Sous la cible","OK")))))</f>
        <v/>
      </c>
      <c r="X211" s="69" t="str">
        <f>IF(AND(A211="",COUNTA(B211:K211)=0),"",IF(A211="","Référence manquante",IF(COUNTIF($A$6:$A$305,A211)&gt;1,"Référence en double",IF(OR(NOT(ISNUMBER(D211)),N(D211)&lt;=0),"Taille de lot invalide",IF(AND(E211&lt;&gt;"",OR(NOT(ISNUMBER(E211)),N(E211)&lt;0)),"Volume annuel invalide",IF(AND(F211&lt;&gt;"",OR(NOT(ISNUMBER(F211)),N(F211)&lt;0)),"Prix de vente invalide",IF(OR(AND(G211&lt;&gt;"",OR(NOT(ISNUMBER(G211)),N(G211)&lt;0)),AND(H211&lt;&gt;"",OR(NOT(ISNUMBER(H211)),N(H211)&lt;0)),AND(I211&lt;&gt;"",OR(NOT(ISNUMBER(I211)),N(I211)&lt;0))),"Montant invalide",IF(OR(AND(J211&lt;&gt;"",OR(NOT(ISNUMBER(J211)),N(J211)&lt;0)),AND(K211&lt;&gt;"",OR(NOT(ISNUMBER(K211)),N(K211)&lt;0))),"Pourcentage invalide",IF(COUNTIF(bom_prod,A211)+COUNTIF(gam_prod,A211)=0,"Ni nomenclature ni gamme",IF(COUNTIFS(bom_prod,A211,bom_check,"&lt;&gt;OK")&gt;0,"Nomenclature à corriger",IF(COUNTIFS(gam_prod,A211,gam_check,"&lt;&gt;OK")&gt;0,"Gamme à corriger","OK")))))))))))</f>
        <v/>
      </c>
      <c r="Y211" s="70">
        <f>IF(J211="",N(p_fg),N(J211))</f>
        <v>0.15</v>
      </c>
      <c r="Z211" s="70">
        <f>IF(K211="",N(p_target),N(K211))</f>
        <v>0.25</v>
      </c>
      <c r="AA211" s="71" t="str">
        <f>IF(R211="","",IF(N(F211)&gt;0,ROUND(F211*N(E211),2),0))</f>
        <v/>
      </c>
      <c r="AB211" s="71">
        <f>IF(T211="",0,T211*N(E211))</f>
        <v>0.0</v>
      </c>
      <c r="AC211" s="71">
        <f>IF(T211="",0,R211*N(E211))</f>
        <v>0.0</v>
      </c>
      <c r="AD211" s="71">
        <f>IF(R211="",0,L211*N(E211))</f>
        <v>0.0</v>
      </c>
      <c r="AE211" s="71">
        <f>IF(R211="",0,M211*N(E211))</f>
        <v>0.0</v>
      </c>
      <c r="AF211" s="71">
        <f>IF(R211="",0,N211*N(E211))</f>
        <v>0.0</v>
      </c>
      <c r="AG211" s="71">
        <f>IF(R211="",0,O211*N(E211))</f>
        <v>0.0</v>
      </c>
      <c r="AH211" s="71">
        <f>IF(R211="",0,(N(G211)+N(H211)+N(I211)/D211)*N(E211))</f>
        <v>0.0</v>
      </c>
      <c r="AI211" s="71">
        <f>IF(R211="",0,P211*N(E211))</f>
        <v>0.0</v>
      </c>
      <c r="AJ211" s="71" t="str">
        <f>IF(AA211="","",COUNTIF(prod_ca,"&gt;"&amp;AA211)+COUNTIF(AA$6:AA211,AA211))</f>
        <v/>
      </c>
      <c r="AK211" s="71" t="str">
        <f>IF(OR(W211="Vendu à perte",W211="Sous la cible"),ROUND(U211,6),"")</f>
        <v/>
      </c>
      <c r="AL211" s="71" t="str">
        <f>IF(AK211="","",COUNTIF(prod_alk,"&lt;"&amp;AK211)+COUNTIF(AK$6:AK211,AK211))</f>
        <v/>
      </c>
    </row>
    <row r="212">
      <c r="A212" s="60" t="n"/>
      <c r="B212" s="60" t="n"/>
      <c r="C212" s="61" t="n"/>
      <c r="D212" s="62" t="n"/>
      <c r="E212" s="63" t="n"/>
      <c r="F212" s="64" t="n"/>
      <c r="G212" s="64" t="n"/>
      <c r="H212" s="64" t="n"/>
      <c r="I212" s="64" t="n"/>
      <c r="J212" s="65" t="n"/>
      <c r="K212" s="65" t="n"/>
      <c r="L212" s="66" t="str">
        <f>IF(X212="OK",SUMIF(bom_prod,A212,bom_cost),"")</f>
        <v/>
      </c>
      <c r="M212" s="66" t="str">
        <f>IF(X212="OK",SUMIF(gam_prod,A212,gam_mo),"")</f>
        <v/>
      </c>
      <c r="N212" s="66" t="str">
        <f>IF(X212="OK",SUMIF(gam_prod,A212,gam_mac),"")</f>
        <v/>
      </c>
      <c r="O212" s="66" t="str">
        <f>IF(X212="OK",SUMIF(gam_prod,A212,gam_setup)/D212,"")</f>
        <v/>
      </c>
      <c r="P212" s="66" t="str">
        <f>IF(X212="OK",(L212+M212+N212+O212+N(G212))*Y212,"")</f>
        <v/>
      </c>
      <c r="Q212" s="66" t="str">
        <f>IF(X212="OK",L212+M212+N212+O212+N(G212)+P212,"")</f>
        <v/>
      </c>
      <c r="R212" s="67" t="str">
        <f>IF(X212="OK",ROUND(Q212+N(H212)+N(I212)/D212,4),"")</f>
        <v/>
      </c>
      <c r="S212" s="66" t="str">
        <f>IF(X212="OK",ROUND(R212*(1+Z212),2),"")</f>
        <v/>
      </c>
      <c r="T212" s="66" t="str">
        <f>IF(AND(X212="OK",N(F212)&gt;0),F212-R212,"")</f>
        <v/>
      </c>
      <c r="U212" s="68" t="str">
        <f>IF(T212="","",IF(R212&lt;=0,"",T212/R212))</f>
        <v/>
      </c>
      <c r="V212" s="68" t="str">
        <f>IF(T212="","",T212/F212)</f>
        <v/>
      </c>
      <c r="W212" s="69" t="str">
        <f>IF(A212="","",IF(X212&lt;&gt;"OK","À corriger",IF(N(F212)&lt;=0,"Prix à saisir",IF(F212&lt;R212,"Vendu à perte",IF(F212&lt;S212,"Sous la cible","OK")))))</f>
        <v/>
      </c>
      <c r="X212" s="69" t="str">
        <f>IF(AND(A212="",COUNTA(B212:K212)=0),"",IF(A212="","Référence manquante",IF(COUNTIF($A$6:$A$305,A212)&gt;1,"Référence en double",IF(OR(NOT(ISNUMBER(D212)),N(D212)&lt;=0),"Taille de lot invalide",IF(AND(E212&lt;&gt;"",OR(NOT(ISNUMBER(E212)),N(E212)&lt;0)),"Volume annuel invalide",IF(AND(F212&lt;&gt;"",OR(NOT(ISNUMBER(F212)),N(F212)&lt;0)),"Prix de vente invalide",IF(OR(AND(G212&lt;&gt;"",OR(NOT(ISNUMBER(G212)),N(G212)&lt;0)),AND(H212&lt;&gt;"",OR(NOT(ISNUMBER(H212)),N(H212)&lt;0)),AND(I212&lt;&gt;"",OR(NOT(ISNUMBER(I212)),N(I212)&lt;0))),"Montant invalide",IF(OR(AND(J212&lt;&gt;"",OR(NOT(ISNUMBER(J212)),N(J212)&lt;0)),AND(K212&lt;&gt;"",OR(NOT(ISNUMBER(K212)),N(K212)&lt;0))),"Pourcentage invalide",IF(COUNTIF(bom_prod,A212)+COUNTIF(gam_prod,A212)=0,"Ni nomenclature ni gamme",IF(COUNTIFS(bom_prod,A212,bom_check,"&lt;&gt;OK")&gt;0,"Nomenclature à corriger",IF(COUNTIFS(gam_prod,A212,gam_check,"&lt;&gt;OK")&gt;0,"Gamme à corriger","OK")))))))))))</f>
        <v/>
      </c>
      <c r="Y212" s="70">
        <f>IF(J212="",N(p_fg),N(J212))</f>
        <v>0.15</v>
      </c>
      <c r="Z212" s="70">
        <f>IF(K212="",N(p_target),N(K212))</f>
        <v>0.25</v>
      </c>
      <c r="AA212" s="71" t="str">
        <f>IF(R212="","",IF(N(F212)&gt;0,ROUND(F212*N(E212),2),0))</f>
        <v/>
      </c>
      <c r="AB212" s="71">
        <f>IF(T212="",0,T212*N(E212))</f>
        <v>0.0</v>
      </c>
      <c r="AC212" s="71">
        <f>IF(T212="",0,R212*N(E212))</f>
        <v>0.0</v>
      </c>
      <c r="AD212" s="71">
        <f>IF(R212="",0,L212*N(E212))</f>
        <v>0.0</v>
      </c>
      <c r="AE212" s="71">
        <f>IF(R212="",0,M212*N(E212))</f>
        <v>0.0</v>
      </c>
      <c r="AF212" s="71">
        <f>IF(R212="",0,N212*N(E212))</f>
        <v>0.0</v>
      </c>
      <c r="AG212" s="71">
        <f>IF(R212="",0,O212*N(E212))</f>
        <v>0.0</v>
      </c>
      <c r="AH212" s="71">
        <f>IF(R212="",0,(N(G212)+N(H212)+N(I212)/D212)*N(E212))</f>
        <v>0.0</v>
      </c>
      <c r="AI212" s="71">
        <f>IF(R212="",0,P212*N(E212))</f>
        <v>0.0</v>
      </c>
      <c r="AJ212" s="71" t="str">
        <f>IF(AA212="","",COUNTIF(prod_ca,"&gt;"&amp;AA212)+COUNTIF(AA$6:AA212,AA212))</f>
        <v/>
      </c>
      <c r="AK212" s="71" t="str">
        <f>IF(OR(W212="Vendu à perte",W212="Sous la cible"),ROUND(U212,6),"")</f>
        <v/>
      </c>
      <c r="AL212" s="71" t="str">
        <f>IF(AK212="","",COUNTIF(prod_alk,"&lt;"&amp;AK212)+COUNTIF(AK$6:AK212,AK212))</f>
        <v/>
      </c>
    </row>
    <row r="213">
      <c r="A213" s="60" t="n"/>
      <c r="B213" s="60" t="n"/>
      <c r="C213" s="61" t="n"/>
      <c r="D213" s="62" t="n"/>
      <c r="E213" s="63" t="n"/>
      <c r="F213" s="64" t="n"/>
      <c r="G213" s="64" t="n"/>
      <c r="H213" s="64" t="n"/>
      <c r="I213" s="64" t="n"/>
      <c r="J213" s="65" t="n"/>
      <c r="K213" s="65" t="n"/>
      <c r="L213" s="66" t="str">
        <f>IF(X213="OK",SUMIF(bom_prod,A213,bom_cost),"")</f>
        <v/>
      </c>
      <c r="M213" s="66" t="str">
        <f>IF(X213="OK",SUMIF(gam_prod,A213,gam_mo),"")</f>
        <v/>
      </c>
      <c r="N213" s="66" t="str">
        <f>IF(X213="OK",SUMIF(gam_prod,A213,gam_mac),"")</f>
        <v/>
      </c>
      <c r="O213" s="66" t="str">
        <f>IF(X213="OK",SUMIF(gam_prod,A213,gam_setup)/D213,"")</f>
        <v/>
      </c>
      <c r="P213" s="66" t="str">
        <f>IF(X213="OK",(L213+M213+N213+O213+N(G213))*Y213,"")</f>
        <v/>
      </c>
      <c r="Q213" s="66" t="str">
        <f>IF(X213="OK",L213+M213+N213+O213+N(G213)+P213,"")</f>
        <v/>
      </c>
      <c r="R213" s="67" t="str">
        <f>IF(X213="OK",ROUND(Q213+N(H213)+N(I213)/D213,4),"")</f>
        <v/>
      </c>
      <c r="S213" s="66" t="str">
        <f>IF(X213="OK",ROUND(R213*(1+Z213),2),"")</f>
        <v/>
      </c>
      <c r="T213" s="66" t="str">
        <f>IF(AND(X213="OK",N(F213)&gt;0),F213-R213,"")</f>
        <v/>
      </c>
      <c r="U213" s="68" t="str">
        <f>IF(T213="","",IF(R213&lt;=0,"",T213/R213))</f>
        <v/>
      </c>
      <c r="V213" s="68" t="str">
        <f>IF(T213="","",T213/F213)</f>
        <v/>
      </c>
      <c r="W213" s="69" t="str">
        <f>IF(A213="","",IF(X213&lt;&gt;"OK","À corriger",IF(N(F213)&lt;=0,"Prix à saisir",IF(F213&lt;R213,"Vendu à perte",IF(F213&lt;S213,"Sous la cible","OK")))))</f>
        <v/>
      </c>
      <c r="X213" s="69" t="str">
        <f>IF(AND(A213="",COUNTA(B213:K213)=0),"",IF(A213="","Référence manquante",IF(COUNTIF($A$6:$A$305,A213)&gt;1,"Référence en double",IF(OR(NOT(ISNUMBER(D213)),N(D213)&lt;=0),"Taille de lot invalide",IF(AND(E213&lt;&gt;"",OR(NOT(ISNUMBER(E213)),N(E213)&lt;0)),"Volume annuel invalide",IF(AND(F213&lt;&gt;"",OR(NOT(ISNUMBER(F213)),N(F213)&lt;0)),"Prix de vente invalide",IF(OR(AND(G213&lt;&gt;"",OR(NOT(ISNUMBER(G213)),N(G213)&lt;0)),AND(H213&lt;&gt;"",OR(NOT(ISNUMBER(H213)),N(H213)&lt;0)),AND(I213&lt;&gt;"",OR(NOT(ISNUMBER(I213)),N(I213)&lt;0))),"Montant invalide",IF(OR(AND(J213&lt;&gt;"",OR(NOT(ISNUMBER(J213)),N(J213)&lt;0)),AND(K213&lt;&gt;"",OR(NOT(ISNUMBER(K213)),N(K213)&lt;0))),"Pourcentage invalide",IF(COUNTIF(bom_prod,A213)+COUNTIF(gam_prod,A213)=0,"Ni nomenclature ni gamme",IF(COUNTIFS(bom_prod,A213,bom_check,"&lt;&gt;OK")&gt;0,"Nomenclature à corriger",IF(COUNTIFS(gam_prod,A213,gam_check,"&lt;&gt;OK")&gt;0,"Gamme à corriger","OK")))))))))))</f>
        <v/>
      </c>
      <c r="Y213" s="70">
        <f>IF(J213="",N(p_fg),N(J213))</f>
        <v>0.15</v>
      </c>
      <c r="Z213" s="70">
        <f>IF(K213="",N(p_target),N(K213))</f>
        <v>0.25</v>
      </c>
      <c r="AA213" s="71" t="str">
        <f>IF(R213="","",IF(N(F213)&gt;0,ROUND(F213*N(E213),2),0))</f>
        <v/>
      </c>
      <c r="AB213" s="71">
        <f>IF(T213="",0,T213*N(E213))</f>
        <v>0.0</v>
      </c>
      <c r="AC213" s="71">
        <f>IF(T213="",0,R213*N(E213))</f>
        <v>0.0</v>
      </c>
      <c r="AD213" s="71">
        <f>IF(R213="",0,L213*N(E213))</f>
        <v>0.0</v>
      </c>
      <c r="AE213" s="71">
        <f>IF(R213="",0,M213*N(E213))</f>
        <v>0.0</v>
      </c>
      <c r="AF213" s="71">
        <f>IF(R213="",0,N213*N(E213))</f>
        <v>0.0</v>
      </c>
      <c r="AG213" s="71">
        <f>IF(R213="",0,O213*N(E213))</f>
        <v>0.0</v>
      </c>
      <c r="AH213" s="71">
        <f>IF(R213="",0,(N(G213)+N(H213)+N(I213)/D213)*N(E213))</f>
        <v>0.0</v>
      </c>
      <c r="AI213" s="71">
        <f>IF(R213="",0,P213*N(E213))</f>
        <v>0.0</v>
      </c>
      <c r="AJ213" s="71" t="str">
        <f>IF(AA213="","",COUNTIF(prod_ca,"&gt;"&amp;AA213)+COUNTIF(AA$6:AA213,AA213))</f>
        <v/>
      </c>
      <c r="AK213" s="71" t="str">
        <f>IF(OR(W213="Vendu à perte",W213="Sous la cible"),ROUND(U213,6),"")</f>
        <v/>
      </c>
      <c r="AL213" s="71" t="str">
        <f>IF(AK213="","",COUNTIF(prod_alk,"&lt;"&amp;AK213)+COUNTIF(AK$6:AK213,AK213))</f>
        <v/>
      </c>
    </row>
    <row r="214">
      <c r="A214" s="60" t="n"/>
      <c r="B214" s="60" t="n"/>
      <c r="C214" s="61" t="n"/>
      <c r="D214" s="62" t="n"/>
      <c r="E214" s="63" t="n"/>
      <c r="F214" s="64" t="n"/>
      <c r="G214" s="64" t="n"/>
      <c r="H214" s="64" t="n"/>
      <c r="I214" s="64" t="n"/>
      <c r="J214" s="65" t="n"/>
      <c r="K214" s="65" t="n"/>
      <c r="L214" s="66" t="str">
        <f>IF(X214="OK",SUMIF(bom_prod,A214,bom_cost),"")</f>
        <v/>
      </c>
      <c r="M214" s="66" t="str">
        <f>IF(X214="OK",SUMIF(gam_prod,A214,gam_mo),"")</f>
        <v/>
      </c>
      <c r="N214" s="66" t="str">
        <f>IF(X214="OK",SUMIF(gam_prod,A214,gam_mac),"")</f>
        <v/>
      </c>
      <c r="O214" s="66" t="str">
        <f>IF(X214="OK",SUMIF(gam_prod,A214,gam_setup)/D214,"")</f>
        <v/>
      </c>
      <c r="P214" s="66" t="str">
        <f>IF(X214="OK",(L214+M214+N214+O214+N(G214))*Y214,"")</f>
        <v/>
      </c>
      <c r="Q214" s="66" t="str">
        <f>IF(X214="OK",L214+M214+N214+O214+N(G214)+P214,"")</f>
        <v/>
      </c>
      <c r="R214" s="67" t="str">
        <f>IF(X214="OK",ROUND(Q214+N(H214)+N(I214)/D214,4),"")</f>
        <v/>
      </c>
      <c r="S214" s="66" t="str">
        <f>IF(X214="OK",ROUND(R214*(1+Z214),2),"")</f>
        <v/>
      </c>
      <c r="T214" s="66" t="str">
        <f>IF(AND(X214="OK",N(F214)&gt;0),F214-R214,"")</f>
        <v/>
      </c>
      <c r="U214" s="68" t="str">
        <f>IF(T214="","",IF(R214&lt;=0,"",T214/R214))</f>
        <v/>
      </c>
      <c r="V214" s="68" t="str">
        <f>IF(T214="","",T214/F214)</f>
        <v/>
      </c>
      <c r="W214" s="69" t="str">
        <f>IF(A214="","",IF(X214&lt;&gt;"OK","À corriger",IF(N(F214)&lt;=0,"Prix à saisir",IF(F214&lt;R214,"Vendu à perte",IF(F214&lt;S214,"Sous la cible","OK")))))</f>
        <v/>
      </c>
      <c r="X214" s="69" t="str">
        <f>IF(AND(A214="",COUNTA(B214:K214)=0),"",IF(A214="","Référence manquante",IF(COUNTIF($A$6:$A$305,A214)&gt;1,"Référence en double",IF(OR(NOT(ISNUMBER(D214)),N(D214)&lt;=0),"Taille de lot invalide",IF(AND(E214&lt;&gt;"",OR(NOT(ISNUMBER(E214)),N(E214)&lt;0)),"Volume annuel invalide",IF(AND(F214&lt;&gt;"",OR(NOT(ISNUMBER(F214)),N(F214)&lt;0)),"Prix de vente invalide",IF(OR(AND(G214&lt;&gt;"",OR(NOT(ISNUMBER(G214)),N(G214)&lt;0)),AND(H214&lt;&gt;"",OR(NOT(ISNUMBER(H214)),N(H214)&lt;0)),AND(I214&lt;&gt;"",OR(NOT(ISNUMBER(I214)),N(I214)&lt;0))),"Montant invalide",IF(OR(AND(J214&lt;&gt;"",OR(NOT(ISNUMBER(J214)),N(J214)&lt;0)),AND(K214&lt;&gt;"",OR(NOT(ISNUMBER(K214)),N(K214)&lt;0))),"Pourcentage invalide",IF(COUNTIF(bom_prod,A214)+COUNTIF(gam_prod,A214)=0,"Ni nomenclature ni gamme",IF(COUNTIFS(bom_prod,A214,bom_check,"&lt;&gt;OK")&gt;0,"Nomenclature à corriger",IF(COUNTIFS(gam_prod,A214,gam_check,"&lt;&gt;OK")&gt;0,"Gamme à corriger","OK")))))))))))</f>
        <v/>
      </c>
      <c r="Y214" s="70">
        <f>IF(J214="",N(p_fg),N(J214))</f>
        <v>0.15</v>
      </c>
      <c r="Z214" s="70">
        <f>IF(K214="",N(p_target),N(K214))</f>
        <v>0.25</v>
      </c>
      <c r="AA214" s="71" t="str">
        <f>IF(R214="","",IF(N(F214)&gt;0,ROUND(F214*N(E214),2),0))</f>
        <v/>
      </c>
      <c r="AB214" s="71">
        <f>IF(T214="",0,T214*N(E214))</f>
        <v>0.0</v>
      </c>
      <c r="AC214" s="71">
        <f>IF(T214="",0,R214*N(E214))</f>
        <v>0.0</v>
      </c>
      <c r="AD214" s="71">
        <f>IF(R214="",0,L214*N(E214))</f>
        <v>0.0</v>
      </c>
      <c r="AE214" s="71">
        <f>IF(R214="",0,M214*N(E214))</f>
        <v>0.0</v>
      </c>
      <c r="AF214" s="71">
        <f>IF(R214="",0,N214*N(E214))</f>
        <v>0.0</v>
      </c>
      <c r="AG214" s="71">
        <f>IF(R214="",0,O214*N(E214))</f>
        <v>0.0</v>
      </c>
      <c r="AH214" s="71">
        <f>IF(R214="",0,(N(G214)+N(H214)+N(I214)/D214)*N(E214))</f>
        <v>0.0</v>
      </c>
      <c r="AI214" s="71">
        <f>IF(R214="",0,P214*N(E214))</f>
        <v>0.0</v>
      </c>
      <c r="AJ214" s="71" t="str">
        <f>IF(AA214="","",COUNTIF(prod_ca,"&gt;"&amp;AA214)+COUNTIF(AA$6:AA214,AA214))</f>
        <v/>
      </c>
      <c r="AK214" s="71" t="str">
        <f>IF(OR(W214="Vendu à perte",W214="Sous la cible"),ROUND(U214,6),"")</f>
        <v/>
      </c>
      <c r="AL214" s="71" t="str">
        <f>IF(AK214="","",COUNTIF(prod_alk,"&lt;"&amp;AK214)+COUNTIF(AK$6:AK214,AK214))</f>
        <v/>
      </c>
    </row>
    <row r="215">
      <c r="A215" s="60" t="n"/>
      <c r="B215" s="60" t="n"/>
      <c r="C215" s="61" t="n"/>
      <c r="D215" s="62" t="n"/>
      <c r="E215" s="63" t="n"/>
      <c r="F215" s="64" t="n"/>
      <c r="G215" s="64" t="n"/>
      <c r="H215" s="64" t="n"/>
      <c r="I215" s="64" t="n"/>
      <c r="J215" s="65" t="n"/>
      <c r="K215" s="65" t="n"/>
      <c r="L215" s="66" t="str">
        <f>IF(X215="OK",SUMIF(bom_prod,A215,bom_cost),"")</f>
        <v/>
      </c>
      <c r="M215" s="66" t="str">
        <f>IF(X215="OK",SUMIF(gam_prod,A215,gam_mo),"")</f>
        <v/>
      </c>
      <c r="N215" s="66" t="str">
        <f>IF(X215="OK",SUMIF(gam_prod,A215,gam_mac),"")</f>
        <v/>
      </c>
      <c r="O215" s="66" t="str">
        <f>IF(X215="OK",SUMIF(gam_prod,A215,gam_setup)/D215,"")</f>
        <v/>
      </c>
      <c r="P215" s="66" t="str">
        <f>IF(X215="OK",(L215+M215+N215+O215+N(G215))*Y215,"")</f>
        <v/>
      </c>
      <c r="Q215" s="66" t="str">
        <f>IF(X215="OK",L215+M215+N215+O215+N(G215)+P215,"")</f>
        <v/>
      </c>
      <c r="R215" s="67" t="str">
        <f>IF(X215="OK",ROUND(Q215+N(H215)+N(I215)/D215,4),"")</f>
        <v/>
      </c>
      <c r="S215" s="66" t="str">
        <f>IF(X215="OK",ROUND(R215*(1+Z215),2),"")</f>
        <v/>
      </c>
      <c r="T215" s="66" t="str">
        <f>IF(AND(X215="OK",N(F215)&gt;0),F215-R215,"")</f>
        <v/>
      </c>
      <c r="U215" s="68" t="str">
        <f>IF(T215="","",IF(R215&lt;=0,"",T215/R215))</f>
        <v/>
      </c>
      <c r="V215" s="68" t="str">
        <f>IF(T215="","",T215/F215)</f>
        <v/>
      </c>
      <c r="W215" s="69" t="str">
        <f>IF(A215="","",IF(X215&lt;&gt;"OK","À corriger",IF(N(F215)&lt;=0,"Prix à saisir",IF(F215&lt;R215,"Vendu à perte",IF(F215&lt;S215,"Sous la cible","OK")))))</f>
        <v/>
      </c>
      <c r="X215" s="69" t="str">
        <f>IF(AND(A215="",COUNTA(B215:K215)=0),"",IF(A215="","Référence manquante",IF(COUNTIF($A$6:$A$305,A215)&gt;1,"Référence en double",IF(OR(NOT(ISNUMBER(D215)),N(D215)&lt;=0),"Taille de lot invalide",IF(AND(E215&lt;&gt;"",OR(NOT(ISNUMBER(E215)),N(E215)&lt;0)),"Volume annuel invalide",IF(AND(F215&lt;&gt;"",OR(NOT(ISNUMBER(F215)),N(F215)&lt;0)),"Prix de vente invalide",IF(OR(AND(G215&lt;&gt;"",OR(NOT(ISNUMBER(G215)),N(G215)&lt;0)),AND(H215&lt;&gt;"",OR(NOT(ISNUMBER(H215)),N(H215)&lt;0)),AND(I215&lt;&gt;"",OR(NOT(ISNUMBER(I215)),N(I215)&lt;0))),"Montant invalide",IF(OR(AND(J215&lt;&gt;"",OR(NOT(ISNUMBER(J215)),N(J215)&lt;0)),AND(K215&lt;&gt;"",OR(NOT(ISNUMBER(K215)),N(K215)&lt;0))),"Pourcentage invalide",IF(COUNTIF(bom_prod,A215)+COUNTIF(gam_prod,A215)=0,"Ni nomenclature ni gamme",IF(COUNTIFS(bom_prod,A215,bom_check,"&lt;&gt;OK")&gt;0,"Nomenclature à corriger",IF(COUNTIFS(gam_prod,A215,gam_check,"&lt;&gt;OK")&gt;0,"Gamme à corriger","OK")))))))))))</f>
        <v/>
      </c>
      <c r="Y215" s="70">
        <f>IF(J215="",N(p_fg),N(J215))</f>
        <v>0.15</v>
      </c>
      <c r="Z215" s="70">
        <f>IF(K215="",N(p_target),N(K215))</f>
        <v>0.25</v>
      </c>
      <c r="AA215" s="71" t="str">
        <f>IF(R215="","",IF(N(F215)&gt;0,ROUND(F215*N(E215),2),0))</f>
        <v/>
      </c>
      <c r="AB215" s="71">
        <f>IF(T215="",0,T215*N(E215))</f>
        <v>0.0</v>
      </c>
      <c r="AC215" s="71">
        <f>IF(T215="",0,R215*N(E215))</f>
        <v>0.0</v>
      </c>
      <c r="AD215" s="71">
        <f>IF(R215="",0,L215*N(E215))</f>
        <v>0.0</v>
      </c>
      <c r="AE215" s="71">
        <f>IF(R215="",0,M215*N(E215))</f>
        <v>0.0</v>
      </c>
      <c r="AF215" s="71">
        <f>IF(R215="",0,N215*N(E215))</f>
        <v>0.0</v>
      </c>
      <c r="AG215" s="71">
        <f>IF(R215="",0,O215*N(E215))</f>
        <v>0.0</v>
      </c>
      <c r="AH215" s="71">
        <f>IF(R215="",0,(N(G215)+N(H215)+N(I215)/D215)*N(E215))</f>
        <v>0.0</v>
      </c>
      <c r="AI215" s="71">
        <f>IF(R215="",0,P215*N(E215))</f>
        <v>0.0</v>
      </c>
      <c r="AJ215" s="71" t="str">
        <f>IF(AA215="","",COUNTIF(prod_ca,"&gt;"&amp;AA215)+COUNTIF(AA$6:AA215,AA215))</f>
        <v/>
      </c>
      <c r="AK215" s="71" t="str">
        <f>IF(OR(W215="Vendu à perte",W215="Sous la cible"),ROUND(U215,6),"")</f>
        <v/>
      </c>
      <c r="AL215" s="71" t="str">
        <f>IF(AK215="","",COUNTIF(prod_alk,"&lt;"&amp;AK215)+COUNTIF(AK$6:AK215,AK215))</f>
        <v/>
      </c>
    </row>
    <row r="216">
      <c r="A216" s="60" t="n"/>
      <c r="B216" s="60" t="n"/>
      <c r="C216" s="61" t="n"/>
      <c r="D216" s="62" t="n"/>
      <c r="E216" s="63" t="n"/>
      <c r="F216" s="64" t="n"/>
      <c r="G216" s="64" t="n"/>
      <c r="H216" s="64" t="n"/>
      <c r="I216" s="64" t="n"/>
      <c r="J216" s="65" t="n"/>
      <c r="K216" s="65" t="n"/>
      <c r="L216" s="66" t="str">
        <f>IF(X216="OK",SUMIF(bom_prod,A216,bom_cost),"")</f>
        <v/>
      </c>
      <c r="M216" s="66" t="str">
        <f>IF(X216="OK",SUMIF(gam_prod,A216,gam_mo),"")</f>
        <v/>
      </c>
      <c r="N216" s="66" t="str">
        <f>IF(X216="OK",SUMIF(gam_prod,A216,gam_mac),"")</f>
        <v/>
      </c>
      <c r="O216" s="66" t="str">
        <f>IF(X216="OK",SUMIF(gam_prod,A216,gam_setup)/D216,"")</f>
        <v/>
      </c>
      <c r="P216" s="66" t="str">
        <f>IF(X216="OK",(L216+M216+N216+O216+N(G216))*Y216,"")</f>
        <v/>
      </c>
      <c r="Q216" s="66" t="str">
        <f>IF(X216="OK",L216+M216+N216+O216+N(G216)+P216,"")</f>
        <v/>
      </c>
      <c r="R216" s="67" t="str">
        <f>IF(X216="OK",ROUND(Q216+N(H216)+N(I216)/D216,4),"")</f>
        <v/>
      </c>
      <c r="S216" s="66" t="str">
        <f>IF(X216="OK",ROUND(R216*(1+Z216),2),"")</f>
        <v/>
      </c>
      <c r="T216" s="66" t="str">
        <f>IF(AND(X216="OK",N(F216)&gt;0),F216-R216,"")</f>
        <v/>
      </c>
      <c r="U216" s="68" t="str">
        <f>IF(T216="","",IF(R216&lt;=0,"",T216/R216))</f>
        <v/>
      </c>
      <c r="V216" s="68" t="str">
        <f>IF(T216="","",T216/F216)</f>
        <v/>
      </c>
      <c r="W216" s="69" t="str">
        <f>IF(A216="","",IF(X216&lt;&gt;"OK","À corriger",IF(N(F216)&lt;=0,"Prix à saisir",IF(F216&lt;R216,"Vendu à perte",IF(F216&lt;S216,"Sous la cible","OK")))))</f>
        <v/>
      </c>
      <c r="X216" s="69" t="str">
        <f>IF(AND(A216="",COUNTA(B216:K216)=0),"",IF(A216="","Référence manquante",IF(COUNTIF($A$6:$A$305,A216)&gt;1,"Référence en double",IF(OR(NOT(ISNUMBER(D216)),N(D216)&lt;=0),"Taille de lot invalide",IF(AND(E216&lt;&gt;"",OR(NOT(ISNUMBER(E216)),N(E216)&lt;0)),"Volume annuel invalide",IF(AND(F216&lt;&gt;"",OR(NOT(ISNUMBER(F216)),N(F216)&lt;0)),"Prix de vente invalide",IF(OR(AND(G216&lt;&gt;"",OR(NOT(ISNUMBER(G216)),N(G216)&lt;0)),AND(H216&lt;&gt;"",OR(NOT(ISNUMBER(H216)),N(H216)&lt;0)),AND(I216&lt;&gt;"",OR(NOT(ISNUMBER(I216)),N(I216)&lt;0))),"Montant invalide",IF(OR(AND(J216&lt;&gt;"",OR(NOT(ISNUMBER(J216)),N(J216)&lt;0)),AND(K216&lt;&gt;"",OR(NOT(ISNUMBER(K216)),N(K216)&lt;0))),"Pourcentage invalide",IF(COUNTIF(bom_prod,A216)+COUNTIF(gam_prod,A216)=0,"Ni nomenclature ni gamme",IF(COUNTIFS(bom_prod,A216,bom_check,"&lt;&gt;OK")&gt;0,"Nomenclature à corriger",IF(COUNTIFS(gam_prod,A216,gam_check,"&lt;&gt;OK")&gt;0,"Gamme à corriger","OK")))))))))))</f>
        <v/>
      </c>
      <c r="Y216" s="70">
        <f>IF(J216="",N(p_fg),N(J216))</f>
        <v>0.15</v>
      </c>
      <c r="Z216" s="70">
        <f>IF(K216="",N(p_target),N(K216))</f>
        <v>0.25</v>
      </c>
      <c r="AA216" s="71" t="str">
        <f>IF(R216="","",IF(N(F216)&gt;0,ROUND(F216*N(E216),2),0))</f>
        <v/>
      </c>
      <c r="AB216" s="71">
        <f>IF(T216="",0,T216*N(E216))</f>
        <v>0.0</v>
      </c>
      <c r="AC216" s="71">
        <f>IF(T216="",0,R216*N(E216))</f>
        <v>0.0</v>
      </c>
      <c r="AD216" s="71">
        <f>IF(R216="",0,L216*N(E216))</f>
        <v>0.0</v>
      </c>
      <c r="AE216" s="71">
        <f>IF(R216="",0,M216*N(E216))</f>
        <v>0.0</v>
      </c>
      <c r="AF216" s="71">
        <f>IF(R216="",0,N216*N(E216))</f>
        <v>0.0</v>
      </c>
      <c r="AG216" s="71">
        <f>IF(R216="",0,O216*N(E216))</f>
        <v>0.0</v>
      </c>
      <c r="AH216" s="71">
        <f>IF(R216="",0,(N(G216)+N(H216)+N(I216)/D216)*N(E216))</f>
        <v>0.0</v>
      </c>
      <c r="AI216" s="71">
        <f>IF(R216="",0,P216*N(E216))</f>
        <v>0.0</v>
      </c>
      <c r="AJ216" s="71" t="str">
        <f>IF(AA216="","",COUNTIF(prod_ca,"&gt;"&amp;AA216)+COUNTIF(AA$6:AA216,AA216))</f>
        <v/>
      </c>
      <c r="AK216" s="71" t="str">
        <f>IF(OR(W216="Vendu à perte",W216="Sous la cible"),ROUND(U216,6),"")</f>
        <v/>
      </c>
      <c r="AL216" s="71" t="str">
        <f>IF(AK216="","",COUNTIF(prod_alk,"&lt;"&amp;AK216)+COUNTIF(AK$6:AK216,AK216))</f>
        <v/>
      </c>
    </row>
    <row r="217">
      <c r="A217" s="60" t="n"/>
      <c r="B217" s="60" t="n"/>
      <c r="C217" s="61" t="n"/>
      <c r="D217" s="62" t="n"/>
      <c r="E217" s="63" t="n"/>
      <c r="F217" s="64" t="n"/>
      <c r="G217" s="64" t="n"/>
      <c r="H217" s="64" t="n"/>
      <c r="I217" s="64" t="n"/>
      <c r="J217" s="65" t="n"/>
      <c r="K217" s="65" t="n"/>
      <c r="L217" s="66" t="str">
        <f>IF(X217="OK",SUMIF(bom_prod,A217,bom_cost),"")</f>
        <v/>
      </c>
      <c r="M217" s="66" t="str">
        <f>IF(X217="OK",SUMIF(gam_prod,A217,gam_mo),"")</f>
        <v/>
      </c>
      <c r="N217" s="66" t="str">
        <f>IF(X217="OK",SUMIF(gam_prod,A217,gam_mac),"")</f>
        <v/>
      </c>
      <c r="O217" s="66" t="str">
        <f>IF(X217="OK",SUMIF(gam_prod,A217,gam_setup)/D217,"")</f>
        <v/>
      </c>
      <c r="P217" s="66" t="str">
        <f>IF(X217="OK",(L217+M217+N217+O217+N(G217))*Y217,"")</f>
        <v/>
      </c>
      <c r="Q217" s="66" t="str">
        <f>IF(X217="OK",L217+M217+N217+O217+N(G217)+P217,"")</f>
        <v/>
      </c>
      <c r="R217" s="67" t="str">
        <f>IF(X217="OK",ROUND(Q217+N(H217)+N(I217)/D217,4),"")</f>
        <v/>
      </c>
      <c r="S217" s="66" t="str">
        <f>IF(X217="OK",ROUND(R217*(1+Z217),2),"")</f>
        <v/>
      </c>
      <c r="T217" s="66" t="str">
        <f>IF(AND(X217="OK",N(F217)&gt;0),F217-R217,"")</f>
        <v/>
      </c>
      <c r="U217" s="68" t="str">
        <f>IF(T217="","",IF(R217&lt;=0,"",T217/R217))</f>
        <v/>
      </c>
      <c r="V217" s="68" t="str">
        <f>IF(T217="","",T217/F217)</f>
        <v/>
      </c>
      <c r="W217" s="69" t="str">
        <f>IF(A217="","",IF(X217&lt;&gt;"OK","À corriger",IF(N(F217)&lt;=0,"Prix à saisir",IF(F217&lt;R217,"Vendu à perte",IF(F217&lt;S217,"Sous la cible","OK")))))</f>
        <v/>
      </c>
      <c r="X217" s="69" t="str">
        <f>IF(AND(A217="",COUNTA(B217:K217)=0),"",IF(A217="","Référence manquante",IF(COUNTIF($A$6:$A$305,A217)&gt;1,"Référence en double",IF(OR(NOT(ISNUMBER(D217)),N(D217)&lt;=0),"Taille de lot invalide",IF(AND(E217&lt;&gt;"",OR(NOT(ISNUMBER(E217)),N(E217)&lt;0)),"Volume annuel invalide",IF(AND(F217&lt;&gt;"",OR(NOT(ISNUMBER(F217)),N(F217)&lt;0)),"Prix de vente invalide",IF(OR(AND(G217&lt;&gt;"",OR(NOT(ISNUMBER(G217)),N(G217)&lt;0)),AND(H217&lt;&gt;"",OR(NOT(ISNUMBER(H217)),N(H217)&lt;0)),AND(I217&lt;&gt;"",OR(NOT(ISNUMBER(I217)),N(I217)&lt;0))),"Montant invalide",IF(OR(AND(J217&lt;&gt;"",OR(NOT(ISNUMBER(J217)),N(J217)&lt;0)),AND(K217&lt;&gt;"",OR(NOT(ISNUMBER(K217)),N(K217)&lt;0))),"Pourcentage invalide",IF(COUNTIF(bom_prod,A217)+COUNTIF(gam_prod,A217)=0,"Ni nomenclature ni gamme",IF(COUNTIFS(bom_prod,A217,bom_check,"&lt;&gt;OK")&gt;0,"Nomenclature à corriger",IF(COUNTIFS(gam_prod,A217,gam_check,"&lt;&gt;OK")&gt;0,"Gamme à corriger","OK")))))))))))</f>
        <v/>
      </c>
      <c r="Y217" s="70">
        <f>IF(J217="",N(p_fg),N(J217))</f>
        <v>0.15</v>
      </c>
      <c r="Z217" s="70">
        <f>IF(K217="",N(p_target),N(K217))</f>
        <v>0.25</v>
      </c>
      <c r="AA217" s="71" t="str">
        <f>IF(R217="","",IF(N(F217)&gt;0,ROUND(F217*N(E217),2),0))</f>
        <v/>
      </c>
      <c r="AB217" s="71">
        <f>IF(T217="",0,T217*N(E217))</f>
        <v>0.0</v>
      </c>
      <c r="AC217" s="71">
        <f>IF(T217="",0,R217*N(E217))</f>
        <v>0.0</v>
      </c>
      <c r="AD217" s="71">
        <f>IF(R217="",0,L217*N(E217))</f>
        <v>0.0</v>
      </c>
      <c r="AE217" s="71">
        <f>IF(R217="",0,M217*N(E217))</f>
        <v>0.0</v>
      </c>
      <c r="AF217" s="71">
        <f>IF(R217="",0,N217*N(E217))</f>
        <v>0.0</v>
      </c>
      <c r="AG217" s="71">
        <f>IF(R217="",0,O217*N(E217))</f>
        <v>0.0</v>
      </c>
      <c r="AH217" s="71">
        <f>IF(R217="",0,(N(G217)+N(H217)+N(I217)/D217)*N(E217))</f>
        <v>0.0</v>
      </c>
      <c r="AI217" s="71">
        <f>IF(R217="",0,P217*N(E217))</f>
        <v>0.0</v>
      </c>
      <c r="AJ217" s="71" t="str">
        <f>IF(AA217="","",COUNTIF(prod_ca,"&gt;"&amp;AA217)+COUNTIF(AA$6:AA217,AA217))</f>
        <v/>
      </c>
      <c r="AK217" s="71" t="str">
        <f>IF(OR(W217="Vendu à perte",W217="Sous la cible"),ROUND(U217,6),"")</f>
        <v/>
      </c>
      <c r="AL217" s="71" t="str">
        <f>IF(AK217="","",COUNTIF(prod_alk,"&lt;"&amp;AK217)+COUNTIF(AK$6:AK217,AK217))</f>
        <v/>
      </c>
    </row>
    <row r="218">
      <c r="A218" s="60" t="n"/>
      <c r="B218" s="60" t="n"/>
      <c r="C218" s="61" t="n"/>
      <c r="D218" s="62" t="n"/>
      <c r="E218" s="63" t="n"/>
      <c r="F218" s="64" t="n"/>
      <c r="G218" s="64" t="n"/>
      <c r="H218" s="64" t="n"/>
      <c r="I218" s="64" t="n"/>
      <c r="J218" s="65" t="n"/>
      <c r="K218" s="65" t="n"/>
      <c r="L218" s="66" t="str">
        <f>IF(X218="OK",SUMIF(bom_prod,A218,bom_cost),"")</f>
        <v/>
      </c>
      <c r="M218" s="66" t="str">
        <f>IF(X218="OK",SUMIF(gam_prod,A218,gam_mo),"")</f>
        <v/>
      </c>
      <c r="N218" s="66" t="str">
        <f>IF(X218="OK",SUMIF(gam_prod,A218,gam_mac),"")</f>
        <v/>
      </c>
      <c r="O218" s="66" t="str">
        <f>IF(X218="OK",SUMIF(gam_prod,A218,gam_setup)/D218,"")</f>
        <v/>
      </c>
      <c r="P218" s="66" t="str">
        <f>IF(X218="OK",(L218+M218+N218+O218+N(G218))*Y218,"")</f>
        <v/>
      </c>
      <c r="Q218" s="66" t="str">
        <f>IF(X218="OK",L218+M218+N218+O218+N(G218)+P218,"")</f>
        <v/>
      </c>
      <c r="R218" s="67" t="str">
        <f>IF(X218="OK",ROUND(Q218+N(H218)+N(I218)/D218,4),"")</f>
        <v/>
      </c>
      <c r="S218" s="66" t="str">
        <f>IF(X218="OK",ROUND(R218*(1+Z218),2),"")</f>
        <v/>
      </c>
      <c r="T218" s="66" t="str">
        <f>IF(AND(X218="OK",N(F218)&gt;0),F218-R218,"")</f>
        <v/>
      </c>
      <c r="U218" s="68" t="str">
        <f>IF(T218="","",IF(R218&lt;=0,"",T218/R218))</f>
        <v/>
      </c>
      <c r="V218" s="68" t="str">
        <f>IF(T218="","",T218/F218)</f>
        <v/>
      </c>
      <c r="W218" s="69" t="str">
        <f>IF(A218="","",IF(X218&lt;&gt;"OK","À corriger",IF(N(F218)&lt;=0,"Prix à saisir",IF(F218&lt;R218,"Vendu à perte",IF(F218&lt;S218,"Sous la cible","OK")))))</f>
        <v/>
      </c>
      <c r="X218" s="69" t="str">
        <f>IF(AND(A218="",COUNTA(B218:K218)=0),"",IF(A218="","Référence manquante",IF(COUNTIF($A$6:$A$305,A218)&gt;1,"Référence en double",IF(OR(NOT(ISNUMBER(D218)),N(D218)&lt;=0),"Taille de lot invalide",IF(AND(E218&lt;&gt;"",OR(NOT(ISNUMBER(E218)),N(E218)&lt;0)),"Volume annuel invalide",IF(AND(F218&lt;&gt;"",OR(NOT(ISNUMBER(F218)),N(F218)&lt;0)),"Prix de vente invalide",IF(OR(AND(G218&lt;&gt;"",OR(NOT(ISNUMBER(G218)),N(G218)&lt;0)),AND(H218&lt;&gt;"",OR(NOT(ISNUMBER(H218)),N(H218)&lt;0)),AND(I218&lt;&gt;"",OR(NOT(ISNUMBER(I218)),N(I218)&lt;0))),"Montant invalide",IF(OR(AND(J218&lt;&gt;"",OR(NOT(ISNUMBER(J218)),N(J218)&lt;0)),AND(K218&lt;&gt;"",OR(NOT(ISNUMBER(K218)),N(K218)&lt;0))),"Pourcentage invalide",IF(COUNTIF(bom_prod,A218)+COUNTIF(gam_prod,A218)=0,"Ni nomenclature ni gamme",IF(COUNTIFS(bom_prod,A218,bom_check,"&lt;&gt;OK")&gt;0,"Nomenclature à corriger",IF(COUNTIFS(gam_prod,A218,gam_check,"&lt;&gt;OK")&gt;0,"Gamme à corriger","OK")))))))))))</f>
        <v/>
      </c>
      <c r="Y218" s="70">
        <f>IF(J218="",N(p_fg),N(J218))</f>
        <v>0.15</v>
      </c>
      <c r="Z218" s="70">
        <f>IF(K218="",N(p_target),N(K218))</f>
        <v>0.25</v>
      </c>
      <c r="AA218" s="71" t="str">
        <f>IF(R218="","",IF(N(F218)&gt;0,ROUND(F218*N(E218),2),0))</f>
        <v/>
      </c>
      <c r="AB218" s="71">
        <f>IF(T218="",0,T218*N(E218))</f>
        <v>0.0</v>
      </c>
      <c r="AC218" s="71">
        <f>IF(T218="",0,R218*N(E218))</f>
        <v>0.0</v>
      </c>
      <c r="AD218" s="71">
        <f>IF(R218="",0,L218*N(E218))</f>
        <v>0.0</v>
      </c>
      <c r="AE218" s="71">
        <f>IF(R218="",0,M218*N(E218))</f>
        <v>0.0</v>
      </c>
      <c r="AF218" s="71">
        <f>IF(R218="",0,N218*N(E218))</f>
        <v>0.0</v>
      </c>
      <c r="AG218" s="71">
        <f>IF(R218="",0,O218*N(E218))</f>
        <v>0.0</v>
      </c>
      <c r="AH218" s="71">
        <f>IF(R218="",0,(N(G218)+N(H218)+N(I218)/D218)*N(E218))</f>
        <v>0.0</v>
      </c>
      <c r="AI218" s="71">
        <f>IF(R218="",0,P218*N(E218))</f>
        <v>0.0</v>
      </c>
      <c r="AJ218" s="71" t="str">
        <f>IF(AA218="","",COUNTIF(prod_ca,"&gt;"&amp;AA218)+COUNTIF(AA$6:AA218,AA218))</f>
        <v/>
      </c>
      <c r="AK218" s="71" t="str">
        <f>IF(OR(W218="Vendu à perte",W218="Sous la cible"),ROUND(U218,6),"")</f>
        <v/>
      </c>
      <c r="AL218" s="71" t="str">
        <f>IF(AK218="","",COUNTIF(prod_alk,"&lt;"&amp;AK218)+COUNTIF(AK$6:AK218,AK218))</f>
        <v/>
      </c>
    </row>
    <row r="219">
      <c r="A219" s="60" t="n"/>
      <c r="B219" s="60" t="n"/>
      <c r="C219" s="61" t="n"/>
      <c r="D219" s="62" t="n"/>
      <c r="E219" s="63" t="n"/>
      <c r="F219" s="64" t="n"/>
      <c r="G219" s="64" t="n"/>
      <c r="H219" s="64" t="n"/>
      <c r="I219" s="64" t="n"/>
      <c r="J219" s="65" t="n"/>
      <c r="K219" s="65" t="n"/>
      <c r="L219" s="66" t="str">
        <f>IF(X219="OK",SUMIF(bom_prod,A219,bom_cost),"")</f>
        <v/>
      </c>
      <c r="M219" s="66" t="str">
        <f>IF(X219="OK",SUMIF(gam_prod,A219,gam_mo),"")</f>
        <v/>
      </c>
      <c r="N219" s="66" t="str">
        <f>IF(X219="OK",SUMIF(gam_prod,A219,gam_mac),"")</f>
        <v/>
      </c>
      <c r="O219" s="66" t="str">
        <f>IF(X219="OK",SUMIF(gam_prod,A219,gam_setup)/D219,"")</f>
        <v/>
      </c>
      <c r="P219" s="66" t="str">
        <f>IF(X219="OK",(L219+M219+N219+O219+N(G219))*Y219,"")</f>
        <v/>
      </c>
      <c r="Q219" s="66" t="str">
        <f>IF(X219="OK",L219+M219+N219+O219+N(G219)+P219,"")</f>
        <v/>
      </c>
      <c r="R219" s="67" t="str">
        <f>IF(X219="OK",ROUND(Q219+N(H219)+N(I219)/D219,4),"")</f>
        <v/>
      </c>
      <c r="S219" s="66" t="str">
        <f>IF(X219="OK",ROUND(R219*(1+Z219),2),"")</f>
        <v/>
      </c>
      <c r="T219" s="66" t="str">
        <f>IF(AND(X219="OK",N(F219)&gt;0),F219-R219,"")</f>
        <v/>
      </c>
      <c r="U219" s="68" t="str">
        <f>IF(T219="","",IF(R219&lt;=0,"",T219/R219))</f>
        <v/>
      </c>
      <c r="V219" s="68" t="str">
        <f>IF(T219="","",T219/F219)</f>
        <v/>
      </c>
      <c r="W219" s="69" t="str">
        <f>IF(A219="","",IF(X219&lt;&gt;"OK","À corriger",IF(N(F219)&lt;=0,"Prix à saisir",IF(F219&lt;R219,"Vendu à perte",IF(F219&lt;S219,"Sous la cible","OK")))))</f>
        <v/>
      </c>
      <c r="X219" s="69" t="str">
        <f>IF(AND(A219="",COUNTA(B219:K219)=0),"",IF(A219="","Référence manquante",IF(COUNTIF($A$6:$A$305,A219)&gt;1,"Référence en double",IF(OR(NOT(ISNUMBER(D219)),N(D219)&lt;=0),"Taille de lot invalide",IF(AND(E219&lt;&gt;"",OR(NOT(ISNUMBER(E219)),N(E219)&lt;0)),"Volume annuel invalide",IF(AND(F219&lt;&gt;"",OR(NOT(ISNUMBER(F219)),N(F219)&lt;0)),"Prix de vente invalide",IF(OR(AND(G219&lt;&gt;"",OR(NOT(ISNUMBER(G219)),N(G219)&lt;0)),AND(H219&lt;&gt;"",OR(NOT(ISNUMBER(H219)),N(H219)&lt;0)),AND(I219&lt;&gt;"",OR(NOT(ISNUMBER(I219)),N(I219)&lt;0))),"Montant invalide",IF(OR(AND(J219&lt;&gt;"",OR(NOT(ISNUMBER(J219)),N(J219)&lt;0)),AND(K219&lt;&gt;"",OR(NOT(ISNUMBER(K219)),N(K219)&lt;0))),"Pourcentage invalide",IF(COUNTIF(bom_prod,A219)+COUNTIF(gam_prod,A219)=0,"Ni nomenclature ni gamme",IF(COUNTIFS(bom_prod,A219,bom_check,"&lt;&gt;OK")&gt;0,"Nomenclature à corriger",IF(COUNTIFS(gam_prod,A219,gam_check,"&lt;&gt;OK")&gt;0,"Gamme à corriger","OK")))))))))))</f>
        <v/>
      </c>
      <c r="Y219" s="70">
        <f>IF(J219="",N(p_fg),N(J219))</f>
        <v>0.15</v>
      </c>
      <c r="Z219" s="70">
        <f>IF(K219="",N(p_target),N(K219))</f>
        <v>0.25</v>
      </c>
      <c r="AA219" s="71" t="str">
        <f>IF(R219="","",IF(N(F219)&gt;0,ROUND(F219*N(E219),2),0))</f>
        <v/>
      </c>
      <c r="AB219" s="71">
        <f>IF(T219="",0,T219*N(E219))</f>
        <v>0.0</v>
      </c>
      <c r="AC219" s="71">
        <f>IF(T219="",0,R219*N(E219))</f>
        <v>0.0</v>
      </c>
      <c r="AD219" s="71">
        <f>IF(R219="",0,L219*N(E219))</f>
        <v>0.0</v>
      </c>
      <c r="AE219" s="71">
        <f>IF(R219="",0,M219*N(E219))</f>
        <v>0.0</v>
      </c>
      <c r="AF219" s="71">
        <f>IF(R219="",0,N219*N(E219))</f>
        <v>0.0</v>
      </c>
      <c r="AG219" s="71">
        <f>IF(R219="",0,O219*N(E219))</f>
        <v>0.0</v>
      </c>
      <c r="AH219" s="71">
        <f>IF(R219="",0,(N(G219)+N(H219)+N(I219)/D219)*N(E219))</f>
        <v>0.0</v>
      </c>
      <c r="AI219" s="71">
        <f>IF(R219="",0,P219*N(E219))</f>
        <v>0.0</v>
      </c>
      <c r="AJ219" s="71" t="str">
        <f>IF(AA219="","",COUNTIF(prod_ca,"&gt;"&amp;AA219)+COUNTIF(AA$6:AA219,AA219))</f>
        <v/>
      </c>
      <c r="AK219" s="71" t="str">
        <f>IF(OR(W219="Vendu à perte",W219="Sous la cible"),ROUND(U219,6),"")</f>
        <v/>
      </c>
      <c r="AL219" s="71" t="str">
        <f>IF(AK219="","",COUNTIF(prod_alk,"&lt;"&amp;AK219)+COUNTIF(AK$6:AK219,AK219))</f>
        <v/>
      </c>
    </row>
    <row r="220">
      <c r="A220" s="60" t="n"/>
      <c r="B220" s="60" t="n"/>
      <c r="C220" s="61" t="n"/>
      <c r="D220" s="62" t="n"/>
      <c r="E220" s="63" t="n"/>
      <c r="F220" s="64" t="n"/>
      <c r="G220" s="64" t="n"/>
      <c r="H220" s="64" t="n"/>
      <c r="I220" s="64" t="n"/>
      <c r="J220" s="65" t="n"/>
      <c r="K220" s="65" t="n"/>
      <c r="L220" s="66" t="str">
        <f>IF(X220="OK",SUMIF(bom_prod,A220,bom_cost),"")</f>
        <v/>
      </c>
      <c r="M220" s="66" t="str">
        <f>IF(X220="OK",SUMIF(gam_prod,A220,gam_mo),"")</f>
        <v/>
      </c>
      <c r="N220" s="66" t="str">
        <f>IF(X220="OK",SUMIF(gam_prod,A220,gam_mac),"")</f>
        <v/>
      </c>
      <c r="O220" s="66" t="str">
        <f>IF(X220="OK",SUMIF(gam_prod,A220,gam_setup)/D220,"")</f>
        <v/>
      </c>
      <c r="P220" s="66" t="str">
        <f>IF(X220="OK",(L220+M220+N220+O220+N(G220))*Y220,"")</f>
        <v/>
      </c>
      <c r="Q220" s="66" t="str">
        <f>IF(X220="OK",L220+M220+N220+O220+N(G220)+P220,"")</f>
        <v/>
      </c>
      <c r="R220" s="67" t="str">
        <f>IF(X220="OK",ROUND(Q220+N(H220)+N(I220)/D220,4),"")</f>
        <v/>
      </c>
      <c r="S220" s="66" t="str">
        <f>IF(X220="OK",ROUND(R220*(1+Z220),2),"")</f>
        <v/>
      </c>
      <c r="T220" s="66" t="str">
        <f>IF(AND(X220="OK",N(F220)&gt;0),F220-R220,"")</f>
        <v/>
      </c>
      <c r="U220" s="68" t="str">
        <f>IF(T220="","",IF(R220&lt;=0,"",T220/R220))</f>
        <v/>
      </c>
      <c r="V220" s="68" t="str">
        <f>IF(T220="","",T220/F220)</f>
        <v/>
      </c>
      <c r="W220" s="69" t="str">
        <f>IF(A220="","",IF(X220&lt;&gt;"OK","À corriger",IF(N(F220)&lt;=0,"Prix à saisir",IF(F220&lt;R220,"Vendu à perte",IF(F220&lt;S220,"Sous la cible","OK")))))</f>
        <v/>
      </c>
      <c r="X220" s="69" t="str">
        <f>IF(AND(A220="",COUNTA(B220:K220)=0),"",IF(A220="","Référence manquante",IF(COUNTIF($A$6:$A$305,A220)&gt;1,"Référence en double",IF(OR(NOT(ISNUMBER(D220)),N(D220)&lt;=0),"Taille de lot invalide",IF(AND(E220&lt;&gt;"",OR(NOT(ISNUMBER(E220)),N(E220)&lt;0)),"Volume annuel invalide",IF(AND(F220&lt;&gt;"",OR(NOT(ISNUMBER(F220)),N(F220)&lt;0)),"Prix de vente invalide",IF(OR(AND(G220&lt;&gt;"",OR(NOT(ISNUMBER(G220)),N(G220)&lt;0)),AND(H220&lt;&gt;"",OR(NOT(ISNUMBER(H220)),N(H220)&lt;0)),AND(I220&lt;&gt;"",OR(NOT(ISNUMBER(I220)),N(I220)&lt;0))),"Montant invalide",IF(OR(AND(J220&lt;&gt;"",OR(NOT(ISNUMBER(J220)),N(J220)&lt;0)),AND(K220&lt;&gt;"",OR(NOT(ISNUMBER(K220)),N(K220)&lt;0))),"Pourcentage invalide",IF(COUNTIF(bom_prod,A220)+COUNTIF(gam_prod,A220)=0,"Ni nomenclature ni gamme",IF(COUNTIFS(bom_prod,A220,bom_check,"&lt;&gt;OK")&gt;0,"Nomenclature à corriger",IF(COUNTIFS(gam_prod,A220,gam_check,"&lt;&gt;OK")&gt;0,"Gamme à corriger","OK")))))))))))</f>
        <v/>
      </c>
      <c r="Y220" s="70">
        <f>IF(J220="",N(p_fg),N(J220))</f>
        <v>0.15</v>
      </c>
      <c r="Z220" s="70">
        <f>IF(K220="",N(p_target),N(K220))</f>
        <v>0.25</v>
      </c>
      <c r="AA220" s="71" t="str">
        <f>IF(R220="","",IF(N(F220)&gt;0,ROUND(F220*N(E220),2),0))</f>
        <v/>
      </c>
      <c r="AB220" s="71">
        <f>IF(T220="",0,T220*N(E220))</f>
        <v>0.0</v>
      </c>
      <c r="AC220" s="71">
        <f>IF(T220="",0,R220*N(E220))</f>
        <v>0.0</v>
      </c>
      <c r="AD220" s="71">
        <f>IF(R220="",0,L220*N(E220))</f>
        <v>0.0</v>
      </c>
      <c r="AE220" s="71">
        <f>IF(R220="",0,M220*N(E220))</f>
        <v>0.0</v>
      </c>
      <c r="AF220" s="71">
        <f>IF(R220="",0,N220*N(E220))</f>
        <v>0.0</v>
      </c>
      <c r="AG220" s="71">
        <f>IF(R220="",0,O220*N(E220))</f>
        <v>0.0</v>
      </c>
      <c r="AH220" s="71">
        <f>IF(R220="",0,(N(G220)+N(H220)+N(I220)/D220)*N(E220))</f>
        <v>0.0</v>
      </c>
      <c r="AI220" s="71">
        <f>IF(R220="",0,P220*N(E220))</f>
        <v>0.0</v>
      </c>
      <c r="AJ220" s="71" t="str">
        <f>IF(AA220="","",COUNTIF(prod_ca,"&gt;"&amp;AA220)+COUNTIF(AA$6:AA220,AA220))</f>
        <v/>
      </c>
      <c r="AK220" s="71" t="str">
        <f>IF(OR(W220="Vendu à perte",W220="Sous la cible"),ROUND(U220,6),"")</f>
        <v/>
      </c>
      <c r="AL220" s="71" t="str">
        <f>IF(AK220="","",COUNTIF(prod_alk,"&lt;"&amp;AK220)+COUNTIF(AK$6:AK220,AK220))</f>
        <v/>
      </c>
    </row>
    <row r="221">
      <c r="A221" s="60" t="n"/>
      <c r="B221" s="60" t="n"/>
      <c r="C221" s="61" t="n"/>
      <c r="D221" s="62" t="n"/>
      <c r="E221" s="63" t="n"/>
      <c r="F221" s="64" t="n"/>
      <c r="G221" s="64" t="n"/>
      <c r="H221" s="64" t="n"/>
      <c r="I221" s="64" t="n"/>
      <c r="J221" s="65" t="n"/>
      <c r="K221" s="65" t="n"/>
      <c r="L221" s="66" t="str">
        <f>IF(X221="OK",SUMIF(bom_prod,A221,bom_cost),"")</f>
        <v/>
      </c>
      <c r="M221" s="66" t="str">
        <f>IF(X221="OK",SUMIF(gam_prod,A221,gam_mo),"")</f>
        <v/>
      </c>
      <c r="N221" s="66" t="str">
        <f>IF(X221="OK",SUMIF(gam_prod,A221,gam_mac),"")</f>
        <v/>
      </c>
      <c r="O221" s="66" t="str">
        <f>IF(X221="OK",SUMIF(gam_prod,A221,gam_setup)/D221,"")</f>
        <v/>
      </c>
      <c r="P221" s="66" t="str">
        <f>IF(X221="OK",(L221+M221+N221+O221+N(G221))*Y221,"")</f>
        <v/>
      </c>
      <c r="Q221" s="66" t="str">
        <f>IF(X221="OK",L221+M221+N221+O221+N(G221)+P221,"")</f>
        <v/>
      </c>
      <c r="R221" s="67" t="str">
        <f>IF(X221="OK",ROUND(Q221+N(H221)+N(I221)/D221,4),"")</f>
        <v/>
      </c>
      <c r="S221" s="66" t="str">
        <f>IF(X221="OK",ROUND(R221*(1+Z221),2),"")</f>
        <v/>
      </c>
      <c r="T221" s="66" t="str">
        <f>IF(AND(X221="OK",N(F221)&gt;0),F221-R221,"")</f>
        <v/>
      </c>
      <c r="U221" s="68" t="str">
        <f>IF(T221="","",IF(R221&lt;=0,"",T221/R221))</f>
        <v/>
      </c>
      <c r="V221" s="68" t="str">
        <f>IF(T221="","",T221/F221)</f>
        <v/>
      </c>
      <c r="W221" s="69" t="str">
        <f>IF(A221="","",IF(X221&lt;&gt;"OK","À corriger",IF(N(F221)&lt;=0,"Prix à saisir",IF(F221&lt;R221,"Vendu à perte",IF(F221&lt;S221,"Sous la cible","OK")))))</f>
        <v/>
      </c>
      <c r="X221" s="69" t="str">
        <f>IF(AND(A221="",COUNTA(B221:K221)=0),"",IF(A221="","Référence manquante",IF(COUNTIF($A$6:$A$305,A221)&gt;1,"Référence en double",IF(OR(NOT(ISNUMBER(D221)),N(D221)&lt;=0),"Taille de lot invalide",IF(AND(E221&lt;&gt;"",OR(NOT(ISNUMBER(E221)),N(E221)&lt;0)),"Volume annuel invalide",IF(AND(F221&lt;&gt;"",OR(NOT(ISNUMBER(F221)),N(F221)&lt;0)),"Prix de vente invalide",IF(OR(AND(G221&lt;&gt;"",OR(NOT(ISNUMBER(G221)),N(G221)&lt;0)),AND(H221&lt;&gt;"",OR(NOT(ISNUMBER(H221)),N(H221)&lt;0)),AND(I221&lt;&gt;"",OR(NOT(ISNUMBER(I221)),N(I221)&lt;0))),"Montant invalide",IF(OR(AND(J221&lt;&gt;"",OR(NOT(ISNUMBER(J221)),N(J221)&lt;0)),AND(K221&lt;&gt;"",OR(NOT(ISNUMBER(K221)),N(K221)&lt;0))),"Pourcentage invalide",IF(COUNTIF(bom_prod,A221)+COUNTIF(gam_prod,A221)=0,"Ni nomenclature ni gamme",IF(COUNTIFS(bom_prod,A221,bom_check,"&lt;&gt;OK")&gt;0,"Nomenclature à corriger",IF(COUNTIFS(gam_prod,A221,gam_check,"&lt;&gt;OK")&gt;0,"Gamme à corriger","OK")))))))))))</f>
        <v/>
      </c>
      <c r="Y221" s="70">
        <f>IF(J221="",N(p_fg),N(J221))</f>
        <v>0.15</v>
      </c>
      <c r="Z221" s="70">
        <f>IF(K221="",N(p_target),N(K221))</f>
        <v>0.25</v>
      </c>
      <c r="AA221" s="71" t="str">
        <f>IF(R221="","",IF(N(F221)&gt;0,ROUND(F221*N(E221),2),0))</f>
        <v/>
      </c>
      <c r="AB221" s="71">
        <f>IF(T221="",0,T221*N(E221))</f>
        <v>0.0</v>
      </c>
      <c r="AC221" s="71">
        <f>IF(T221="",0,R221*N(E221))</f>
        <v>0.0</v>
      </c>
      <c r="AD221" s="71">
        <f>IF(R221="",0,L221*N(E221))</f>
        <v>0.0</v>
      </c>
      <c r="AE221" s="71">
        <f>IF(R221="",0,M221*N(E221))</f>
        <v>0.0</v>
      </c>
      <c r="AF221" s="71">
        <f>IF(R221="",0,N221*N(E221))</f>
        <v>0.0</v>
      </c>
      <c r="AG221" s="71">
        <f>IF(R221="",0,O221*N(E221))</f>
        <v>0.0</v>
      </c>
      <c r="AH221" s="71">
        <f>IF(R221="",0,(N(G221)+N(H221)+N(I221)/D221)*N(E221))</f>
        <v>0.0</v>
      </c>
      <c r="AI221" s="71">
        <f>IF(R221="",0,P221*N(E221))</f>
        <v>0.0</v>
      </c>
      <c r="AJ221" s="71" t="str">
        <f>IF(AA221="","",COUNTIF(prod_ca,"&gt;"&amp;AA221)+COUNTIF(AA$6:AA221,AA221))</f>
        <v/>
      </c>
      <c r="AK221" s="71" t="str">
        <f>IF(OR(W221="Vendu à perte",W221="Sous la cible"),ROUND(U221,6),"")</f>
        <v/>
      </c>
      <c r="AL221" s="71" t="str">
        <f>IF(AK221="","",COUNTIF(prod_alk,"&lt;"&amp;AK221)+COUNTIF(AK$6:AK221,AK221))</f>
        <v/>
      </c>
    </row>
    <row r="222">
      <c r="A222" s="60" t="n"/>
      <c r="B222" s="60" t="n"/>
      <c r="C222" s="61" t="n"/>
      <c r="D222" s="62" t="n"/>
      <c r="E222" s="63" t="n"/>
      <c r="F222" s="64" t="n"/>
      <c r="G222" s="64" t="n"/>
      <c r="H222" s="64" t="n"/>
      <c r="I222" s="64" t="n"/>
      <c r="J222" s="65" t="n"/>
      <c r="K222" s="65" t="n"/>
      <c r="L222" s="66" t="str">
        <f>IF(X222="OK",SUMIF(bom_prod,A222,bom_cost),"")</f>
        <v/>
      </c>
      <c r="M222" s="66" t="str">
        <f>IF(X222="OK",SUMIF(gam_prod,A222,gam_mo),"")</f>
        <v/>
      </c>
      <c r="N222" s="66" t="str">
        <f>IF(X222="OK",SUMIF(gam_prod,A222,gam_mac),"")</f>
        <v/>
      </c>
      <c r="O222" s="66" t="str">
        <f>IF(X222="OK",SUMIF(gam_prod,A222,gam_setup)/D222,"")</f>
        <v/>
      </c>
      <c r="P222" s="66" t="str">
        <f>IF(X222="OK",(L222+M222+N222+O222+N(G222))*Y222,"")</f>
        <v/>
      </c>
      <c r="Q222" s="66" t="str">
        <f>IF(X222="OK",L222+M222+N222+O222+N(G222)+P222,"")</f>
        <v/>
      </c>
      <c r="R222" s="67" t="str">
        <f>IF(X222="OK",ROUND(Q222+N(H222)+N(I222)/D222,4),"")</f>
        <v/>
      </c>
      <c r="S222" s="66" t="str">
        <f>IF(X222="OK",ROUND(R222*(1+Z222),2),"")</f>
        <v/>
      </c>
      <c r="T222" s="66" t="str">
        <f>IF(AND(X222="OK",N(F222)&gt;0),F222-R222,"")</f>
        <v/>
      </c>
      <c r="U222" s="68" t="str">
        <f>IF(T222="","",IF(R222&lt;=0,"",T222/R222))</f>
        <v/>
      </c>
      <c r="V222" s="68" t="str">
        <f>IF(T222="","",T222/F222)</f>
        <v/>
      </c>
      <c r="W222" s="69" t="str">
        <f>IF(A222="","",IF(X222&lt;&gt;"OK","À corriger",IF(N(F222)&lt;=0,"Prix à saisir",IF(F222&lt;R222,"Vendu à perte",IF(F222&lt;S222,"Sous la cible","OK")))))</f>
        <v/>
      </c>
      <c r="X222" s="69" t="str">
        <f>IF(AND(A222="",COUNTA(B222:K222)=0),"",IF(A222="","Référence manquante",IF(COUNTIF($A$6:$A$305,A222)&gt;1,"Référence en double",IF(OR(NOT(ISNUMBER(D222)),N(D222)&lt;=0),"Taille de lot invalide",IF(AND(E222&lt;&gt;"",OR(NOT(ISNUMBER(E222)),N(E222)&lt;0)),"Volume annuel invalide",IF(AND(F222&lt;&gt;"",OR(NOT(ISNUMBER(F222)),N(F222)&lt;0)),"Prix de vente invalide",IF(OR(AND(G222&lt;&gt;"",OR(NOT(ISNUMBER(G222)),N(G222)&lt;0)),AND(H222&lt;&gt;"",OR(NOT(ISNUMBER(H222)),N(H222)&lt;0)),AND(I222&lt;&gt;"",OR(NOT(ISNUMBER(I222)),N(I222)&lt;0))),"Montant invalide",IF(OR(AND(J222&lt;&gt;"",OR(NOT(ISNUMBER(J222)),N(J222)&lt;0)),AND(K222&lt;&gt;"",OR(NOT(ISNUMBER(K222)),N(K222)&lt;0))),"Pourcentage invalide",IF(COUNTIF(bom_prod,A222)+COUNTIF(gam_prod,A222)=0,"Ni nomenclature ni gamme",IF(COUNTIFS(bom_prod,A222,bom_check,"&lt;&gt;OK")&gt;0,"Nomenclature à corriger",IF(COUNTIFS(gam_prod,A222,gam_check,"&lt;&gt;OK")&gt;0,"Gamme à corriger","OK")))))))))))</f>
        <v/>
      </c>
      <c r="Y222" s="70">
        <f>IF(J222="",N(p_fg),N(J222))</f>
        <v>0.15</v>
      </c>
      <c r="Z222" s="70">
        <f>IF(K222="",N(p_target),N(K222))</f>
        <v>0.25</v>
      </c>
      <c r="AA222" s="71" t="str">
        <f>IF(R222="","",IF(N(F222)&gt;0,ROUND(F222*N(E222),2),0))</f>
        <v/>
      </c>
      <c r="AB222" s="71">
        <f>IF(T222="",0,T222*N(E222))</f>
        <v>0.0</v>
      </c>
      <c r="AC222" s="71">
        <f>IF(T222="",0,R222*N(E222))</f>
        <v>0.0</v>
      </c>
      <c r="AD222" s="71">
        <f>IF(R222="",0,L222*N(E222))</f>
        <v>0.0</v>
      </c>
      <c r="AE222" s="71">
        <f>IF(R222="",0,M222*N(E222))</f>
        <v>0.0</v>
      </c>
      <c r="AF222" s="71">
        <f>IF(R222="",0,N222*N(E222))</f>
        <v>0.0</v>
      </c>
      <c r="AG222" s="71">
        <f>IF(R222="",0,O222*N(E222))</f>
        <v>0.0</v>
      </c>
      <c r="AH222" s="71">
        <f>IF(R222="",0,(N(G222)+N(H222)+N(I222)/D222)*N(E222))</f>
        <v>0.0</v>
      </c>
      <c r="AI222" s="71">
        <f>IF(R222="",0,P222*N(E222))</f>
        <v>0.0</v>
      </c>
      <c r="AJ222" s="71" t="str">
        <f>IF(AA222="","",COUNTIF(prod_ca,"&gt;"&amp;AA222)+COUNTIF(AA$6:AA222,AA222))</f>
        <v/>
      </c>
      <c r="AK222" s="71" t="str">
        <f>IF(OR(W222="Vendu à perte",W222="Sous la cible"),ROUND(U222,6),"")</f>
        <v/>
      </c>
      <c r="AL222" s="71" t="str">
        <f>IF(AK222="","",COUNTIF(prod_alk,"&lt;"&amp;AK222)+COUNTIF(AK$6:AK222,AK222))</f>
        <v/>
      </c>
    </row>
    <row r="223">
      <c r="A223" s="60" t="n"/>
      <c r="B223" s="60" t="n"/>
      <c r="C223" s="61" t="n"/>
      <c r="D223" s="62" t="n"/>
      <c r="E223" s="63" t="n"/>
      <c r="F223" s="64" t="n"/>
      <c r="G223" s="64" t="n"/>
      <c r="H223" s="64" t="n"/>
      <c r="I223" s="64" t="n"/>
      <c r="J223" s="65" t="n"/>
      <c r="K223" s="65" t="n"/>
      <c r="L223" s="66" t="str">
        <f>IF(X223="OK",SUMIF(bom_prod,A223,bom_cost),"")</f>
        <v/>
      </c>
      <c r="M223" s="66" t="str">
        <f>IF(X223="OK",SUMIF(gam_prod,A223,gam_mo),"")</f>
        <v/>
      </c>
      <c r="N223" s="66" t="str">
        <f>IF(X223="OK",SUMIF(gam_prod,A223,gam_mac),"")</f>
        <v/>
      </c>
      <c r="O223" s="66" t="str">
        <f>IF(X223="OK",SUMIF(gam_prod,A223,gam_setup)/D223,"")</f>
        <v/>
      </c>
      <c r="P223" s="66" t="str">
        <f>IF(X223="OK",(L223+M223+N223+O223+N(G223))*Y223,"")</f>
        <v/>
      </c>
      <c r="Q223" s="66" t="str">
        <f>IF(X223="OK",L223+M223+N223+O223+N(G223)+P223,"")</f>
        <v/>
      </c>
      <c r="R223" s="67" t="str">
        <f>IF(X223="OK",ROUND(Q223+N(H223)+N(I223)/D223,4),"")</f>
        <v/>
      </c>
      <c r="S223" s="66" t="str">
        <f>IF(X223="OK",ROUND(R223*(1+Z223),2),"")</f>
        <v/>
      </c>
      <c r="T223" s="66" t="str">
        <f>IF(AND(X223="OK",N(F223)&gt;0),F223-R223,"")</f>
        <v/>
      </c>
      <c r="U223" s="68" t="str">
        <f>IF(T223="","",IF(R223&lt;=0,"",T223/R223))</f>
        <v/>
      </c>
      <c r="V223" s="68" t="str">
        <f>IF(T223="","",T223/F223)</f>
        <v/>
      </c>
      <c r="W223" s="69" t="str">
        <f>IF(A223="","",IF(X223&lt;&gt;"OK","À corriger",IF(N(F223)&lt;=0,"Prix à saisir",IF(F223&lt;R223,"Vendu à perte",IF(F223&lt;S223,"Sous la cible","OK")))))</f>
        <v/>
      </c>
      <c r="X223" s="69" t="str">
        <f>IF(AND(A223="",COUNTA(B223:K223)=0),"",IF(A223="","Référence manquante",IF(COUNTIF($A$6:$A$305,A223)&gt;1,"Référence en double",IF(OR(NOT(ISNUMBER(D223)),N(D223)&lt;=0),"Taille de lot invalide",IF(AND(E223&lt;&gt;"",OR(NOT(ISNUMBER(E223)),N(E223)&lt;0)),"Volume annuel invalide",IF(AND(F223&lt;&gt;"",OR(NOT(ISNUMBER(F223)),N(F223)&lt;0)),"Prix de vente invalide",IF(OR(AND(G223&lt;&gt;"",OR(NOT(ISNUMBER(G223)),N(G223)&lt;0)),AND(H223&lt;&gt;"",OR(NOT(ISNUMBER(H223)),N(H223)&lt;0)),AND(I223&lt;&gt;"",OR(NOT(ISNUMBER(I223)),N(I223)&lt;0))),"Montant invalide",IF(OR(AND(J223&lt;&gt;"",OR(NOT(ISNUMBER(J223)),N(J223)&lt;0)),AND(K223&lt;&gt;"",OR(NOT(ISNUMBER(K223)),N(K223)&lt;0))),"Pourcentage invalide",IF(COUNTIF(bom_prod,A223)+COUNTIF(gam_prod,A223)=0,"Ni nomenclature ni gamme",IF(COUNTIFS(bom_prod,A223,bom_check,"&lt;&gt;OK")&gt;0,"Nomenclature à corriger",IF(COUNTIFS(gam_prod,A223,gam_check,"&lt;&gt;OK")&gt;0,"Gamme à corriger","OK")))))))))))</f>
        <v/>
      </c>
      <c r="Y223" s="70">
        <f>IF(J223="",N(p_fg),N(J223))</f>
        <v>0.15</v>
      </c>
      <c r="Z223" s="70">
        <f>IF(K223="",N(p_target),N(K223))</f>
        <v>0.25</v>
      </c>
      <c r="AA223" s="71" t="str">
        <f>IF(R223="","",IF(N(F223)&gt;0,ROUND(F223*N(E223),2),0))</f>
        <v/>
      </c>
      <c r="AB223" s="71">
        <f>IF(T223="",0,T223*N(E223))</f>
        <v>0.0</v>
      </c>
      <c r="AC223" s="71">
        <f>IF(T223="",0,R223*N(E223))</f>
        <v>0.0</v>
      </c>
      <c r="AD223" s="71">
        <f>IF(R223="",0,L223*N(E223))</f>
        <v>0.0</v>
      </c>
      <c r="AE223" s="71">
        <f>IF(R223="",0,M223*N(E223))</f>
        <v>0.0</v>
      </c>
      <c r="AF223" s="71">
        <f>IF(R223="",0,N223*N(E223))</f>
        <v>0.0</v>
      </c>
      <c r="AG223" s="71">
        <f>IF(R223="",0,O223*N(E223))</f>
        <v>0.0</v>
      </c>
      <c r="AH223" s="71">
        <f>IF(R223="",0,(N(G223)+N(H223)+N(I223)/D223)*N(E223))</f>
        <v>0.0</v>
      </c>
      <c r="AI223" s="71">
        <f>IF(R223="",0,P223*N(E223))</f>
        <v>0.0</v>
      </c>
      <c r="AJ223" s="71" t="str">
        <f>IF(AA223="","",COUNTIF(prod_ca,"&gt;"&amp;AA223)+COUNTIF(AA$6:AA223,AA223))</f>
        <v/>
      </c>
      <c r="AK223" s="71" t="str">
        <f>IF(OR(W223="Vendu à perte",W223="Sous la cible"),ROUND(U223,6),"")</f>
        <v/>
      </c>
      <c r="AL223" s="71" t="str">
        <f>IF(AK223="","",COUNTIF(prod_alk,"&lt;"&amp;AK223)+COUNTIF(AK$6:AK223,AK223))</f>
        <v/>
      </c>
    </row>
    <row r="224">
      <c r="A224" s="60" t="n"/>
      <c r="B224" s="60" t="n"/>
      <c r="C224" s="61" t="n"/>
      <c r="D224" s="62" t="n"/>
      <c r="E224" s="63" t="n"/>
      <c r="F224" s="64" t="n"/>
      <c r="G224" s="64" t="n"/>
      <c r="H224" s="64" t="n"/>
      <c r="I224" s="64" t="n"/>
      <c r="J224" s="65" t="n"/>
      <c r="K224" s="65" t="n"/>
      <c r="L224" s="66" t="str">
        <f>IF(X224="OK",SUMIF(bom_prod,A224,bom_cost),"")</f>
        <v/>
      </c>
      <c r="M224" s="66" t="str">
        <f>IF(X224="OK",SUMIF(gam_prod,A224,gam_mo),"")</f>
        <v/>
      </c>
      <c r="N224" s="66" t="str">
        <f>IF(X224="OK",SUMIF(gam_prod,A224,gam_mac),"")</f>
        <v/>
      </c>
      <c r="O224" s="66" t="str">
        <f>IF(X224="OK",SUMIF(gam_prod,A224,gam_setup)/D224,"")</f>
        <v/>
      </c>
      <c r="P224" s="66" t="str">
        <f>IF(X224="OK",(L224+M224+N224+O224+N(G224))*Y224,"")</f>
        <v/>
      </c>
      <c r="Q224" s="66" t="str">
        <f>IF(X224="OK",L224+M224+N224+O224+N(G224)+P224,"")</f>
        <v/>
      </c>
      <c r="R224" s="67" t="str">
        <f>IF(X224="OK",ROUND(Q224+N(H224)+N(I224)/D224,4),"")</f>
        <v/>
      </c>
      <c r="S224" s="66" t="str">
        <f>IF(X224="OK",ROUND(R224*(1+Z224),2),"")</f>
        <v/>
      </c>
      <c r="T224" s="66" t="str">
        <f>IF(AND(X224="OK",N(F224)&gt;0),F224-R224,"")</f>
        <v/>
      </c>
      <c r="U224" s="68" t="str">
        <f>IF(T224="","",IF(R224&lt;=0,"",T224/R224))</f>
        <v/>
      </c>
      <c r="V224" s="68" t="str">
        <f>IF(T224="","",T224/F224)</f>
        <v/>
      </c>
      <c r="W224" s="69" t="str">
        <f>IF(A224="","",IF(X224&lt;&gt;"OK","À corriger",IF(N(F224)&lt;=0,"Prix à saisir",IF(F224&lt;R224,"Vendu à perte",IF(F224&lt;S224,"Sous la cible","OK")))))</f>
        <v/>
      </c>
      <c r="X224" s="69" t="str">
        <f>IF(AND(A224="",COUNTA(B224:K224)=0),"",IF(A224="","Référence manquante",IF(COUNTIF($A$6:$A$305,A224)&gt;1,"Référence en double",IF(OR(NOT(ISNUMBER(D224)),N(D224)&lt;=0),"Taille de lot invalide",IF(AND(E224&lt;&gt;"",OR(NOT(ISNUMBER(E224)),N(E224)&lt;0)),"Volume annuel invalide",IF(AND(F224&lt;&gt;"",OR(NOT(ISNUMBER(F224)),N(F224)&lt;0)),"Prix de vente invalide",IF(OR(AND(G224&lt;&gt;"",OR(NOT(ISNUMBER(G224)),N(G224)&lt;0)),AND(H224&lt;&gt;"",OR(NOT(ISNUMBER(H224)),N(H224)&lt;0)),AND(I224&lt;&gt;"",OR(NOT(ISNUMBER(I224)),N(I224)&lt;0))),"Montant invalide",IF(OR(AND(J224&lt;&gt;"",OR(NOT(ISNUMBER(J224)),N(J224)&lt;0)),AND(K224&lt;&gt;"",OR(NOT(ISNUMBER(K224)),N(K224)&lt;0))),"Pourcentage invalide",IF(COUNTIF(bom_prod,A224)+COUNTIF(gam_prod,A224)=0,"Ni nomenclature ni gamme",IF(COUNTIFS(bom_prod,A224,bom_check,"&lt;&gt;OK")&gt;0,"Nomenclature à corriger",IF(COUNTIFS(gam_prod,A224,gam_check,"&lt;&gt;OK")&gt;0,"Gamme à corriger","OK")))))))))))</f>
        <v/>
      </c>
      <c r="Y224" s="70">
        <f>IF(J224="",N(p_fg),N(J224))</f>
        <v>0.15</v>
      </c>
      <c r="Z224" s="70">
        <f>IF(K224="",N(p_target),N(K224))</f>
        <v>0.25</v>
      </c>
      <c r="AA224" s="71" t="str">
        <f>IF(R224="","",IF(N(F224)&gt;0,ROUND(F224*N(E224),2),0))</f>
        <v/>
      </c>
      <c r="AB224" s="71">
        <f>IF(T224="",0,T224*N(E224))</f>
        <v>0.0</v>
      </c>
      <c r="AC224" s="71">
        <f>IF(T224="",0,R224*N(E224))</f>
        <v>0.0</v>
      </c>
      <c r="AD224" s="71">
        <f>IF(R224="",0,L224*N(E224))</f>
        <v>0.0</v>
      </c>
      <c r="AE224" s="71">
        <f>IF(R224="",0,M224*N(E224))</f>
        <v>0.0</v>
      </c>
      <c r="AF224" s="71">
        <f>IF(R224="",0,N224*N(E224))</f>
        <v>0.0</v>
      </c>
      <c r="AG224" s="71">
        <f>IF(R224="",0,O224*N(E224))</f>
        <v>0.0</v>
      </c>
      <c r="AH224" s="71">
        <f>IF(R224="",0,(N(G224)+N(H224)+N(I224)/D224)*N(E224))</f>
        <v>0.0</v>
      </c>
      <c r="AI224" s="71">
        <f>IF(R224="",0,P224*N(E224))</f>
        <v>0.0</v>
      </c>
      <c r="AJ224" s="71" t="str">
        <f>IF(AA224="","",COUNTIF(prod_ca,"&gt;"&amp;AA224)+COUNTIF(AA$6:AA224,AA224))</f>
        <v/>
      </c>
      <c r="AK224" s="71" t="str">
        <f>IF(OR(W224="Vendu à perte",W224="Sous la cible"),ROUND(U224,6),"")</f>
        <v/>
      </c>
      <c r="AL224" s="71" t="str">
        <f>IF(AK224="","",COUNTIF(prod_alk,"&lt;"&amp;AK224)+COUNTIF(AK$6:AK224,AK224))</f>
        <v/>
      </c>
    </row>
    <row r="225">
      <c r="A225" s="60" t="n"/>
      <c r="B225" s="60" t="n"/>
      <c r="C225" s="61" t="n"/>
      <c r="D225" s="62" t="n"/>
      <c r="E225" s="63" t="n"/>
      <c r="F225" s="64" t="n"/>
      <c r="G225" s="64" t="n"/>
      <c r="H225" s="64" t="n"/>
      <c r="I225" s="64" t="n"/>
      <c r="J225" s="65" t="n"/>
      <c r="K225" s="65" t="n"/>
      <c r="L225" s="66" t="str">
        <f>IF(X225="OK",SUMIF(bom_prod,A225,bom_cost),"")</f>
        <v/>
      </c>
      <c r="M225" s="66" t="str">
        <f>IF(X225="OK",SUMIF(gam_prod,A225,gam_mo),"")</f>
        <v/>
      </c>
      <c r="N225" s="66" t="str">
        <f>IF(X225="OK",SUMIF(gam_prod,A225,gam_mac),"")</f>
        <v/>
      </c>
      <c r="O225" s="66" t="str">
        <f>IF(X225="OK",SUMIF(gam_prod,A225,gam_setup)/D225,"")</f>
        <v/>
      </c>
      <c r="P225" s="66" t="str">
        <f>IF(X225="OK",(L225+M225+N225+O225+N(G225))*Y225,"")</f>
        <v/>
      </c>
      <c r="Q225" s="66" t="str">
        <f>IF(X225="OK",L225+M225+N225+O225+N(G225)+P225,"")</f>
        <v/>
      </c>
      <c r="R225" s="67" t="str">
        <f>IF(X225="OK",ROUND(Q225+N(H225)+N(I225)/D225,4),"")</f>
        <v/>
      </c>
      <c r="S225" s="66" t="str">
        <f>IF(X225="OK",ROUND(R225*(1+Z225),2),"")</f>
        <v/>
      </c>
      <c r="T225" s="66" t="str">
        <f>IF(AND(X225="OK",N(F225)&gt;0),F225-R225,"")</f>
        <v/>
      </c>
      <c r="U225" s="68" t="str">
        <f>IF(T225="","",IF(R225&lt;=0,"",T225/R225))</f>
        <v/>
      </c>
      <c r="V225" s="68" t="str">
        <f>IF(T225="","",T225/F225)</f>
        <v/>
      </c>
      <c r="W225" s="69" t="str">
        <f>IF(A225="","",IF(X225&lt;&gt;"OK","À corriger",IF(N(F225)&lt;=0,"Prix à saisir",IF(F225&lt;R225,"Vendu à perte",IF(F225&lt;S225,"Sous la cible","OK")))))</f>
        <v/>
      </c>
      <c r="X225" s="69" t="str">
        <f>IF(AND(A225="",COUNTA(B225:K225)=0),"",IF(A225="","Référence manquante",IF(COUNTIF($A$6:$A$305,A225)&gt;1,"Référence en double",IF(OR(NOT(ISNUMBER(D225)),N(D225)&lt;=0),"Taille de lot invalide",IF(AND(E225&lt;&gt;"",OR(NOT(ISNUMBER(E225)),N(E225)&lt;0)),"Volume annuel invalide",IF(AND(F225&lt;&gt;"",OR(NOT(ISNUMBER(F225)),N(F225)&lt;0)),"Prix de vente invalide",IF(OR(AND(G225&lt;&gt;"",OR(NOT(ISNUMBER(G225)),N(G225)&lt;0)),AND(H225&lt;&gt;"",OR(NOT(ISNUMBER(H225)),N(H225)&lt;0)),AND(I225&lt;&gt;"",OR(NOT(ISNUMBER(I225)),N(I225)&lt;0))),"Montant invalide",IF(OR(AND(J225&lt;&gt;"",OR(NOT(ISNUMBER(J225)),N(J225)&lt;0)),AND(K225&lt;&gt;"",OR(NOT(ISNUMBER(K225)),N(K225)&lt;0))),"Pourcentage invalide",IF(COUNTIF(bom_prod,A225)+COUNTIF(gam_prod,A225)=0,"Ni nomenclature ni gamme",IF(COUNTIFS(bom_prod,A225,bom_check,"&lt;&gt;OK")&gt;0,"Nomenclature à corriger",IF(COUNTIFS(gam_prod,A225,gam_check,"&lt;&gt;OK")&gt;0,"Gamme à corriger","OK")))))))))))</f>
        <v/>
      </c>
      <c r="Y225" s="70">
        <f>IF(J225="",N(p_fg),N(J225))</f>
        <v>0.15</v>
      </c>
      <c r="Z225" s="70">
        <f>IF(K225="",N(p_target),N(K225))</f>
        <v>0.25</v>
      </c>
      <c r="AA225" s="71" t="str">
        <f>IF(R225="","",IF(N(F225)&gt;0,ROUND(F225*N(E225),2),0))</f>
        <v/>
      </c>
      <c r="AB225" s="71">
        <f>IF(T225="",0,T225*N(E225))</f>
        <v>0.0</v>
      </c>
      <c r="AC225" s="71">
        <f>IF(T225="",0,R225*N(E225))</f>
        <v>0.0</v>
      </c>
      <c r="AD225" s="71">
        <f>IF(R225="",0,L225*N(E225))</f>
        <v>0.0</v>
      </c>
      <c r="AE225" s="71">
        <f>IF(R225="",0,M225*N(E225))</f>
        <v>0.0</v>
      </c>
      <c r="AF225" s="71">
        <f>IF(R225="",0,N225*N(E225))</f>
        <v>0.0</v>
      </c>
      <c r="AG225" s="71">
        <f>IF(R225="",0,O225*N(E225))</f>
        <v>0.0</v>
      </c>
      <c r="AH225" s="71">
        <f>IF(R225="",0,(N(G225)+N(H225)+N(I225)/D225)*N(E225))</f>
        <v>0.0</v>
      </c>
      <c r="AI225" s="71">
        <f>IF(R225="",0,P225*N(E225))</f>
        <v>0.0</v>
      </c>
      <c r="AJ225" s="71" t="str">
        <f>IF(AA225="","",COUNTIF(prod_ca,"&gt;"&amp;AA225)+COUNTIF(AA$6:AA225,AA225))</f>
        <v/>
      </c>
      <c r="AK225" s="71" t="str">
        <f>IF(OR(W225="Vendu à perte",W225="Sous la cible"),ROUND(U225,6),"")</f>
        <v/>
      </c>
      <c r="AL225" s="71" t="str">
        <f>IF(AK225="","",COUNTIF(prod_alk,"&lt;"&amp;AK225)+COUNTIF(AK$6:AK225,AK225))</f>
        <v/>
      </c>
    </row>
    <row r="226">
      <c r="A226" s="60" t="n"/>
      <c r="B226" s="60" t="n"/>
      <c r="C226" s="61" t="n"/>
      <c r="D226" s="62" t="n"/>
      <c r="E226" s="63" t="n"/>
      <c r="F226" s="64" t="n"/>
      <c r="G226" s="64" t="n"/>
      <c r="H226" s="64" t="n"/>
      <c r="I226" s="64" t="n"/>
      <c r="J226" s="65" t="n"/>
      <c r="K226" s="65" t="n"/>
      <c r="L226" s="66" t="str">
        <f>IF(X226="OK",SUMIF(bom_prod,A226,bom_cost),"")</f>
        <v/>
      </c>
      <c r="M226" s="66" t="str">
        <f>IF(X226="OK",SUMIF(gam_prod,A226,gam_mo),"")</f>
        <v/>
      </c>
      <c r="N226" s="66" t="str">
        <f>IF(X226="OK",SUMIF(gam_prod,A226,gam_mac),"")</f>
        <v/>
      </c>
      <c r="O226" s="66" t="str">
        <f>IF(X226="OK",SUMIF(gam_prod,A226,gam_setup)/D226,"")</f>
        <v/>
      </c>
      <c r="P226" s="66" t="str">
        <f>IF(X226="OK",(L226+M226+N226+O226+N(G226))*Y226,"")</f>
        <v/>
      </c>
      <c r="Q226" s="66" t="str">
        <f>IF(X226="OK",L226+M226+N226+O226+N(G226)+P226,"")</f>
        <v/>
      </c>
      <c r="R226" s="67" t="str">
        <f>IF(X226="OK",ROUND(Q226+N(H226)+N(I226)/D226,4),"")</f>
        <v/>
      </c>
      <c r="S226" s="66" t="str">
        <f>IF(X226="OK",ROUND(R226*(1+Z226),2),"")</f>
        <v/>
      </c>
      <c r="T226" s="66" t="str">
        <f>IF(AND(X226="OK",N(F226)&gt;0),F226-R226,"")</f>
        <v/>
      </c>
      <c r="U226" s="68" t="str">
        <f>IF(T226="","",IF(R226&lt;=0,"",T226/R226))</f>
        <v/>
      </c>
      <c r="V226" s="68" t="str">
        <f>IF(T226="","",T226/F226)</f>
        <v/>
      </c>
      <c r="W226" s="69" t="str">
        <f>IF(A226="","",IF(X226&lt;&gt;"OK","À corriger",IF(N(F226)&lt;=0,"Prix à saisir",IF(F226&lt;R226,"Vendu à perte",IF(F226&lt;S226,"Sous la cible","OK")))))</f>
        <v/>
      </c>
      <c r="X226" s="69" t="str">
        <f>IF(AND(A226="",COUNTA(B226:K226)=0),"",IF(A226="","Référence manquante",IF(COUNTIF($A$6:$A$305,A226)&gt;1,"Référence en double",IF(OR(NOT(ISNUMBER(D226)),N(D226)&lt;=0),"Taille de lot invalide",IF(AND(E226&lt;&gt;"",OR(NOT(ISNUMBER(E226)),N(E226)&lt;0)),"Volume annuel invalide",IF(AND(F226&lt;&gt;"",OR(NOT(ISNUMBER(F226)),N(F226)&lt;0)),"Prix de vente invalide",IF(OR(AND(G226&lt;&gt;"",OR(NOT(ISNUMBER(G226)),N(G226)&lt;0)),AND(H226&lt;&gt;"",OR(NOT(ISNUMBER(H226)),N(H226)&lt;0)),AND(I226&lt;&gt;"",OR(NOT(ISNUMBER(I226)),N(I226)&lt;0))),"Montant invalide",IF(OR(AND(J226&lt;&gt;"",OR(NOT(ISNUMBER(J226)),N(J226)&lt;0)),AND(K226&lt;&gt;"",OR(NOT(ISNUMBER(K226)),N(K226)&lt;0))),"Pourcentage invalide",IF(COUNTIF(bom_prod,A226)+COUNTIF(gam_prod,A226)=0,"Ni nomenclature ni gamme",IF(COUNTIFS(bom_prod,A226,bom_check,"&lt;&gt;OK")&gt;0,"Nomenclature à corriger",IF(COUNTIFS(gam_prod,A226,gam_check,"&lt;&gt;OK")&gt;0,"Gamme à corriger","OK")))))))))))</f>
        <v/>
      </c>
      <c r="Y226" s="70">
        <f>IF(J226="",N(p_fg),N(J226))</f>
        <v>0.15</v>
      </c>
      <c r="Z226" s="70">
        <f>IF(K226="",N(p_target),N(K226))</f>
        <v>0.25</v>
      </c>
      <c r="AA226" s="71" t="str">
        <f>IF(R226="","",IF(N(F226)&gt;0,ROUND(F226*N(E226),2),0))</f>
        <v/>
      </c>
      <c r="AB226" s="71">
        <f>IF(T226="",0,T226*N(E226))</f>
        <v>0.0</v>
      </c>
      <c r="AC226" s="71">
        <f>IF(T226="",0,R226*N(E226))</f>
        <v>0.0</v>
      </c>
      <c r="AD226" s="71">
        <f>IF(R226="",0,L226*N(E226))</f>
        <v>0.0</v>
      </c>
      <c r="AE226" s="71">
        <f>IF(R226="",0,M226*N(E226))</f>
        <v>0.0</v>
      </c>
      <c r="AF226" s="71">
        <f>IF(R226="",0,N226*N(E226))</f>
        <v>0.0</v>
      </c>
      <c r="AG226" s="71">
        <f>IF(R226="",0,O226*N(E226))</f>
        <v>0.0</v>
      </c>
      <c r="AH226" s="71">
        <f>IF(R226="",0,(N(G226)+N(H226)+N(I226)/D226)*N(E226))</f>
        <v>0.0</v>
      </c>
      <c r="AI226" s="71">
        <f>IF(R226="",0,P226*N(E226))</f>
        <v>0.0</v>
      </c>
      <c r="AJ226" s="71" t="str">
        <f>IF(AA226="","",COUNTIF(prod_ca,"&gt;"&amp;AA226)+COUNTIF(AA$6:AA226,AA226))</f>
        <v/>
      </c>
      <c r="AK226" s="71" t="str">
        <f>IF(OR(W226="Vendu à perte",W226="Sous la cible"),ROUND(U226,6),"")</f>
        <v/>
      </c>
      <c r="AL226" s="71" t="str">
        <f>IF(AK226="","",COUNTIF(prod_alk,"&lt;"&amp;AK226)+COUNTIF(AK$6:AK226,AK226))</f>
        <v/>
      </c>
    </row>
    <row r="227">
      <c r="A227" s="60" t="n"/>
      <c r="B227" s="60" t="n"/>
      <c r="C227" s="61" t="n"/>
      <c r="D227" s="62" t="n"/>
      <c r="E227" s="63" t="n"/>
      <c r="F227" s="64" t="n"/>
      <c r="G227" s="64" t="n"/>
      <c r="H227" s="64" t="n"/>
      <c r="I227" s="64" t="n"/>
      <c r="J227" s="65" t="n"/>
      <c r="K227" s="65" t="n"/>
      <c r="L227" s="66" t="str">
        <f>IF(X227="OK",SUMIF(bom_prod,A227,bom_cost),"")</f>
        <v/>
      </c>
      <c r="M227" s="66" t="str">
        <f>IF(X227="OK",SUMIF(gam_prod,A227,gam_mo),"")</f>
        <v/>
      </c>
      <c r="N227" s="66" t="str">
        <f>IF(X227="OK",SUMIF(gam_prod,A227,gam_mac),"")</f>
        <v/>
      </c>
      <c r="O227" s="66" t="str">
        <f>IF(X227="OK",SUMIF(gam_prod,A227,gam_setup)/D227,"")</f>
        <v/>
      </c>
      <c r="P227" s="66" t="str">
        <f>IF(X227="OK",(L227+M227+N227+O227+N(G227))*Y227,"")</f>
        <v/>
      </c>
      <c r="Q227" s="66" t="str">
        <f>IF(X227="OK",L227+M227+N227+O227+N(G227)+P227,"")</f>
        <v/>
      </c>
      <c r="R227" s="67" t="str">
        <f>IF(X227="OK",ROUND(Q227+N(H227)+N(I227)/D227,4),"")</f>
        <v/>
      </c>
      <c r="S227" s="66" t="str">
        <f>IF(X227="OK",ROUND(R227*(1+Z227),2),"")</f>
        <v/>
      </c>
      <c r="T227" s="66" t="str">
        <f>IF(AND(X227="OK",N(F227)&gt;0),F227-R227,"")</f>
        <v/>
      </c>
      <c r="U227" s="68" t="str">
        <f>IF(T227="","",IF(R227&lt;=0,"",T227/R227))</f>
        <v/>
      </c>
      <c r="V227" s="68" t="str">
        <f>IF(T227="","",T227/F227)</f>
        <v/>
      </c>
      <c r="W227" s="69" t="str">
        <f>IF(A227="","",IF(X227&lt;&gt;"OK","À corriger",IF(N(F227)&lt;=0,"Prix à saisir",IF(F227&lt;R227,"Vendu à perte",IF(F227&lt;S227,"Sous la cible","OK")))))</f>
        <v/>
      </c>
      <c r="X227" s="69" t="str">
        <f>IF(AND(A227="",COUNTA(B227:K227)=0),"",IF(A227="","Référence manquante",IF(COUNTIF($A$6:$A$305,A227)&gt;1,"Référence en double",IF(OR(NOT(ISNUMBER(D227)),N(D227)&lt;=0),"Taille de lot invalide",IF(AND(E227&lt;&gt;"",OR(NOT(ISNUMBER(E227)),N(E227)&lt;0)),"Volume annuel invalide",IF(AND(F227&lt;&gt;"",OR(NOT(ISNUMBER(F227)),N(F227)&lt;0)),"Prix de vente invalide",IF(OR(AND(G227&lt;&gt;"",OR(NOT(ISNUMBER(G227)),N(G227)&lt;0)),AND(H227&lt;&gt;"",OR(NOT(ISNUMBER(H227)),N(H227)&lt;0)),AND(I227&lt;&gt;"",OR(NOT(ISNUMBER(I227)),N(I227)&lt;0))),"Montant invalide",IF(OR(AND(J227&lt;&gt;"",OR(NOT(ISNUMBER(J227)),N(J227)&lt;0)),AND(K227&lt;&gt;"",OR(NOT(ISNUMBER(K227)),N(K227)&lt;0))),"Pourcentage invalide",IF(COUNTIF(bom_prod,A227)+COUNTIF(gam_prod,A227)=0,"Ni nomenclature ni gamme",IF(COUNTIFS(bom_prod,A227,bom_check,"&lt;&gt;OK")&gt;0,"Nomenclature à corriger",IF(COUNTIFS(gam_prod,A227,gam_check,"&lt;&gt;OK")&gt;0,"Gamme à corriger","OK")))))))))))</f>
        <v/>
      </c>
      <c r="Y227" s="70">
        <f>IF(J227="",N(p_fg),N(J227))</f>
        <v>0.15</v>
      </c>
      <c r="Z227" s="70">
        <f>IF(K227="",N(p_target),N(K227))</f>
        <v>0.25</v>
      </c>
      <c r="AA227" s="71" t="str">
        <f>IF(R227="","",IF(N(F227)&gt;0,ROUND(F227*N(E227),2),0))</f>
        <v/>
      </c>
      <c r="AB227" s="71">
        <f>IF(T227="",0,T227*N(E227))</f>
        <v>0.0</v>
      </c>
      <c r="AC227" s="71">
        <f>IF(T227="",0,R227*N(E227))</f>
        <v>0.0</v>
      </c>
      <c r="AD227" s="71">
        <f>IF(R227="",0,L227*N(E227))</f>
        <v>0.0</v>
      </c>
      <c r="AE227" s="71">
        <f>IF(R227="",0,M227*N(E227))</f>
        <v>0.0</v>
      </c>
      <c r="AF227" s="71">
        <f>IF(R227="",0,N227*N(E227))</f>
        <v>0.0</v>
      </c>
      <c r="AG227" s="71">
        <f>IF(R227="",0,O227*N(E227))</f>
        <v>0.0</v>
      </c>
      <c r="AH227" s="71">
        <f>IF(R227="",0,(N(G227)+N(H227)+N(I227)/D227)*N(E227))</f>
        <v>0.0</v>
      </c>
      <c r="AI227" s="71">
        <f>IF(R227="",0,P227*N(E227))</f>
        <v>0.0</v>
      </c>
      <c r="AJ227" s="71" t="str">
        <f>IF(AA227="","",COUNTIF(prod_ca,"&gt;"&amp;AA227)+COUNTIF(AA$6:AA227,AA227))</f>
        <v/>
      </c>
      <c r="AK227" s="71" t="str">
        <f>IF(OR(W227="Vendu à perte",W227="Sous la cible"),ROUND(U227,6),"")</f>
        <v/>
      </c>
      <c r="AL227" s="71" t="str">
        <f>IF(AK227="","",COUNTIF(prod_alk,"&lt;"&amp;AK227)+COUNTIF(AK$6:AK227,AK227))</f>
        <v/>
      </c>
    </row>
    <row r="228">
      <c r="A228" s="60" t="n"/>
      <c r="B228" s="60" t="n"/>
      <c r="C228" s="61" t="n"/>
      <c r="D228" s="62" t="n"/>
      <c r="E228" s="63" t="n"/>
      <c r="F228" s="64" t="n"/>
      <c r="G228" s="64" t="n"/>
      <c r="H228" s="64" t="n"/>
      <c r="I228" s="64" t="n"/>
      <c r="J228" s="65" t="n"/>
      <c r="K228" s="65" t="n"/>
      <c r="L228" s="66" t="str">
        <f>IF(X228="OK",SUMIF(bom_prod,A228,bom_cost),"")</f>
        <v/>
      </c>
      <c r="M228" s="66" t="str">
        <f>IF(X228="OK",SUMIF(gam_prod,A228,gam_mo),"")</f>
        <v/>
      </c>
      <c r="N228" s="66" t="str">
        <f>IF(X228="OK",SUMIF(gam_prod,A228,gam_mac),"")</f>
        <v/>
      </c>
      <c r="O228" s="66" t="str">
        <f>IF(X228="OK",SUMIF(gam_prod,A228,gam_setup)/D228,"")</f>
        <v/>
      </c>
      <c r="P228" s="66" t="str">
        <f>IF(X228="OK",(L228+M228+N228+O228+N(G228))*Y228,"")</f>
        <v/>
      </c>
      <c r="Q228" s="66" t="str">
        <f>IF(X228="OK",L228+M228+N228+O228+N(G228)+P228,"")</f>
        <v/>
      </c>
      <c r="R228" s="67" t="str">
        <f>IF(X228="OK",ROUND(Q228+N(H228)+N(I228)/D228,4),"")</f>
        <v/>
      </c>
      <c r="S228" s="66" t="str">
        <f>IF(X228="OK",ROUND(R228*(1+Z228),2),"")</f>
        <v/>
      </c>
      <c r="T228" s="66" t="str">
        <f>IF(AND(X228="OK",N(F228)&gt;0),F228-R228,"")</f>
        <v/>
      </c>
      <c r="U228" s="68" t="str">
        <f>IF(T228="","",IF(R228&lt;=0,"",T228/R228))</f>
        <v/>
      </c>
      <c r="V228" s="68" t="str">
        <f>IF(T228="","",T228/F228)</f>
        <v/>
      </c>
      <c r="W228" s="69" t="str">
        <f>IF(A228="","",IF(X228&lt;&gt;"OK","À corriger",IF(N(F228)&lt;=0,"Prix à saisir",IF(F228&lt;R228,"Vendu à perte",IF(F228&lt;S228,"Sous la cible","OK")))))</f>
        <v/>
      </c>
      <c r="X228" s="69" t="str">
        <f>IF(AND(A228="",COUNTA(B228:K228)=0),"",IF(A228="","Référence manquante",IF(COUNTIF($A$6:$A$305,A228)&gt;1,"Référence en double",IF(OR(NOT(ISNUMBER(D228)),N(D228)&lt;=0),"Taille de lot invalide",IF(AND(E228&lt;&gt;"",OR(NOT(ISNUMBER(E228)),N(E228)&lt;0)),"Volume annuel invalide",IF(AND(F228&lt;&gt;"",OR(NOT(ISNUMBER(F228)),N(F228)&lt;0)),"Prix de vente invalide",IF(OR(AND(G228&lt;&gt;"",OR(NOT(ISNUMBER(G228)),N(G228)&lt;0)),AND(H228&lt;&gt;"",OR(NOT(ISNUMBER(H228)),N(H228)&lt;0)),AND(I228&lt;&gt;"",OR(NOT(ISNUMBER(I228)),N(I228)&lt;0))),"Montant invalide",IF(OR(AND(J228&lt;&gt;"",OR(NOT(ISNUMBER(J228)),N(J228)&lt;0)),AND(K228&lt;&gt;"",OR(NOT(ISNUMBER(K228)),N(K228)&lt;0))),"Pourcentage invalide",IF(COUNTIF(bom_prod,A228)+COUNTIF(gam_prod,A228)=0,"Ni nomenclature ni gamme",IF(COUNTIFS(bom_prod,A228,bom_check,"&lt;&gt;OK")&gt;0,"Nomenclature à corriger",IF(COUNTIFS(gam_prod,A228,gam_check,"&lt;&gt;OK")&gt;0,"Gamme à corriger","OK")))))))))))</f>
        <v/>
      </c>
      <c r="Y228" s="70">
        <f>IF(J228="",N(p_fg),N(J228))</f>
        <v>0.15</v>
      </c>
      <c r="Z228" s="70">
        <f>IF(K228="",N(p_target),N(K228))</f>
        <v>0.25</v>
      </c>
      <c r="AA228" s="71" t="str">
        <f>IF(R228="","",IF(N(F228)&gt;0,ROUND(F228*N(E228),2),0))</f>
        <v/>
      </c>
      <c r="AB228" s="71">
        <f>IF(T228="",0,T228*N(E228))</f>
        <v>0.0</v>
      </c>
      <c r="AC228" s="71">
        <f>IF(T228="",0,R228*N(E228))</f>
        <v>0.0</v>
      </c>
      <c r="AD228" s="71">
        <f>IF(R228="",0,L228*N(E228))</f>
        <v>0.0</v>
      </c>
      <c r="AE228" s="71">
        <f>IF(R228="",0,M228*N(E228))</f>
        <v>0.0</v>
      </c>
      <c r="AF228" s="71">
        <f>IF(R228="",0,N228*N(E228))</f>
        <v>0.0</v>
      </c>
      <c r="AG228" s="71">
        <f>IF(R228="",0,O228*N(E228))</f>
        <v>0.0</v>
      </c>
      <c r="AH228" s="71">
        <f>IF(R228="",0,(N(G228)+N(H228)+N(I228)/D228)*N(E228))</f>
        <v>0.0</v>
      </c>
      <c r="AI228" s="71">
        <f>IF(R228="",0,P228*N(E228))</f>
        <v>0.0</v>
      </c>
      <c r="AJ228" s="71" t="str">
        <f>IF(AA228="","",COUNTIF(prod_ca,"&gt;"&amp;AA228)+COUNTIF(AA$6:AA228,AA228))</f>
        <v/>
      </c>
      <c r="AK228" s="71" t="str">
        <f>IF(OR(W228="Vendu à perte",W228="Sous la cible"),ROUND(U228,6),"")</f>
        <v/>
      </c>
      <c r="AL228" s="71" t="str">
        <f>IF(AK228="","",COUNTIF(prod_alk,"&lt;"&amp;AK228)+COUNTIF(AK$6:AK228,AK228))</f>
        <v/>
      </c>
    </row>
    <row r="229">
      <c r="A229" s="60" t="n"/>
      <c r="B229" s="60" t="n"/>
      <c r="C229" s="61" t="n"/>
      <c r="D229" s="62" t="n"/>
      <c r="E229" s="63" t="n"/>
      <c r="F229" s="64" t="n"/>
      <c r="G229" s="64" t="n"/>
      <c r="H229" s="64" t="n"/>
      <c r="I229" s="64" t="n"/>
      <c r="J229" s="65" t="n"/>
      <c r="K229" s="65" t="n"/>
      <c r="L229" s="66" t="str">
        <f>IF(X229="OK",SUMIF(bom_prod,A229,bom_cost),"")</f>
        <v/>
      </c>
      <c r="M229" s="66" t="str">
        <f>IF(X229="OK",SUMIF(gam_prod,A229,gam_mo),"")</f>
        <v/>
      </c>
      <c r="N229" s="66" t="str">
        <f>IF(X229="OK",SUMIF(gam_prod,A229,gam_mac),"")</f>
        <v/>
      </c>
      <c r="O229" s="66" t="str">
        <f>IF(X229="OK",SUMIF(gam_prod,A229,gam_setup)/D229,"")</f>
        <v/>
      </c>
      <c r="P229" s="66" t="str">
        <f>IF(X229="OK",(L229+M229+N229+O229+N(G229))*Y229,"")</f>
        <v/>
      </c>
      <c r="Q229" s="66" t="str">
        <f>IF(X229="OK",L229+M229+N229+O229+N(G229)+P229,"")</f>
        <v/>
      </c>
      <c r="R229" s="67" t="str">
        <f>IF(X229="OK",ROUND(Q229+N(H229)+N(I229)/D229,4),"")</f>
        <v/>
      </c>
      <c r="S229" s="66" t="str">
        <f>IF(X229="OK",ROUND(R229*(1+Z229),2),"")</f>
        <v/>
      </c>
      <c r="T229" s="66" t="str">
        <f>IF(AND(X229="OK",N(F229)&gt;0),F229-R229,"")</f>
        <v/>
      </c>
      <c r="U229" s="68" t="str">
        <f>IF(T229="","",IF(R229&lt;=0,"",T229/R229))</f>
        <v/>
      </c>
      <c r="V229" s="68" t="str">
        <f>IF(T229="","",T229/F229)</f>
        <v/>
      </c>
      <c r="W229" s="69" t="str">
        <f>IF(A229="","",IF(X229&lt;&gt;"OK","À corriger",IF(N(F229)&lt;=0,"Prix à saisir",IF(F229&lt;R229,"Vendu à perte",IF(F229&lt;S229,"Sous la cible","OK")))))</f>
        <v/>
      </c>
      <c r="X229" s="69" t="str">
        <f>IF(AND(A229="",COUNTA(B229:K229)=0),"",IF(A229="","Référence manquante",IF(COUNTIF($A$6:$A$305,A229)&gt;1,"Référence en double",IF(OR(NOT(ISNUMBER(D229)),N(D229)&lt;=0),"Taille de lot invalide",IF(AND(E229&lt;&gt;"",OR(NOT(ISNUMBER(E229)),N(E229)&lt;0)),"Volume annuel invalide",IF(AND(F229&lt;&gt;"",OR(NOT(ISNUMBER(F229)),N(F229)&lt;0)),"Prix de vente invalide",IF(OR(AND(G229&lt;&gt;"",OR(NOT(ISNUMBER(G229)),N(G229)&lt;0)),AND(H229&lt;&gt;"",OR(NOT(ISNUMBER(H229)),N(H229)&lt;0)),AND(I229&lt;&gt;"",OR(NOT(ISNUMBER(I229)),N(I229)&lt;0))),"Montant invalide",IF(OR(AND(J229&lt;&gt;"",OR(NOT(ISNUMBER(J229)),N(J229)&lt;0)),AND(K229&lt;&gt;"",OR(NOT(ISNUMBER(K229)),N(K229)&lt;0))),"Pourcentage invalide",IF(COUNTIF(bom_prod,A229)+COUNTIF(gam_prod,A229)=0,"Ni nomenclature ni gamme",IF(COUNTIFS(bom_prod,A229,bom_check,"&lt;&gt;OK")&gt;0,"Nomenclature à corriger",IF(COUNTIFS(gam_prod,A229,gam_check,"&lt;&gt;OK")&gt;0,"Gamme à corriger","OK")))))))))))</f>
        <v/>
      </c>
      <c r="Y229" s="70">
        <f>IF(J229="",N(p_fg),N(J229))</f>
        <v>0.15</v>
      </c>
      <c r="Z229" s="70">
        <f>IF(K229="",N(p_target),N(K229))</f>
        <v>0.25</v>
      </c>
      <c r="AA229" s="71" t="str">
        <f>IF(R229="","",IF(N(F229)&gt;0,ROUND(F229*N(E229),2),0))</f>
        <v/>
      </c>
      <c r="AB229" s="71">
        <f>IF(T229="",0,T229*N(E229))</f>
        <v>0.0</v>
      </c>
      <c r="AC229" s="71">
        <f>IF(T229="",0,R229*N(E229))</f>
        <v>0.0</v>
      </c>
      <c r="AD229" s="71">
        <f>IF(R229="",0,L229*N(E229))</f>
        <v>0.0</v>
      </c>
      <c r="AE229" s="71">
        <f>IF(R229="",0,M229*N(E229))</f>
        <v>0.0</v>
      </c>
      <c r="AF229" s="71">
        <f>IF(R229="",0,N229*N(E229))</f>
        <v>0.0</v>
      </c>
      <c r="AG229" s="71">
        <f>IF(R229="",0,O229*N(E229))</f>
        <v>0.0</v>
      </c>
      <c r="AH229" s="71">
        <f>IF(R229="",0,(N(G229)+N(H229)+N(I229)/D229)*N(E229))</f>
        <v>0.0</v>
      </c>
      <c r="AI229" s="71">
        <f>IF(R229="",0,P229*N(E229))</f>
        <v>0.0</v>
      </c>
      <c r="AJ229" s="71" t="str">
        <f>IF(AA229="","",COUNTIF(prod_ca,"&gt;"&amp;AA229)+COUNTIF(AA$6:AA229,AA229))</f>
        <v/>
      </c>
      <c r="AK229" s="71" t="str">
        <f>IF(OR(W229="Vendu à perte",W229="Sous la cible"),ROUND(U229,6),"")</f>
        <v/>
      </c>
      <c r="AL229" s="71" t="str">
        <f>IF(AK229="","",COUNTIF(prod_alk,"&lt;"&amp;AK229)+COUNTIF(AK$6:AK229,AK229))</f>
        <v/>
      </c>
    </row>
    <row r="230">
      <c r="A230" s="60" t="n"/>
      <c r="B230" s="60" t="n"/>
      <c r="C230" s="61" t="n"/>
      <c r="D230" s="62" t="n"/>
      <c r="E230" s="63" t="n"/>
      <c r="F230" s="64" t="n"/>
      <c r="G230" s="64" t="n"/>
      <c r="H230" s="64" t="n"/>
      <c r="I230" s="64" t="n"/>
      <c r="J230" s="65" t="n"/>
      <c r="K230" s="65" t="n"/>
      <c r="L230" s="66" t="str">
        <f>IF(X230="OK",SUMIF(bom_prod,A230,bom_cost),"")</f>
        <v/>
      </c>
      <c r="M230" s="66" t="str">
        <f>IF(X230="OK",SUMIF(gam_prod,A230,gam_mo),"")</f>
        <v/>
      </c>
      <c r="N230" s="66" t="str">
        <f>IF(X230="OK",SUMIF(gam_prod,A230,gam_mac),"")</f>
        <v/>
      </c>
      <c r="O230" s="66" t="str">
        <f>IF(X230="OK",SUMIF(gam_prod,A230,gam_setup)/D230,"")</f>
        <v/>
      </c>
      <c r="P230" s="66" t="str">
        <f>IF(X230="OK",(L230+M230+N230+O230+N(G230))*Y230,"")</f>
        <v/>
      </c>
      <c r="Q230" s="66" t="str">
        <f>IF(X230="OK",L230+M230+N230+O230+N(G230)+P230,"")</f>
        <v/>
      </c>
      <c r="R230" s="67" t="str">
        <f>IF(X230="OK",ROUND(Q230+N(H230)+N(I230)/D230,4),"")</f>
        <v/>
      </c>
      <c r="S230" s="66" t="str">
        <f>IF(X230="OK",ROUND(R230*(1+Z230),2),"")</f>
        <v/>
      </c>
      <c r="T230" s="66" t="str">
        <f>IF(AND(X230="OK",N(F230)&gt;0),F230-R230,"")</f>
        <v/>
      </c>
      <c r="U230" s="68" t="str">
        <f>IF(T230="","",IF(R230&lt;=0,"",T230/R230))</f>
        <v/>
      </c>
      <c r="V230" s="68" t="str">
        <f>IF(T230="","",T230/F230)</f>
        <v/>
      </c>
      <c r="W230" s="69" t="str">
        <f>IF(A230="","",IF(X230&lt;&gt;"OK","À corriger",IF(N(F230)&lt;=0,"Prix à saisir",IF(F230&lt;R230,"Vendu à perte",IF(F230&lt;S230,"Sous la cible","OK")))))</f>
        <v/>
      </c>
      <c r="X230" s="69" t="str">
        <f>IF(AND(A230="",COUNTA(B230:K230)=0),"",IF(A230="","Référence manquante",IF(COUNTIF($A$6:$A$305,A230)&gt;1,"Référence en double",IF(OR(NOT(ISNUMBER(D230)),N(D230)&lt;=0),"Taille de lot invalide",IF(AND(E230&lt;&gt;"",OR(NOT(ISNUMBER(E230)),N(E230)&lt;0)),"Volume annuel invalide",IF(AND(F230&lt;&gt;"",OR(NOT(ISNUMBER(F230)),N(F230)&lt;0)),"Prix de vente invalide",IF(OR(AND(G230&lt;&gt;"",OR(NOT(ISNUMBER(G230)),N(G230)&lt;0)),AND(H230&lt;&gt;"",OR(NOT(ISNUMBER(H230)),N(H230)&lt;0)),AND(I230&lt;&gt;"",OR(NOT(ISNUMBER(I230)),N(I230)&lt;0))),"Montant invalide",IF(OR(AND(J230&lt;&gt;"",OR(NOT(ISNUMBER(J230)),N(J230)&lt;0)),AND(K230&lt;&gt;"",OR(NOT(ISNUMBER(K230)),N(K230)&lt;0))),"Pourcentage invalide",IF(COUNTIF(bom_prod,A230)+COUNTIF(gam_prod,A230)=0,"Ni nomenclature ni gamme",IF(COUNTIFS(bom_prod,A230,bom_check,"&lt;&gt;OK")&gt;0,"Nomenclature à corriger",IF(COUNTIFS(gam_prod,A230,gam_check,"&lt;&gt;OK")&gt;0,"Gamme à corriger","OK")))))))))))</f>
        <v/>
      </c>
      <c r="Y230" s="70">
        <f>IF(J230="",N(p_fg),N(J230))</f>
        <v>0.15</v>
      </c>
      <c r="Z230" s="70">
        <f>IF(K230="",N(p_target),N(K230))</f>
        <v>0.25</v>
      </c>
      <c r="AA230" s="71" t="str">
        <f>IF(R230="","",IF(N(F230)&gt;0,ROUND(F230*N(E230),2),0))</f>
        <v/>
      </c>
      <c r="AB230" s="71">
        <f>IF(T230="",0,T230*N(E230))</f>
        <v>0.0</v>
      </c>
      <c r="AC230" s="71">
        <f>IF(T230="",0,R230*N(E230))</f>
        <v>0.0</v>
      </c>
      <c r="AD230" s="71">
        <f>IF(R230="",0,L230*N(E230))</f>
        <v>0.0</v>
      </c>
      <c r="AE230" s="71">
        <f>IF(R230="",0,M230*N(E230))</f>
        <v>0.0</v>
      </c>
      <c r="AF230" s="71">
        <f>IF(R230="",0,N230*N(E230))</f>
        <v>0.0</v>
      </c>
      <c r="AG230" s="71">
        <f>IF(R230="",0,O230*N(E230))</f>
        <v>0.0</v>
      </c>
      <c r="AH230" s="71">
        <f>IF(R230="",0,(N(G230)+N(H230)+N(I230)/D230)*N(E230))</f>
        <v>0.0</v>
      </c>
      <c r="AI230" s="71">
        <f>IF(R230="",0,P230*N(E230))</f>
        <v>0.0</v>
      </c>
      <c r="AJ230" s="71" t="str">
        <f>IF(AA230="","",COUNTIF(prod_ca,"&gt;"&amp;AA230)+COUNTIF(AA$6:AA230,AA230))</f>
        <v/>
      </c>
      <c r="AK230" s="71" t="str">
        <f>IF(OR(W230="Vendu à perte",W230="Sous la cible"),ROUND(U230,6),"")</f>
        <v/>
      </c>
      <c r="AL230" s="71" t="str">
        <f>IF(AK230="","",COUNTIF(prod_alk,"&lt;"&amp;AK230)+COUNTIF(AK$6:AK230,AK230))</f>
        <v/>
      </c>
    </row>
    <row r="231">
      <c r="A231" s="60" t="n"/>
      <c r="B231" s="60" t="n"/>
      <c r="C231" s="61" t="n"/>
      <c r="D231" s="62" t="n"/>
      <c r="E231" s="63" t="n"/>
      <c r="F231" s="64" t="n"/>
      <c r="G231" s="64" t="n"/>
      <c r="H231" s="64" t="n"/>
      <c r="I231" s="64" t="n"/>
      <c r="J231" s="65" t="n"/>
      <c r="K231" s="65" t="n"/>
      <c r="L231" s="66" t="str">
        <f>IF(X231="OK",SUMIF(bom_prod,A231,bom_cost),"")</f>
        <v/>
      </c>
      <c r="M231" s="66" t="str">
        <f>IF(X231="OK",SUMIF(gam_prod,A231,gam_mo),"")</f>
        <v/>
      </c>
      <c r="N231" s="66" t="str">
        <f>IF(X231="OK",SUMIF(gam_prod,A231,gam_mac),"")</f>
        <v/>
      </c>
      <c r="O231" s="66" t="str">
        <f>IF(X231="OK",SUMIF(gam_prod,A231,gam_setup)/D231,"")</f>
        <v/>
      </c>
      <c r="P231" s="66" t="str">
        <f>IF(X231="OK",(L231+M231+N231+O231+N(G231))*Y231,"")</f>
        <v/>
      </c>
      <c r="Q231" s="66" t="str">
        <f>IF(X231="OK",L231+M231+N231+O231+N(G231)+P231,"")</f>
        <v/>
      </c>
      <c r="R231" s="67" t="str">
        <f>IF(X231="OK",ROUND(Q231+N(H231)+N(I231)/D231,4),"")</f>
        <v/>
      </c>
      <c r="S231" s="66" t="str">
        <f>IF(X231="OK",ROUND(R231*(1+Z231),2),"")</f>
        <v/>
      </c>
      <c r="T231" s="66" t="str">
        <f>IF(AND(X231="OK",N(F231)&gt;0),F231-R231,"")</f>
        <v/>
      </c>
      <c r="U231" s="68" t="str">
        <f>IF(T231="","",IF(R231&lt;=0,"",T231/R231))</f>
        <v/>
      </c>
      <c r="V231" s="68" t="str">
        <f>IF(T231="","",T231/F231)</f>
        <v/>
      </c>
      <c r="W231" s="69" t="str">
        <f>IF(A231="","",IF(X231&lt;&gt;"OK","À corriger",IF(N(F231)&lt;=0,"Prix à saisir",IF(F231&lt;R231,"Vendu à perte",IF(F231&lt;S231,"Sous la cible","OK")))))</f>
        <v/>
      </c>
      <c r="X231" s="69" t="str">
        <f>IF(AND(A231="",COUNTA(B231:K231)=0),"",IF(A231="","Référence manquante",IF(COUNTIF($A$6:$A$305,A231)&gt;1,"Référence en double",IF(OR(NOT(ISNUMBER(D231)),N(D231)&lt;=0),"Taille de lot invalide",IF(AND(E231&lt;&gt;"",OR(NOT(ISNUMBER(E231)),N(E231)&lt;0)),"Volume annuel invalide",IF(AND(F231&lt;&gt;"",OR(NOT(ISNUMBER(F231)),N(F231)&lt;0)),"Prix de vente invalide",IF(OR(AND(G231&lt;&gt;"",OR(NOT(ISNUMBER(G231)),N(G231)&lt;0)),AND(H231&lt;&gt;"",OR(NOT(ISNUMBER(H231)),N(H231)&lt;0)),AND(I231&lt;&gt;"",OR(NOT(ISNUMBER(I231)),N(I231)&lt;0))),"Montant invalide",IF(OR(AND(J231&lt;&gt;"",OR(NOT(ISNUMBER(J231)),N(J231)&lt;0)),AND(K231&lt;&gt;"",OR(NOT(ISNUMBER(K231)),N(K231)&lt;0))),"Pourcentage invalide",IF(COUNTIF(bom_prod,A231)+COUNTIF(gam_prod,A231)=0,"Ni nomenclature ni gamme",IF(COUNTIFS(bom_prod,A231,bom_check,"&lt;&gt;OK")&gt;0,"Nomenclature à corriger",IF(COUNTIFS(gam_prod,A231,gam_check,"&lt;&gt;OK")&gt;0,"Gamme à corriger","OK")))))))))))</f>
        <v/>
      </c>
      <c r="Y231" s="70">
        <f>IF(J231="",N(p_fg),N(J231))</f>
        <v>0.15</v>
      </c>
      <c r="Z231" s="70">
        <f>IF(K231="",N(p_target),N(K231))</f>
        <v>0.25</v>
      </c>
      <c r="AA231" s="71" t="str">
        <f>IF(R231="","",IF(N(F231)&gt;0,ROUND(F231*N(E231),2),0))</f>
        <v/>
      </c>
      <c r="AB231" s="71">
        <f>IF(T231="",0,T231*N(E231))</f>
        <v>0.0</v>
      </c>
      <c r="AC231" s="71">
        <f>IF(T231="",0,R231*N(E231))</f>
        <v>0.0</v>
      </c>
      <c r="AD231" s="71">
        <f>IF(R231="",0,L231*N(E231))</f>
        <v>0.0</v>
      </c>
      <c r="AE231" s="71">
        <f>IF(R231="",0,M231*N(E231))</f>
        <v>0.0</v>
      </c>
      <c r="AF231" s="71">
        <f>IF(R231="",0,N231*N(E231))</f>
        <v>0.0</v>
      </c>
      <c r="AG231" s="71">
        <f>IF(R231="",0,O231*N(E231))</f>
        <v>0.0</v>
      </c>
      <c r="AH231" s="71">
        <f>IF(R231="",0,(N(G231)+N(H231)+N(I231)/D231)*N(E231))</f>
        <v>0.0</v>
      </c>
      <c r="AI231" s="71">
        <f>IF(R231="",0,P231*N(E231))</f>
        <v>0.0</v>
      </c>
      <c r="AJ231" s="71" t="str">
        <f>IF(AA231="","",COUNTIF(prod_ca,"&gt;"&amp;AA231)+COUNTIF(AA$6:AA231,AA231))</f>
        <v/>
      </c>
      <c r="AK231" s="71" t="str">
        <f>IF(OR(W231="Vendu à perte",W231="Sous la cible"),ROUND(U231,6),"")</f>
        <v/>
      </c>
      <c r="AL231" s="71" t="str">
        <f>IF(AK231="","",COUNTIF(prod_alk,"&lt;"&amp;AK231)+COUNTIF(AK$6:AK231,AK231))</f>
        <v/>
      </c>
    </row>
    <row r="232">
      <c r="A232" s="60" t="n"/>
      <c r="B232" s="60" t="n"/>
      <c r="C232" s="61" t="n"/>
      <c r="D232" s="62" t="n"/>
      <c r="E232" s="63" t="n"/>
      <c r="F232" s="64" t="n"/>
      <c r="G232" s="64" t="n"/>
      <c r="H232" s="64" t="n"/>
      <c r="I232" s="64" t="n"/>
      <c r="J232" s="65" t="n"/>
      <c r="K232" s="65" t="n"/>
      <c r="L232" s="66" t="str">
        <f>IF(X232="OK",SUMIF(bom_prod,A232,bom_cost),"")</f>
        <v/>
      </c>
      <c r="M232" s="66" t="str">
        <f>IF(X232="OK",SUMIF(gam_prod,A232,gam_mo),"")</f>
        <v/>
      </c>
      <c r="N232" s="66" t="str">
        <f>IF(X232="OK",SUMIF(gam_prod,A232,gam_mac),"")</f>
        <v/>
      </c>
      <c r="O232" s="66" t="str">
        <f>IF(X232="OK",SUMIF(gam_prod,A232,gam_setup)/D232,"")</f>
        <v/>
      </c>
      <c r="P232" s="66" t="str">
        <f>IF(X232="OK",(L232+M232+N232+O232+N(G232))*Y232,"")</f>
        <v/>
      </c>
      <c r="Q232" s="66" t="str">
        <f>IF(X232="OK",L232+M232+N232+O232+N(G232)+P232,"")</f>
        <v/>
      </c>
      <c r="R232" s="67" t="str">
        <f>IF(X232="OK",ROUND(Q232+N(H232)+N(I232)/D232,4),"")</f>
        <v/>
      </c>
      <c r="S232" s="66" t="str">
        <f>IF(X232="OK",ROUND(R232*(1+Z232),2),"")</f>
        <v/>
      </c>
      <c r="T232" s="66" t="str">
        <f>IF(AND(X232="OK",N(F232)&gt;0),F232-R232,"")</f>
        <v/>
      </c>
      <c r="U232" s="68" t="str">
        <f>IF(T232="","",IF(R232&lt;=0,"",T232/R232))</f>
        <v/>
      </c>
      <c r="V232" s="68" t="str">
        <f>IF(T232="","",T232/F232)</f>
        <v/>
      </c>
      <c r="W232" s="69" t="str">
        <f>IF(A232="","",IF(X232&lt;&gt;"OK","À corriger",IF(N(F232)&lt;=0,"Prix à saisir",IF(F232&lt;R232,"Vendu à perte",IF(F232&lt;S232,"Sous la cible","OK")))))</f>
        <v/>
      </c>
      <c r="X232" s="69" t="str">
        <f>IF(AND(A232="",COUNTA(B232:K232)=0),"",IF(A232="","Référence manquante",IF(COUNTIF($A$6:$A$305,A232)&gt;1,"Référence en double",IF(OR(NOT(ISNUMBER(D232)),N(D232)&lt;=0),"Taille de lot invalide",IF(AND(E232&lt;&gt;"",OR(NOT(ISNUMBER(E232)),N(E232)&lt;0)),"Volume annuel invalide",IF(AND(F232&lt;&gt;"",OR(NOT(ISNUMBER(F232)),N(F232)&lt;0)),"Prix de vente invalide",IF(OR(AND(G232&lt;&gt;"",OR(NOT(ISNUMBER(G232)),N(G232)&lt;0)),AND(H232&lt;&gt;"",OR(NOT(ISNUMBER(H232)),N(H232)&lt;0)),AND(I232&lt;&gt;"",OR(NOT(ISNUMBER(I232)),N(I232)&lt;0))),"Montant invalide",IF(OR(AND(J232&lt;&gt;"",OR(NOT(ISNUMBER(J232)),N(J232)&lt;0)),AND(K232&lt;&gt;"",OR(NOT(ISNUMBER(K232)),N(K232)&lt;0))),"Pourcentage invalide",IF(COUNTIF(bom_prod,A232)+COUNTIF(gam_prod,A232)=0,"Ni nomenclature ni gamme",IF(COUNTIFS(bom_prod,A232,bom_check,"&lt;&gt;OK")&gt;0,"Nomenclature à corriger",IF(COUNTIFS(gam_prod,A232,gam_check,"&lt;&gt;OK")&gt;0,"Gamme à corriger","OK")))))))))))</f>
        <v/>
      </c>
      <c r="Y232" s="70">
        <f>IF(J232="",N(p_fg),N(J232))</f>
        <v>0.15</v>
      </c>
      <c r="Z232" s="70">
        <f>IF(K232="",N(p_target),N(K232))</f>
        <v>0.25</v>
      </c>
      <c r="AA232" s="71" t="str">
        <f>IF(R232="","",IF(N(F232)&gt;0,ROUND(F232*N(E232),2),0))</f>
        <v/>
      </c>
      <c r="AB232" s="71">
        <f>IF(T232="",0,T232*N(E232))</f>
        <v>0.0</v>
      </c>
      <c r="AC232" s="71">
        <f>IF(T232="",0,R232*N(E232))</f>
        <v>0.0</v>
      </c>
      <c r="AD232" s="71">
        <f>IF(R232="",0,L232*N(E232))</f>
        <v>0.0</v>
      </c>
      <c r="AE232" s="71">
        <f>IF(R232="",0,M232*N(E232))</f>
        <v>0.0</v>
      </c>
      <c r="AF232" s="71">
        <f>IF(R232="",0,N232*N(E232))</f>
        <v>0.0</v>
      </c>
      <c r="AG232" s="71">
        <f>IF(R232="",0,O232*N(E232))</f>
        <v>0.0</v>
      </c>
      <c r="AH232" s="71">
        <f>IF(R232="",0,(N(G232)+N(H232)+N(I232)/D232)*N(E232))</f>
        <v>0.0</v>
      </c>
      <c r="AI232" s="71">
        <f>IF(R232="",0,P232*N(E232))</f>
        <v>0.0</v>
      </c>
      <c r="AJ232" s="71" t="str">
        <f>IF(AA232="","",COUNTIF(prod_ca,"&gt;"&amp;AA232)+COUNTIF(AA$6:AA232,AA232))</f>
        <v/>
      </c>
      <c r="AK232" s="71" t="str">
        <f>IF(OR(W232="Vendu à perte",W232="Sous la cible"),ROUND(U232,6),"")</f>
        <v/>
      </c>
      <c r="AL232" s="71" t="str">
        <f>IF(AK232="","",COUNTIF(prod_alk,"&lt;"&amp;AK232)+COUNTIF(AK$6:AK232,AK232))</f>
        <v/>
      </c>
    </row>
    <row r="233">
      <c r="A233" s="60" t="n"/>
      <c r="B233" s="60" t="n"/>
      <c r="C233" s="61" t="n"/>
      <c r="D233" s="62" t="n"/>
      <c r="E233" s="63" t="n"/>
      <c r="F233" s="64" t="n"/>
      <c r="G233" s="64" t="n"/>
      <c r="H233" s="64" t="n"/>
      <c r="I233" s="64" t="n"/>
      <c r="J233" s="65" t="n"/>
      <c r="K233" s="65" t="n"/>
      <c r="L233" s="66" t="str">
        <f>IF(X233="OK",SUMIF(bom_prod,A233,bom_cost),"")</f>
        <v/>
      </c>
      <c r="M233" s="66" t="str">
        <f>IF(X233="OK",SUMIF(gam_prod,A233,gam_mo),"")</f>
        <v/>
      </c>
      <c r="N233" s="66" t="str">
        <f>IF(X233="OK",SUMIF(gam_prod,A233,gam_mac),"")</f>
        <v/>
      </c>
      <c r="O233" s="66" t="str">
        <f>IF(X233="OK",SUMIF(gam_prod,A233,gam_setup)/D233,"")</f>
        <v/>
      </c>
      <c r="P233" s="66" t="str">
        <f>IF(X233="OK",(L233+M233+N233+O233+N(G233))*Y233,"")</f>
        <v/>
      </c>
      <c r="Q233" s="66" t="str">
        <f>IF(X233="OK",L233+M233+N233+O233+N(G233)+P233,"")</f>
        <v/>
      </c>
      <c r="R233" s="67" t="str">
        <f>IF(X233="OK",ROUND(Q233+N(H233)+N(I233)/D233,4),"")</f>
        <v/>
      </c>
      <c r="S233" s="66" t="str">
        <f>IF(X233="OK",ROUND(R233*(1+Z233),2),"")</f>
        <v/>
      </c>
      <c r="T233" s="66" t="str">
        <f>IF(AND(X233="OK",N(F233)&gt;0),F233-R233,"")</f>
        <v/>
      </c>
      <c r="U233" s="68" t="str">
        <f>IF(T233="","",IF(R233&lt;=0,"",T233/R233))</f>
        <v/>
      </c>
      <c r="V233" s="68" t="str">
        <f>IF(T233="","",T233/F233)</f>
        <v/>
      </c>
      <c r="W233" s="69" t="str">
        <f>IF(A233="","",IF(X233&lt;&gt;"OK","À corriger",IF(N(F233)&lt;=0,"Prix à saisir",IF(F233&lt;R233,"Vendu à perte",IF(F233&lt;S233,"Sous la cible","OK")))))</f>
        <v/>
      </c>
      <c r="X233" s="69" t="str">
        <f>IF(AND(A233="",COUNTA(B233:K233)=0),"",IF(A233="","Référence manquante",IF(COUNTIF($A$6:$A$305,A233)&gt;1,"Référence en double",IF(OR(NOT(ISNUMBER(D233)),N(D233)&lt;=0),"Taille de lot invalide",IF(AND(E233&lt;&gt;"",OR(NOT(ISNUMBER(E233)),N(E233)&lt;0)),"Volume annuel invalide",IF(AND(F233&lt;&gt;"",OR(NOT(ISNUMBER(F233)),N(F233)&lt;0)),"Prix de vente invalide",IF(OR(AND(G233&lt;&gt;"",OR(NOT(ISNUMBER(G233)),N(G233)&lt;0)),AND(H233&lt;&gt;"",OR(NOT(ISNUMBER(H233)),N(H233)&lt;0)),AND(I233&lt;&gt;"",OR(NOT(ISNUMBER(I233)),N(I233)&lt;0))),"Montant invalide",IF(OR(AND(J233&lt;&gt;"",OR(NOT(ISNUMBER(J233)),N(J233)&lt;0)),AND(K233&lt;&gt;"",OR(NOT(ISNUMBER(K233)),N(K233)&lt;0))),"Pourcentage invalide",IF(COUNTIF(bom_prod,A233)+COUNTIF(gam_prod,A233)=0,"Ni nomenclature ni gamme",IF(COUNTIFS(bom_prod,A233,bom_check,"&lt;&gt;OK")&gt;0,"Nomenclature à corriger",IF(COUNTIFS(gam_prod,A233,gam_check,"&lt;&gt;OK")&gt;0,"Gamme à corriger","OK")))))))))))</f>
        <v/>
      </c>
      <c r="Y233" s="70">
        <f>IF(J233="",N(p_fg),N(J233))</f>
        <v>0.15</v>
      </c>
      <c r="Z233" s="70">
        <f>IF(K233="",N(p_target),N(K233))</f>
        <v>0.25</v>
      </c>
      <c r="AA233" s="71" t="str">
        <f>IF(R233="","",IF(N(F233)&gt;0,ROUND(F233*N(E233),2),0))</f>
        <v/>
      </c>
      <c r="AB233" s="71">
        <f>IF(T233="",0,T233*N(E233))</f>
        <v>0.0</v>
      </c>
      <c r="AC233" s="71">
        <f>IF(T233="",0,R233*N(E233))</f>
        <v>0.0</v>
      </c>
      <c r="AD233" s="71">
        <f>IF(R233="",0,L233*N(E233))</f>
        <v>0.0</v>
      </c>
      <c r="AE233" s="71">
        <f>IF(R233="",0,M233*N(E233))</f>
        <v>0.0</v>
      </c>
      <c r="AF233" s="71">
        <f>IF(R233="",0,N233*N(E233))</f>
        <v>0.0</v>
      </c>
      <c r="AG233" s="71">
        <f>IF(R233="",0,O233*N(E233))</f>
        <v>0.0</v>
      </c>
      <c r="AH233" s="71">
        <f>IF(R233="",0,(N(G233)+N(H233)+N(I233)/D233)*N(E233))</f>
        <v>0.0</v>
      </c>
      <c r="AI233" s="71">
        <f>IF(R233="",0,P233*N(E233))</f>
        <v>0.0</v>
      </c>
      <c r="AJ233" s="71" t="str">
        <f>IF(AA233="","",COUNTIF(prod_ca,"&gt;"&amp;AA233)+COUNTIF(AA$6:AA233,AA233))</f>
        <v/>
      </c>
      <c r="AK233" s="71" t="str">
        <f>IF(OR(W233="Vendu à perte",W233="Sous la cible"),ROUND(U233,6),"")</f>
        <v/>
      </c>
      <c r="AL233" s="71" t="str">
        <f>IF(AK233="","",COUNTIF(prod_alk,"&lt;"&amp;AK233)+COUNTIF(AK$6:AK233,AK233))</f>
        <v/>
      </c>
    </row>
    <row r="234">
      <c r="A234" s="60" t="n"/>
      <c r="B234" s="60" t="n"/>
      <c r="C234" s="61" t="n"/>
      <c r="D234" s="62" t="n"/>
      <c r="E234" s="63" t="n"/>
      <c r="F234" s="64" t="n"/>
      <c r="G234" s="64" t="n"/>
      <c r="H234" s="64" t="n"/>
      <c r="I234" s="64" t="n"/>
      <c r="J234" s="65" t="n"/>
      <c r="K234" s="65" t="n"/>
      <c r="L234" s="66" t="str">
        <f>IF(X234="OK",SUMIF(bom_prod,A234,bom_cost),"")</f>
        <v/>
      </c>
      <c r="M234" s="66" t="str">
        <f>IF(X234="OK",SUMIF(gam_prod,A234,gam_mo),"")</f>
        <v/>
      </c>
      <c r="N234" s="66" t="str">
        <f>IF(X234="OK",SUMIF(gam_prod,A234,gam_mac),"")</f>
        <v/>
      </c>
      <c r="O234" s="66" t="str">
        <f>IF(X234="OK",SUMIF(gam_prod,A234,gam_setup)/D234,"")</f>
        <v/>
      </c>
      <c r="P234" s="66" t="str">
        <f>IF(X234="OK",(L234+M234+N234+O234+N(G234))*Y234,"")</f>
        <v/>
      </c>
      <c r="Q234" s="66" t="str">
        <f>IF(X234="OK",L234+M234+N234+O234+N(G234)+P234,"")</f>
        <v/>
      </c>
      <c r="R234" s="67" t="str">
        <f>IF(X234="OK",ROUND(Q234+N(H234)+N(I234)/D234,4),"")</f>
        <v/>
      </c>
      <c r="S234" s="66" t="str">
        <f>IF(X234="OK",ROUND(R234*(1+Z234),2),"")</f>
        <v/>
      </c>
      <c r="T234" s="66" t="str">
        <f>IF(AND(X234="OK",N(F234)&gt;0),F234-R234,"")</f>
        <v/>
      </c>
      <c r="U234" s="68" t="str">
        <f>IF(T234="","",IF(R234&lt;=0,"",T234/R234))</f>
        <v/>
      </c>
      <c r="V234" s="68" t="str">
        <f>IF(T234="","",T234/F234)</f>
        <v/>
      </c>
      <c r="W234" s="69" t="str">
        <f>IF(A234="","",IF(X234&lt;&gt;"OK","À corriger",IF(N(F234)&lt;=0,"Prix à saisir",IF(F234&lt;R234,"Vendu à perte",IF(F234&lt;S234,"Sous la cible","OK")))))</f>
        <v/>
      </c>
      <c r="X234" s="69" t="str">
        <f>IF(AND(A234="",COUNTA(B234:K234)=0),"",IF(A234="","Référence manquante",IF(COUNTIF($A$6:$A$305,A234)&gt;1,"Référence en double",IF(OR(NOT(ISNUMBER(D234)),N(D234)&lt;=0),"Taille de lot invalide",IF(AND(E234&lt;&gt;"",OR(NOT(ISNUMBER(E234)),N(E234)&lt;0)),"Volume annuel invalide",IF(AND(F234&lt;&gt;"",OR(NOT(ISNUMBER(F234)),N(F234)&lt;0)),"Prix de vente invalide",IF(OR(AND(G234&lt;&gt;"",OR(NOT(ISNUMBER(G234)),N(G234)&lt;0)),AND(H234&lt;&gt;"",OR(NOT(ISNUMBER(H234)),N(H234)&lt;0)),AND(I234&lt;&gt;"",OR(NOT(ISNUMBER(I234)),N(I234)&lt;0))),"Montant invalide",IF(OR(AND(J234&lt;&gt;"",OR(NOT(ISNUMBER(J234)),N(J234)&lt;0)),AND(K234&lt;&gt;"",OR(NOT(ISNUMBER(K234)),N(K234)&lt;0))),"Pourcentage invalide",IF(COUNTIF(bom_prod,A234)+COUNTIF(gam_prod,A234)=0,"Ni nomenclature ni gamme",IF(COUNTIFS(bom_prod,A234,bom_check,"&lt;&gt;OK")&gt;0,"Nomenclature à corriger",IF(COUNTIFS(gam_prod,A234,gam_check,"&lt;&gt;OK")&gt;0,"Gamme à corriger","OK")))))))))))</f>
        <v/>
      </c>
      <c r="Y234" s="70">
        <f>IF(J234="",N(p_fg),N(J234))</f>
        <v>0.15</v>
      </c>
      <c r="Z234" s="70">
        <f>IF(K234="",N(p_target),N(K234))</f>
        <v>0.25</v>
      </c>
      <c r="AA234" s="71" t="str">
        <f>IF(R234="","",IF(N(F234)&gt;0,ROUND(F234*N(E234),2),0))</f>
        <v/>
      </c>
      <c r="AB234" s="71">
        <f>IF(T234="",0,T234*N(E234))</f>
        <v>0.0</v>
      </c>
      <c r="AC234" s="71">
        <f>IF(T234="",0,R234*N(E234))</f>
        <v>0.0</v>
      </c>
      <c r="AD234" s="71">
        <f>IF(R234="",0,L234*N(E234))</f>
        <v>0.0</v>
      </c>
      <c r="AE234" s="71">
        <f>IF(R234="",0,M234*N(E234))</f>
        <v>0.0</v>
      </c>
      <c r="AF234" s="71">
        <f>IF(R234="",0,N234*N(E234))</f>
        <v>0.0</v>
      </c>
      <c r="AG234" s="71">
        <f>IF(R234="",0,O234*N(E234))</f>
        <v>0.0</v>
      </c>
      <c r="AH234" s="71">
        <f>IF(R234="",0,(N(G234)+N(H234)+N(I234)/D234)*N(E234))</f>
        <v>0.0</v>
      </c>
      <c r="AI234" s="71">
        <f>IF(R234="",0,P234*N(E234))</f>
        <v>0.0</v>
      </c>
      <c r="AJ234" s="71" t="str">
        <f>IF(AA234="","",COUNTIF(prod_ca,"&gt;"&amp;AA234)+COUNTIF(AA$6:AA234,AA234))</f>
        <v/>
      </c>
      <c r="AK234" s="71" t="str">
        <f>IF(OR(W234="Vendu à perte",W234="Sous la cible"),ROUND(U234,6),"")</f>
        <v/>
      </c>
      <c r="AL234" s="71" t="str">
        <f>IF(AK234="","",COUNTIF(prod_alk,"&lt;"&amp;AK234)+COUNTIF(AK$6:AK234,AK234))</f>
        <v/>
      </c>
    </row>
    <row r="235">
      <c r="A235" s="60" t="n"/>
      <c r="B235" s="60" t="n"/>
      <c r="C235" s="61" t="n"/>
      <c r="D235" s="62" t="n"/>
      <c r="E235" s="63" t="n"/>
      <c r="F235" s="64" t="n"/>
      <c r="G235" s="64" t="n"/>
      <c r="H235" s="64" t="n"/>
      <c r="I235" s="64" t="n"/>
      <c r="J235" s="65" t="n"/>
      <c r="K235" s="65" t="n"/>
      <c r="L235" s="66" t="str">
        <f>IF(X235="OK",SUMIF(bom_prod,A235,bom_cost),"")</f>
        <v/>
      </c>
      <c r="M235" s="66" t="str">
        <f>IF(X235="OK",SUMIF(gam_prod,A235,gam_mo),"")</f>
        <v/>
      </c>
      <c r="N235" s="66" t="str">
        <f>IF(X235="OK",SUMIF(gam_prod,A235,gam_mac),"")</f>
        <v/>
      </c>
      <c r="O235" s="66" t="str">
        <f>IF(X235="OK",SUMIF(gam_prod,A235,gam_setup)/D235,"")</f>
        <v/>
      </c>
      <c r="P235" s="66" t="str">
        <f>IF(X235="OK",(L235+M235+N235+O235+N(G235))*Y235,"")</f>
        <v/>
      </c>
      <c r="Q235" s="66" t="str">
        <f>IF(X235="OK",L235+M235+N235+O235+N(G235)+P235,"")</f>
        <v/>
      </c>
      <c r="R235" s="67" t="str">
        <f>IF(X235="OK",ROUND(Q235+N(H235)+N(I235)/D235,4),"")</f>
        <v/>
      </c>
      <c r="S235" s="66" t="str">
        <f>IF(X235="OK",ROUND(R235*(1+Z235),2),"")</f>
        <v/>
      </c>
      <c r="T235" s="66" t="str">
        <f>IF(AND(X235="OK",N(F235)&gt;0),F235-R235,"")</f>
        <v/>
      </c>
      <c r="U235" s="68" t="str">
        <f>IF(T235="","",IF(R235&lt;=0,"",T235/R235))</f>
        <v/>
      </c>
      <c r="V235" s="68" t="str">
        <f>IF(T235="","",T235/F235)</f>
        <v/>
      </c>
      <c r="W235" s="69" t="str">
        <f>IF(A235="","",IF(X235&lt;&gt;"OK","À corriger",IF(N(F235)&lt;=0,"Prix à saisir",IF(F235&lt;R235,"Vendu à perte",IF(F235&lt;S235,"Sous la cible","OK")))))</f>
        <v/>
      </c>
      <c r="X235" s="69" t="str">
        <f>IF(AND(A235="",COUNTA(B235:K235)=0),"",IF(A235="","Référence manquante",IF(COUNTIF($A$6:$A$305,A235)&gt;1,"Référence en double",IF(OR(NOT(ISNUMBER(D235)),N(D235)&lt;=0),"Taille de lot invalide",IF(AND(E235&lt;&gt;"",OR(NOT(ISNUMBER(E235)),N(E235)&lt;0)),"Volume annuel invalide",IF(AND(F235&lt;&gt;"",OR(NOT(ISNUMBER(F235)),N(F235)&lt;0)),"Prix de vente invalide",IF(OR(AND(G235&lt;&gt;"",OR(NOT(ISNUMBER(G235)),N(G235)&lt;0)),AND(H235&lt;&gt;"",OR(NOT(ISNUMBER(H235)),N(H235)&lt;0)),AND(I235&lt;&gt;"",OR(NOT(ISNUMBER(I235)),N(I235)&lt;0))),"Montant invalide",IF(OR(AND(J235&lt;&gt;"",OR(NOT(ISNUMBER(J235)),N(J235)&lt;0)),AND(K235&lt;&gt;"",OR(NOT(ISNUMBER(K235)),N(K235)&lt;0))),"Pourcentage invalide",IF(COUNTIF(bom_prod,A235)+COUNTIF(gam_prod,A235)=0,"Ni nomenclature ni gamme",IF(COUNTIFS(bom_prod,A235,bom_check,"&lt;&gt;OK")&gt;0,"Nomenclature à corriger",IF(COUNTIFS(gam_prod,A235,gam_check,"&lt;&gt;OK")&gt;0,"Gamme à corriger","OK")))))))))))</f>
        <v/>
      </c>
      <c r="Y235" s="70">
        <f>IF(J235="",N(p_fg),N(J235))</f>
        <v>0.15</v>
      </c>
      <c r="Z235" s="70">
        <f>IF(K235="",N(p_target),N(K235))</f>
        <v>0.25</v>
      </c>
      <c r="AA235" s="71" t="str">
        <f>IF(R235="","",IF(N(F235)&gt;0,ROUND(F235*N(E235),2),0))</f>
        <v/>
      </c>
      <c r="AB235" s="71">
        <f>IF(T235="",0,T235*N(E235))</f>
        <v>0.0</v>
      </c>
      <c r="AC235" s="71">
        <f>IF(T235="",0,R235*N(E235))</f>
        <v>0.0</v>
      </c>
      <c r="AD235" s="71">
        <f>IF(R235="",0,L235*N(E235))</f>
        <v>0.0</v>
      </c>
      <c r="AE235" s="71">
        <f>IF(R235="",0,M235*N(E235))</f>
        <v>0.0</v>
      </c>
      <c r="AF235" s="71">
        <f>IF(R235="",0,N235*N(E235))</f>
        <v>0.0</v>
      </c>
      <c r="AG235" s="71">
        <f>IF(R235="",0,O235*N(E235))</f>
        <v>0.0</v>
      </c>
      <c r="AH235" s="71">
        <f>IF(R235="",0,(N(G235)+N(H235)+N(I235)/D235)*N(E235))</f>
        <v>0.0</v>
      </c>
      <c r="AI235" s="71">
        <f>IF(R235="",0,P235*N(E235))</f>
        <v>0.0</v>
      </c>
      <c r="AJ235" s="71" t="str">
        <f>IF(AA235="","",COUNTIF(prod_ca,"&gt;"&amp;AA235)+COUNTIF(AA$6:AA235,AA235))</f>
        <v/>
      </c>
      <c r="AK235" s="71" t="str">
        <f>IF(OR(W235="Vendu à perte",W235="Sous la cible"),ROUND(U235,6),"")</f>
        <v/>
      </c>
      <c r="AL235" s="71" t="str">
        <f>IF(AK235="","",COUNTIF(prod_alk,"&lt;"&amp;AK235)+COUNTIF(AK$6:AK235,AK235))</f>
        <v/>
      </c>
    </row>
    <row r="236">
      <c r="A236" s="60" t="n"/>
      <c r="B236" s="60" t="n"/>
      <c r="C236" s="61" t="n"/>
      <c r="D236" s="62" t="n"/>
      <c r="E236" s="63" t="n"/>
      <c r="F236" s="64" t="n"/>
      <c r="G236" s="64" t="n"/>
      <c r="H236" s="64" t="n"/>
      <c r="I236" s="64" t="n"/>
      <c r="J236" s="65" t="n"/>
      <c r="K236" s="65" t="n"/>
      <c r="L236" s="66" t="str">
        <f>IF(X236="OK",SUMIF(bom_prod,A236,bom_cost),"")</f>
        <v/>
      </c>
      <c r="M236" s="66" t="str">
        <f>IF(X236="OK",SUMIF(gam_prod,A236,gam_mo),"")</f>
        <v/>
      </c>
      <c r="N236" s="66" t="str">
        <f>IF(X236="OK",SUMIF(gam_prod,A236,gam_mac),"")</f>
        <v/>
      </c>
      <c r="O236" s="66" t="str">
        <f>IF(X236="OK",SUMIF(gam_prod,A236,gam_setup)/D236,"")</f>
        <v/>
      </c>
      <c r="P236" s="66" t="str">
        <f>IF(X236="OK",(L236+M236+N236+O236+N(G236))*Y236,"")</f>
        <v/>
      </c>
      <c r="Q236" s="66" t="str">
        <f>IF(X236="OK",L236+M236+N236+O236+N(G236)+P236,"")</f>
        <v/>
      </c>
      <c r="R236" s="67" t="str">
        <f>IF(X236="OK",ROUND(Q236+N(H236)+N(I236)/D236,4),"")</f>
        <v/>
      </c>
      <c r="S236" s="66" t="str">
        <f>IF(X236="OK",ROUND(R236*(1+Z236),2),"")</f>
        <v/>
      </c>
      <c r="T236" s="66" t="str">
        <f>IF(AND(X236="OK",N(F236)&gt;0),F236-R236,"")</f>
        <v/>
      </c>
      <c r="U236" s="68" t="str">
        <f>IF(T236="","",IF(R236&lt;=0,"",T236/R236))</f>
        <v/>
      </c>
      <c r="V236" s="68" t="str">
        <f>IF(T236="","",T236/F236)</f>
        <v/>
      </c>
      <c r="W236" s="69" t="str">
        <f>IF(A236="","",IF(X236&lt;&gt;"OK","À corriger",IF(N(F236)&lt;=0,"Prix à saisir",IF(F236&lt;R236,"Vendu à perte",IF(F236&lt;S236,"Sous la cible","OK")))))</f>
        <v/>
      </c>
      <c r="X236" s="69" t="str">
        <f>IF(AND(A236="",COUNTA(B236:K236)=0),"",IF(A236="","Référence manquante",IF(COUNTIF($A$6:$A$305,A236)&gt;1,"Référence en double",IF(OR(NOT(ISNUMBER(D236)),N(D236)&lt;=0),"Taille de lot invalide",IF(AND(E236&lt;&gt;"",OR(NOT(ISNUMBER(E236)),N(E236)&lt;0)),"Volume annuel invalide",IF(AND(F236&lt;&gt;"",OR(NOT(ISNUMBER(F236)),N(F236)&lt;0)),"Prix de vente invalide",IF(OR(AND(G236&lt;&gt;"",OR(NOT(ISNUMBER(G236)),N(G236)&lt;0)),AND(H236&lt;&gt;"",OR(NOT(ISNUMBER(H236)),N(H236)&lt;0)),AND(I236&lt;&gt;"",OR(NOT(ISNUMBER(I236)),N(I236)&lt;0))),"Montant invalide",IF(OR(AND(J236&lt;&gt;"",OR(NOT(ISNUMBER(J236)),N(J236)&lt;0)),AND(K236&lt;&gt;"",OR(NOT(ISNUMBER(K236)),N(K236)&lt;0))),"Pourcentage invalide",IF(COUNTIF(bom_prod,A236)+COUNTIF(gam_prod,A236)=0,"Ni nomenclature ni gamme",IF(COUNTIFS(bom_prod,A236,bom_check,"&lt;&gt;OK")&gt;0,"Nomenclature à corriger",IF(COUNTIFS(gam_prod,A236,gam_check,"&lt;&gt;OK")&gt;0,"Gamme à corriger","OK")))))))))))</f>
        <v/>
      </c>
      <c r="Y236" s="70">
        <f>IF(J236="",N(p_fg),N(J236))</f>
        <v>0.15</v>
      </c>
      <c r="Z236" s="70">
        <f>IF(K236="",N(p_target),N(K236))</f>
        <v>0.25</v>
      </c>
      <c r="AA236" s="71" t="str">
        <f>IF(R236="","",IF(N(F236)&gt;0,ROUND(F236*N(E236),2),0))</f>
        <v/>
      </c>
      <c r="AB236" s="71">
        <f>IF(T236="",0,T236*N(E236))</f>
        <v>0.0</v>
      </c>
      <c r="AC236" s="71">
        <f>IF(T236="",0,R236*N(E236))</f>
        <v>0.0</v>
      </c>
      <c r="AD236" s="71">
        <f>IF(R236="",0,L236*N(E236))</f>
        <v>0.0</v>
      </c>
      <c r="AE236" s="71">
        <f>IF(R236="",0,M236*N(E236))</f>
        <v>0.0</v>
      </c>
      <c r="AF236" s="71">
        <f>IF(R236="",0,N236*N(E236))</f>
        <v>0.0</v>
      </c>
      <c r="AG236" s="71">
        <f>IF(R236="",0,O236*N(E236))</f>
        <v>0.0</v>
      </c>
      <c r="AH236" s="71">
        <f>IF(R236="",0,(N(G236)+N(H236)+N(I236)/D236)*N(E236))</f>
        <v>0.0</v>
      </c>
      <c r="AI236" s="71">
        <f>IF(R236="",0,P236*N(E236))</f>
        <v>0.0</v>
      </c>
      <c r="AJ236" s="71" t="str">
        <f>IF(AA236="","",COUNTIF(prod_ca,"&gt;"&amp;AA236)+COUNTIF(AA$6:AA236,AA236))</f>
        <v/>
      </c>
      <c r="AK236" s="71" t="str">
        <f>IF(OR(W236="Vendu à perte",W236="Sous la cible"),ROUND(U236,6),"")</f>
        <v/>
      </c>
      <c r="AL236" s="71" t="str">
        <f>IF(AK236="","",COUNTIF(prod_alk,"&lt;"&amp;AK236)+COUNTIF(AK$6:AK236,AK236))</f>
        <v/>
      </c>
    </row>
    <row r="237">
      <c r="A237" s="60" t="n"/>
      <c r="B237" s="60" t="n"/>
      <c r="C237" s="61" t="n"/>
      <c r="D237" s="62" t="n"/>
      <c r="E237" s="63" t="n"/>
      <c r="F237" s="64" t="n"/>
      <c r="G237" s="64" t="n"/>
      <c r="H237" s="64" t="n"/>
      <c r="I237" s="64" t="n"/>
      <c r="J237" s="65" t="n"/>
      <c r="K237" s="65" t="n"/>
      <c r="L237" s="66" t="str">
        <f>IF(X237="OK",SUMIF(bom_prod,A237,bom_cost),"")</f>
        <v/>
      </c>
      <c r="M237" s="66" t="str">
        <f>IF(X237="OK",SUMIF(gam_prod,A237,gam_mo),"")</f>
        <v/>
      </c>
      <c r="N237" s="66" t="str">
        <f>IF(X237="OK",SUMIF(gam_prod,A237,gam_mac),"")</f>
        <v/>
      </c>
      <c r="O237" s="66" t="str">
        <f>IF(X237="OK",SUMIF(gam_prod,A237,gam_setup)/D237,"")</f>
        <v/>
      </c>
      <c r="P237" s="66" t="str">
        <f>IF(X237="OK",(L237+M237+N237+O237+N(G237))*Y237,"")</f>
        <v/>
      </c>
      <c r="Q237" s="66" t="str">
        <f>IF(X237="OK",L237+M237+N237+O237+N(G237)+P237,"")</f>
        <v/>
      </c>
      <c r="R237" s="67" t="str">
        <f>IF(X237="OK",ROUND(Q237+N(H237)+N(I237)/D237,4),"")</f>
        <v/>
      </c>
      <c r="S237" s="66" t="str">
        <f>IF(X237="OK",ROUND(R237*(1+Z237),2),"")</f>
        <v/>
      </c>
      <c r="T237" s="66" t="str">
        <f>IF(AND(X237="OK",N(F237)&gt;0),F237-R237,"")</f>
        <v/>
      </c>
      <c r="U237" s="68" t="str">
        <f>IF(T237="","",IF(R237&lt;=0,"",T237/R237))</f>
        <v/>
      </c>
      <c r="V237" s="68" t="str">
        <f>IF(T237="","",T237/F237)</f>
        <v/>
      </c>
      <c r="W237" s="69" t="str">
        <f>IF(A237="","",IF(X237&lt;&gt;"OK","À corriger",IF(N(F237)&lt;=0,"Prix à saisir",IF(F237&lt;R237,"Vendu à perte",IF(F237&lt;S237,"Sous la cible","OK")))))</f>
        <v/>
      </c>
      <c r="X237" s="69" t="str">
        <f>IF(AND(A237="",COUNTA(B237:K237)=0),"",IF(A237="","Référence manquante",IF(COUNTIF($A$6:$A$305,A237)&gt;1,"Référence en double",IF(OR(NOT(ISNUMBER(D237)),N(D237)&lt;=0),"Taille de lot invalide",IF(AND(E237&lt;&gt;"",OR(NOT(ISNUMBER(E237)),N(E237)&lt;0)),"Volume annuel invalide",IF(AND(F237&lt;&gt;"",OR(NOT(ISNUMBER(F237)),N(F237)&lt;0)),"Prix de vente invalide",IF(OR(AND(G237&lt;&gt;"",OR(NOT(ISNUMBER(G237)),N(G237)&lt;0)),AND(H237&lt;&gt;"",OR(NOT(ISNUMBER(H237)),N(H237)&lt;0)),AND(I237&lt;&gt;"",OR(NOT(ISNUMBER(I237)),N(I237)&lt;0))),"Montant invalide",IF(OR(AND(J237&lt;&gt;"",OR(NOT(ISNUMBER(J237)),N(J237)&lt;0)),AND(K237&lt;&gt;"",OR(NOT(ISNUMBER(K237)),N(K237)&lt;0))),"Pourcentage invalide",IF(COUNTIF(bom_prod,A237)+COUNTIF(gam_prod,A237)=0,"Ni nomenclature ni gamme",IF(COUNTIFS(bom_prod,A237,bom_check,"&lt;&gt;OK")&gt;0,"Nomenclature à corriger",IF(COUNTIFS(gam_prod,A237,gam_check,"&lt;&gt;OK")&gt;0,"Gamme à corriger","OK")))))))))))</f>
        <v/>
      </c>
      <c r="Y237" s="70">
        <f>IF(J237="",N(p_fg),N(J237))</f>
        <v>0.15</v>
      </c>
      <c r="Z237" s="70">
        <f>IF(K237="",N(p_target),N(K237))</f>
        <v>0.25</v>
      </c>
      <c r="AA237" s="71" t="str">
        <f>IF(R237="","",IF(N(F237)&gt;0,ROUND(F237*N(E237),2),0))</f>
        <v/>
      </c>
      <c r="AB237" s="71">
        <f>IF(T237="",0,T237*N(E237))</f>
        <v>0.0</v>
      </c>
      <c r="AC237" s="71">
        <f>IF(T237="",0,R237*N(E237))</f>
        <v>0.0</v>
      </c>
      <c r="AD237" s="71">
        <f>IF(R237="",0,L237*N(E237))</f>
        <v>0.0</v>
      </c>
      <c r="AE237" s="71">
        <f>IF(R237="",0,M237*N(E237))</f>
        <v>0.0</v>
      </c>
      <c r="AF237" s="71">
        <f>IF(R237="",0,N237*N(E237))</f>
        <v>0.0</v>
      </c>
      <c r="AG237" s="71">
        <f>IF(R237="",0,O237*N(E237))</f>
        <v>0.0</v>
      </c>
      <c r="AH237" s="71">
        <f>IF(R237="",0,(N(G237)+N(H237)+N(I237)/D237)*N(E237))</f>
        <v>0.0</v>
      </c>
      <c r="AI237" s="71">
        <f>IF(R237="",0,P237*N(E237))</f>
        <v>0.0</v>
      </c>
      <c r="AJ237" s="71" t="str">
        <f>IF(AA237="","",COUNTIF(prod_ca,"&gt;"&amp;AA237)+COUNTIF(AA$6:AA237,AA237))</f>
        <v/>
      </c>
      <c r="AK237" s="71" t="str">
        <f>IF(OR(W237="Vendu à perte",W237="Sous la cible"),ROUND(U237,6),"")</f>
        <v/>
      </c>
      <c r="AL237" s="71" t="str">
        <f>IF(AK237="","",COUNTIF(prod_alk,"&lt;"&amp;AK237)+COUNTIF(AK$6:AK237,AK237))</f>
        <v/>
      </c>
    </row>
    <row r="238">
      <c r="A238" s="60" t="n"/>
      <c r="B238" s="60" t="n"/>
      <c r="C238" s="61" t="n"/>
      <c r="D238" s="62" t="n"/>
      <c r="E238" s="63" t="n"/>
      <c r="F238" s="64" t="n"/>
      <c r="G238" s="64" t="n"/>
      <c r="H238" s="64" t="n"/>
      <c r="I238" s="64" t="n"/>
      <c r="J238" s="65" t="n"/>
      <c r="K238" s="65" t="n"/>
      <c r="L238" s="66" t="str">
        <f>IF(X238="OK",SUMIF(bom_prod,A238,bom_cost),"")</f>
        <v/>
      </c>
      <c r="M238" s="66" t="str">
        <f>IF(X238="OK",SUMIF(gam_prod,A238,gam_mo),"")</f>
        <v/>
      </c>
      <c r="N238" s="66" t="str">
        <f>IF(X238="OK",SUMIF(gam_prod,A238,gam_mac),"")</f>
        <v/>
      </c>
      <c r="O238" s="66" t="str">
        <f>IF(X238="OK",SUMIF(gam_prod,A238,gam_setup)/D238,"")</f>
        <v/>
      </c>
      <c r="P238" s="66" t="str">
        <f>IF(X238="OK",(L238+M238+N238+O238+N(G238))*Y238,"")</f>
        <v/>
      </c>
      <c r="Q238" s="66" t="str">
        <f>IF(X238="OK",L238+M238+N238+O238+N(G238)+P238,"")</f>
        <v/>
      </c>
      <c r="R238" s="67" t="str">
        <f>IF(X238="OK",ROUND(Q238+N(H238)+N(I238)/D238,4),"")</f>
        <v/>
      </c>
      <c r="S238" s="66" t="str">
        <f>IF(X238="OK",ROUND(R238*(1+Z238),2),"")</f>
        <v/>
      </c>
      <c r="T238" s="66" t="str">
        <f>IF(AND(X238="OK",N(F238)&gt;0),F238-R238,"")</f>
        <v/>
      </c>
      <c r="U238" s="68" t="str">
        <f>IF(T238="","",IF(R238&lt;=0,"",T238/R238))</f>
        <v/>
      </c>
      <c r="V238" s="68" t="str">
        <f>IF(T238="","",T238/F238)</f>
        <v/>
      </c>
      <c r="W238" s="69" t="str">
        <f>IF(A238="","",IF(X238&lt;&gt;"OK","À corriger",IF(N(F238)&lt;=0,"Prix à saisir",IF(F238&lt;R238,"Vendu à perte",IF(F238&lt;S238,"Sous la cible","OK")))))</f>
        <v/>
      </c>
      <c r="X238" s="69" t="str">
        <f>IF(AND(A238="",COUNTA(B238:K238)=0),"",IF(A238="","Référence manquante",IF(COUNTIF($A$6:$A$305,A238)&gt;1,"Référence en double",IF(OR(NOT(ISNUMBER(D238)),N(D238)&lt;=0),"Taille de lot invalide",IF(AND(E238&lt;&gt;"",OR(NOT(ISNUMBER(E238)),N(E238)&lt;0)),"Volume annuel invalide",IF(AND(F238&lt;&gt;"",OR(NOT(ISNUMBER(F238)),N(F238)&lt;0)),"Prix de vente invalide",IF(OR(AND(G238&lt;&gt;"",OR(NOT(ISNUMBER(G238)),N(G238)&lt;0)),AND(H238&lt;&gt;"",OR(NOT(ISNUMBER(H238)),N(H238)&lt;0)),AND(I238&lt;&gt;"",OR(NOT(ISNUMBER(I238)),N(I238)&lt;0))),"Montant invalide",IF(OR(AND(J238&lt;&gt;"",OR(NOT(ISNUMBER(J238)),N(J238)&lt;0)),AND(K238&lt;&gt;"",OR(NOT(ISNUMBER(K238)),N(K238)&lt;0))),"Pourcentage invalide",IF(COUNTIF(bom_prod,A238)+COUNTIF(gam_prod,A238)=0,"Ni nomenclature ni gamme",IF(COUNTIFS(bom_prod,A238,bom_check,"&lt;&gt;OK")&gt;0,"Nomenclature à corriger",IF(COUNTIFS(gam_prod,A238,gam_check,"&lt;&gt;OK")&gt;0,"Gamme à corriger","OK")))))))))))</f>
        <v/>
      </c>
      <c r="Y238" s="70">
        <f>IF(J238="",N(p_fg),N(J238))</f>
        <v>0.15</v>
      </c>
      <c r="Z238" s="70">
        <f>IF(K238="",N(p_target),N(K238))</f>
        <v>0.25</v>
      </c>
      <c r="AA238" s="71" t="str">
        <f>IF(R238="","",IF(N(F238)&gt;0,ROUND(F238*N(E238),2),0))</f>
        <v/>
      </c>
      <c r="AB238" s="71">
        <f>IF(T238="",0,T238*N(E238))</f>
        <v>0.0</v>
      </c>
      <c r="AC238" s="71">
        <f>IF(T238="",0,R238*N(E238))</f>
        <v>0.0</v>
      </c>
      <c r="AD238" s="71">
        <f>IF(R238="",0,L238*N(E238))</f>
        <v>0.0</v>
      </c>
      <c r="AE238" s="71">
        <f>IF(R238="",0,M238*N(E238))</f>
        <v>0.0</v>
      </c>
      <c r="AF238" s="71">
        <f>IF(R238="",0,N238*N(E238))</f>
        <v>0.0</v>
      </c>
      <c r="AG238" s="71">
        <f>IF(R238="",0,O238*N(E238))</f>
        <v>0.0</v>
      </c>
      <c r="AH238" s="71">
        <f>IF(R238="",0,(N(G238)+N(H238)+N(I238)/D238)*N(E238))</f>
        <v>0.0</v>
      </c>
      <c r="AI238" s="71">
        <f>IF(R238="",0,P238*N(E238))</f>
        <v>0.0</v>
      </c>
      <c r="AJ238" s="71" t="str">
        <f>IF(AA238="","",COUNTIF(prod_ca,"&gt;"&amp;AA238)+COUNTIF(AA$6:AA238,AA238))</f>
        <v/>
      </c>
      <c r="AK238" s="71" t="str">
        <f>IF(OR(W238="Vendu à perte",W238="Sous la cible"),ROUND(U238,6),"")</f>
        <v/>
      </c>
      <c r="AL238" s="71" t="str">
        <f>IF(AK238="","",COUNTIF(prod_alk,"&lt;"&amp;AK238)+COUNTIF(AK$6:AK238,AK238))</f>
        <v/>
      </c>
    </row>
    <row r="239">
      <c r="A239" s="60" t="n"/>
      <c r="B239" s="60" t="n"/>
      <c r="C239" s="61" t="n"/>
      <c r="D239" s="62" t="n"/>
      <c r="E239" s="63" t="n"/>
      <c r="F239" s="64" t="n"/>
      <c r="G239" s="64" t="n"/>
      <c r="H239" s="64" t="n"/>
      <c r="I239" s="64" t="n"/>
      <c r="J239" s="65" t="n"/>
      <c r="K239" s="65" t="n"/>
      <c r="L239" s="66" t="str">
        <f>IF(X239="OK",SUMIF(bom_prod,A239,bom_cost),"")</f>
        <v/>
      </c>
      <c r="M239" s="66" t="str">
        <f>IF(X239="OK",SUMIF(gam_prod,A239,gam_mo),"")</f>
        <v/>
      </c>
      <c r="N239" s="66" t="str">
        <f>IF(X239="OK",SUMIF(gam_prod,A239,gam_mac),"")</f>
        <v/>
      </c>
      <c r="O239" s="66" t="str">
        <f>IF(X239="OK",SUMIF(gam_prod,A239,gam_setup)/D239,"")</f>
        <v/>
      </c>
      <c r="P239" s="66" t="str">
        <f>IF(X239="OK",(L239+M239+N239+O239+N(G239))*Y239,"")</f>
        <v/>
      </c>
      <c r="Q239" s="66" t="str">
        <f>IF(X239="OK",L239+M239+N239+O239+N(G239)+P239,"")</f>
        <v/>
      </c>
      <c r="R239" s="67" t="str">
        <f>IF(X239="OK",ROUND(Q239+N(H239)+N(I239)/D239,4),"")</f>
        <v/>
      </c>
      <c r="S239" s="66" t="str">
        <f>IF(X239="OK",ROUND(R239*(1+Z239),2),"")</f>
        <v/>
      </c>
      <c r="T239" s="66" t="str">
        <f>IF(AND(X239="OK",N(F239)&gt;0),F239-R239,"")</f>
        <v/>
      </c>
      <c r="U239" s="68" t="str">
        <f>IF(T239="","",IF(R239&lt;=0,"",T239/R239))</f>
        <v/>
      </c>
      <c r="V239" s="68" t="str">
        <f>IF(T239="","",T239/F239)</f>
        <v/>
      </c>
      <c r="W239" s="69" t="str">
        <f>IF(A239="","",IF(X239&lt;&gt;"OK","À corriger",IF(N(F239)&lt;=0,"Prix à saisir",IF(F239&lt;R239,"Vendu à perte",IF(F239&lt;S239,"Sous la cible","OK")))))</f>
        <v/>
      </c>
      <c r="X239" s="69" t="str">
        <f>IF(AND(A239="",COUNTA(B239:K239)=0),"",IF(A239="","Référence manquante",IF(COUNTIF($A$6:$A$305,A239)&gt;1,"Référence en double",IF(OR(NOT(ISNUMBER(D239)),N(D239)&lt;=0),"Taille de lot invalide",IF(AND(E239&lt;&gt;"",OR(NOT(ISNUMBER(E239)),N(E239)&lt;0)),"Volume annuel invalide",IF(AND(F239&lt;&gt;"",OR(NOT(ISNUMBER(F239)),N(F239)&lt;0)),"Prix de vente invalide",IF(OR(AND(G239&lt;&gt;"",OR(NOT(ISNUMBER(G239)),N(G239)&lt;0)),AND(H239&lt;&gt;"",OR(NOT(ISNUMBER(H239)),N(H239)&lt;0)),AND(I239&lt;&gt;"",OR(NOT(ISNUMBER(I239)),N(I239)&lt;0))),"Montant invalide",IF(OR(AND(J239&lt;&gt;"",OR(NOT(ISNUMBER(J239)),N(J239)&lt;0)),AND(K239&lt;&gt;"",OR(NOT(ISNUMBER(K239)),N(K239)&lt;0))),"Pourcentage invalide",IF(COUNTIF(bom_prod,A239)+COUNTIF(gam_prod,A239)=0,"Ni nomenclature ni gamme",IF(COUNTIFS(bom_prod,A239,bom_check,"&lt;&gt;OK")&gt;0,"Nomenclature à corriger",IF(COUNTIFS(gam_prod,A239,gam_check,"&lt;&gt;OK")&gt;0,"Gamme à corriger","OK")))))))))))</f>
        <v/>
      </c>
      <c r="Y239" s="70">
        <f>IF(J239="",N(p_fg),N(J239))</f>
        <v>0.15</v>
      </c>
      <c r="Z239" s="70">
        <f>IF(K239="",N(p_target),N(K239))</f>
        <v>0.25</v>
      </c>
      <c r="AA239" s="71" t="str">
        <f>IF(R239="","",IF(N(F239)&gt;0,ROUND(F239*N(E239),2),0))</f>
        <v/>
      </c>
      <c r="AB239" s="71">
        <f>IF(T239="",0,T239*N(E239))</f>
        <v>0.0</v>
      </c>
      <c r="AC239" s="71">
        <f>IF(T239="",0,R239*N(E239))</f>
        <v>0.0</v>
      </c>
      <c r="AD239" s="71">
        <f>IF(R239="",0,L239*N(E239))</f>
        <v>0.0</v>
      </c>
      <c r="AE239" s="71">
        <f>IF(R239="",0,M239*N(E239))</f>
        <v>0.0</v>
      </c>
      <c r="AF239" s="71">
        <f>IF(R239="",0,N239*N(E239))</f>
        <v>0.0</v>
      </c>
      <c r="AG239" s="71">
        <f>IF(R239="",0,O239*N(E239))</f>
        <v>0.0</v>
      </c>
      <c r="AH239" s="71">
        <f>IF(R239="",0,(N(G239)+N(H239)+N(I239)/D239)*N(E239))</f>
        <v>0.0</v>
      </c>
      <c r="AI239" s="71">
        <f>IF(R239="",0,P239*N(E239))</f>
        <v>0.0</v>
      </c>
      <c r="AJ239" s="71" t="str">
        <f>IF(AA239="","",COUNTIF(prod_ca,"&gt;"&amp;AA239)+COUNTIF(AA$6:AA239,AA239))</f>
        <v/>
      </c>
      <c r="AK239" s="71" t="str">
        <f>IF(OR(W239="Vendu à perte",W239="Sous la cible"),ROUND(U239,6),"")</f>
        <v/>
      </c>
      <c r="AL239" s="71" t="str">
        <f>IF(AK239="","",COUNTIF(prod_alk,"&lt;"&amp;AK239)+COUNTIF(AK$6:AK239,AK239))</f>
        <v/>
      </c>
    </row>
    <row r="240">
      <c r="A240" s="60" t="n"/>
      <c r="B240" s="60" t="n"/>
      <c r="C240" s="61" t="n"/>
      <c r="D240" s="62" t="n"/>
      <c r="E240" s="63" t="n"/>
      <c r="F240" s="64" t="n"/>
      <c r="G240" s="64" t="n"/>
      <c r="H240" s="64" t="n"/>
      <c r="I240" s="64" t="n"/>
      <c r="J240" s="65" t="n"/>
      <c r="K240" s="65" t="n"/>
      <c r="L240" s="66" t="str">
        <f>IF(X240="OK",SUMIF(bom_prod,A240,bom_cost),"")</f>
        <v/>
      </c>
      <c r="M240" s="66" t="str">
        <f>IF(X240="OK",SUMIF(gam_prod,A240,gam_mo),"")</f>
        <v/>
      </c>
      <c r="N240" s="66" t="str">
        <f>IF(X240="OK",SUMIF(gam_prod,A240,gam_mac),"")</f>
        <v/>
      </c>
      <c r="O240" s="66" t="str">
        <f>IF(X240="OK",SUMIF(gam_prod,A240,gam_setup)/D240,"")</f>
        <v/>
      </c>
      <c r="P240" s="66" t="str">
        <f>IF(X240="OK",(L240+M240+N240+O240+N(G240))*Y240,"")</f>
        <v/>
      </c>
      <c r="Q240" s="66" t="str">
        <f>IF(X240="OK",L240+M240+N240+O240+N(G240)+P240,"")</f>
        <v/>
      </c>
      <c r="R240" s="67" t="str">
        <f>IF(X240="OK",ROUND(Q240+N(H240)+N(I240)/D240,4),"")</f>
        <v/>
      </c>
      <c r="S240" s="66" t="str">
        <f>IF(X240="OK",ROUND(R240*(1+Z240),2),"")</f>
        <v/>
      </c>
      <c r="T240" s="66" t="str">
        <f>IF(AND(X240="OK",N(F240)&gt;0),F240-R240,"")</f>
        <v/>
      </c>
      <c r="U240" s="68" t="str">
        <f>IF(T240="","",IF(R240&lt;=0,"",T240/R240))</f>
        <v/>
      </c>
      <c r="V240" s="68" t="str">
        <f>IF(T240="","",T240/F240)</f>
        <v/>
      </c>
      <c r="W240" s="69" t="str">
        <f>IF(A240="","",IF(X240&lt;&gt;"OK","À corriger",IF(N(F240)&lt;=0,"Prix à saisir",IF(F240&lt;R240,"Vendu à perte",IF(F240&lt;S240,"Sous la cible","OK")))))</f>
        <v/>
      </c>
      <c r="X240" s="69" t="str">
        <f>IF(AND(A240="",COUNTA(B240:K240)=0),"",IF(A240="","Référence manquante",IF(COUNTIF($A$6:$A$305,A240)&gt;1,"Référence en double",IF(OR(NOT(ISNUMBER(D240)),N(D240)&lt;=0),"Taille de lot invalide",IF(AND(E240&lt;&gt;"",OR(NOT(ISNUMBER(E240)),N(E240)&lt;0)),"Volume annuel invalide",IF(AND(F240&lt;&gt;"",OR(NOT(ISNUMBER(F240)),N(F240)&lt;0)),"Prix de vente invalide",IF(OR(AND(G240&lt;&gt;"",OR(NOT(ISNUMBER(G240)),N(G240)&lt;0)),AND(H240&lt;&gt;"",OR(NOT(ISNUMBER(H240)),N(H240)&lt;0)),AND(I240&lt;&gt;"",OR(NOT(ISNUMBER(I240)),N(I240)&lt;0))),"Montant invalide",IF(OR(AND(J240&lt;&gt;"",OR(NOT(ISNUMBER(J240)),N(J240)&lt;0)),AND(K240&lt;&gt;"",OR(NOT(ISNUMBER(K240)),N(K240)&lt;0))),"Pourcentage invalide",IF(COUNTIF(bom_prod,A240)+COUNTIF(gam_prod,A240)=0,"Ni nomenclature ni gamme",IF(COUNTIFS(bom_prod,A240,bom_check,"&lt;&gt;OK")&gt;0,"Nomenclature à corriger",IF(COUNTIFS(gam_prod,A240,gam_check,"&lt;&gt;OK")&gt;0,"Gamme à corriger","OK")))))))))))</f>
        <v/>
      </c>
      <c r="Y240" s="70">
        <f>IF(J240="",N(p_fg),N(J240))</f>
        <v>0.15</v>
      </c>
      <c r="Z240" s="70">
        <f>IF(K240="",N(p_target),N(K240))</f>
        <v>0.25</v>
      </c>
      <c r="AA240" s="71" t="str">
        <f>IF(R240="","",IF(N(F240)&gt;0,ROUND(F240*N(E240),2),0))</f>
        <v/>
      </c>
      <c r="AB240" s="71">
        <f>IF(T240="",0,T240*N(E240))</f>
        <v>0.0</v>
      </c>
      <c r="AC240" s="71">
        <f>IF(T240="",0,R240*N(E240))</f>
        <v>0.0</v>
      </c>
      <c r="AD240" s="71">
        <f>IF(R240="",0,L240*N(E240))</f>
        <v>0.0</v>
      </c>
      <c r="AE240" s="71">
        <f>IF(R240="",0,M240*N(E240))</f>
        <v>0.0</v>
      </c>
      <c r="AF240" s="71">
        <f>IF(R240="",0,N240*N(E240))</f>
        <v>0.0</v>
      </c>
      <c r="AG240" s="71">
        <f>IF(R240="",0,O240*N(E240))</f>
        <v>0.0</v>
      </c>
      <c r="AH240" s="71">
        <f>IF(R240="",0,(N(G240)+N(H240)+N(I240)/D240)*N(E240))</f>
        <v>0.0</v>
      </c>
      <c r="AI240" s="71">
        <f>IF(R240="",0,P240*N(E240))</f>
        <v>0.0</v>
      </c>
      <c r="AJ240" s="71" t="str">
        <f>IF(AA240="","",COUNTIF(prod_ca,"&gt;"&amp;AA240)+COUNTIF(AA$6:AA240,AA240))</f>
        <v/>
      </c>
      <c r="AK240" s="71" t="str">
        <f>IF(OR(W240="Vendu à perte",W240="Sous la cible"),ROUND(U240,6),"")</f>
        <v/>
      </c>
      <c r="AL240" s="71" t="str">
        <f>IF(AK240="","",COUNTIF(prod_alk,"&lt;"&amp;AK240)+COUNTIF(AK$6:AK240,AK240))</f>
        <v/>
      </c>
    </row>
    <row r="241">
      <c r="A241" s="60" t="n"/>
      <c r="B241" s="60" t="n"/>
      <c r="C241" s="61" t="n"/>
      <c r="D241" s="62" t="n"/>
      <c r="E241" s="63" t="n"/>
      <c r="F241" s="64" t="n"/>
      <c r="G241" s="64" t="n"/>
      <c r="H241" s="64" t="n"/>
      <c r="I241" s="64" t="n"/>
      <c r="J241" s="65" t="n"/>
      <c r="K241" s="65" t="n"/>
      <c r="L241" s="66" t="str">
        <f>IF(X241="OK",SUMIF(bom_prod,A241,bom_cost),"")</f>
        <v/>
      </c>
      <c r="M241" s="66" t="str">
        <f>IF(X241="OK",SUMIF(gam_prod,A241,gam_mo),"")</f>
        <v/>
      </c>
      <c r="N241" s="66" t="str">
        <f>IF(X241="OK",SUMIF(gam_prod,A241,gam_mac),"")</f>
        <v/>
      </c>
      <c r="O241" s="66" t="str">
        <f>IF(X241="OK",SUMIF(gam_prod,A241,gam_setup)/D241,"")</f>
        <v/>
      </c>
      <c r="P241" s="66" t="str">
        <f>IF(X241="OK",(L241+M241+N241+O241+N(G241))*Y241,"")</f>
        <v/>
      </c>
      <c r="Q241" s="66" t="str">
        <f>IF(X241="OK",L241+M241+N241+O241+N(G241)+P241,"")</f>
        <v/>
      </c>
      <c r="R241" s="67" t="str">
        <f>IF(X241="OK",ROUND(Q241+N(H241)+N(I241)/D241,4),"")</f>
        <v/>
      </c>
      <c r="S241" s="66" t="str">
        <f>IF(X241="OK",ROUND(R241*(1+Z241),2),"")</f>
        <v/>
      </c>
      <c r="T241" s="66" t="str">
        <f>IF(AND(X241="OK",N(F241)&gt;0),F241-R241,"")</f>
        <v/>
      </c>
      <c r="U241" s="68" t="str">
        <f>IF(T241="","",IF(R241&lt;=0,"",T241/R241))</f>
        <v/>
      </c>
      <c r="V241" s="68" t="str">
        <f>IF(T241="","",T241/F241)</f>
        <v/>
      </c>
      <c r="W241" s="69" t="str">
        <f>IF(A241="","",IF(X241&lt;&gt;"OK","À corriger",IF(N(F241)&lt;=0,"Prix à saisir",IF(F241&lt;R241,"Vendu à perte",IF(F241&lt;S241,"Sous la cible","OK")))))</f>
        <v/>
      </c>
      <c r="X241" s="69" t="str">
        <f>IF(AND(A241="",COUNTA(B241:K241)=0),"",IF(A241="","Référence manquante",IF(COUNTIF($A$6:$A$305,A241)&gt;1,"Référence en double",IF(OR(NOT(ISNUMBER(D241)),N(D241)&lt;=0),"Taille de lot invalide",IF(AND(E241&lt;&gt;"",OR(NOT(ISNUMBER(E241)),N(E241)&lt;0)),"Volume annuel invalide",IF(AND(F241&lt;&gt;"",OR(NOT(ISNUMBER(F241)),N(F241)&lt;0)),"Prix de vente invalide",IF(OR(AND(G241&lt;&gt;"",OR(NOT(ISNUMBER(G241)),N(G241)&lt;0)),AND(H241&lt;&gt;"",OR(NOT(ISNUMBER(H241)),N(H241)&lt;0)),AND(I241&lt;&gt;"",OR(NOT(ISNUMBER(I241)),N(I241)&lt;0))),"Montant invalide",IF(OR(AND(J241&lt;&gt;"",OR(NOT(ISNUMBER(J241)),N(J241)&lt;0)),AND(K241&lt;&gt;"",OR(NOT(ISNUMBER(K241)),N(K241)&lt;0))),"Pourcentage invalide",IF(COUNTIF(bom_prod,A241)+COUNTIF(gam_prod,A241)=0,"Ni nomenclature ni gamme",IF(COUNTIFS(bom_prod,A241,bom_check,"&lt;&gt;OK")&gt;0,"Nomenclature à corriger",IF(COUNTIFS(gam_prod,A241,gam_check,"&lt;&gt;OK")&gt;0,"Gamme à corriger","OK")))))))))))</f>
        <v/>
      </c>
      <c r="Y241" s="70">
        <f>IF(J241="",N(p_fg),N(J241))</f>
        <v>0.15</v>
      </c>
      <c r="Z241" s="70">
        <f>IF(K241="",N(p_target),N(K241))</f>
        <v>0.25</v>
      </c>
      <c r="AA241" s="71" t="str">
        <f>IF(R241="","",IF(N(F241)&gt;0,ROUND(F241*N(E241),2),0))</f>
        <v/>
      </c>
      <c r="AB241" s="71">
        <f>IF(T241="",0,T241*N(E241))</f>
        <v>0.0</v>
      </c>
      <c r="AC241" s="71">
        <f>IF(T241="",0,R241*N(E241))</f>
        <v>0.0</v>
      </c>
      <c r="AD241" s="71">
        <f>IF(R241="",0,L241*N(E241))</f>
        <v>0.0</v>
      </c>
      <c r="AE241" s="71">
        <f>IF(R241="",0,M241*N(E241))</f>
        <v>0.0</v>
      </c>
      <c r="AF241" s="71">
        <f>IF(R241="",0,N241*N(E241))</f>
        <v>0.0</v>
      </c>
      <c r="AG241" s="71">
        <f>IF(R241="",0,O241*N(E241))</f>
        <v>0.0</v>
      </c>
      <c r="AH241" s="71">
        <f>IF(R241="",0,(N(G241)+N(H241)+N(I241)/D241)*N(E241))</f>
        <v>0.0</v>
      </c>
      <c r="AI241" s="71">
        <f>IF(R241="",0,P241*N(E241))</f>
        <v>0.0</v>
      </c>
      <c r="AJ241" s="71" t="str">
        <f>IF(AA241="","",COUNTIF(prod_ca,"&gt;"&amp;AA241)+COUNTIF(AA$6:AA241,AA241))</f>
        <v/>
      </c>
      <c r="AK241" s="71" t="str">
        <f>IF(OR(W241="Vendu à perte",W241="Sous la cible"),ROUND(U241,6),"")</f>
        <v/>
      </c>
      <c r="AL241" s="71" t="str">
        <f>IF(AK241="","",COUNTIF(prod_alk,"&lt;"&amp;AK241)+COUNTIF(AK$6:AK241,AK241))</f>
        <v/>
      </c>
    </row>
    <row r="242">
      <c r="A242" s="60" t="n"/>
      <c r="B242" s="60" t="n"/>
      <c r="C242" s="61" t="n"/>
      <c r="D242" s="62" t="n"/>
      <c r="E242" s="63" t="n"/>
      <c r="F242" s="64" t="n"/>
      <c r="G242" s="64" t="n"/>
      <c r="H242" s="64" t="n"/>
      <c r="I242" s="64" t="n"/>
      <c r="J242" s="65" t="n"/>
      <c r="K242" s="65" t="n"/>
      <c r="L242" s="66" t="str">
        <f>IF(X242="OK",SUMIF(bom_prod,A242,bom_cost),"")</f>
        <v/>
      </c>
      <c r="M242" s="66" t="str">
        <f>IF(X242="OK",SUMIF(gam_prod,A242,gam_mo),"")</f>
        <v/>
      </c>
      <c r="N242" s="66" t="str">
        <f>IF(X242="OK",SUMIF(gam_prod,A242,gam_mac),"")</f>
        <v/>
      </c>
      <c r="O242" s="66" t="str">
        <f>IF(X242="OK",SUMIF(gam_prod,A242,gam_setup)/D242,"")</f>
        <v/>
      </c>
      <c r="P242" s="66" t="str">
        <f>IF(X242="OK",(L242+M242+N242+O242+N(G242))*Y242,"")</f>
        <v/>
      </c>
      <c r="Q242" s="66" t="str">
        <f>IF(X242="OK",L242+M242+N242+O242+N(G242)+P242,"")</f>
        <v/>
      </c>
      <c r="R242" s="67" t="str">
        <f>IF(X242="OK",ROUND(Q242+N(H242)+N(I242)/D242,4),"")</f>
        <v/>
      </c>
      <c r="S242" s="66" t="str">
        <f>IF(X242="OK",ROUND(R242*(1+Z242),2),"")</f>
        <v/>
      </c>
      <c r="T242" s="66" t="str">
        <f>IF(AND(X242="OK",N(F242)&gt;0),F242-R242,"")</f>
        <v/>
      </c>
      <c r="U242" s="68" t="str">
        <f>IF(T242="","",IF(R242&lt;=0,"",T242/R242))</f>
        <v/>
      </c>
      <c r="V242" s="68" t="str">
        <f>IF(T242="","",T242/F242)</f>
        <v/>
      </c>
      <c r="W242" s="69" t="str">
        <f>IF(A242="","",IF(X242&lt;&gt;"OK","À corriger",IF(N(F242)&lt;=0,"Prix à saisir",IF(F242&lt;R242,"Vendu à perte",IF(F242&lt;S242,"Sous la cible","OK")))))</f>
        <v/>
      </c>
      <c r="X242" s="69" t="str">
        <f>IF(AND(A242="",COUNTA(B242:K242)=0),"",IF(A242="","Référence manquante",IF(COUNTIF($A$6:$A$305,A242)&gt;1,"Référence en double",IF(OR(NOT(ISNUMBER(D242)),N(D242)&lt;=0),"Taille de lot invalide",IF(AND(E242&lt;&gt;"",OR(NOT(ISNUMBER(E242)),N(E242)&lt;0)),"Volume annuel invalide",IF(AND(F242&lt;&gt;"",OR(NOT(ISNUMBER(F242)),N(F242)&lt;0)),"Prix de vente invalide",IF(OR(AND(G242&lt;&gt;"",OR(NOT(ISNUMBER(G242)),N(G242)&lt;0)),AND(H242&lt;&gt;"",OR(NOT(ISNUMBER(H242)),N(H242)&lt;0)),AND(I242&lt;&gt;"",OR(NOT(ISNUMBER(I242)),N(I242)&lt;0))),"Montant invalide",IF(OR(AND(J242&lt;&gt;"",OR(NOT(ISNUMBER(J242)),N(J242)&lt;0)),AND(K242&lt;&gt;"",OR(NOT(ISNUMBER(K242)),N(K242)&lt;0))),"Pourcentage invalide",IF(COUNTIF(bom_prod,A242)+COUNTIF(gam_prod,A242)=0,"Ni nomenclature ni gamme",IF(COUNTIFS(bom_prod,A242,bom_check,"&lt;&gt;OK")&gt;0,"Nomenclature à corriger",IF(COUNTIFS(gam_prod,A242,gam_check,"&lt;&gt;OK")&gt;0,"Gamme à corriger","OK")))))))))))</f>
        <v/>
      </c>
      <c r="Y242" s="70">
        <f>IF(J242="",N(p_fg),N(J242))</f>
        <v>0.15</v>
      </c>
      <c r="Z242" s="70">
        <f>IF(K242="",N(p_target),N(K242))</f>
        <v>0.25</v>
      </c>
      <c r="AA242" s="71" t="str">
        <f>IF(R242="","",IF(N(F242)&gt;0,ROUND(F242*N(E242),2),0))</f>
        <v/>
      </c>
      <c r="AB242" s="71">
        <f>IF(T242="",0,T242*N(E242))</f>
        <v>0.0</v>
      </c>
      <c r="AC242" s="71">
        <f>IF(T242="",0,R242*N(E242))</f>
        <v>0.0</v>
      </c>
      <c r="AD242" s="71">
        <f>IF(R242="",0,L242*N(E242))</f>
        <v>0.0</v>
      </c>
      <c r="AE242" s="71">
        <f>IF(R242="",0,M242*N(E242))</f>
        <v>0.0</v>
      </c>
      <c r="AF242" s="71">
        <f>IF(R242="",0,N242*N(E242))</f>
        <v>0.0</v>
      </c>
      <c r="AG242" s="71">
        <f>IF(R242="",0,O242*N(E242))</f>
        <v>0.0</v>
      </c>
      <c r="AH242" s="71">
        <f>IF(R242="",0,(N(G242)+N(H242)+N(I242)/D242)*N(E242))</f>
        <v>0.0</v>
      </c>
      <c r="AI242" s="71">
        <f>IF(R242="",0,P242*N(E242))</f>
        <v>0.0</v>
      </c>
      <c r="AJ242" s="71" t="str">
        <f>IF(AA242="","",COUNTIF(prod_ca,"&gt;"&amp;AA242)+COUNTIF(AA$6:AA242,AA242))</f>
        <v/>
      </c>
      <c r="AK242" s="71" t="str">
        <f>IF(OR(W242="Vendu à perte",W242="Sous la cible"),ROUND(U242,6),"")</f>
        <v/>
      </c>
      <c r="AL242" s="71" t="str">
        <f>IF(AK242="","",COUNTIF(prod_alk,"&lt;"&amp;AK242)+COUNTIF(AK$6:AK242,AK242))</f>
        <v/>
      </c>
    </row>
    <row r="243">
      <c r="A243" s="60" t="n"/>
      <c r="B243" s="60" t="n"/>
      <c r="C243" s="61" t="n"/>
      <c r="D243" s="62" t="n"/>
      <c r="E243" s="63" t="n"/>
      <c r="F243" s="64" t="n"/>
      <c r="G243" s="64" t="n"/>
      <c r="H243" s="64" t="n"/>
      <c r="I243" s="64" t="n"/>
      <c r="J243" s="65" t="n"/>
      <c r="K243" s="65" t="n"/>
      <c r="L243" s="66" t="str">
        <f>IF(X243="OK",SUMIF(bom_prod,A243,bom_cost),"")</f>
        <v/>
      </c>
      <c r="M243" s="66" t="str">
        <f>IF(X243="OK",SUMIF(gam_prod,A243,gam_mo),"")</f>
        <v/>
      </c>
      <c r="N243" s="66" t="str">
        <f>IF(X243="OK",SUMIF(gam_prod,A243,gam_mac),"")</f>
        <v/>
      </c>
      <c r="O243" s="66" t="str">
        <f>IF(X243="OK",SUMIF(gam_prod,A243,gam_setup)/D243,"")</f>
        <v/>
      </c>
      <c r="P243" s="66" t="str">
        <f>IF(X243="OK",(L243+M243+N243+O243+N(G243))*Y243,"")</f>
        <v/>
      </c>
      <c r="Q243" s="66" t="str">
        <f>IF(X243="OK",L243+M243+N243+O243+N(G243)+P243,"")</f>
        <v/>
      </c>
      <c r="R243" s="67" t="str">
        <f>IF(X243="OK",ROUND(Q243+N(H243)+N(I243)/D243,4),"")</f>
        <v/>
      </c>
      <c r="S243" s="66" t="str">
        <f>IF(X243="OK",ROUND(R243*(1+Z243),2),"")</f>
        <v/>
      </c>
      <c r="T243" s="66" t="str">
        <f>IF(AND(X243="OK",N(F243)&gt;0),F243-R243,"")</f>
        <v/>
      </c>
      <c r="U243" s="68" t="str">
        <f>IF(T243="","",IF(R243&lt;=0,"",T243/R243))</f>
        <v/>
      </c>
      <c r="V243" s="68" t="str">
        <f>IF(T243="","",T243/F243)</f>
        <v/>
      </c>
      <c r="W243" s="69" t="str">
        <f>IF(A243="","",IF(X243&lt;&gt;"OK","À corriger",IF(N(F243)&lt;=0,"Prix à saisir",IF(F243&lt;R243,"Vendu à perte",IF(F243&lt;S243,"Sous la cible","OK")))))</f>
        <v/>
      </c>
      <c r="X243" s="69" t="str">
        <f>IF(AND(A243="",COUNTA(B243:K243)=0),"",IF(A243="","Référence manquante",IF(COUNTIF($A$6:$A$305,A243)&gt;1,"Référence en double",IF(OR(NOT(ISNUMBER(D243)),N(D243)&lt;=0),"Taille de lot invalide",IF(AND(E243&lt;&gt;"",OR(NOT(ISNUMBER(E243)),N(E243)&lt;0)),"Volume annuel invalide",IF(AND(F243&lt;&gt;"",OR(NOT(ISNUMBER(F243)),N(F243)&lt;0)),"Prix de vente invalide",IF(OR(AND(G243&lt;&gt;"",OR(NOT(ISNUMBER(G243)),N(G243)&lt;0)),AND(H243&lt;&gt;"",OR(NOT(ISNUMBER(H243)),N(H243)&lt;0)),AND(I243&lt;&gt;"",OR(NOT(ISNUMBER(I243)),N(I243)&lt;0))),"Montant invalide",IF(OR(AND(J243&lt;&gt;"",OR(NOT(ISNUMBER(J243)),N(J243)&lt;0)),AND(K243&lt;&gt;"",OR(NOT(ISNUMBER(K243)),N(K243)&lt;0))),"Pourcentage invalide",IF(COUNTIF(bom_prod,A243)+COUNTIF(gam_prod,A243)=0,"Ni nomenclature ni gamme",IF(COUNTIFS(bom_prod,A243,bom_check,"&lt;&gt;OK")&gt;0,"Nomenclature à corriger",IF(COUNTIFS(gam_prod,A243,gam_check,"&lt;&gt;OK")&gt;0,"Gamme à corriger","OK")))))))))))</f>
        <v/>
      </c>
      <c r="Y243" s="70">
        <f>IF(J243="",N(p_fg),N(J243))</f>
        <v>0.15</v>
      </c>
      <c r="Z243" s="70">
        <f>IF(K243="",N(p_target),N(K243))</f>
        <v>0.25</v>
      </c>
      <c r="AA243" s="71" t="str">
        <f>IF(R243="","",IF(N(F243)&gt;0,ROUND(F243*N(E243),2),0))</f>
        <v/>
      </c>
      <c r="AB243" s="71">
        <f>IF(T243="",0,T243*N(E243))</f>
        <v>0.0</v>
      </c>
      <c r="AC243" s="71">
        <f>IF(T243="",0,R243*N(E243))</f>
        <v>0.0</v>
      </c>
      <c r="AD243" s="71">
        <f>IF(R243="",0,L243*N(E243))</f>
        <v>0.0</v>
      </c>
      <c r="AE243" s="71">
        <f>IF(R243="",0,M243*N(E243))</f>
        <v>0.0</v>
      </c>
      <c r="AF243" s="71">
        <f>IF(R243="",0,N243*N(E243))</f>
        <v>0.0</v>
      </c>
      <c r="AG243" s="71">
        <f>IF(R243="",0,O243*N(E243))</f>
        <v>0.0</v>
      </c>
      <c r="AH243" s="71">
        <f>IF(R243="",0,(N(G243)+N(H243)+N(I243)/D243)*N(E243))</f>
        <v>0.0</v>
      </c>
      <c r="AI243" s="71">
        <f>IF(R243="",0,P243*N(E243))</f>
        <v>0.0</v>
      </c>
      <c r="AJ243" s="71" t="str">
        <f>IF(AA243="","",COUNTIF(prod_ca,"&gt;"&amp;AA243)+COUNTIF(AA$6:AA243,AA243))</f>
        <v/>
      </c>
      <c r="AK243" s="71" t="str">
        <f>IF(OR(W243="Vendu à perte",W243="Sous la cible"),ROUND(U243,6),"")</f>
        <v/>
      </c>
      <c r="AL243" s="71" t="str">
        <f>IF(AK243="","",COUNTIF(prod_alk,"&lt;"&amp;AK243)+COUNTIF(AK$6:AK243,AK243))</f>
        <v/>
      </c>
    </row>
    <row r="244">
      <c r="A244" s="60" t="n"/>
      <c r="B244" s="60" t="n"/>
      <c r="C244" s="61" t="n"/>
      <c r="D244" s="62" t="n"/>
      <c r="E244" s="63" t="n"/>
      <c r="F244" s="64" t="n"/>
      <c r="G244" s="64" t="n"/>
      <c r="H244" s="64" t="n"/>
      <c r="I244" s="64" t="n"/>
      <c r="J244" s="65" t="n"/>
      <c r="K244" s="65" t="n"/>
      <c r="L244" s="66" t="str">
        <f>IF(X244="OK",SUMIF(bom_prod,A244,bom_cost),"")</f>
        <v/>
      </c>
      <c r="M244" s="66" t="str">
        <f>IF(X244="OK",SUMIF(gam_prod,A244,gam_mo),"")</f>
        <v/>
      </c>
      <c r="N244" s="66" t="str">
        <f>IF(X244="OK",SUMIF(gam_prod,A244,gam_mac),"")</f>
        <v/>
      </c>
      <c r="O244" s="66" t="str">
        <f>IF(X244="OK",SUMIF(gam_prod,A244,gam_setup)/D244,"")</f>
        <v/>
      </c>
      <c r="P244" s="66" t="str">
        <f>IF(X244="OK",(L244+M244+N244+O244+N(G244))*Y244,"")</f>
        <v/>
      </c>
      <c r="Q244" s="66" t="str">
        <f>IF(X244="OK",L244+M244+N244+O244+N(G244)+P244,"")</f>
        <v/>
      </c>
      <c r="R244" s="67" t="str">
        <f>IF(X244="OK",ROUND(Q244+N(H244)+N(I244)/D244,4),"")</f>
        <v/>
      </c>
      <c r="S244" s="66" t="str">
        <f>IF(X244="OK",ROUND(R244*(1+Z244),2),"")</f>
        <v/>
      </c>
      <c r="T244" s="66" t="str">
        <f>IF(AND(X244="OK",N(F244)&gt;0),F244-R244,"")</f>
        <v/>
      </c>
      <c r="U244" s="68" t="str">
        <f>IF(T244="","",IF(R244&lt;=0,"",T244/R244))</f>
        <v/>
      </c>
      <c r="V244" s="68" t="str">
        <f>IF(T244="","",T244/F244)</f>
        <v/>
      </c>
      <c r="W244" s="69" t="str">
        <f>IF(A244="","",IF(X244&lt;&gt;"OK","À corriger",IF(N(F244)&lt;=0,"Prix à saisir",IF(F244&lt;R244,"Vendu à perte",IF(F244&lt;S244,"Sous la cible","OK")))))</f>
        <v/>
      </c>
      <c r="X244" s="69" t="str">
        <f>IF(AND(A244="",COUNTA(B244:K244)=0),"",IF(A244="","Référence manquante",IF(COUNTIF($A$6:$A$305,A244)&gt;1,"Référence en double",IF(OR(NOT(ISNUMBER(D244)),N(D244)&lt;=0),"Taille de lot invalide",IF(AND(E244&lt;&gt;"",OR(NOT(ISNUMBER(E244)),N(E244)&lt;0)),"Volume annuel invalide",IF(AND(F244&lt;&gt;"",OR(NOT(ISNUMBER(F244)),N(F244)&lt;0)),"Prix de vente invalide",IF(OR(AND(G244&lt;&gt;"",OR(NOT(ISNUMBER(G244)),N(G244)&lt;0)),AND(H244&lt;&gt;"",OR(NOT(ISNUMBER(H244)),N(H244)&lt;0)),AND(I244&lt;&gt;"",OR(NOT(ISNUMBER(I244)),N(I244)&lt;0))),"Montant invalide",IF(OR(AND(J244&lt;&gt;"",OR(NOT(ISNUMBER(J244)),N(J244)&lt;0)),AND(K244&lt;&gt;"",OR(NOT(ISNUMBER(K244)),N(K244)&lt;0))),"Pourcentage invalide",IF(COUNTIF(bom_prod,A244)+COUNTIF(gam_prod,A244)=0,"Ni nomenclature ni gamme",IF(COUNTIFS(bom_prod,A244,bom_check,"&lt;&gt;OK")&gt;0,"Nomenclature à corriger",IF(COUNTIFS(gam_prod,A244,gam_check,"&lt;&gt;OK")&gt;0,"Gamme à corriger","OK")))))))))))</f>
        <v/>
      </c>
      <c r="Y244" s="70">
        <f>IF(J244="",N(p_fg),N(J244))</f>
        <v>0.15</v>
      </c>
      <c r="Z244" s="70">
        <f>IF(K244="",N(p_target),N(K244))</f>
        <v>0.25</v>
      </c>
      <c r="AA244" s="71" t="str">
        <f>IF(R244="","",IF(N(F244)&gt;0,ROUND(F244*N(E244),2),0))</f>
        <v/>
      </c>
      <c r="AB244" s="71">
        <f>IF(T244="",0,T244*N(E244))</f>
        <v>0.0</v>
      </c>
      <c r="AC244" s="71">
        <f>IF(T244="",0,R244*N(E244))</f>
        <v>0.0</v>
      </c>
      <c r="AD244" s="71">
        <f>IF(R244="",0,L244*N(E244))</f>
        <v>0.0</v>
      </c>
      <c r="AE244" s="71">
        <f>IF(R244="",0,M244*N(E244))</f>
        <v>0.0</v>
      </c>
      <c r="AF244" s="71">
        <f>IF(R244="",0,N244*N(E244))</f>
        <v>0.0</v>
      </c>
      <c r="AG244" s="71">
        <f>IF(R244="",0,O244*N(E244))</f>
        <v>0.0</v>
      </c>
      <c r="AH244" s="71">
        <f>IF(R244="",0,(N(G244)+N(H244)+N(I244)/D244)*N(E244))</f>
        <v>0.0</v>
      </c>
      <c r="AI244" s="71">
        <f>IF(R244="",0,P244*N(E244))</f>
        <v>0.0</v>
      </c>
      <c r="AJ244" s="71" t="str">
        <f>IF(AA244="","",COUNTIF(prod_ca,"&gt;"&amp;AA244)+COUNTIF(AA$6:AA244,AA244))</f>
        <v/>
      </c>
      <c r="AK244" s="71" t="str">
        <f>IF(OR(W244="Vendu à perte",W244="Sous la cible"),ROUND(U244,6),"")</f>
        <v/>
      </c>
      <c r="AL244" s="71" t="str">
        <f>IF(AK244="","",COUNTIF(prod_alk,"&lt;"&amp;AK244)+COUNTIF(AK$6:AK244,AK244))</f>
        <v/>
      </c>
    </row>
    <row r="245">
      <c r="A245" s="60" t="n"/>
      <c r="B245" s="60" t="n"/>
      <c r="C245" s="61" t="n"/>
      <c r="D245" s="62" t="n"/>
      <c r="E245" s="63" t="n"/>
      <c r="F245" s="64" t="n"/>
      <c r="G245" s="64" t="n"/>
      <c r="H245" s="64" t="n"/>
      <c r="I245" s="64" t="n"/>
      <c r="J245" s="65" t="n"/>
      <c r="K245" s="65" t="n"/>
      <c r="L245" s="66" t="str">
        <f>IF(X245="OK",SUMIF(bom_prod,A245,bom_cost),"")</f>
        <v/>
      </c>
      <c r="M245" s="66" t="str">
        <f>IF(X245="OK",SUMIF(gam_prod,A245,gam_mo),"")</f>
        <v/>
      </c>
      <c r="N245" s="66" t="str">
        <f>IF(X245="OK",SUMIF(gam_prod,A245,gam_mac),"")</f>
        <v/>
      </c>
      <c r="O245" s="66" t="str">
        <f>IF(X245="OK",SUMIF(gam_prod,A245,gam_setup)/D245,"")</f>
        <v/>
      </c>
      <c r="P245" s="66" t="str">
        <f>IF(X245="OK",(L245+M245+N245+O245+N(G245))*Y245,"")</f>
        <v/>
      </c>
      <c r="Q245" s="66" t="str">
        <f>IF(X245="OK",L245+M245+N245+O245+N(G245)+P245,"")</f>
        <v/>
      </c>
      <c r="R245" s="67" t="str">
        <f>IF(X245="OK",ROUND(Q245+N(H245)+N(I245)/D245,4),"")</f>
        <v/>
      </c>
      <c r="S245" s="66" t="str">
        <f>IF(X245="OK",ROUND(R245*(1+Z245),2),"")</f>
        <v/>
      </c>
      <c r="T245" s="66" t="str">
        <f>IF(AND(X245="OK",N(F245)&gt;0),F245-R245,"")</f>
        <v/>
      </c>
      <c r="U245" s="68" t="str">
        <f>IF(T245="","",IF(R245&lt;=0,"",T245/R245))</f>
        <v/>
      </c>
      <c r="V245" s="68" t="str">
        <f>IF(T245="","",T245/F245)</f>
        <v/>
      </c>
      <c r="W245" s="69" t="str">
        <f>IF(A245="","",IF(X245&lt;&gt;"OK","À corriger",IF(N(F245)&lt;=0,"Prix à saisir",IF(F245&lt;R245,"Vendu à perte",IF(F245&lt;S245,"Sous la cible","OK")))))</f>
        <v/>
      </c>
      <c r="X245" s="69" t="str">
        <f>IF(AND(A245="",COUNTA(B245:K245)=0),"",IF(A245="","Référence manquante",IF(COUNTIF($A$6:$A$305,A245)&gt;1,"Référence en double",IF(OR(NOT(ISNUMBER(D245)),N(D245)&lt;=0),"Taille de lot invalide",IF(AND(E245&lt;&gt;"",OR(NOT(ISNUMBER(E245)),N(E245)&lt;0)),"Volume annuel invalide",IF(AND(F245&lt;&gt;"",OR(NOT(ISNUMBER(F245)),N(F245)&lt;0)),"Prix de vente invalide",IF(OR(AND(G245&lt;&gt;"",OR(NOT(ISNUMBER(G245)),N(G245)&lt;0)),AND(H245&lt;&gt;"",OR(NOT(ISNUMBER(H245)),N(H245)&lt;0)),AND(I245&lt;&gt;"",OR(NOT(ISNUMBER(I245)),N(I245)&lt;0))),"Montant invalide",IF(OR(AND(J245&lt;&gt;"",OR(NOT(ISNUMBER(J245)),N(J245)&lt;0)),AND(K245&lt;&gt;"",OR(NOT(ISNUMBER(K245)),N(K245)&lt;0))),"Pourcentage invalide",IF(COUNTIF(bom_prod,A245)+COUNTIF(gam_prod,A245)=0,"Ni nomenclature ni gamme",IF(COUNTIFS(bom_prod,A245,bom_check,"&lt;&gt;OK")&gt;0,"Nomenclature à corriger",IF(COUNTIFS(gam_prod,A245,gam_check,"&lt;&gt;OK")&gt;0,"Gamme à corriger","OK")))))))))))</f>
        <v/>
      </c>
      <c r="Y245" s="70">
        <f>IF(J245="",N(p_fg),N(J245))</f>
        <v>0.15</v>
      </c>
      <c r="Z245" s="70">
        <f>IF(K245="",N(p_target),N(K245))</f>
        <v>0.25</v>
      </c>
      <c r="AA245" s="71" t="str">
        <f>IF(R245="","",IF(N(F245)&gt;0,ROUND(F245*N(E245),2),0))</f>
        <v/>
      </c>
      <c r="AB245" s="71">
        <f>IF(T245="",0,T245*N(E245))</f>
        <v>0.0</v>
      </c>
      <c r="AC245" s="71">
        <f>IF(T245="",0,R245*N(E245))</f>
        <v>0.0</v>
      </c>
      <c r="AD245" s="71">
        <f>IF(R245="",0,L245*N(E245))</f>
        <v>0.0</v>
      </c>
      <c r="AE245" s="71">
        <f>IF(R245="",0,M245*N(E245))</f>
        <v>0.0</v>
      </c>
      <c r="AF245" s="71">
        <f>IF(R245="",0,N245*N(E245))</f>
        <v>0.0</v>
      </c>
      <c r="AG245" s="71">
        <f>IF(R245="",0,O245*N(E245))</f>
        <v>0.0</v>
      </c>
      <c r="AH245" s="71">
        <f>IF(R245="",0,(N(G245)+N(H245)+N(I245)/D245)*N(E245))</f>
        <v>0.0</v>
      </c>
      <c r="AI245" s="71">
        <f>IF(R245="",0,P245*N(E245))</f>
        <v>0.0</v>
      </c>
      <c r="AJ245" s="71" t="str">
        <f>IF(AA245="","",COUNTIF(prod_ca,"&gt;"&amp;AA245)+COUNTIF(AA$6:AA245,AA245))</f>
        <v/>
      </c>
      <c r="AK245" s="71" t="str">
        <f>IF(OR(W245="Vendu à perte",W245="Sous la cible"),ROUND(U245,6),"")</f>
        <v/>
      </c>
      <c r="AL245" s="71" t="str">
        <f>IF(AK245="","",COUNTIF(prod_alk,"&lt;"&amp;AK245)+COUNTIF(AK$6:AK245,AK245))</f>
        <v/>
      </c>
    </row>
    <row r="246">
      <c r="A246" s="60" t="n"/>
      <c r="B246" s="60" t="n"/>
      <c r="C246" s="61" t="n"/>
      <c r="D246" s="62" t="n"/>
      <c r="E246" s="63" t="n"/>
      <c r="F246" s="64" t="n"/>
      <c r="G246" s="64" t="n"/>
      <c r="H246" s="64" t="n"/>
      <c r="I246" s="64" t="n"/>
      <c r="J246" s="65" t="n"/>
      <c r="K246" s="65" t="n"/>
      <c r="L246" s="66" t="str">
        <f>IF(X246="OK",SUMIF(bom_prod,A246,bom_cost),"")</f>
        <v/>
      </c>
      <c r="M246" s="66" t="str">
        <f>IF(X246="OK",SUMIF(gam_prod,A246,gam_mo),"")</f>
        <v/>
      </c>
      <c r="N246" s="66" t="str">
        <f>IF(X246="OK",SUMIF(gam_prod,A246,gam_mac),"")</f>
        <v/>
      </c>
      <c r="O246" s="66" t="str">
        <f>IF(X246="OK",SUMIF(gam_prod,A246,gam_setup)/D246,"")</f>
        <v/>
      </c>
      <c r="P246" s="66" t="str">
        <f>IF(X246="OK",(L246+M246+N246+O246+N(G246))*Y246,"")</f>
        <v/>
      </c>
      <c r="Q246" s="66" t="str">
        <f>IF(X246="OK",L246+M246+N246+O246+N(G246)+P246,"")</f>
        <v/>
      </c>
      <c r="R246" s="67" t="str">
        <f>IF(X246="OK",ROUND(Q246+N(H246)+N(I246)/D246,4),"")</f>
        <v/>
      </c>
      <c r="S246" s="66" t="str">
        <f>IF(X246="OK",ROUND(R246*(1+Z246),2),"")</f>
        <v/>
      </c>
      <c r="T246" s="66" t="str">
        <f>IF(AND(X246="OK",N(F246)&gt;0),F246-R246,"")</f>
        <v/>
      </c>
      <c r="U246" s="68" t="str">
        <f>IF(T246="","",IF(R246&lt;=0,"",T246/R246))</f>
        <v/>
      </c>
      <c r="V246" s="68" t="str">
        <f>IF(T246="","",T246/F246)</f>
        <v/>
      </c>
      <c r="W246" s="69" t="str">
        <f>IF(A246="","",IF(X246&lt;&gt;"OK","À corriger",IF(N(F246)&lt;=0,"Prix à saisir",IF(F246&lt;R246,"Vendu à perte",IF(F246&lt;S246,"Sous la cible","OK")))))</f>
        <v/>
      </c>
      <c r="X246" s="69" t="str">
        <f>IF(AND(A246="",COUNTA(B246:K246)=0),"",IF(A246="","Référence manquante",IF(COUNTIF($A$6:$A$305,A246)&gt;1,"Référence en double",IF(OR(NOT(ISNUMBER(D246)),N(D246)&lt;=0),"Taille de lot invalide",IF(AND(E246&lt;&gt;"",OR(NOT(ISNUMBER(E246)),N(E246)&lt;0)),"Volume annuel invalide",IF(AND(F246&lt;&gt;"",OR(NOT(ISNUMBER(F246)),N(F246)&lt;0)),"Prix de vente invalide",IF(OR(AND(G246&lt;&gt;"",OR(NOT(ISNUMBER(G246)),N(G246)&lt;0)),AND(H246&lt;&gt;"",OR(NOT(ISNUMBER(H246)),N(H246)&lt;0)),AND(I246&lt;&gt;"",OR(NOT(ISNUMBER(I246)),N(I246)&lt;0))),"Montant invalide",IF(OR(AND(J246&lt;&gt;"",OR(NOT(ISNUMBER(J246)),N(J246)&lt;0)),AND(K246&lt;&gt;"",OR(NOT(ISNUMBER(K246)),N(K246)&lt;0))),"Pourcentage invalide",IF(COUNTIF(bom_prod,A246)+COUNTIF(gam_prod,A246)=0,"Ni nomenclature ni gamme",IF(COUNTIFS(bom_prod,A246,bom_check,"&lt;&gt;OK")&gt;0,"Nomenclature à corriger",IF(COUNTIFS(gam_prod,A246,gam_check,"&lt;&gt;OK")&gt;0,"Gamme à corriger","OK")))))))))))</f>
        <v/>
      </c>
      <c r="Y246" s="70">
        <f>IF(J246="",N(p_fg),N(J246))</f>
        <v>0.15</v>
      </c>
      <c r="Z246" s="70">
        <f>IF(K246="",N(p_target),N(K246))</f>
        <v>0.25</v>
      </c>
      <c r="AA246" s="71" t="str">
        <f>IF(R246="","",IF(N(F246)&gt;0,ROUND(F246*N(E246),2),0))</f>
        <v/>
      </c>
      <c r="AB246" s="71">
        <f>IF(T246="",0,T246*N(E246))</f>
        <v>0.0</v>
      </c>
      <c r="AC246" s="71">
        <f>IF(T246="",0,R246*N(E246))</f>
        <v>0.0</v>
      </c>
      <c r="AD246" s="71">
        <f>IF(R246="",0,L246*N(E246))</f>
        <v>0.0</v>
      </c>
      <c r="AE246" s="71">
        <f>IF(R246="",0,M246*N(E246))</f>
        <v>0.0</v>
      </c>
      <c r="AF246" s="71">
        <f>IF(R246="",0,N246*N(E246))</f>
        <v>0.0</v>
      </c>
      <c r="AG246" s="71">
        <f>IF(R246="",0,O246*N(E246))</f>
        <v>0.0</v>
      </c>
      <c r="AH246" s="71">
        <f>IF(R246="",0,(N(G246)+N(H246)+N(I246)/D246)*N(E246))</f>
        <v>0.0</v>
      </c>
      <c r="AI246" s="71">
        <f>IF(R246="",0,P246*N(E246))</f>
        <v>0.0</v>
      </c>
      <c r="AJ246" s="71" t="str">
        <f>IF(AA246="","",COUNTIF(prod_ca,"&gt;"&amp;AA246)+COUNTIF(AA$6:AA246,AA246))</f>
        <v/>
      </c>
      <c r="AK246" s="71" t="str">
        <f>IF(OR(W246="Vendu à perte",W246="Sous la cible"),ROUND(U246,6),"")</f>
        <v/>
      </c>
      <c r="AL246" s="71" t="str">
        <f>IF(AK246="","",COUNTIF(prod_alk,"&lt;"&amp;AK246)+COUNTIF(AK$6:AK246,AK246))</f>
        <v/>
      </c>
    </row>
    <row r="247">
      <c r="A247" s="60" t="n"/>
      <c r="B247" s="60" t="n"/>
      <c r="C247" s="61" t="n"/>
      <c r="D247" s="62" t="n"/>
      <c r="E247" s="63" t="n"/>
      <c r="F247" s="64" t="n"/>
      <c r="G247" s="64" t="n"/>
      <c r="H247" s="64" t="n"/>
      <c r="I247" s="64" t="n"/>
      <c r="J247" s="65" t="n"/>
      <c r="K247" s="65" t="n"/>
      <c r="L247" s="66" t="str">
        <f>IF(X247="OK",SUMIF(bom_prod,A247,bom_cost),"")</f>
        <v/>
      </c>
      <c r="M247" s="66" t="str">
        <f>IF(X247="OK",SUMIF(gam_prod,A247,gam_mo),"")</f>
        <v/>
      </c>
      <c r="N247" s="66" t="str">
        <f>IF(X247="OK",SUMIF(gam_prod,A247,gam_mac),"")</f>
        <v/>
      </c>
      <c r="O247" s="66" t="str">
        <f>IF(X247="OK",SUMIF(gam_prod,A247,gam_setup)/D247,"")</f>
        <v/>
      </c>
      <c r="P247" s="66" t="str">
        <f>IF(X247="OK",(L247+M247+N247+O247+N(G247))*Y247,"")</f>
        <v/>
      </c>
      <c r="Q247" s="66" t="str">
        <f>IF(X247="OK",L247+M247+N247+O247+N(G247)+P247,"")</f>
        <v/>
      </c>
      <c r="R247" s="67" t="str">
        <f>IF(X247="OK",ROUND(Q247+N(H247)+N(I247)/D247,4),"")</f>
        <v/>
      </c>
      <c r="S247" s="66" t="str">
        <f>IF(X247="OK",ROUND(R247*(1+Z247),2),"")</f>
        <v/>
      </c>
      <c r="T247" s="66" t="str">
        <f>IF(AND(X247="OK",N(F247)&gt;0),F247-R247,"")</f>
        <v/>
      </c>
      <c r="U247" s="68" t="str">
        <f>IF(T247="","",IF(R247&lt;=0,"",T247/R247))</f>
        <v/>
      </c>
      <c r="V247" s="68" t="str">
        <f>IF(T247="","",T247/F247)</f>
        <v/>
      </c>
      <c r="W247" s="69" t="str">
        <f>IF(A247="","",IF(X247&lt;&gt;"OK","À corriger",IF(N(F247)&lt;=0,"Prix à saisir",IF(F247&lt;R247,"Vendu à perte",IF(F247&lt;S247,"Sous la cible","OK")))))</f>
        <v/>
      </c>
      <c r="X247" s="69" t="str">
        <f>IF(AND(A247="",COUNTA(B247:K247)=0),"",IF(A247="","Référence manquante",IF(COUNTIF($A$6:$A$305,A247)&gt;1,"Référence en double",IF(OR(NOT(ISNUMBER(D247)),N(D247)&lt;=0),"Taille de lot invalide",IF(AND(E247&lt;&gt;"",OR(NOT(ISNUMBER(E247)),N(E247)&lt;0)),"Volume annuel invalide",IF(AND(F247&lt;&gt;"",OR(NOT(ISNUMBER(F247)),N(F247)&lt;0)),"Prix de vente invalide",IF(OR(AND(G247&lt;&gt;"",OR(NOT(ISNUMBER(G247)),N(G247)&lt;0)),AND(H247&lt;&gt;"",OR(NOT(ISNUMBER(H247)),N(H247)&lt;0)),AND(I247&lt;&gt;"",OR(NOT(ISNUMBER(I247)),N(I247)&lt;0))),"Montant invalide",IF(OR(AND(J247&lt;&gt;"",OR(NOT(ISNUMBER(J247)),N(J247)&lt;0)),AND(K247&lt;&gt;"",OR(NOT(ISNUMBER(K247)),N(K247)&lt;0))),"Pourcentage invalide",IF(COUNTIF(bom_prod,A247)+COUNTIF(gam_prod,A247)=0,"Ni nomenclature ni gamme",IF(COUNTIFS(bom_prod,A247,bom_check,"&lt;&gt;OK")&gt;0,"Nomenclature à corriger",IF(COUNTIFS(gam_prod,A247,gam_check,"&lt;&gt;OK")&gt;0,"Gamme à corriger","OK")))))))))))</f>
        <v/>
      </c>
      <c r="Y247" s="70">
        <f>IF(J247="",N(p_fg),N(J247))</f>
        <v>0.15</v>
      </c>
      <c r="Z247" s="70">
        <f>IF(K247="",N(p_target),N(K247))</f>
        <v>0.25</v>
      </c>
      <c r="AA247" s="71" t="str">
        <f>IF(R247="","",IF(N(F247)&gt;0,ROUND(F247*N(E247),2),0))</f>
        <v/>
      </c>
      <c r="AB247" s="71">
        <f>IF(T247="",0,T247*N(E247))</f>
        <v>0.0</v>
      </c>
      <c r="AC247" s="71">
        <f>IF(T247="",0,R247*N(E247))</f>
        <v>0.0</v>
      </c>
      <c r="AD247" s="71">
        <f>IF(R247="",0,L247*N(E247))</f>
        <v>0.0</v>
      </c>
      <c r="AE247" s="71">
        <f>IF(R247="",0,M247*N(E247))</f>
        <v>0.0</v>
      </c>
      <c r="AF247" s="71">
        <f>IF(R247="",0,N247*N(E247))</f>
        <v>0.0</v>
      </c>
      <c r="AG247" s="71">
        <f>IF(R247="",0,O247*N(E247))</f>
        <v>0.0</v>
      </c>
      <c r="AH247" s="71">
        <f>IF(R247="",0,(N(G247)+N(H247)+N(I247)/D247)*N(E247))</f>
        <v>0.0</v>
      </c>
      <c r="AI247" s="71">
        <f>IF(R247="",0,P247*N(E247))</f>
        <v>0.0</v>
      </c>
      <c r="AJ247" s="71" t="str">
        <f>IF(AA247="","",COUNTIF(prod_ca,"&gt;"&amp;AA247)+COUNTIF(AA$6:AA247,AA247))</f>
        <v/>
      </c>
      <c r="AK247" s="71" t="str">
        <f>IF(OR(W247="Vendu à perte",W247="Sous la cible"),ROUND(U247,6),"")</f>
        <v/>
      </c>
      <c r="AL247" s="71" t="str">
        <f>IF(AK247="","",COUNTIF(prod_alk,"&lt;"&amp;AK247)+COUNTIF(AK$6:AK247,AK247))</f>
        <v/>
      </c>
    </row>
    <row r="248">
      <c r="A248" s="60" t="n"/>
      <c r="B248" s="60" t="n"/>
      <c r="C248" s="61" t="n"/>
      <c r="D248" s="62" t="n"/>
      <c r="E248" s="63" t="n"/>
      <c r="F248" s="64" t="n"/>
      <c r="G248" s="64" t="n"/>
      <c r="H248" s="64" t="n"/>
      <c r="I248" s="64" t="n"/>
      <c r="J248" s="65" t="n"/>
      <c r="K248" s="65" t="n"/>
      <c r="L248" s="66" t="str">
        <f>IF(X248="OK",SUMIF(bom_prod,A248,bom_cost),"")</f>
        <v/>
      </c>
      <c r="M248" s="66" t="str">
        <f>IF(X248="OK",SUMIF(gam_prod,A248,gam_mo),"")</f>
        <v/>
      </c>
      <c r="N248" s="66" t="str">
        <f>IF(X248="OK",SUMIF(gam_prod,A248,gam_mac),"")</f>
        <v/>
      </c>
      <c r="O248" s="66" t="str">
        <f>IF(X248="OK",SUMIF(gam_prod,A248,gam_setup)/D248,"")</f>
        <v/>
      </c>
      <c r="P248" s="66" t="str">
        <f>IF(X248="OK",(L248+M248+N248+O248+N(G248))*Y248,"")</f>
        <v/>
      </c>
      <c r="Q248" s="66" t="str">
        <f>IF(X248="OK",L248+M248+N248+O248+N(G248)+P248,"")</f>
        <v/>
      </c>
      <c r="R248" s="67" t="str">
        <f>IF(X248="OK",ROUND(Q248+N(H248)+N(I248)/D248,4),"")</f>
        <v/>
      </c>
      <c r="S248" s="66" t="str">
        <f>IF(X248="OK",ROUND(R248*(1+Z248),2),"")</f>
        <v/>
      </c>
      <c r="T248" s="66" t="str">
        <f>IF(AND(X248="OK",N(F248)&gt;0),F248-R248,"")</f>
        <v/>
      </c>
      <c r="U248" s="68" t="str">
        <f>IF(T248="","",IF(R248&lt;=0,"",T248/R248))</f>
        <v/>
      </c>
      <c r="V248" s="68" t="str">
        <f>IF(T248="","",T248/F248)</f>
        <v/>
      </c>
      <c r="W248" s="69" t="str">
        <f>IF(A248="","",IF(X248&lt;&gt;"OK","À corriger",IF(N(F248)&lt;=0,"Prix à saisir",IF(F248&lt;R248,"Vendu à perte",IF(F248&lt;S248,"Sous la cible","OK")))))</f>
        <v/>
      </c>
      <c r="X248" s="69" t="str">
        <f>IF(AND(A248="",COUNTA(B248:K248)=0),"",IF(A248="","Référence manquante",IF(COUNTIF($A$6:$A$305,A248)&gt;1,"Référence en double",IF(OR(NOT(ISNUMBER(D248)),N(D248)&lt;=0),"Taille de lot invalide",IF(AND(E248&lt;&gt;"",OR(NOT(ISNUMBER(E248)),N(E248)&lt;0)),"Volume annuel invalide",IF(AND(F248&lt;&gt;"",OR(NOT(ISNUMBER(F248)),N(F248)&lt;0)),"Prix de vente invalide",IF(OR(AND(G248&lt;&gt;"",OR(NOT(ISNUMBER(G248)),N(G248)&lt;0)),AND(H248&lt;&gt;"",OR(NOT(ISNUMBER(H248)),N(H248)&lt;0)),AND(I248&lt;&gt;"",OR(NOT(ISNUMBER(I248)),N(I248)&lt;0))),"Montant invalide",IF(OR(AND(J248&lt;&gt;"",OR(NOT(ISNUMBER(J248)),N(J248)&lt;0)),AND(K248&lt;&gt;"",OR(NOT(ISNUMBER(K248)),N(K248)&lt;0))),"Pourcentage invalide",IF(COUNTIF(bom_prod,A248)+COUNTIF(gam_prod,A248)=0,"Ni nomenclature ni gamme",IF(COUNTIFS(bom_prod,A248,bom_check,"&lt;&gt;OK")&gt;0,"Nomenclature à corriger",IF(COUNTIFS(gam_prod,A248,gam_check,"&lt;&gt;OK")&gt;0,"Gamme à corriger","OK")))))))))))</f>
        <v/>
      </c>
      <c r="Y248" s="70">
        <f>IF(J248="",N(p_fg),N(J248))</f>
        <v>0.15</v>
      </c>
      <c r="Z248" s="70">
        <f>IF(K248="",N(p_target),N(K248))</f>
        <v>0.25</v>
      </c>
      <c r="AA248" s="71" t="str">
        <f>IF(R248="","",IF(N(F248)&gt;0,ROUND(F248*N(E248),2),0))</f>
        <v/>
      </c>
      <c r="AB248" s="71">
        <f>IF(T248="",0,T248*N(E248))</f>
        <v>0.0</v>
      </c>
      <c r="AC248" s="71">
        <f>IF(T248="",0,R248*N(E248))</f>
        <v>0.0</v>
      </c>
      <c r="AD248" s="71">
        <f>IF(R248="",0,L248*N(E248))</f>
        <v>0.0</v>
      </c>
      <c r="AE248" s="71">
        <f>IF(R248="",0,M248*N(E248))</f>
        <v>0.0</v>
      </c>
      <c r="AF248" s="71">
        <f>IF(R248="",0,N248*N(E248))</f>
        <v>0.0</v>
      </c>
      <c r="AG248" s="71">
        <f>IF(R248="",0,O248*N(E248))</f>
        <v>0.0</v>
      </c>
      <c r="AH248" s="71">
        <f>IF(R248="",0,(N(G248)+N(H248)+N(I248)/D248)*N(E248))</f>
        <v>0.0</v>
      </c>
      <c r="AI248" s="71">
        <f>IF(R248="",0,P248*N(E248))</f>
        <v>0.0</v>
      </c>
      <c r="AJ248" s="71" t="str">
        <f>IF(AA248="","",COUNTIF(prod_ca,"&gt;"&amp;AA248)+COUNTIF(AA$6:AA248,AA248))</f>
        <v/>
      </c>
      <c r="AK248" s="71" t="str">
        <f>IF(OR(W248="Vendu à perte",W248="Sous la cible"),ROUND(U248,6),"")</f>
        <v/>
      </c>
      <c r="AL248" s="71" t="str">
        <f>IF(AK248="","",COUNTIF(prod_alk,"&lt;"&amp;AK248)+COUNTIF(AK$6:AK248,AK248))</f>
        <v/>
      </c>
    </row>
    <row r="249">
      <c r="A249" s="60" t="n"/>
      <c r="B249" s="60" t="n"/>
      <c r="C249" s="61" t="n"/>
      <c r="D249" s="62" t="n"/>
      <c r="E249" s="63" t="n"/>
      <c r="F249" s="64" t="n"/>
      <c r="G249" s="64" t="n"/>
      <c r="H249" s="64" t="n"/>
      <c r="I249" s="64" t="n"/>
      <c r="J249" s="65" t="n"/>
      <c r="K249" s="65" t="n"/>
      <c r="L249" s="66" t="str">
        <f>IF(X249="OK",SUMIF(bom_prod,A249,bom_cost),"")</f>
        <v/>
      </c>
      <c r="M249" s="66" t="str">
        <f>IF(X249="OK",SUMIF(gam_prod,A249,gam_mo),"")</f>
        <v/>
      </c>
      <c r="N249" s="66" t="str">
        <f>IF(X249="OK",SUMIF(gam_prod,A249,gam_mac),"")</f>
        <v/>
      </c>
      <c r="O249" s="66" t="str">
        <f>IF(X249="OK",SUMIF(gam_prod,A249,gam_setup)/D249,"")</f>
        <v/>
      </c>
      <c r="P249" s="66" t="str">
        <f>IF(X249="OK",(L249+M249+N249+O249+N(G249))*Y249,"")</f>
        <v/>
      </c>
      <c r="Q249" s="66" t="str">
        <f>IF(X249="OK",L249+M249+N249+O249+N(G249)+P249,"")</f>
        <v/>
      </c>
      <c r="R249" s="67" t="str">
        <f>IF(X249="OK",ROUND(Q249+N(H249)+N(I249)/D249,4),"")</f>
        <v/>
      </c>
      <c r="S249" s="66" t="str">
        <f>IF(X249="OK",ROUND(R249*(1+Z249),2),"")</f>
        <v/>
      </c>
      <c r="T249" s="66" t="str">
        <f>IF(AND(X249="OK",N(F249)&gt;0),F249-R249,"")</f>
        <v/>
      </c>
      <c r="U249" s="68" t="str">
        <f>IF(T249="","",IF(R249&lt;=0,"",T249/R249))</f>
        <v/>
      </c>
      <c r="V249" s="68" t="str">
        <f>IF(T249="","",T249/F249)</f>
        <v/>
      </c>
      <c r="W249" s="69" t="str">
        <f>IF(A249="","",IF(X249&lt;&gt;"OK","À corriger",IF(N(F249)&lt;=0,"Prix à saisir",IF(F249&lt;R249,"Vendu à perte",IF(F249&lt;S249,"Sous la cible","OK")))))</f>
        <v/>
      </c>
      <c r="X249" s="69" t="str">
        <f>IF(AND(A249="",COUNTA(B249:K249)=0),"",IF(A249="","Référence manquante",IF(COUNTIF($A$6:$A$305,A249)&gt;1,"Référence en double",IF(OR(NOT(ISNUMBER(D249)),N(D249)&lt;=0),"Taille de lot invalide",IF(AND(E249&lt;&gt;"",OR(NOT(ISNUMBER(E249)),N(E249)&lt;0)),"Volume annuel invalide",IF(AND(F249&lt;&gt;"",OR(NOT(ISNUMBER(F249)),N(F249)&lt;0)),"Prix de vente invalide",IF(OR(AND(G249&lt;&gt;"",OR(NOT(ISNUMBER(G249)),N(G249)&lt;0)),AND(H249&lt;&gt;"",OR(NOT(ISNUMBER(H249)),N(H249)&lt;0)),AND(I249&lt;&gt;"",OR(NOT(ISNUMBER(I249)),N(I249)&lt;0))),"Montant invalide",IF(OR(AND(J249&lt;&gt;"",OR(NOT(ISNUMBER(J249)),N(J249)&lt;0)),AND(K249&lt;&gt;"",OR(NOT(ISNUMBER(K249)),N(K249)&lt;0))),"Pourcentage invalide",IF(COUNTIF(bom_prod,A249)+COUNTIF(gam_prod,A249)=0,"Ni nomenclature ni gamme",IF(COUNTIFS(bom_prod,A249,bom_check,"&lt;&gt;OK")&gt;0,"Nomenclature à corriger",IF(COUNTIFS(gam_prod,A249,gam_check,"&lt;&gt;OK")&gt;0,"Gamme à corriger","OK")))))))))))</f>
        <v/>
      </c>
      <c r="Y249" s="70">
        <f>IF(J249="",N(p_fg),N(J249))</f>
        <v>0.15</v>
      </c>
      <c r="Z249" s="70">
        <f>IF(K249="",N(p_target),N(K249))</f>
        <v>0.25</v>
      </c>
      <c r="AA249" s="71" t="str">
        <f>IF(R249="","",IF(N(F249)&gt;0,ROUND(F249*N(E249),2),0))</f>
        <v/>
      </c>
      <c r="AB249" s="71">
        <f>IF(T249="",0,T249*N(E249))</f>
        <v>0.0</v>
      </c>
      <c r="AC249" s="71">
        <f>IF(T249="",0,R249*N(E249))</f>
        <v>0.0</v>
      </c>
      <c r="AD249" s="71">
        <f>IF(R249="",0,L249*N(E249))</f>
        <v>0.0</v>
      </c>
      <c r="AE249" s="71">
        <f>IF(R249="",0,M249*N(E249))</f>
        <v>0.0</v>
      </c>
      <c r="AF249" s="71">
        <f>IF(R249="",0,N249*N(E249))</f>
        <v>0.0</v>
      </c>
      <c r="AG249" s="71">
        <f>IF(R249="",0,O249*N(E249))</f>
        <v>0.0</v>
      </c>
      <c r="AH249" s="71">
        <f>IF(R249="",0,(N(G249)+N(H249)+N(I249)/D249)*N(E249))</f>
        <v>0.0</v>
      </c>
      <c r="AI249" s="71">
        <f>IF(R249="",0,P249*N(E249))</f>
        <v>0.0</v>
      </c>
      <c r="AJ249" s="71" t="str">
        <f>IF(AA249="","",COUNTIF(prod_ca,"&gt;"&amp;AA249)+COUNTIF(AA$6:AA249,AA249))</f>
        <v/>
      </c>
      <c r="AK249" s="71" t="str">
        <f>IF(OR(W249="Vendu à perte",W249="Sous la cible"),ROUND(U249,6),"")</f>
        <v/>
      </c>
      <c r="AL249" s="71" t="str">
        <f>IF(AK249="","",COUNTIF(prod_alk,"&lt;"&amp;AK249)+COUNTIF(AK$6:AK249,AK249))</f>
        <v/>
      </c>
    </row>
    <row r="250">
      <c r="A250" s="60" t="n"/>
      <c r="B250" s="60" t="n"/>
      <c r="C250" s="61" t="n"/>
      <c r="D250" s="62" t="n"/>
      <c r="E250" s="63" t="n"/>
      <c r="F250" s="64" t="n"/>
      <c r="G250" s="64" t="n"/>
      <c r="H250" s="64" t="n"/>
      <c r="I250" s="64" t="n"/>
      <c r="J250" s="65" t="n"/>
      <c r="K250" s="65" t="n"/>
      <c r="L250" s="66" t="str">
        <f>IF(X250="OK",SUMIF(bom_prod,A250,bom_cost),"")</f>
        <v/>
      </c>
      <c r="M250" s="66" t="str">
        <f>IF(X250="OK",SUMIF(gam_prod,A250,gam_mo),"")</f>
        <v/>
      </c>
      <c r="N250" s="66" t="str">
        <f>IF(X250="OK",SUMIF(gam_prod,A250,gam_mac),"")</f>
        <v/>
      </c>
      <c r="O250" s="66" t="str">
        <f>IF(X250="OK",SUMIF(gam_prod,A250,gam_setup)/D250,"")</f>
        <v/>
      </c>
      <c r="P250" s="66" t="str">
        <f>IF(X250="OK",(L250+M250+N250+O250+N(G250))*Y250,"")</f>
        <v/>
      </c>
      <c r="Q250" s="66" t="str">
        <f>IF(X250="OK",L250+M250+N250+O250+N(G250)+P250,"")</f>
        <v/>
      </c>
      <c r="R250" s="67" t="str">
        <f>IF(X250="OK",ROUND(Q250+N(H250)+N(I250)/D250,4),"")</f>
        <v/>
      </c>
      <c r="S250" s="66" t="str">
        <f>IF(X250="OK",ROUND(R250*(1+Z250),2),"")</f>
        <v/>
      </c>
      <c r="T250" s="66" t="str">
        <f>IF(AND(X250="OK",N(F250)&gt;0),F250-R250,"")</f>
        <v/>
      </c>
      <c r="U250" s="68" t="str">
        <f>IF(T250="","",IF(R250&lt;=0,"",T250/R250))</f>
        <v/>
      </c>
      <c r="V250" s="68" t="str">
        <f>IF(T250="","",T250/F250)</f>
        <v/>
      </c>
      <c r="W250" s="69" t="str">
        <f>IF(A250="","",IF(X250&lt;&gt;"OK","À corriger",IF(N(F250)&lt;=0,"Prix à saisir",IF(F250&lt;R250,"Vendu à perte",IF(F250&lt;S250,"Sous la cible","OK")))))</f>
        <v/>
      </c>
      <c r="X250" s="69" t="str">
        <f>IF(AND(A250="",COUNTA(B250:K250)=0),"",IF(A250="","Référence manquante",IF(COUNTIF($A$6:$A$305,A250)&gt;1,"Référence en double",IF(OR(NOT(ISNUMBER(D250)),N(D250)&lt;=0),"Taille de lot invalide",IF(AND(E250&lt;&gt;"",OR(NOT(ISNUMBER(E250)),N(E250)&lt;0)),"Volume annuel invalide",IF(AND(F250&lt;&gt;"",OR(NOT(ISNUMBER(F250)),N(F250)&lt;0)),"Prix de vente invalide",IF(OR(AND(G250&lt;&gt;"",OR(NOT(ISNUMBER(G250)),N(G250)&lt;0)),AND(H250&lt;&gt;"",OR(NOT(ISNUMBER(H250)),N(H250)&lt;0)),AND(I250&lt;&gt;"",OR(NOT(ISNUMBER(I250)),N(I250)&lt;0))),"Montant invalide",IF(OR(AND(J250&lt;&gt;"",OR(NOT(ISNUMBER(J250)),N(J250)&lt;0)),AND(K250&lt;&gt;"",OR(NOT(ISNUMBER(K250)),N(K250)&lt;0))),"Pourcentage invalide",IF(COUNTIF(bom_prod,A250)+COUNTIF(gam_prod,A250)=0,"Ni nomenclature ni gamme",IF(COUNTIFS(bom_prod,A250,bom_check,"&lt;&gt;OK")&gt;0,"Nomenclature à corriger",IF(COUNTIFS(gam_prod,A250,gam_check,"&lt;&gt;OK")&gt;0,"Gamme à corriger","OK")))))))))))</f>
        <v/>
      </c>
      <c r="Y250" s="70">
        <f>IF(J250="",N(p_fg),N(J250))</f>
        <v>0.15</v>
      </c>
      <c r="Z250" s="70">
        <f>IF(K250="",N(p_target),N(K250))</f>
        <v>0.25</v>
      </c>
      <c r="AA250" s="71" t="str">
        <f>IF(R250="","",IF(N(F250)&gt;0,ROUND(F250*N(E250),2),0))</f>
        <v/>
      </c>
      <c r="AB250" s="71">
        <f>IF(T250="",0,T250*N(E250))</f>
        <v>0.0</v>
      </c>
      <c r="AC250" s="71">
        <f>IF(T250="",0,R250*N(E250))</f>
        <v>0.0</v>
      </c>
      <c r="AD250" s="71">
        <f>IF(R250="",0,L250*N(E250))</f>
        <v>0.0</v>
      </c>
      <c r="AE250" s="71">
        <f>IF(R250="",0,M250*N(E250))</f>
        <v>0.0</v>
      </c>
      <c r="AF250" s="71">
        <f>IF(R250="",0,N250*N(E250))</f>
        <v>0.0</v>
      </c>
      <c r="AG250" s="71">
        <f>IF(R250="",0,O250*N(E250))</f>
        <v>0.0</v>
      </c>
      <c r="AH250" s="71">
        <f>IF(R250="",0,(N(G250)+N(H250)+N(I250)/D250)*N(E250))</f>
        <v>0.0</v>
      </c>
      <c r="AI250" s="71">
        <f>IF(R250="",0,P250*N(E250))</f>
        <v>0.0</v>
      </c>
      <c r="AJ250" s="71" t="str">
        <f>IF(AA250="","",COUNTIF(prod_ca,"&gt;"&amp;AA250)+COUNTIF(AA$6:AA250,AA250))</f>
        <v/>
      </c>
      <c r="AK250" s="71" t="str">
        <f>IF(OR(W250="Vendu à perte",W250="Sous la cible"),ROUND(U250,6),"")</f>
        <v/>
      </c>
      <c r="AL250" s="71" t="str">
        <f>IF(AK250="","",COUNTIF(prod_alk,"&lt;"&amp;AK250)+COUNTIF(AK$6:AK250,AK250))</f>
        <v/>
      </c>
    </row>
    <row r="251">
      <c r="A251" s="60" t="n"/>
      <c r="B251" s="60" t="n"/>
      <c r="C251" s="61" t="n"/>
      <c r="D251" s="62" t="n"/>
      <c r="E251" s="63" t="n"/>
      <c r="F251" s="64" t="n"/>
      <c r="G251" s="64" t="n"/>
      <c r="H251" s="64" t="n"/>
      <c r="I251" s="64" t="n"/>
      <c r="J251" s="65" t="n"/>
      <c r="K251" s="65" t="n"/>
      <c r="L251" s="66" t="str">
        <f>IF(X251="OK",SUMIF(bom_prod,A251,bom_cost),"")</f>
        <v/>
      </c>
      <c r="M251" s="66" t="str">
        <f>IF(X251="OK",SUMIF(gam_prod,A251,gam_mo),"")</f>
        <v/>
      </c>
      <c r="N251" s="66" t="str">
        <f>IF(X251="OK",SUMIF(gam_prod,A251,gam_mac),"")</f>
        <v/>
      </c>
      <c r="O251" s="66" t="str">
        <f>IF(X251="OK",SUMIF(gam_prod,A251,gam_setup)/D251,"")</f>
        <v/>
      </c>
      <c r="P251" s="66" t="str">
        <f>IF(X251="OK",(L251+M251+N251+O251+N(G251))*Y251,"")</f>
        <v/>
      </c>
      <c r="Q251" s="66" t="str">
        <f>IF(X251="OK",L251+M251+N251+O251+N(G251)+P251,"")</f>
        <v/>
      </c>
      <c r="R251" s="67" t="str">
        <f>IF(X251="OK",ROUND(Q251+N(H251)+N(I251)/D251,4),"")</f>
        <v/>
      </c>
      <c r="S251" s="66" t="str">
        <f>IF(X251="OK",ROUND(R251*(1+Z251),2),"")</f>
        <v/>
      </c>
      <c r="T251" s="66" t="str">
        <f>IF(AND(X251="OK",N(F251)&gt;0),F251-R251,"")</f>
        <v/>
      </c>
      <c r="U251" s="68" t="str">
        <f>IF(T251="","",IF(R251&lt;=0,"",T251/R251))</f>
        <v/>
      </c>
      <c r="V251" s="68" t="str">
        <f>IF(T251="","",T251/F251)</f>
        <v/>
      </c>
      <c r="W251" s="69" t="str">
        <f>IF(A251="","",IF(X251&lt;&gt;"OK","À corriger",IF(N(F251)&lt;=0,"Prix à saisir",IF(F251&lt;R251,"Vendu à perte",IF(F251&lt;S251,"Sous la cible","OK")))))</f>
        <v/>
      </c>
      <c r="X251" s="69" t="str">
        <f>IF(AND(A251="",COUNTA(B251:K251)=0),"",IF(A251="","Référence manquante",IF(COUNTIF($A$6:$A$305,A251)&gt;1,"Référence en double",IF(OR(NOT(ISNUMBER(D251)),N(D251)&lt;=0),"Taille de lot invalide",IF(AND(E251&lt;&gt;"",OR(NOT(ISNUMBER(E251)),N(E251)&lt;0)),"Volume annuel invalide",IF(AND(F251&lt;&gt;"",OR(NOT(ISNUMBER(F251)),N(F251)&lt;0)),"Prix de vente invalide",IF(OR(AND(G251&lt;&gt;"",OR(NOT(ISNUMBER(G251)),N(G251)&lt;0)),AND(H251&lt;&gt;"",OR(NOT(ISNUMBER(H251)),N(H251)&lt;0)),AND(I251&lt;&gt;"",OR(NOT(ISNUMBER(I251)),N(I251)&lt;0))),"Montant invalide",IF(OR(AND(J251&lt;&gt;"",OR(NOT(ISNUMBER(J251)),N(J251)&lt;0)),AND(K251&lt;&gt;"",OR(NOT(ISNUMBER(K251)),N(K251)&lt;0))),"Pourcentage invalide",IF(COUNTIF(bom_prod,A251)+COUNTIF(gam_prod,A251)=0,"Ni nomenclature ni gamme",IF(COUNTIFS(bom_prod,A251,bom_check,"&lt;&gt;OK")&gt;0,"Nomenclature à corriger",IF(COUNTIFS(gam_prod,A251,gam_check,"&lt;&gt;OK")&gt;0,"Gamme à corriger","OK")))))))))))</f>
        <v/>
      </c>
      <c r="Y251" s="70">
        <f>IF(J251="",N(p_fg),N(J251))</f>
        <v>0.15</v>
      </c>
      <c r="Z251" s="70">
        <f>IF(K251="",N(p_target),N(K251))</f>
        <v>0.25</v>
      </c>
      <c r="AA251" s="71" t="str">
        <f>IF(R251="","",IF(N(F251)&gt;0,ROUND(F251*N(E251),2),0))</f>
        <v/>
      </c>
      <c r="AB251" s="71">
        <f>IF(T251="",0,T251*N(E251))</f>
        <v>0.0</v>
      </c>
      <c r="AC251" s="71">
        <f>IF(T251="",0,R251*N(E251))</f>
        <v>0.0</v>
      </c>
      <c r="AD251" s="71">
        <f>IF(R251="",0,L251*N(E251))</f>
        <v>0.0</v>
      </c>
      <c r="AE251" s="71">
        <f>IF(R251="",0,M251*N(E251))</f>
        <v>0.0</v>
      </c>
      <c r="AF251" s="71">
        <f>IF(R251="",0,N251*N(E251))</f>
        <v>0.0</v>
      </c>
      <c r="AG251" s="71">
        <f>IF(R251="",0,O251*N(E251))</f>
        <v>0.0</v>
      </c>
      <c r="AH251" s="71">
        <f>IF(R251="",0,(N(G251)+N(H251)+N(I251)/D251)*N(E251))</f>
        <v>0.0</v>
      </c>
      <c r="AI251" s="71">
        <f>IF(R251="",0,P251*N(E251))</f>
        <v>0.0</v>
      </c>
      <c r="AJ251" s="71" t="str">
        <f>IF(AA251="","",COUNTIF(prod_ca,"&gt;"&amp;AA251)+COUNTIF(AA$6:AA251,AA251))</f>
        <v/>
      </c>
      <c r="AK251" s="71" t="str">
        <f>IF(OR(W251="Vendu à perte",W251="Sous la cible"),ROUND(U251,6),"")</f>
        <v/>
      </c>
      <c r="AL251" s="71" t="str">
        <f>IF(AK251="","",COUNTIF(prod_alk,"&lt;"&amp;AK251)+COUNTIF(AK$6:AK251,AK251))</f>
        <v/>
      </c>
    </row>
    <row r="252">
      <c r="A252" s="60" t="n"/>
      <c r="B252" s="60" t="n"/>
      <c r="C252" s="61" t="n"/>
      <c r="D252" s="62" t="n"/>
      <c r="E252" s="63" t="n"/>
      <c r="F252" s="64" t="n"/>
      <c r="G252" s="64" t="n"/>
      <c r="H252" s="64" t="n"/>
      <c r="I252" s="64" t="n"/>
      <c r="J252" s="65" t="n"/>
      <c r="K252" s="65" t="n"/>
      <c r="L252" s="66" t="str">
        <f>IF(X252="OK",SUMIF(bom_prod,A252,bom_cost),"")</f>
        <v/>
      </c>
      <c r="M252" s="66" t="str">
        <f>IF(X252="OK",SUMIF(gam_prod,A252,gam_mo),"")</f>
        <v/>
      </c>
      <c r="N252" s="66" t="str">
        <f>IF(X252="OK",SUMIF(gam_prod,A252,gam_mac),"")</f>
        <v/>
      </c>
      <c r="O252" s="66" t="str">
        <f>IF(X252="OK",SUMIF(gam_prod,A252,gam_setup)/D252,"")</f>
        <v/>
      </c>
      <c r="P252" s="66" t="str">
        <f>IF(X252="OK",(L252+M252+N252+O252+N(G252))*Y252,"")</f>
        <v/>
      </c>
      <c r="Q252" s="66" t="str">
        <f>IF(X252="OK",L252+M252+N252+O252+N(G252)+P252,"")</f>
        <v/>
      </c>
      <c r="R252" s="67" t="str">
        <f>IF(X252="OK",ROUND(Q252+N(H252)+N(I252)/D252,4),"")</f>
        <v/>
      </c>
      <c r="S252" s="66" t="str">
        <f>IF(X252="OK",ROUND(R252*(1+Z252),2),"")</f>
        <v/>
      </c>
      <c r="T252" s="66" t="str">
        <f>IF(AND(X252="OK",N(F252)&gt;0),F252-R252,"")</f>
        <v/>
      </c>
      <c r="U252" s="68" t="str">
        <f>IF(T252="","",IF(R252&lt;=0,"",T252/R252))</f>
        <v/>
      </c>
      <c r="V252" s="68" t="str">
        <f>IF(T252="","",T252/F252)</f>
        <v/>
      </c>
      <c r="W252" s="69" t="str">
        <f>IF(A252="","",IF(X252&lt;&gt;"OK","À corriger",IF(N(F252)&lt;=0,"Prix à saisir",IF(F252&lt;R252,"Vendu à perte",IF(F252&lt;S252,"Sous la cible","OK")))))</f>
        <v/>
      </c>
      <c r="X252" s="69" t="str">
        <f>IF(AND(A252="",COUNTA(B252:K252)=0),"",IF(A252="","Référence manquante",IF(COUNTIF($A$6:$A$305,A252)&gt;1,"Référence en double",IF(OR(NOT(ISNUMBER(D252)),N(D252)&lt;=0),"Taille de lot invalide",IF(AND(E252&lt;&gt;"",OR(NOT(ISNUMBER(E252)),N(E252)&lt;0)),"Volume annuel invalide",IF(AND(F252&lt;&gt;"",OR(NOT(ISNUMBER(F252)),N(F252)&lt;0)),"Prix de vente invalide",IF(OR(AND(G252&lt;&gt;"",OR(NOT(ISNUMBER(G252)),N(G252)&lt;0)),AND(H252&lt;&gt;"",OR(NOT(ISNUMBER(H252)),N(H252)&lt;0)),AND(I252&lt;&gt;"",OR(NOT(ISNUMBER(I252)),N(I252)&lt;0))),"Montant invalide",IF(OR(AND(J252&lt;&gt;"",OR(NOT(ISNUMBER(J252)),N(J252)&lt;0)),AND(K252&lt;&gt;"",OR(NOT(ISNUMBER(K252)),N(K252)&lt;0))),"Pourcentage invalide",IF(COUNTIF(bom_prod,A252)+COUNTIF(gam_prod,A252)=0,"Ni nomenclature ni gamme",IF(COUNTIFS(bom_prod,A252,bom_check,"&lt;&gt;OK")&gt;0,"Nomenclature à corriger",IF(COUNTIFS(gam_prod,A252,gam_check,"&lt;&gt;OK")&gt;0,"Gamme à corriger","OK")))))))))))</f>
        <v/>
      </c>
      <c r="Y252" s="70">
        <f>IF(J252="",N(p_fg),N(J252))</f>
        <v>0.15</v>
      </c>
      <c r="Z252" s="70">
        <f>IF(K252="",N(p_target),N(K252))</f>
        <v>0.25</v>
      </c>
      <c r="AA252" s="71" t="str">
        <f>IF(R252="","",IF(N(F252)&gt;0,ROUND(F252*N(E252),2),0))</f>
        <v/>
      </c>
      <c r="AB252" s="71">
        <f>IF(T252="",0,T252*N(E252))</f>
        <v>0.0</v>
      </c>
      <c r="AC252" s="71">
        <f>IF(T252="",0,R252*N(E252))</f>
        <v>0.0</v>
      </c>
      <c r="AD252" s="71">
        <f>IF(R252="",0,L252*N(E252))</f>
        <v>0.0</v>
      </c>
      <c r="AE252" s="71">
        <f>IF(R252="",0,M252*N(E252))</f>
        <v>0.0</v>
      </c>
      <c r="AF252" s="71">
        <f>IF(R252="",0,N252*N(E252))</f>
        <v>0.0</v>
      </c>
      <c r="AG252" s="71">
        <f>IF(R252="",0,O252*N(E252))</f>
        <v>0.0</v>
      </c>
      <c r="AH252" s="71">
        <f>IF(R252="",0,(N(G252)+N(H252)+N(I252)/D252)*N(E252))</f>
        <v>0.0</v>
      </c>
      <c r="AI252" s="71">
        <f>IF(R252="",0,P252*N(E252))</f>
        <v>0.0</v>
      </c>
      <c r="AJ252" s="71" t="str">
        <f>IF(AA252="","",COUNTIF(prod_ca,"&gt;"&amp;AA252)+COUNTIF(AA$6:AA252,AA252))</f>
        <v/>
      </c>
      <c r="AK252" s="71" t="str">
        <f>IF(OR(W252="Vendu à perte",W252="Sous la cible"),ROUND(U252,6),"")</f>
        <v/>
      </c>
      <c r="AL252" s="71" t="str">
        <f>IF(AK252="","",COUNTIF(prod_alk,"&lt;"&amp;AK252)+COUNTIF(AK$6:AK252,AK252))</f>
        <v/>
      </c>
    </row>
    <row r="253">
      <c r="A253" s="60" t="n"/>
      <c r="B253" s="60" t="n"/>
      <c r="C253" s="61" t="n"/>
      <c r="D253" s="62" t="n"/>
      <c r="E253" s="63" t="n"/>
      <c r="F253" s="64" t="n"/>
      <c r="G253" s="64" t="n"/>
      <c r="H253" s="64" t="n"/>
      <c r="I253" s="64" t="n"/>
      <c r="J253" s="65" t="n"/>
      <c r="K253" s="65" t="n"/>
      <c r="L253" s="66" t="str">
        <f>IF(X253="OK",SUMIF(bom_prod,A253,bom_cost),"")</f>
        <v/>
      </c>
      <c r="M253" s="66" t="str">
        <f>IF(X253="OK",SUMIF(gam_prod,A253,gam_mo),"")</f>
        <v/>
      </c>
      <c r="N253" s="66" t="str">
        <f>IF(X253="OK",SUMIF(gam_prod,A253,gam_mac),"")</f>
        <v/>
      </c>
      <c r="O253" s="66" t="str">
        <f>IF(X253="OK",SUMIF(gam_prod,A253,gam_setup)/D253,"")</f>
        <v/>
      </c>
      <c r="P253" s="66" t="str">
        <f>IF(X253="OK",(L253+M253+N253+O253+N(G253))*Y253,"")</f>
        <v/>
      </c>
      <c r="Q253" s="66" t="str">
        <f>IF(X253="OK",L253+M253+N253+O253+N(G253)+P253,"")</f>
        <v/>
      </c>
      <c r="R253" s="67" t="str">
        <f>IF(X253="OK",ROUND(Q253+N(H253)+N(I253)/D253,4),"")</f>
        <v/>
      </c>
      <c r="S253" s="66" t="str">
        <f>IF(X253="OK",ROUND(R253*(1+Z253),2),"")</f>
        <v/>
      </c>
      <c r="T253" s="66" t="str">
        <f>IF(AND(X253="OK",N(F253)&gt;0),F253-R253,"")</f>
        <v/>
      </c>
      <c r="U253" s="68" t="str">
        <f>IF(T253="","",IF(R253&lt;=0,"",T253/R253))</f>
        <v/>
      </c>
      <c r="V253" s="68" t="str">
        <f>IF(T253="","",T253/F253)</f>
        <v/>
      </c>
      <c r="W253" s="69" t="str">
        <f>IF(A253="","",IF(X253&lt;&gt;"OK","À corriger",IF(N(F253)&lt;=0,"Prix à saisir",IF(F253&lt;R253,"Vendu à perte",IF(F253&lt;S253,"Sous la cible","OK")))))</f>
        <v/>
      </c>
      <c r="X253" s="69" t="str">
        <f>IF(AND(A253="",COUNTA(B253:K253)=0),"",IF(A253="","Référence manquante",IF(COUNTIF($A$6:$A$305,A253)&gt;1,"Référence en double",IF(OR(NOT(ISNUMBER(D253)),N(D253)&lt;=0),"Taille de lot invalide",IF(AND(E253&lt;&gt;"",OR(NOT(ISNUMBER(E253)),N(E253)&lt;0)),"Volume annuel invalide",IF(AND(F253&lt;&gt;"",OR(NOT(ISNUMBER(F253)),N(F253)&lt;0)),"Prix de vente invalide",IF(OR(AND(G253&lt;&gt;"",OR(NOT(ISNUMBER(G253)),N(G253)&lt;0)),AND(H253&lt;&gt;"",OR(NOT(ISNUMBER(H253)),N(H253)&lt;0)),AND(I253&lt;&gt;"",OR(NOT(ISNUMBER(I253)),N(I253)&lt;0))),"Montant invalide",IF(OR(AND(J253&lt;&gt;"",OR(NOT(ISNUMBER(J253)),N(J253)&lt;0)),AND(K253&lt;&gt;"",OR(NOT(ISNUMBER(K253)),N(K253)&lt;0))),"Pourcentage invalide",IF(COUNTIF(bom_prod,A253)+COUNTIF(gam_prod,A253)=0,"Ni nomenclature ni gamme",IF(COUNTIFS(bom_prod,A253,bom_check,"&lt;&gt;OK")&gt;0,"Nomenclature à corriger",IF(COUNTIFS(gam_prod,A253,gam_check,"&lt;&gt;OK")&gt;0,"Gamme à corriger","OK")))))))))))</f>
        <v/>
      </c>
      <c r="Y253" s="70">
        <f>IF(J253="",N(p_fg),N(J253))</f>
        <v>0.15</v>
      </c>
      <c r="Z253" s="70">
        <f>IF(K253="",N(p_target),N(K253))</f>
        <v>0.25</v>
      </c>
      <c r="AA253" s="71" t="str">
        <f>IF(R253="","",IF(N(F253)&gt;0,ROUND(F253*N(E253),2),0))</f>
        <v/>
      </c>
      <c r="AB253" s="71">
        <f>IF(T253="",0,T253*N(E253))</f>
        <v>0.0</v>
      </c>
      <c r="AC253" s="71">
        <f>IF(T253="",0,R253*N(E253))</f>
        <v>0.0</v>
      </c>
      <c r="AD253" s="71">
        <f>IF(R253="",0,L253*N(E253))</f>
        <v>0.0</v>
      </c>
      <c r="AE253" s="71">
        <f>IF(R253="",0,M253*N(E253))</f>
        <v>0.0</v>
      </c>
      <c r="AF253" s="71">
        <f>IF(R253="",0,N253*N(E253))</f>
        <v>0.0</v>
      </c>
      <c r="AG253" s="71">
        <f>IF(R253="",0,O253*N(E253))</f>
        <v>0.0</v>
      </c>
      <c r="AH253" s="71">
        <f>IF(R253="",0,(N(G253)+N(H253)+N(I253)/D253)*N(E253))</f>
        <v>0.0</v>
      </c>
      <c r="AI253" s="71">
        <f>IF(R253="",0,P253*N(E253))</f>
        <v>0.0</v>
      </c>
      <c r="AJ253" s="71" t="str">
        <f>IF(AA253="","",COUNTIF(prod_ca,"&gt;"&amp;AA253)+COUNTIF(AA$6:AA253,AA253))</f>
        <v/>
      </c>
      <c r="AK253" s="71" t="str">
        <f>IF(OR(W253="Vendu à perte",W253="Sous la cible"),ROUND(U253,6),"")</f>
        <v/>
      </c>
      <c r="AL253" s="71" t="str">
        <f>IF(AK253="","",COUNTIF(prod_alk,"&lt;"&amp;AK253)+COUNTIF(AK$6:AK253,AK253))</f>
        <v/>
      </c>
    </row>
    <row r="254">
      <c r="A254" s="60" t="n"/>
      <c r="B254" s="60" t="n"/>
      <c r="C254" s="61" t="n"/>
      <c r="D254" s="62" t="n"/>
      <c r="E254" s="63" t="n"/>
      <c r="F254" s="64" t="n"/>
      <c r="G254" s="64" t="n"/>
      <c r="H254" s="64" t="n"/>
      <c r="I254" s="64" t="n"/>
      <c r="J254" s="65" t="n"/>
      <c r="K254" s="65" t="n"/>
      <c r="L254" s="66" t="str">
        <f>IF(X254="OK",SUMIF(bom_prod,A254,bom_cost),"")</f>
        <v/>
      </c>
      <c r="M254" s="66" t="str">
        <f>IF(X254="OK",SUMIF(gam_prod,A254,gam_mo),"")</f>
        <v/>
      </c>
      <c r="N254" s="66" t="str">
        <f>IF(X254="OK",SUMIF(gam_prod,A254,gam_mac),"")</f>
        <v/>
      </c>
      <c r="O254" s="66" t="str">
        <f>IF(X254="OK",SUMIF(gam_prod,A254,gam_setup)/D254,"")</f>
        <v/>
      </c>
      <c r="P254" s="66" t="str">
        <f>IF(X254="OK",(L254+M254+N254+O254+N(G254))*Y254,"")</f>
        <v/>
      </c>
      <c r="Q254" s="66" t="str">
        <f>IF(X254="OK",L254+M254+N254+O254+N(G254)+P254,"")</f>
        <v/>
      </c>
      <c r="R254" s="67" t="str">
        <f>IF(X254="OK",ROUND(Q254+N(H254)+N(I254)/D254,4),"")</f>
        <v/>
      </c>
      <c r="S254" s="66" t="str">
        <f>IF(X254="OK",ROUND(R254*(1+Z254),2),"")</f>
        <v/>
      </c>
      <c r="T254" s="66" t="str">
        <f>IF(AND(X254="OK",N(F254)&gt;0),F254-R254,"")</f>
        <v/>
      </c>
      <c r="U254" s="68" t="str">
        <f>IF(T254="","",IF(R254&lt;=0,"",T254/R254))</f>
        <v/>
      </c>
      <c r="V254" s="68" t="str">
        <f>IF(T254="","",T254/F254)</f>
        <v/>
      </c>
      <c r="W254" s="69" t="str">
        <f>IF(A254="","",IF(X254&lt;&gt;"OK","À corriger",IF(N(F254)&lt;=0,"Prix à saisir",IF(F254&lt;R254,"Vendu à perte",IF(F254&lt;S254,"Sous la cible","OK")))))</f>
        <v/>
      </c>
      <c r="X254" s="69" t="str">
        <f>IF(AND(A254="",COUNTA(B254:K254)=0),"",IF(A254="","Référence manquante",IF(COUNTIF($A$6:$A$305,A254)&gt;1,"Référence en double",IF(OR(NOT(ISNUMBER(D254)),N(D254)&lt;=0),"Taille de lot invalide",IF(AND(E254&lt;&gt;"",OR(NOT(ISNUMBER(E254)),N(E254)&lt;0)),"Volume annuel invalide",IF(AND(F254&lt;&gt;"",OR(NOT(ISNUMBER(F254)),N(F254)&lt;0)),"Prix de vente invalide",IF(OR(AND(G254&lt;&gt;"",OR(NOT(ISNUMBER(G254)),N(G254)&lt;0)),AND(H254&lt;&gt;"",OR(NOT(ISNUMBER(H254)),N(H254)&lt;0)),AND(I254&lt;&gt;"",OR(NOT(ISNUMBER(I254)),N(I254)&lt;0))),"Montant invalide",IF(OR(AND(J254&lt;&gt;"",OR(NOT(ISNUMBER(J254)),N(J254)&lt;0)),AND(K254&lt;&gt;"",OR(NOT(ISNUMBER(K254)),N(K254)&lt;0))),"Pourcentage invalide",IF(COUNTIF(bom_prod,A254)+COUNTIF(gam_prod,A254)=0,"Ni nomenclature ni gamme",IF(COUNTIFS(bom_prod,A254,bom_check,"&lt;&gt;OK")&gt;0,"Nomenclature à corriger",IF(COUNTIFS(gam_prod,A254,gam_check,"&lt;&gt;OK")&gt;0,"Gamme à corriger","OK")))))))))))</f>
        <v/>
      </c>
      <c r="Y254" s="70">
        <f>IF(J254="",N(p_fg),N(J254))</f>
        <v>0.15</v>
      </c>
      <c r="Z254" s="70">
        <f>IF(K254="",N(p_target),N(K254))</f>
        <v>0.25</v>
      </c>
      <c r="AA254" s="71" t="str">
        <f>IF(R254="","",IF(N(F254)&gt;0,ROUND(F254*N(E254),2),0))</f>
        <v/>
      </c>
      <c r="AB254" s="71">
        <f>IF(T254="",0,T254*N(E254))</f>
        <v>0.0</v>
      </c>
      <c r="AC254" s="71">
        <f>IF(T254="",0,R254*N(E254))</f>
        <v>0.0</v>
      </c>
      <c r="AD254" s="71">
        <f>IF(R254="",0,L254*N(E254))</f>
        <v>0.0</v>
      </c>
      <c r="AE254" s="71">
        <f>IF(R254="",0,M254*N(E254))</f>
        <v>0.0</v>
      </c>
      <c r="AF254" s="71">
        <f>IF(R254="",0,N254*N(E254))</f>
        <v>0.0</v>
      </c>
      <c r="AG254" s="71">
        <f>IF(R254="",0,O254*N(E254))</f>
        <v>0.0</v>
      </c>
      <c r="AH254" s="71">
        <f>IF(R254="",0,(N(G254)+N(H254)+N(I254)/D254)*N(E254))</f>
        <v>0.0</v>
      </c>
      <c r="AI254" s="71">
        <f>IF(R254="",0,P254*N(E254))</f>
        <v>0.0</v>
      </c>
      <c r="AJ254" s="71" t="str">
        <f>IF(AA254="","",COUNTIF(prod_ca,"&gt;"&amp;AA254)+COUNTIF(AA$6:AA254,AA254))</f>
        <v/>
      </c>
      <c r="AK254" s="71" t="str">
        <f>IF(OR(W254="Vendu à perte",W254="Sous la cible"),ROUND(U254,6),"")</f>
        <v/>
      </c>
      <c r="AL254" s="71" t="str">
        <f>IF(AK254="","",COUNTIF(prod_alk,"&lt;"&amp;AK254)+COUNTIF(AK$6:AK254,AK254))</f>
        <v/>
      </c>
    </row>
    <row r="255">
      <c r="A255" s="60" t="n"/>
      <c r="B255" s="60" t="n"/>
      <c r="C255" s="61" t="n"/>
      <c r="D255" s="62" t="n"/>
      <c r="E255" s="63" t="n"/>
      <c r="F255" s="64" t="n"/>
      <c r="G255" s="64" t="n"/>
      <c r="H255" s="64" t="n"/>
      <c r="I255" s="64" t="n"/>
      <c r="J255" s="65" t="n"/>
      <c r="K255" s="65" t="n"/>
      <c r="L255" s="66" t="str">
        <f>IF(X255="OK",SUMIF(bom_prod,A255,bom_cost),"")</f>
        <v/>
      </c>
      <c r="M255" s="66" t="str">
        <f>IF(X255="OK",SUMIF(gam_prod,A255,gam_mo),"")</f>
        <v/>
      </c>
      <c r="N255" s="66" t="str">
        <f>IF(X255="OK",SUMIF(gam_prod,A255,gam_mac),"")</f>
        <v/>
      </c>
      <c r="O255" s="66" t="str">
        <f>IF(X255="OK",SUMIF(gam_prod,A255,gam_setup)/D255,"")</f>
        <v/>
      </c>
      <c r="P255" s="66" t="str">
        <f>IF(X255="OK",(L255+M255+N255+O255+N(G255))*Y255,"")</f>
        <v/>
      </c>
      <c r="Q255" s="66" t="str">
        <f>IF(X255="OK",L255+M255+N255+O255+N(G255)+P255,"")</f>
        <v/>
      </c>
      <c r="R255" s="67" t="str">
        <f>IF(X255="OK",ROUND(Q255+N(H255)+N(I255)/D255,4),"")</f>
        <v/>
      </c>
      <c r="S255" s="66" t="str">
        <f>IF(X255="OK",ROUND(R255*(1+Z255),2),"")</f>
        <v/>
      </c>
      <c r="T255" s="66" t="str">
        <f>IF(AND(X255="OK",N(F255)&gt;0),F255-R255,"")</f>
        <v/>
      </c>
      <c r="U255" s="68" t="str">
        <f>IF(T255="","",IF(R255&lt;=0,"",T255/R255))</f>
        <v/>
      </c>
      <c r="V255" s="68" t="str">
        <f>IF(T255="","",T255/F255)</f>
        <v/>
      </c>
      <c r="W255" s="69" t="str">
        <f>IF(A255="","",IF(X255&lt;&gt;"OK","À corriger",IF(N(F255)&lt;=0,"Prix à saisir",IF(F255&lt;R255,"Vendu à perte",IF(F255&lt;S255,"Sous la cible","OK")))))</f>
        <v/>
      </c>
      <c r="X255" s="69" t="str">
        <f>IF(AND(A255="",COUNTA(B255:K255)=0),"",IF(A255="","Référence manquante",IF(COUNTIF($A$6:$A$305,A255)&gt;1,"Référence en double",IF(OR(NOT(ISNUMBER(D255)),N(D255)&lt;=0),"Taille de lot invalide",IF(AND(E255&lt;&gt;"",OR(NOT(ISNUMBER(E255)),N(E255)&lt;0)),"Volume annuel invalide",IF(AND(F255&lt;&gt;"",OR(NOT(ISNUMBER(F255)),N(F255)&lt;0)),"Prix de vente invalide",IF(OR(AND(G255&lt;&gt;"",OR(NOT(ISNUMBER(G255)),N(G255)&lt;0)),AND(H255&lt;&gt;"",OR(NOT(ISNUMBER(H255)),N(H255)&lt;0)),AND(I255&lt;&gt;"",OR(NOT(ISNUMBER(I255)),N(I255)&lt;0))),"Montant invalide",IF(OR(AND(J255&lt;&gt;"",OR(NOT(ISNUMBER(J255)),N(J255)&lt;0)),AND(K255&lt;&gt;"",OR(NOT(ISNUMBER(K255)),N(K255)&lt;0))),"Pourcentage invalide",IF(COUNTIF(bom_prod,A255)+COUNTIF(gam_prod,A255)=0,"Ni nomenclature ni gamme",IF(COUNTIFS(bom_prod,A255,bom_check,"&lt;&gt;OK")&gt;0,"Nomenclature à corriger",IF(COUNTIFS(gam_prod,A255,gam_check,"&lt;&gt;OK")&gt;0,"Gamme à corriger","OK")))))))))))</f>
        <v/>
      </c>
      <c r="Y255" s="70">
        <f>IF(J255="",N(p_fg),N(J255))</f>
        <v>0.15</v>
      </c>
      <c r="Z255" s="70">
        <f>IF(K255="",N(p_target),N(K255))</f>
        <v>0.25</v>
      </c>
      <c r="AA255" s="71" t="str">
        <f>IF(R255="","",IF(N(F255)&gt;0,ROUND(F255*N(E255),2),0))</f>
        <v/>
      </c>
      <c r="AB255" s="71">
        <f>IF(T255="",0,T255*N(E255))</f>
        <v>0.0</v>
      </c>
      <c r="AC255" s="71">
        <f>IF(T255="",0,R255*N(E255))</f>
        <v>0.0</v>
      </c>
      <c r="AD255" s="71">
        <f>IF(R255="",0,L255*N(E255))</f>
        <v>0.0</v>
      </c>
      <c r="AE255" s="71">
        <f>IF(R255="",0,M255*N(E255))</f>
        <v>0.0</v>
      </c>
      <c r="AF255" s="71">
        <f>IF(R255="",0,N255*N(E255))</f>
        <v>0.0</v>
      </c>
      <c r="AG255" s="71">
        <f>IF(R255="",0,O255*N(E255))</f>
        <v>0.0</v>
      </c>
      <c r="AH255" s="71">
        <f>IF(R255="",0,(N(G255)+N(H255)+N(I255)/D255)*N(E255))</f>
        <v>0.0</v>
      </c>
      <c r="AI255" s="71">
        <f>IF(R255="",0,P255*N(E255))</f>
        <v>0.0</v>
      </c>
      <c r="AJ255" s="71" t="str">
        <f>IF(AA255="","",COUNTIF(prod_ca,"&gt;"&amp;AA255)+COUNTIF(AA$6:AA255,AA255))</f>
        <v/>
      </c>
      <c r="AK255" s="71" t="str">
        <f>IF(OR(W255="Vendu à perte",W255="Sous la cible"),ROUND(U255,6),"")</f>
        <v/>
      </c>
      <c r="AL255" s="71" t="str">
        <f>IF(AK255="","",COUNTIF(prod_alk,"&lt;"&amp;AK255)+COUNTIF(AK$6:AK255,AK255))</f>
        <v/>
      </c>
    </row>
    <row r="256">
      <c r="A256" s="60" t="n"/>
      <c r="B256" s="60" t="n"/>
      <c r="C256" s="61" t="n"/>
      <c r="D256" s="62" t="n"/>
      <c r="E256" s="63" t="n"/>
      <c r="F256" s="64" t="n"/>
      <c r="G256" s="64" t="n"/>
      <c r="H256" s="64" t="n"/>
      <c r="I256" s="64" t="n"/>
      <c r="J256" s="65" t="n"/>
      <c r="K256" s="65" t="n"/>
      <c r="L256" s="66" t="str">
        <f>IF(X256="OK",SUMIF(bom_prod,A256,bom_cost),"")</f>
        <v/>
      </c>
      <c r="M256" s="66" t="str">
        <f>IF(X256="OK",SUMIF(gam_prod,A256,gam_mo),"")</f>
        <v/>
      </c>
      <c r="N256" s="66" t="str">
        <f>IF(X256="OK",SUMIF(gam_prod,A256,gam_mac),"")</f>
        <v/>
      </c>
      <c r="O256" s="66" t="str">
        <f>IF(X256="OK",SUMIF(gam_prod,A256,gam_setup)/D256,"")</f>
        <v/>
      </c>
      <c r="P256" s="66" t="str">
        <f>IF(X256="OK",(L256+M256+N256+O256+N(G256))*Y256,"")</f>
        <v/>
      </c>
      <c r="Q256" s="66" t="str">
        <f>IF(X256="OK",L256+M256+N256+O256+N(G256)+P256,"")</f>
        <v/>
      </c>
      <c r="R256" s="67" t="str">
        <f>IF(X256="OK",ROUND(Q256+N(H256)+N(I256)/D256,4),"")</f>
        <v/>
      </c>
      <c r="S256" s="66" t="str">
        <f>IF(X256="OK",ROUND(R256*(1+Z256),2),"")</f>
        <v/>
      </c>
      <c r="T256" s="66" t="str">
        <f>IF(AND(X256="OK",N(F256)&gt;0),F256-R256,"")</f>
        <v/>
      </c>
      <c r="U256" s="68" t="str">
        <f>IF(T256="","",IF(R256&lt;=0,"",T256/R256))</f>
        <v/>
      </c>
      <c r="V256" s="68" t="str">
        <f>IF(T256="","",T256/F256)</f>
        <v/>
      </c>
      <c r="W256" s="69" t="str">
        <f>IF(A256="","",IF(X256&lt;&gt;"OK","À corriger",IF(N(F256)&lt;=0,"Prix à saisir",IF(F256&lt;R256,"Vendu à perte",IF(F256&lt;S256,"Sous la cible","OK")))))</f>
        <v/>
      </c>
      <c r="X256" s="69" t="str">
        <f>IF(AND(A256="",COUNTA(B256:K256)=0),"",IF(A256="","Référence manquante",IF(COUNTIF($A$6:$A$305,A256)&gt;1,"Référence en double",IF(OR(NOT(ISNUMBER(D256)),N(D256)&lt;=0),"Taille de lot invalide",IF(AND(E256&lt;&gt;"",OR(NOT(ISNUMBER(E256)),N(E256)&lt;0)),"Volume annuel invalide",IF(AND(F256&lt;&gt;"",OR(NOT(ISNUMBER(F256)),N(F256)&lt;0)),"Prix de vente invalide",IF(OR(AND(G256&lt;&gt;"",OR(NOT(ISNUMBER(G256)),N(G256)&lt;0)),AND(H256&lt;&gt;"",OR(NOT(ISNUMBER(H256)),N(H256)&lt;0)),AND(I256&lt;&gt;"",OR(NOT(ISNUMBER(I256)),N(I256)&lt;0))),"Montant invalide",IF(OR(AND(J256&lt;&gt;"",OR(NOT(ISNUMBER(J256)),N(J256)&lt;0)),AND(K256&lt;&gt;"",OR(NOT(ISNUMBER(K256)),N(K256)&lt;0))),"Pourcentage invalide",IF(COUNTIF(bom_prod,A256)+COUNTIF(gam_prod,A256)=0,"Ni nomenclature ni gamme",IF(COUNTIFS(bom_prod,A256,bom_check,"&lt;&gt;OK")&gt;0,"Nomenclature à corriger",IF(COUNTIFS(gam_prod,A256,gam_check,"&lt;&gt;OK")&gt;0,"Gamme à corriger","OK")))))))))))</f>
        <v/>
      </c>
      <c r="Y256" s="70">
        <f>IF(J256="",N(p_fg),N(J256))</f>
        <v>0.15</v>
      </c>
      <c r="Z256" s="70">
        <f>IF(K256="",N(p_target),N(K256))</f>
        <v>0.25</v>
      </c>
      <c r="AA256" s="71" t="str">
        <f>IF(R256="","",IF(N(F256)&gt;0,ROUND(F256*N(E256),2),0))</f>
        <v/>
      </c>
      <c r="AB256" s="71">
        <f>IF(T256="",0,T256*N(E256))</f>
        <v>0.0</v>
      </c>
      <c r="AC256" s="71">
        <f>IF(T256="",0,R256*N(E256))</f>
        <v>0.0</v>
      </c>
      <c r="AD256" s="71">
        <f>IF(R256="",0,L256*N(E256))</f>
        <v>0.0</v>
      </c>
      <c r="AE256" s="71">
        <f>IF(R256="",0,M256*N(E256))</f>
        <v>0.0</v>
      </c>
      <c r="AF256" s="71">
        <f>IF(R256="",0,N256*N(E256))</f>
        <v>0.0</v>
      </c>
      <c r="AG256" s="71">
        <f>IF(R256="",0,O256*N(E256))</f>
        <v>0.0</v>
      </c>
      <c r="AH256" s="71">
        <f>IF(R256="",0,(N(G256)+N(H256)+N(I256)/D256)*N(E256))</f>
        <v>0.0</v>
      </c>
      <c r="AI256" s="71">
        <f>IF(R256="",0,P256*N(E256))</f>
        <v>0.0</v>
      </c>
      <c r="AJ256" s="71" t="str">
        <f>IF(AA256="","",COUNTIF(prod_ca,"&gt;"&amp;AA256)+COUNTIF(AA$6:AA256,AA256))</f>
        <v/>
      </c>
      <c r="AK256" s="71" t="str">
        <f>IF(OR(W256="Vendu à perte",W256="Sous la cible"),ROUND(U256,6),"")</f>
        <v/>
      </c>
      <c r="AL256" s="71" t="str">
        <f>IF(AK256="","",COUNTIF(prod_alk,"&lt;"&amp;AK256)+COUNTIF(AK$6:AK256,AK256))</f>
        <v/>
      </c>
    </row>
    <row r="257">
      <c r="A257" s="60" t="n"/>
      <c r="B257" s="60" t="n"/>
      <c r="C257" s="61" t="n"/>
      <c r="D257" s="62" t="n"/>
      <c r="E257" s="63" t="n"/>
      <c r="F257" s="64" t="n"/>
      <c r="G257" s="64" t="n"/>
      <c r="H257" s="64" t="n"/>
      <c r="I257" s="64" t="n"/>
      <c r="J257" s="65" t="n"/>
      <c r="K257" s="65" t="n"/>
      <c r="L257" s="66" t="str">
        <f>IF(X257="OK",SUMIF(bom_prod,A257,bom_cost),"")</f>
        <v/>
      </c>
      <c r="M257" s="66" t="str">
        <f>IF(X257="OK",SUMIF(gam_prod,A257,gam_mo),"")</f>
        <v/>
      </c>
      <c r="N257" s="66" t="str">
        <f>IF(X257="OK",SUMIF(gam_prod,A257,gam_mac),"")</f>
        <v/>
      </c>
      <c r="O257" s="66" t="str">
        <f>IF(X257="OK",SUMIF(gam_prod,A257,gam_setup)/D257,"")</f>
        <v/>
      </c>
      <c r="P257" s="66" t="str">
        <f>IF(X257="OK",(L257+M257+N257+O257+N(G257))*Y257,"")</f>
        <v/>
      </c>
      <c r="Q257" s="66" t="str">
        <f>IF(X257="OK",L257+M257+N257+O257+N(G257)+P257,"")</f>
        <v/>
      </c>
      <c r="R257" s="67" t="str">
        <f>IF(X257="OK",ROUND(Q257+N(H257)+N(I257)/D257,4),"")</f>
        <v/>
      </c>
      <c r="S257" s="66" t="str">
        <f>IF(X257="OK",ROUND(R257*(1+Z257),2),"")</f>
        <v/>
      </c>
      <c r="T257" s="66" t="str">
        <f>IF(AND(X257="OK",N(F257)&gt;0),F257-R257,"")</f>
        <v/>
      </c>
      <c r="U257" s="68" t="str">
        <f>IF(T257="","",IF(R257&lt;=0,"",T257/R257))</f>
        <v/>
      </c>
      <c r="V257" s="68" t="str">
        <f>IF(T257="","",T257/F257)</f>
        <v/>
      </c>
      <c r="W257" s="69" t="str">
        <f>IF(A257="","",IF(X257&lt;&gt;"OK","À corriger",IF(N(F257)&lt;=0,"Prix à saisir",IF(F257&lt;R257,"Vendu à perte",IF(F257&lt;S257,"Sous la cible","OK")))))</f>
        <v/>
      </c>
      <c r="X257" s="69" t="str">
        <f>IF(AND(A257="",COUNTA(B257:K257)=0),"",IF(A257="","Référence manquante",IF(COUNTIF($A$6:$A$305,A257)&gt;1,"Référence en double",IF(OR(NOT(ISNUMBER(D257)),N(D257)&lt;=0),"Taille de lot invalide",IF(AND(E257&lt;&gt;"",OR(NOT(ISNUMBER(E257)),N(E257)&lt;0)),"Volume annuel invalide",IF(AND(F257&lt;&gt;"",OR(NOT(ISNUMBER(F257)),N(F257)&lt;0)),"Prix de vente invalide",IF(OR(AND(G257&lt;&gt;"",OR(NOT(ISNUMBER(G257)),N(G257)&lt;0)),AND(H257&lt;&gt;"",OR(NOT(ISNUMBER(H257)),N(H257)&lt;0)),AND(I257&lt;&gt;"",OR(NOT(ISNUMBER(I257)),N(I257)&lt;0))),"Montant invalide",IF(OR(AND(J257&lt;&gt;"",OR(NOT(ISNUMBER(J257)),N(J257)&lt;0)),AND(K257&lt;&gt;"",OR(NOT(ISNUMBER(K257)),N(K257)&lt;0))),"Pourcentage invalide",IF(COUNTIF(bom_prod,A257)+COUNTIF(gam_prod,A257)=0,"Ni nomenclature ni gamme",IF(COUNTIFS(bom_prod,A257,bom_check,"&lt;&gt;OK")&gt;0,"Nomenclature à corriger",IF(COUNTIFS(gam_prod,A257,gam_check,"&lt;&gt;OK")&gt;0,"Gamme à corriger","OK")))))))))))</f>
        <v/>
      </c>
      <c r="Y257" s="70">
        <f>IF(J257="",N(p_fg),N(J257))</f>
        <v>0.15</v>
      </c>
      <c r="Z257" s="70">
        <f>IF(K257="",N(p_target),N(K257))</f>
        <v>0.25</v>
      </c>
      <c r="AA257" s="71" t="str">
        <f>IF(R257="","",IF(N(F257)&gt;0,ROUND(F257*N(E257),2),0))</f>
        <v/>
      </c>
      <c r="AB257" s="71">
        <f>IF(T257="",0,T257*N(E257))</f>
        <v>0.0</v>
      </c>
      <c r="AC257" s="71">
        <f>IF(T257="",0,R257*N(E257))</f>
        <v>0.0</v>
      </c>
      <c r="AD257" s="71">
        <f>IF(R257="",0,L257*N(E257))</f>
        <v>0.0</v>
      </c>
      <c r="AE257" s="71">
        <f>IF(R257="",0,M257*N(E257))</f>
        <v>0.0</v>
      </c>
      <c r="AF257" s="71">
        <f>IF(R257="",0,N257*N(E257))</f>
        <v>0.0</v>
      </c>
      <c r="AG257" s="71">
        <f>IF(R257="",0,O257*N(E257))</f>
        <v>0.0</v>
      </c>
      <c r="AH257" s="71">
        <f>IF(R257="",0,(N(G257)+N(H257)+N(I257)/D257)*N(E257))</f>
        <v>0.0</v>
      </c>
      <c r="AI257" s="71">
        <f>IF(R257="",0,P257*N(E257))</f>
        <v>0.0</v>
      </c>
      <c r="AJ257" s="71" t="str">
        <f>IF(AA257="","",COUNTIF(prod_ca,"&gt;"&amp;AA257)+COUNTIF(AA$6:AA257,AA257))</f>
        <v/>
      </c>
      <c r="AK257" s="71" t="str">
        <f>IF(OR(W257="Vendu à perte",W257="Sous la cible"),ROUND(U257,6),"")</f>
        <v/>
      </c>
      <c r="AL257" s="71" t="str">
        <f>IF(AK257="","",COUNTIF(prod_alk,"&lt;"&amp;AK257)+COUNTIF(AK$6:AK257,AK257))</f>
        <v/>
      </c>
    </row>
    <row r="258">
      <c r="A258" s="60" t="n"/>
      <c r="B258" s="60" t="n"/>
      <c r="C258" s="61" t="n"/>
      <c r="D258" s="62" t="n"/>
      <c r="E258" s="63" t="n"/>
      <c r="F258" s="64" t="n"/>
      <c r="G258" s="64" t="n"/>
      <c r="H258" s="64" t="n"/>
      <c r="I258" s="64" t="n"/>
      <c r="J258" s="65" t="n"/>
      <c r="K258" s="65" t="n"/>
      <c r="L258" s="66" t="str">
        <f>IF(X258="OK",SUMIF(bom_prod,A258,bom_cost),"")</f>
        <v/>
      </c>
      <c r="M258" s="66" t="str">
        <f>IF(X258="OK",SUMIF(gam_prod,A258,gam_mo),"")</f>
        <v/>
      </c>
      <c r="N258" s="66" t="str">
        <f>IF(X258="OK",SUMIF(gam_prod,A258,gam_mac),"")</f>
        <v/>
      </c>
      <c r="O258" s="66" t="str">
        <f>IF(X258="OK",SUMIF(gam_prod,A258,gam_setup)/D258,"")</f>
        <v/>
      </c>
      <c r="P258" s="66" t="str">
        <f>IF(X258="OK",(L258+M258+N258+O258+N(G258))*Y258,"")</f>
        <v/>
      </c>
      <c r="Q258" s="66" t="str">
        <f>IF(X258="OK",L258+M258+N258+O258+N(G258)+P258,"")</f>
        <v/>
      </c>
      <c r="R258" s="67" t="str">
        <f>IF(X258="OK",ROUND(Q258+N(H258)+N(I258)/D258,4),"")</f>
        <v/>
      </c>
      <c r="S258" s="66" t="str">
        <f>IF(X258="OK",ROUND(R258*(1+Z258),2),"")</f>
        <v/>
      </c>
      <c r="T258" s="66" t="str">
        <f>IF(AND(X258="OK",N(F258)&gt;0),F258-R258,"")</f>
        <v/>
      </c>
      <c r="U258" s="68" t="str">
        <f>IF(T258="","",IF(R258&lt;=0,"",T258/R258))</f>
        <v/>
      </c>
      <c r="V258" s="68" t="str">
        <f>IF(T258="","",T258/F258)</f>
        <v/>
      </c>
      <c r="W258" s="69" t="str">
        <f>IF(A258="","",IF(X258&lt;&gt;"OK","À corriger",IF(N(F258)&lt;=0,"Prix à saisir",IF(F258&lt;R258,"Vendu à perte",IF(F258&lt;S258,"Sous la cible","OK")))))</f>
        <v/>
      </c>
      <c r="X258" s="69" t="str">
        <f>IF(AND(A258="",COUNTA(B258:K258)=0),"",IF(A258="","Référence manquante",IF(COUNTIF($A$6:$A$305,A258)&gt;1,"Référence en double",IF(OR(NOT(ISNUMBER(D258)),N(D258)&lt;=0),"Taille de lot invalide",IF(AND(E258&lt;&gt;"",OR(NOT(ISNUMBER(E258)),N(E258)&lt;0)),"Volume annuel invalide",IF(AND(F258&lt;&gt;"",OR(NOT(ISNUMBER(F258)),N(F258)&lt;0)),"Prix de vente invalide",IF(OR(AND(G258&lt;&gt;"",OR(NOT(ISNUMBER(G258)),N(G258)&lt;0)),AND(H258&lt;&gt;"",OR(NOT(ISNUMBER(H258)),N(H258)&lt;0)),AND(I258&lt;&gt;"",OR(NOT(ISNUMBER(I258)),N(I258)&lt;0))),"Montant invalide",IF(OR(AND(J258&lt;&gt;"",OR(NOT(ISNUMBER(J258)),N(J258)&lt;0)),AND(K258&lt;&gt;"",OR(NOT(ISNUMBER(K258)),N(K258)&lt;0))),"Pourcentage invalide",IF(COUNTIF(bom_prod,A258)+COUNTIF(gam_prod,A258)=0,"Ni nomenclature ni gamme",IF(COUNTIFS(bom_prod,A258,bom_check,"&lt;&gt;OK")&gt;0,"Nomenclature à corriger",IF(COUNTIFS(gam_prod,A258,gam_check,"&lt;&gt;OK")&gt;0,"Gamme à corriger","OK")))))))))))</f>
        <v/>
      </c>
      <c r="Y258" s="70">
        <f>IF(J258="",N(p_fg),N(J258))</f>
        <v>0.15</v>
      </c>
      <c r="Z258" s="70">
        <f>IF(K258="",N(p_target),N(K258))</f>
        <v>0.25</v>
      </c>
      <c r="AA258" s="71" t="str">
        <f>IF(R258="","",IF(N(F258)&gt;0,ROUND(F258*N(E258),2),0))</f>
        <v/>
      </c>
      <c r="AB258" s="71">
        <f>IF(T258="",0,T258*N(E258))</f>
        <v>0.0</v>
      </c>
      <c r="AC258" s="71">
        <f>IF(T258="",0,R258*N(E258))</f>
        <v>0.0</v>
      </c>
      <c r="AD258" s="71">
        <f>IF(R258="",0,L258*N(E258))</f>
        <v>0.0</v>
      </c>
      <c r="AE258" s="71">
        <f>IF(R258="",0,M258*N(E258))</f>
        <v>0.0</v>
      </c>
      <c r="AF258" s="71">
        <f>IF(R258="",0,N258*N(E258))</f>
        <v>0.0</v>
      </c>
      <c r="AG258" s="71">
        <f>IF(R258="",0,O258*N(E258))</f>
        <v>0.0</v>
      </c>
      <c r="AH258" s="71">
        <f>IF(R258="",0,(N(G258)+N(H258)+N(I258)/D258)*N(E258))</f>
        <v>0.0</v>
      </c>
      <c r="AI258" s="71">
        <f>IF(R258="",0,P258*N(E258))</f>
        <v>0.0</v>
      </c>
      <c r="AJ258" s="71" t="str">
        <f>IF(AA258="","",COUNTIF(prod_ca,"&gt;"&amp;AA258)+COUNTIF(AA$6:AA258,AA258))</f>
        <v/>
      </c>
      <c r="AK258" s="71" t="str">
        <f>IF(OR(W258="Vendu à perte",W258="Sous la cible"),ROUND(U258,6),"")</f>
        <v/>
      </c>
      <c r="AL258" s="71" t="str">
        <f>IF(AK258="","",COUNTIF(prod_alk,"&lt;"&amp;AK258)+COUNTIF(AK$6:AK258,AK258))</f>
        <v/>
      </c>
    </row>
    <row r="259">
      <c r="A259" s="60" t="n"/>
      <c r="B259" s="60" t="n"/>
      <c r="C259" s="61" t="n"/>
      <c r="D259" s="62" t="n"/>
      <c r="E259" s="63" t="n"/>
      <c r="F259" s="64" t="n"/>
      <c r="G259" s="64" t="n"/>
      <c r="H259" s="64" t="n"/>
      <c r="I259" s="64" t="n"/>
      <c r="J259" s="65" t="n"/>
      <c r="K259" s="65" t="n"/>
      <c r="L259" s="66" t="str">
        <f>IF(X259="OK",SUMIF(bom_prod,A259,bom_cost),"")</f>
        <v/>
      </c>
      <c r="M259" s="66" t="str">
        <f>IF(X259="OK",SUMIF(gam_prod,A259,gam_mo),"")</f>
        <v/>
      </c>
      <c r="N259" s="66" t="str">
        <f>IF(X259="OK",SUMIF(gam_prod,A259,gam_mac),"")</f>
        <v/>
      </c>
      <c r="O259" s="66" t="str">
        <f>IF(X259="OK",SUMIF(gam_prod,A259,gam_setup)/D259,"")</f>
        <v/>
      </c>
      <c r="P259" s="66" t="str">
        <f>IF(X259="OK",(L259+M259+N259+O259+N(G259))*Y259,"")</f>
        <v/>
      </c>
      <c r="Q259" s="66" t="str">
        <f>IF(X259="OK",L259+M259+N259+O259+N(G259)+P259,"")</f>
        <v/>
      </c>
      <c r="R259" s="67" t="str">
        <f>IF(X259="OK",ROUND(Q259+N(H259)+N(I259)/D259,4),"")</f>
        <v/>
      </c>
      <c r="S259" s="66" t="str">
        <f>IF(X259="OK",ROUND(R259*(1+Z259),2),"")</f>
        <v/>
      </c>
      <c r="T259" s="66" t="str">
        <f>IF(AND(X259="OK",N(F259)&gt;0),F259-R259,"")</f>
        <v/>
      </c>
      <c r="U259" s="68" t="str">
        <f>IF(T259="","",IF(R259&lt;=0,"",T259/R259))</f>
        <v/>
      </c>
      <c r="V259" s="68" t="str">
        <f>IF(T259="","",T259/F259)</f>
        <v/>
      </c>
      <c r="W259" s="69" t="str">
        <f>IF(A259="","",IF(X259&lt;&gt;"OK","À corriger",IF(N(F259)&lt;=0,"Prix à saisir",IF(F259&lt;R259,"Vendu à perte",IF(F259&lt;S259,"Sous la cible","OK")))))</f>
        <v/>
      </c>
      <c r="X259" s="69" t="str">
        <f>IF(AND(A259="",COUNTA(B259:K259)=0),"",IF(A259="","Référence manquante",IF(COUNTIF($A$6:$A$305,A259)&gt;1,"Référence en double",IF(OR(NOT(ISNUMBER(D259)),N(D259)&lt;=0),"Taille de lot invalide",IF(AND(E259&lt;&gt;"",OR(NOT(ISNUMBER(E259)),N(E259)&lt;0)),"Volume annuel invalide",IF(AND(F259&lt;&gt;"",OR(NOT(ISNUMBER(F259)),N(F259)&lt;0)),"Prix de vente invalide",IF(OR(AND(G259&lt;&gt;"",OR(NOT(ISNUMBER(G259)),N(G259)&lt;0)),AND(H259&lt;&gt;"",OR(NOT(ISNUMBER(H259)),N(H259)&lt;0)),AND(I259&lt;&gt;"",OR(NOT(ISNUMBER(I259)),N(I259)&lt;0))),"Montant invalide",IF(OR(AND(J259&lt;&gt;"",OR(NOT(ISNUMBER(J259)),N(J259)&lt;0)),AND(K259&lt;&gt;"",OR(NOT(ISNUMBER(K259)),N(K259)&lt;0))),"Pourcentage invalide",IF(COUNTIF(bom_prod,A259)+COUNTIF(gam_prod,A259)=0,"Ni nomenclature ni gamme",IF(COUNTIFS(bom_prod,A259,bom_check,"&lt;&gt;OK")&gt;0,"Nomenclature à corriger",IF(COUNTIFS(gam_prod,A259,gam_check,"&lt;&gt;OK")&gt;0,"Gamme à corriger","OK")))))))))))</f>
        <v/>
      </c>
      <c r="Y259" s="70">
        <f>IF(J259="",N(p_fg),N(J259))</f>
        <v>0.15</v>
      </c>
      <c r="Z259" s="70">
        <f>IF(K259="",N(p_target),N(K259))</f>
        <v>0.25</v>
      </c>
      <c r="AA259" s="71" t="str">
        <f>IF(R259="","",IF(N(F259)&gt;0,ROUND(F259*N(E259),2),0))</f>
        <v/>
      </c>
      <c r="AB259" s="71">
        <f>IF(T259="",0,T259*N(E259))</f>
        <v>0.0</v>
      </c>
      <c r="AC259" s="71">
        <f>IF(T259="",0,R259*N(E259))</f>
        <v>0.0</v>
      </c>
      <c r="AD259" s="71">
        <f>IF(R259="",0,L259*N(E259))</f>
        <v>0.0</v>
      </c>
      <c r="AE259" s="71">
        <f>IF(R259="",0,M259*N(E259))</f>
        <v>0.0</v>
      </c>
      <c r="AF259" s="71">
        <f>IF(R259="",0,N259*N(E259))</f>
        <v>0.0</v>
      </c>
      <c r="AG259" s="71">
        <f>IF(R259="",0,O259*N(E259))</f>
        <v>0.0</v>
      </c>
      <c r="AH259" s="71">
        <f>IF(R259="",0,(N(G259)+N(H259)+N(I259)/D259)*N(E259))</f>
        <v>0.0</v>
      </c>
      <c r="AI259" s="71">
        <f>IF(R259="",0,P259*N(E259))</f>
        <v>0.0</v>
      </c>
      <c r="AJ259" s="71" t="str">
        <f>IF(AA259="","",COUNTIF(prod_ca,"&gt;"&amp;AA259)+COUNTIF(AA$6:AA259,AA259))</f>
        <v/>
      </c>
      <c r="AK259" s="71" t="str">
        <f>IF(OR(W259="Vendu à perte",W259="Sous la cible"),ROUND(U259,6),"")</f>
        <v/>
      </c>
      <c r="AL259" s="71" t="str">
        <f>IF(AK259="","",COUNTIF(prod_alk,"&lt;"&amp;AK259)+COUNTIF(AK$6:AK259,AK259))</f>
        <v/>
      </c>
    </row>
    <row r="260">
      <c r="A260" s="60" t="n"/>
      <c r="B260" s="60" t="n"/>
      <c r="C260" s="61" t="n"/>
      <c r="D260" s="62" t="n"/>
      <c r="E260" s="63" t="n"/>
      <c r="F260" s="64" t="n"/>
      <c r="G260" s="64" t="n"/>
      <c r="H260" s="64" t="n"/>
      <c r="I260" s="64" t="n"/>
      <c r="J260" s="65" t="n"/>
      <c r="K260" s="65" t="n"/>
      <c r="L260" s="66" t="str">
        <f>IF(X260="OK",SUMIF(bom_prod,A260,bom_cost),"")</f>
        <v/>
      </c>
      <c r="M260" s="66" t="str">
        <f>IF(X260="OK",SUMIF(gam_prod,A260,gam_mo),"")</f>
        <v/>
      </c>
      <c r="N260" s="66" t="str">
        <f>IF(X260="OK",SUMIF(gam_prod,A260,gam_mac),"")</f>
        <v/>
      </c>
      <c r="O260" s="66" t="str">
        <f>IF(X260="OK",SUMIF(gam_prod,A260,gam_setup)/D260,"")</f>
        <v/>
      </c>
      <c r="P260" s="66" t="str">
        <f>IF(X260="OK",(L260+M260+N260+O260+N(G260))*Y260,"")</f>
        <v/>
      </c>
      <c r="Q260" s="66" t="str">
        <f>IF(X260="OK",L260+M260+N260+O260+N(G260)+P260,"")</f>
        <v/>
      </c>
      <c r="R260" s="67" t="str">
        <f>IF(X260="OK",ROUND(Q260+N(H260)+N(I260)/D260,4),"")</f>
        <v/>
      </c>
      <c r="S260" s="66" t="str">
        <f>IF(X260="OK",ROUND(R260*(1+Z260),2),"")</f>
        <v/>
      </c>
      <c r="T260" s="66" t="str">
        <f>IF(AND(X260="OK",N(F260)&gt;0),F260-R260,"")</f>
        <v/>
      </c>
      <c r="U260" s="68" t="str">
        <f>IF(T260="","",IF(R260&lt;=0,"",T260/R260))</f>
        <v/>
      </c>
      <c r="V260" s="68" t="str">
        <f>IF(T260="","",T260/F260)</f>
        <v/>
      </c>
      <c r="W260" s="69" t="str">
        <f>IF(A260="","",IF(X260&lt;&gt;"OK","À corriger",IF(N(F260)&lt;=0,"Prix à saisir",IF(F260&lt;R260,"Vendu à perte",IF(F260&lt;S260,"Sous la cible","OK")))))</f>
        <v/>
      </c>
      <c r="X260" s="69" t="str">
        <f>IF(AND(A260="",COUNTA(B260:K260)=0),"",IF(A260="","Référence manquante",IF(COUNTIF($A$6:$A$305,A260)&gt;1,"Référence en double",IF(OR(NOT(ISNUMBER(D260)),N(D260)&lt;=0),"Taille de lot invalide",IF(AND(E260&lt;&gt;"",OR(NOT(ISNUMBER(E260)),N(E260)&lt;0)),"Volume annuel invalide",IF(AND(F260&lt;&gt;"",OR(NOT(ISNUMBER(F260)),N(F260)&lt;0)),"Prix de vente invalide",IF(OR(AND(G260&lt;&gt;"",OR(NOT(ISNUMBER(G260)),N(G260)&lt;0)),AND(H260&lt;&gt;"",OR(NOT(ISNUMBER(H260)),N(H260)&lt;0)),AND(I260&lt;&gt;"",OR(NOT(ISNUMBER(I260)),N(I260)&lt;0))),"Montant invalide",IF(OR(AND(J260&lt;&gt;"",OR(NOT(ISNUMBER(J260)),N(J260)&lt;0)),AND(K260&lt;&gt;"",OR(NOT(ISNUMBER(K260)),N(K260)&lt;0))),"Pourcentage invalide",IF(COUNTIF(bom_prod,A260)+COUNTIF(gam_prod,A260)=0,"Ni nomenclature ni gamme",IF(COUNTIFS(bom_prod,A260,bom_check,"&lt;&gt;OK")&gt;0,"Nomenclature à corriger",IF(COUNTIFS(gam_prod,A260,gam_check,"&lt;&gt;OK")&gt;0,"Gamme à corriger","OK")))))))))))</f>
        <v/>
      </c>
      <c r="Y260" s="70">
        <f>IF(J260="",N(p_fg),N(J260))</f>
        <v>0.15</v>
      </c>
      <c r="Z260" s="70">
        <f>IF(K260="",N(p_target),N(K260))</f>
        <v>0.25</v>
      </c>
      <c r="AA260" s="71" t="str">
        <f>IF(R260="","",IF(N(F260)&gt;0,ROUND(F260*N(E260),2),0))</f>
        <v/>
      </c>
      <c r="AB260" s="71">
        <f>IF(T260="",0,T260*N(E260))</f>
        <v>0.0</v>
      </c>
      <c r="AC260" s="71">
        <f>IF(T260="",0,R260*N(E260))</f>
        <v>0.0</v>
      </c>
      <c r="AD260" s="71">
        <f>IF(R260="",0,L260*N(E260))</f>
        <v>0.0</v>
      </c>
      <c r="AE260" s="71">
        <f>IF(R260="",0,M260*N(E260))</f>
        <v>0.0</v>
      </c>
      <c r="AF260" s="71">
        <f>IF(R260="",0,N260*N(E260))</f>
        <v>0.0</v>
      </c>
      <c r="AG260" s="71">
        <f>IF(R260="",0,O260*N(E260))</f>
        <v>0.0</v>
      </c>
      <c r="AH260" s="71">
        <f>IF(R260="",0,(N(G260)+N(H260)+N(I260)/D260)*N(E260))</f>
        <v>0.0</v>
      </c>
      <c r="AI260" s="71">
        <f>IF(R260="",0,P260*N(E260))</f>
        <v>0.0</v>
      </c>
      <c r="AJ260" s="71" t="str">
        <f>IF(AA260="","",COUNTIF(prod_ca,"&gt;"&amp;AA260)+COUNTIF(AA$6:AA260,AA260))</f>
        <v/>
      </c>
      <c r="AK260" s="71" t="str">
        <f>IF(OR(W260="Vendu à perte",W260="Sous la cible"),ROUND(U260,6),"")</f>
        <v/>
      </c>
      <c r="AL260" s="71" t="str">
        <f>IF(AK260="","",COUNTIF(prod_alk,"&lt;"&amp;AK260)+COUNTIF(AK$6:AK260,AK260))</f>
        <v/>
      </c>
    </row>
    <row r="261">
      <c r="A261" s="60" t="n"/>
      <c r="B261" s="60" t="n"/>
      <c r="C261" s="61" t="n"/>
      <c r="D261" s="62" t="n"/>
      <c r="E261" s="63" t="n"/>
      <c r="F261" s="64" t="n"/>
      <c r="G261" s="64" t="n"/>
      <c r="H261" s="64" t="n"/>
      <c r="I261" s="64" t="n"/>
      <c r="J261" s="65" t="n"/>
      <c r="K261" s="65" t="n"/>
      <c r="L261" s="66" t="str">
        <f>IF(X261="OK",SUMIF(bom_prod,A261,bom_cost),"")</f>
        <v/>
      </c>
      <c r="M261" s="66" t="str">
        <f>IF(X261="OK",SUMIF(gam_prod,A261,gam_mo),"")</f>
        <v/>
      </c>
      <c r="N261" s="66" t="str">
        <f>IF(X261="OK",SUMIF(gam_prod,A261,gam_mac),"")</f>
        <v/>
      </c>
      <c r="O261" s="66" t="str">
        <f>IF(X261="OK",SUMIF(gam_prod,A261,gam_setup)/D261,"")</f>
        <v/>
      </c>
      <c r="P261" s="66" t="str">
        <f>IF(X261="OK",(L261+M261+N261+O261+N(G261))*Y261,"")</f>
        <v/>
      </c>
      <c r="Q261" s="66" t="str">
        <f>IF(X261="OK",L261+M261+N261+O261+N(G261)+P261,"")</f>
        <v/>
      </c>
      <c r="R261" s="67" t="str">
        <f>IF(X261="OK",ROUND(Q261+N(H261)+N(I261)/D261,4),"")</f>
        <v/>
      </c>
      <c r="S261" s="66" t="str">
        <f>IF(X261="OK",ROUND(R261*(1+Z261),2),"")</f>
        <v/>
      </c>
      <c r="T261" s="66" t="str">
        <f>IF(AND(X261="OK",N(F261)&gt;0),F261-R261,"")</f>
        <v/>
      </c>
      <c r="U261" s="68" t="str">
        <f>IF(T261="","",IF(R261&lt;=0,"",T261/R261))</f>
        <v/>
      </c>
      <c r="V261" s="68" t="str">
        <f>IF(T261="","",T261/F261)</f>
        <v/>
      </c>
      <c r="W261" s="69" t="str">
        <f>IF(A261="","",IF(X261&lt;&gt;"OK","À corriger",IF(N(F261)&lt;=0,"Prix à saisir",IF(F261&lt;R261,"Vendu à perte",IF(F261&lt;S261,"Sous la cible","OK")))))</f>
        <v/>
      </c>
      <c r="X261" s="69" t="str">
        <f>IF(AND(A261="",COUNTA(B261:K261)=0),"",IF(A261="","Référence manquante",IF(COUNTIF($A$6:$A$305,A261)&gt;1,"Référence en double",IF(OR(NOT(ISNUMBER(D261)),N(D261)&lt;=0),"Taille de lot invalide",IF(AND(E261&lt;&gt;"",OR(NOT(ISNUMBER(E261)),N(E261)&lt;0)),"Volume annuel invalide",IF(AND(F261&lt;&gt;"",OR(NOT(ISNUMBER(F261)),N(F261)&lt;0)),"Prix de vente invalide",IF(OR(AND(G261&lt;&gt;"",OR(NOT(ISNUMBER(G261)),N(G261)&lt;0)),AND(H261&lt;&gt;"",OR(NOT(ISNUMBER(H261)),N(H261)&lt;0)),AND(I261&lt;&gt;"",OR(NOT(ISNUMBER(I261)),N(I261)&lt;0))),"Montant invalide",IF(OR(AND(J261&lt;&gt;"",OR(NOT(ISNUMBER(J261)),N(J261)&lt;0)),AND(K261&lt;&gt;"",OR(NOT(ISNUMBER(K261)),N(K261)&lt;0))),"Pourcentage invalide",IF(COUNTIF(bom_prod,A261)+COUNTIF(gam_prod,A261)=0,"Ni nomenclature ni gamme",IF(COUNTIFS(bom_prod,A261,bom_check,"&lt;&gt;OK")&gt;0,"Nomenclature à corriger",IF(COUNTIFS(gam_prod,A261,gam_check,"&lt;&gt;OK")&gt;0,"Gamme à corriger","OK")))))))))))</f>
        <v/>
      </c>
      <c r="Y261" s="70">
        <f>IF(J261="",N(p_fg),N(J261))</f>
        <v>0.15</v>
      </c>
      <c r="Z261" s="70">
        <f>IF(K261="",N(p_target),N(K261))</f>
        <v>0.25</v>
      </c>
      <c r="AA261" s="71" t="str">
        <f>IF(R261="","",IF(N(F261)&gt;0,ROUND(F261*N(E261),2),0))</f>
        <v/>
      </c>
      <c r="AB261" s="71">
        <f>IF(T261="",0,T261*N(E261))</f>
        <v>0.0</v>
      </c>
      <c r="AC261" s="71">
        <f>IF(T261="",0,R261*N(E261))</f>
        <v>0.0</v>
      </c>
      <c r="AD261" s="71">
        <f>IF(R261="",0,L261*N(E261))</f>
        <v>0.0</v>
      </c>
      <c r="AE261" s="71">
        <f>IF(R261="",0,M261*N(E261))</f>
        <v>0.0</v>
      </c>
      <c r="AF261" s="71">
        <f>IF(R261="",0,N261*N(E261))</f>
        <v>0.0</v>
      </c>
      <c r="AG261" s="71">
        <f>IF(R261="",0,O261*N(E261))</f>
        <v>0.0</v>
      </c>
      <c r="AH261" s="71">
        <f>IF(R261="",0,(N(G261)+N(H261)+N(I261)/D261)*N(E261))</f>
        <v>0.0</v>
      </c>
      <c r="AI261" s="71">
        <f>IF(R261="",0,P261*N(E261))</f>
        <v>0.0</v>
      </c>
      <c r="AJ261" s="71" t="str">
        <f>IF(AA261="","",COUNTIF(prod_ca,"&gt;"&amp;AA261)+COUNTIF(AA$6:AA261,AA261))</f>
        <v/>
      </c>
      <c r="AK261" s="71" t="str">
        <f>IF(OR(W261="Vendu à perte",W261="Sous la cible"),ROUND(U261,6),"")</f>
        <v/>
      </c>
      <c r="AL261" s="71" t="str">
        <f>IF(AK261="","",COUNTIF(prod_alk,"&lt;"&amp;AK261)+COUNTIF(AK$6:AK261,AK261))</f>
        <v/>
      </c>
    </row>
    <row r="262">
      <c r="A262" s="60" t="n"/>
      <c r="B262" s="60" t="n"/>
      <c r="C262" s="61" t="n"/>
      <c r="D262" s="62" t="n"/>
      <c r="E262" s="63" t="n"/>
      <c r="F262" s="64" t="n"/>
      <c r="G262" s="64" t="n"/>
      <c r="H262" s="64" t="n"/>
      <c r="I262" s="64" t="n"/>
      <c r="J262" s="65" t="n"/>
      <c r="K262" s="65" t="n"/>
      <c r="L262" s="66" t="str">
        <f>IF(X262="OK",SUMIF(bom_prod,A262,bom_cost),"")</f>
        <v/>
      </c>
      <c r="M262" s="66" t="str">
        <f>IF(X262="OK",SUMIF(gam_prod,A262,gam_mo),"")</f>
        <v/>
      </c>
      <c r="N262" s="66" t="str">
        <f>IF(X262="OK",SUMIF(gam_prod,A262,gam_mac),"")</f>
        <v/>
      </c>
      <c r="O262" s="66" t="str">
        <f>IF(X262="OK",SUMIF(gam_prod,A262,gam_setup)/D262,"")</f>
        <v/>
      </c>
      <c r="P262" s="66" t="str">
        <f>IF(X262="OK",(L262+M262+N262+O262+N(G262))*Y262,"")</f>
        <v/>
      </c>
      <c r="Q262" s="66" t="str">
        <f>IF(X262="OK",L262+M262+N262+O262+N(G262)+P262,"")</f>
        <v/>
      </c>
      <c r="R262" s="67" t="str">
        <f>IF(X262="OK",ROUND(Q262+N(H262)+N(I262)/D262,4),"")</f>
        <v/>
      </c>
      <c r="S262" s="66" t="str">
        <f>IF(X262="OK",ROUND(R262*(1+Z262),2),"")</f>
        <v/>
      </c>
      <c r="T262" s="66" t="str">
        <f>IF(AND(X262="OK",N(F262)&gt;0),F262-R262,"")</f>
        <v/>
      </c>
      <c r="U262" s="68" t="str">
        <f>IF(T262="","",IF(R262&lt;=0,"",T262/R262))</f>
        <v/>
      </c>
      <c r="V262" s="68" t="str">
        <f>IF(T262="","",T262/F262)</f>
        <v/>
      </c>
      <c r="W262" s="69" t="str">
        <f>IF(A262="","",IF(X262&lt;&gt;"OK","À corriger",IF(N(F262)&lt;=0,"Prix à saisir",IF(F262&lt;R262,"Vendu à perte",IF(F262&lt;S262,"Sous la cible","OK")))))</f>
        <v/>
      </c>
      <c r="X262" s="69" t="str">
        <f>IF(AND(A262="",COUNTA(B262:K262)=0),"",IF(A262="","Référence manquante",IF(COUNTIF($A$6:$A$305,A262)&gt;1,"Référence en double",IF(OR(NOT(ISNUMBER(D262)),N(D262)&lt;=0),"Taille de lot invalide",IF(AND(E262&lt;&gt;"",OR(NOT(ISNUMBER(E262)),N(E262)&lt;0)),"Volume annuel invalide",IF(AND(F262&lt;&gt;"",OR(NOT(ISNUMBER(F262)),N(F262)&lt;0)),"Prix de vente invalide",IF(OR(AND(G262&lt;&gt;"",OR(NOT(ISNUMBER(G262)),N(G262)&lt;0)),AND(H262&lt;&gt;"",OR(NOT(ISNUMBER(H262)),N(H262)&lt;0)),AND(I262&lt;&gt;"",OR(NOT(ISNUMBER(I262)),N(I262)&lt;0))),"Montant invalide",IF(OR(AND(J262&lt;&gt;"",OR(NOT(ISNUMBER(J262)),N(J262)&lt;0)),AND(K262&lt;&gt;"",OR(NOT(ISNUMBER(K262)),N(K262)&lt;0))),"Pourcentage invalide",IF(COUNTIF(bom_prod,A262)+COUNTIF(gam_prod,A262)=0,"Ni nomenclature ni gamme",IF(COUNTIFS(bom_prod,A262,bom_check,"&lt;&gt;OK")&gt;0,"Nomenclature à corriger",IF(COUNTIFS(gam_prod,A262,gam_check,"&lt;&gt;OK")&gt;0,"Gamme à corriger","OK")))))))))))</f>
        <v/>
      </c>
      <c r="Y262" s="70">
        <f>IF(J262="",N(p_fg),N(J262))</f>
        <v>0.15</v>
      </c>
      <c r="Z262" s="70">
        <f>IF(K262="",N(p_target),N(K262))</f>
        <v>0.25</v>
      </c>
      <c r="AA262" s="71" t="str">
        <f>IF(R262="","",IF(N(F262)&gt;0,ROUND(F262*N(E262),2),0))</f>
        <v/>
      </c>
      <c r="AB262" s="71">
        <f>IF(T262="",0,T262*N(E262))</f>
        <v>0.0</v>
      </c>
      <c r="AC262" s="71">
        <f>IF(T262="",0,R262*N(E262))</f>
        <v>0.0</v>
      </c>
      <c r="AD262" s="71">
        <f>IF(R262="",0,L262*N(E262))</f>
        <v>0.0</v>
      </c>
      <c r="AE262" s="71">
        <f>IF(R262="",0,M262*N(E262))</f>
        <v>0.0</v>
      </c>
      <c r="AF262" s="71">
        <f>IF(R262="",0,N262*N(E262))</f>
        <v>0.0</v>
      </c>
      <c r="AG262" s="71">
        <f>IF(R262="",0,O262*N(E262))</f>
        <v>0.0</v>
      </c>
      <c r="AH262" s="71">
        <f>IF(R262="",0,(N(G262)+N(H262)+N(I262)/D262)*N(E262))</f>
        <v>0.0</v>
      </c>
      <c r="AI262" s="71">
        <f>IF(R262="",0,P262*N(E262))</f>
        <v>0.0</v>
      </c>
      <c r="AJ262" s="71" t="str">
        <f>IF(AA262="","",COUNTIF(prod_ca,"&gt;"&amp;AA262)+COUNTIF(AA$6:AA262,AA262))</f>
        <v/>
      </c>
      <c r="AK262" s="71" t="str">
        <f>IF(OR(W262="Vendu à perte",W262="Sous la cible"),ROUND(U262,6),"")</f>
        <v/>
      </c>
      <c r="AL262" s="71" t="str">
        <f>IF(AK262="","",COUNTIF(prod_alk,"&lt;"&amp;AK262)+COUNTIF(AK$6:AK262,AK262))</f>
        <v/>
      </c>
    </row>
    <row r="263">
      <c r="A263" s="60" t="n"/>
      <c r="B263" s="60" t="n"/>
      <c r="C263" s="61" t="n"/>
      <c r="D263" s="62" t="n"/>
      <c r="E263" s="63" t="n"/>
      <c r="F263" s="64" t="n"/>
      <c r="G263" s="64" t="n"/>
      <c r="H263" s="64" t="n"/>
      <c r="I263" s="64" t="n"/>
      <c r="J263" s="65" t="n"/>
      <c r="K263" s="65" t="n"/>
      <c r="L263" s="66" t="str">
        <f>IF(X263="OK",SUMIF(bom_prod,A263,bom_cost),"")</f>
        <v/>
      </c>
      <c r="M263" s="66" t="str">
        <f>IF(X263="OK",SUMIF(gam_prod,A263,gam_mo),"")</f>
        <v/>
      </c>
      <c r="N263" s="66" t="str">
        <f>IF(X263="OK",SUMIF(gam_prod,A263,gam_mac),"")</f>
        <v/>
      </c>
      <c r="O263" s="66" t="str">
        <f>IF(X263="OK",SUMIF(gam_prod,A263,gam_setup)/D263,"")</f>
        <v/>
      </c>
      <c r="P263" s="66" t="str">
        <f>IF(X263="OK",(L263+M263+N263+O263+N(G263))*Y263,"")</f>
        <v/>
      </c>
      <c r="Q263" s="66" t="str">
        <f>IF(X263="OK",L263+M263+N263+O263+N(G263)+P263,"")</f>
        <v/>
      </c>
      <c r="R263" s="67" t="str">
        <f>IF(X263="OK",ROUND(Q263+N(H263)+N(I263)/D263,4),"")</f>
        <v/>
      </c>
      <c r="S263" s="66" t="str">
        <f>IF(X263="OK",ROUND(R263*(1+Z263),2),"")</f>
        <v/>
      </c>
      <c r="T263" s="66" t="str">
        <f>IF(AND(X263="OK",N(F263)&gt;0),F263-R263,"")</f>
        <v/>
      </c>
      <c r="U263" s="68" t="str">
        <f>IF(T263="","",IF(R263&lt;=0,"",T263/R263))</f>
        <v/>
      </c>
      <c r="V263" s="68" t="str">
        <f>IF(T263="","",T263/F263)</f>
        <v/>
      </c>
      <c r="W263" s="69" t="str">
        <f>IF(A263="","",IF(X263&lt;&gt;"OK","À corriger",IF(N(F263)&lt;=0,"Prix à saisir",IF(F263&lt;R263,"Vendu à perte",IF(F263&lt;S263,"Sous la cible","OK")))))</f>
        <v/>
      </c>
      <c r="X263" s="69" t="str">
        <f>IF(AND(A263="",COUNTA(B263:K263)=0),"",IF(A263="","Référence manquante",IF(COUNTIF($A$6:$A$305,A263)&gt;1,"Référence en double",IF(OR(NOT(ISNUMBER(D263)),N(D263)&lt;=0),"Taille de lot invalide",IF(AND(E263&lt;&gt;"",OR(NOT(ISNUMBER(E263)),N(E263)&lt;0)),"Volume annuel invalide",IF(AND(F263&lt;&gt;"",OR(NOT(ISNUMBER(F263)),N(F263)&lt;0)),"Prix de vente invalide",IF(OR(AND(G263&lt;&gt;"",OR(NOT(ISNUMBER(G263)),N(G263)&lt;0)),AND(H263&lt;&gt;"",OR(NOT(ISNUMBER(H263)),N(H263)&lt;0)),AND(I263&lt;&gt;"",OR(NOT(ISNUMBER(I263)),N(I263)&lt;0))),"Montant invalide",IF(OR(AND(J263&lt;&gt;"",OR(NOT(ISNUMBER(J263)),N(J263)&lt;0)),AND(K263&lt;&gt;"",OR(NOT(ISNUMBER(K263)),N(K263)&lt;0))),"Pourcentage invalide",IF(COUNTIF(bom_prod,A263)+COUNTIF(gam_prod,A263)=0,"Ni nomenclature ni gamme",IF(COUNTIFS(bom_prod,A263,bom_check,"&lt;&gt;OK")&gt;0,"Nomenclature à corriger",IF(COUNTIFS(gam_prod,A263,gam_check,"&lt;&gt;OK")&gt;0,"Gamme à corriger","OK")))))))))))</f>
        <v/>
      </c>
      <c r="Y263" s="70">
        <f>IF(J263="",N(p_fg),N(J263))</f>
        <v>0.15</v>
      </c>
      <c r="Z263" s="70">
        <f>IF(K263="",N(p_target),N(K263))</f>
        <v>0.25</v>
      </c>
      <c r="AA263" s="71" t="str">
        <f>IF(R263="","",IF(N(F263)&gt;0,ROUND(F263*N(E263),2),0))</f>
        <v/>
      </c>
      <c r="AB263" s="71">
        <f>IF(T263="",0,T263*N(E263))</f>
        <v>0.0</v>
      </c>
      <c r="AC263" s="71">
        <f>IF(T263="",0,R263*N(E263))</f>
        <v>0.0</v>
      </c>
      <c r="AD263" s="71">
        <f>IF(R263="",0,L263*N(E263))</f>
        <v>0.0</v>
      </c>
      <c r="AE263" s="71">
        <f>IF(R263="",0,M263*N(E263))</f>
        <v>0.0</v>
      </c>
      <c r="AF263" s="71">
        <f>IF(R263="",0,N263*N(E263))</f>
        <v>0.0</v>
      </c>
      <c r="AG263" s="71">
        <f>IF(R263="",0,O263*N(E263))</f>
        <v>0.0</v>
      </c>
      <c r="AH263" s="71">
        <f>IF(R263="",0,(N(G263)+N(H263)+N(I263)/D263)*N(E263))</f>
        <v>0.0</v>
      </c>
      <c r="AI263" s="71">
        <f>IF(R263="",0,P263*N(E263))</f>
        <v>0.0</v>
      </c>
      <c r="AJ263" s="71" t="str">
        <f>IF(AA263="","",COUNTIF(prod_ca,"&gt;"&amp;AA263)+COUNTIF(AA$6:AA263,AA263))</f>
        <v/>
      </c>
      <c r="AK263" s="71" t="str">
        <f>IF(OR(W263="Vendu à perte",W263="Sous la cible"),ROUND(U263,6),"")</f>
        <v/>
      </c>
      <c r="AL263" s="71" t="str">
        <f>IF(AK263="","",COUNTIF(prod_alk,"&lt;"&amp;AK263)+COUNTIF(AK$6:AK263,AK263))</f>
        <v/>
      </c>
    </row>
    <row r="264">
      <c r="A264" s="60" t="n"/>
      <c r="B264" s="60" t="n"/>
      <c r="C264" s="61" t="n"/>
      <c r="D264" s="62" t="n"/>
      <c r="E264" s="63" t="n"/>
      <c r="F264" s="64" t="n"/>
      <c r="G264" s="64" t="n"/>
      <c r="H264" s="64" t="n"/>
      <c r="I264" s="64" t="n"/>
      <c r="J264" s="65" t="n"/>
      <c r="K264" s="65" t="n"/>
      <c r="L264" s="66" t="str">
        <f>IF(X264="OK",SUMIF(bom_prod,A264,bom_cost),"")</f>
        <v/>
      </c>
      <c r="M264" s="66" t="str">
        <f>IF(X264="OK",SUMIF(gam_prod,A264,gam_mo),"")</f>
        <v/>
      </c>
      <c r="N264" s="66" t="str">
        <f>IF(X264="OK",SUMIF(gam_prod,A264,gam_mac),"")</f>
        <v/>
      </c>
      <c r="O264" s="66" t="str">
        <f>IF(X264="OK",SUMIF(gam_prod,A264,gam_setup)/D264,"")</f>
        <v/>
      </c>
      <c r="P264" s="66" t="str">
        <f>IF(X264="OK",(L264+M264+N264+O264+N(G264))*Y264,"")</f>
        <v/>
      </c>
      <c r="Q264" s="66" t="str">
        <f>IF(X264="OK",L264+M264+N264+O264+N(G264)+P264,"")</f>
        <v/>
      </c>
      <c r="R264" s="67" t="str">
        <f>IF(X264="OK",ROUND(Q264+N(H264)+N(I264)/D264,4),"")</f>
        <v/>
      </c>
      <c r="S264" s="66" t="str">
        <f>IF(X264="OK",ROUND(R264*(1+Z264),2),"")</f>
        <v/>
      </c>
      <c r="T264" s="66" t="str">
        <f>IF(AND(X264="OK",N(F264)&gt;0),F264-R264,"")</f>
        <v/>
      </c>
      <c r="U264" s="68" t="str">
        <f>IF(T264="","",IF(R264&lt;=0,"",T264/R264))</f>
        <v/>
      </c>
      <c r="V264" s="68" t="str">
        <f>IF(T264="","",T264/F264)</f>
        <v/>
      </c>
      <c r="W264" s="69" t="str">
        <f>IF(A264="","",IF(X264&lt;&gt;"OK","À corriger",IF(N(F264)&lt;=0,"Prix à saisir",IF(F264&lt;R264,"Vendu à perte",IF(F264&lt;S264,"Sous la cible","OK")))))</f>
        <v/>
      </c>
      <c r="X264" s="69" t="str">
        <f>IF(AND(A264="",COUNTA(B264:K264)=0),"",IF(A264="","Référence manquante",IF(COUNTIF($A$6:$A$305,A264)&gt;1,"Référence en double",IF(OR(NOT(ISNUMBER(D264)),N(D264)&lt;=0),"Taille de lot invalide",IF(AND(E264&lt;&gt;"",OR(NOT(ISNUMBER(E264)),N(E264)&lt;0)),"Volume annuel invalide",IF(AND(F264&lt;&gt;"",OR(NOT(ISNUMBER(F264)),N(F264)&lt;0)),"Prix de vente invalide",IF(OR(AND(G264&lt;&gt;"",OR(NOT(ISNUMBER(G264)),N(G264)&lt;0)),AND(H264&lt;&gt;"",OR(NOT(ISNUMBER(H264)),N(H264)&lt;0)),AND(I264&lt;&gt;"",OR(NOT(ISNUMBER(I264)),N(I264)&lt;0))),"Montant invalide",IF(OR(AND(J264&lt;&gt;"",OR(NOT(ISNUMBER(J264)),N(J264)&lt;0)),AND(K264&lt;&gt;"",OR(NOT(ISNUMBER(K264)),N(K264)&lt;0))),"Pourcentage invalide",IF(COUNTIF(bom_prod,A264)+COUNTIF(gam_prod,A264)=0,"Ni nomenclature ni gamme",IF(COUNTIFS(bom_prod,A264,bom_check,"&lt;&gt;OK")&gt;0,"Nomenclature à corriger",IF(COUNTIFS(gam_prod,A264,gam_check,"&lt;&gt;OK")&gt;0,"Gamme à corriger","OK")))))))))))</f>
        <v/>
      </c>
      <c r="Y264" s="70">
        <f>IF(J264="",N(p_fg),N(J264))</f>
        <v>0.15</v>
      </c>
      <c r="Z264" s="70">
        <f>IF(K264="",N(p_target),N(K264))</f>
        <v>0.25</v>
      </c>
      <c r="AA264" s="71" t="str">
        <f>IF(R264="","",IF(N(F264)&gt;0,ROUND(F264*N(E264),2),0))</f>
        <v/>
      </c>
      <c r="AB264" s="71">
        <f>IF(T264="",0,T264*N(E264))</f>
        <v>0.0</v>
      </c>
      <c r="AC264" s="71">
        <f>IF(T264="",0,R264*N(E264))</f>
        <v>0.0</v>
      </c>
      <c r="AD264" s="71">
        <f>IF(R264="",0,L264*N(E264))</f>
        <v>0.0</v>
      </c>
      <c r="AE264" s="71">
        <f>IF(R264="",0,M264*N(E264))</f>
        <v>0.0</v>
      </c>
      <c r="AF264" s="71">
        <f>IF(R264="",0,N264*N(E264))</f>
        <v>0.0</v>
      </c>
      <c r="AG264" s="71">
        <f>IF(R264="",0,O264*N(E264))</f>
        <v>0.0</v>
      </c>
      <c r="AH264" s="71">
        <f>IF(R264="",0,(N(G264)+N(H264)+N(I264)/D264)*N(E264))</f>
        <v>0.0</v>
      </c>
      <c r="AI264" s="71">
        <f>IF(R264="",0,P264*N(E264))</f>
        <v>0.0</v>
      </c>
      <c r="AJ264" s="71" t="str">
        <f>IF(AA264="","",COUNTIF(prod_ca,"&gt;"&amp;AA264)+COUNTIF(AA$6:AA264,AA264))</f>
        <v/>
      </c>
      <c r="AK264" s="71" t="str">
        <f>IF(OR(W264="Vendu à perte",W264="Sous la cible"),ROUND(U264,6),"")</f>
        <v/>
      </c>
      <c r="AL264" s="71" t="str">
        <f>IF(AK264="","",COUNTIF(prod_alk,"&lt;"&amp;AK264)+COUNTIF(AK$6:AK264,AK264))</f>
        <v/>
      </c>
    </row>
    <row r="265">
      <c r="A265" s="60" t="n"/>
      <c r="B265" s="60" t="n"/>
      <c r="C265" s="61" t="n"/>
      <c r="D265" s="62" t="n"/>
      <c r="E265" s="63" t="n"/>
      <c r="F265" s="64" t="n"/>
      <c r="G265" s="64" t="n"/>
      <c r="H265" s="64" t="n"/>
      <c r="I265" s="64" t="n"/>
      <c r="J265" s="65" t="n"/>
      <c r="K265" s="65" t="n"/>
      <c r="L265" s="66" t="str">
        <f>IF(X265="OK",SUMIF(bom_prod,A265,bom_cost),"")</f>
        <v/>
      </c>
      <c r="M265" s="66" t="str">
        <f>IF(X265="OK",SUMIF(gam_prod,A265,gam_mo),"")</f>
        <v/>
      </c>
      <c r="N265" s="66" t="str">
        <f>IF(X265="OK",SUMIF(gam_prod,A265,gam_mac),"")</f>
        <v/>
      </c>
      <c r="O265" s="66" t="str">
        <f>IF(X265="OK",SUMIF(gam_prod,A265,gam_setup)/D265,"")</f>
        <v/>
      </c>
      <c r="P265" s="66" t="str">
        <f>IF(X265="OK",(L265+M265+N265+O265+N(G265))*Y265,"")</f>
        <v/>
      </c>
      <c r="Q265" s="66" t="str">
        <f>IF(X265="OK",L265+M265+N265+O265+N(G265)+P265,"")</f>
        <v/>
      </c>
      <c r="R265" s="67" t="str">
        <f>IF(X265="OK",ROUND(Q265+N(H265)+N(I265)/D265,4),"")</f>
        <v/>
      </c>
      <c r="S265" s="66" t="str">
        <f>IF(X265="OK",ROUND(R265*(1+Z265),2),"")</f>
        <v/>
      </c>
      <c r="T265" s="66" t="str">
        <f>IF(AND(X265="OK",N(F265)&gt;0),F265-R265,"")</f>
        <v/>
      </c>
      <c r="U265" s="68" t="str">
        <f>IF(T265="","",IF(R265&lt;=0,"",T265/R265))</f>
        <v/>
      </c>
      <c r="V265" s="68" t="str">
        <f>IF(T265="","",T265/F265)</f>
        <v/>
      </c>
      <c r="W265" s="69" t="str">
        <f>IF(A265="","",IF(X265&lt;&gt;"OK","À corriger",IF(N(F265)&lt;=0,"Prix à saisir",IF(F265&lt;R265,"Vendu à perte",IF(F265&lt;S265,"Sous la cible","OK")))))</f>
        <v/>
      </c>
      <c r="X265" s="69" t="str">
        <f>IF(AND(A265="",COUNTA(B265:K265)=0),"",IF(A265="","Référence manquante",IF(COUNTIF($A$6:$A$305,A265)&gt;1,"Référence en double",IF(OR(NOT(ISNUMBER(D265)),N(D265)&lt;=0),"Taille de lot invalide",IF(AND(E265&lt;&gt;"",OR(NOT(ISNUMBER(E265)),N(E265)&lt;0)),"Volume annuel invalide",IF(AND(F265&lt;&gt;"",OR(NOT(ISNUMBER(F265)),N(F265)&lt;0)),"Prix de vente invalide",IF(OR(AND(G265&lt;&gt;"",OR(NOT(ISNUMBER(G265)),N(G265)&lt;0)),AND(H265&lt;&gt;"",OR(NOT(ISNUMBER(H265)),N(H265)&lt;0)),AND(I265&lt;&gt;"",OR(NOT(ISNUMBER(I265)),N(I265)&lt;0))),"Montant invalide",IF(OR(AND(J265&lt;&gt;"",OR(NOT(ISNUMBER(J265)),N(J265)&lt;0)),AND(K265&lt;&gt;"",OR(NOT(ISNUMBER(K265)),N(K265)&lt;0))),"Pourcentage invalide",IF(COUNTIF(bom_prod,A265)+COUNTIF(gam_prod,A265)=0,"Ni nomenclature ni gamme",IF(COUNTIFS(bom_prod,A265,bom_check,"&lt;&gt;OK")&gt;0,"Nomenclature à corriger",IF(COUNTIFS(gam_prod,A265,gam_check,"&lt;&gt;OK")&gt;0,"Gamme à corriger","OK")))))))))))</f>
        <v/>
      </c>
      <c r="Y265" s="70">
        <f>IF(J265="",N(p_fg),N(J265))</f>
        <v>0.15</v>
      </c>
      <c r="Z265" s="70">
        <f>IF(K265="",N(p_target),N(K265))</f>
        <v>0.25</v>
      </c>
      <c r="AA265" s="71" t="str">
        <f>IF(R265="","",IF(N(F265)&gt;0,ROUND(F265*N(E265),2),0))</f>
        <v/>
      </c>
      <c r="AB265" s="71">
        <f>IF(T265="",0,T265*N(E265))</f>
        <v>0.0</v>
      </c>
      <c r="AC265" s="71">
        <f>IF(T265="",0,R265*N(E265))</f>
        <v>0.0</v>
      </c>
      <c r="AD265" s="71">
        <f>IF(R265="",0,L265*N(E265))</f>
        <v>0.0</v>
      </c>
      <c r="AE265" s="71">
        <f>IF(R265="",0,M265*N(E265))</f>
        <v>0.0</v>
      </c>
      <c r="AF265" s="71">
        <f>IF(R265="",0,N265*N(E265))</f>
        <v>0.0</v>
      </c>
      <c r="AG265" s="71">
        <f>IF(R265="",0,O265*N(E265))</f>
        <v>0.0</v>
      </c>
      <c r="AH265" s="71">
        <f>IF(R265="",0,(N(G265)+N(H265)+N(I265)/D265)*N(E265))</f>
        <v>0.0</v>
      </c>
      <c r="AI265" s="71">
        <f>IF(R265="",0,P265*N(E265))</f>
        <v>0.0</v>
      </c>
      <c r="AJ265" s="71" t="str">
        <f>IF(AA265="","",COUNTIF(prod_ca,"&gt;"&amp;AA265)+COUNTIF(AA$6:AA265,AA265))</f>
        <v/>
      </c>
      <c r="AK265" s="71" t="str">
        <f>IF(OR(W265="Vendu à perte",W265="Sous la cible"),ROUND(U265,6),"")</f>
        <v/>
      </c>
      <c r="AL265" s="71" t="str">
        <f>IF(AK265="","",COUNTIF(prod_alk,"&lt;"&amp;AK265)+COUNTIF(AK$6:AK265,AK265))</f>
        <v/>
      </c>
    </row>
    <row r="266">
      <c r="A266" s="60" t="n"/>
      <c r="B266" s="60" t="n"/>
      <c r="C266" s="61" t="n"/>
      <c r="D266" s="62" t="n"/>
      <c r="E266" s="63" t="n"/>
      <c r="F266" s="64" t="n"/>
      <c r="G266" s="64" t="n"/>
      <c r="H266" s="64" t="n"/>
      <c r="I266" s="64" t="n"/>
      <c r="J266" s="65" t="n"/>
      <c r="K266" s="65" t="n"/>
      <c r="L266" s="66" t="str">
        <f>IF(X266="OK",SUMIF(bom_prod,A266,bom_cost),"")</f>
        <v/>
      </c>
      <c r="M266" s="66" t="str">
        <f>IF(X266="OK",SUMIF(gam_prod,A266,gam_mo),"")</f>
        <v/>
      </c>
      <c r="N266" s="66" t="str">
        <f>IF(X266="OK",SUMIF(gam_prod,A266,gam_mac),"")</f>
        <v/>
      </c>
      <c r="O266" s="66" t="str">
        <f>IF(X266="OK",SUMIF(gam_prod,A266,gam_setup)/D266,"")</f>
        <v/>
      </c>
      <c r="P266" s="66" t="str">
        <f>IF(X266="OK",(L266+M266+N266+O266+N(G266))*Y266,"")</f>
        <v/>
      </c>
      <c r="Q266" s="66" t="str">
        <f>IF(X266="OK",L266+M266+N266+O266+N(G266)+P266,"")</f>
        <v/>
      </c>
      <c r="R266" s="67" t="str">
        <f>IF(X266="OK",ROUND(Q266+N(H266)+N(I266)/D266,4),"")</f>
        <v/>
      </c>
      <c r="S266" s="66" t="str">
        <f>IF(X266="OK",ROUND(R266*(1+Z266),2),"")</f>
        <v/>
      </c>
      <c r="T266" s="66" t="str">
        <f>IF(AND(X266="OK",N(F266)&gt;0),F266-R266,"")</f>
        <v/>
      </c>
      <c r="U266" s="68" t="str">
        <f>IF(T266="","",IF(R266&lt;=0,"",T266/R266))</f>
        <v/>
      </c>
      <c r="V266" s="68" t="str">
        <f>IF(T266="","",T266/F266)</f>
        <v/>
      </c>
      <c r="W266" s="69" t="str">
        <f>IF(A266="","",IF(X266&lt;&gt;"OK","À corriger",IF(N(F266)&lt;=0,"Prix à saisir",IF(F266&lt;R266,"Vendu à perte",IF(F266&lt;S266,"Sous la cible","OK")))))</f>
        <v/>
      </c>
      <c r="X266" s="69" t="str">
        <f>IF(AND(A266="",COUNTA(B266:K266)=0),"",IF(A266="","Référence manquante",IF(COUNTIF($A$6:$A$305,A266)&gt;1,"Référence en double",IF(OR(NOT(ISNUMBER(D266)),N(D266)&lt;=0),"Taille de lot invalide",IF(AND(E266&lt;&gt;"",OR(NOT(ISNUMBER(E266)),N(E266)&lt;0)),"Volume annuel invalide",IF(AND(F266&lt;&gt;"",OR(NOT(ISNUMBER(F266)),N(F266)&lt;0)),"Prix de vente invalide",IF(OR(AND(G266&lt;&gt;"",OR(NOT(ISNUMBER(G266)),N(G266)&lt;0)),AND(H266&lt;&gt;"",OR(NOT(ISNUMBER(H266)),N(H266)&lt;0)),AND(I266&lt;&gt;"",OR(NOT(ISNUMBER(I266)),N(I266)&lt;0))),"Montant invalide",IF(OR(AND(J266&lt;&gt;"",OR(NOT(ISNUMBER(J266)),N(J266)&lt;0)),AND(K266&lt;&gt;"",OR(NOT(ISNUMBER(K266)),N(K266)&lt;0))),"Pourcentage invalide",IF(COUNTIF(bom_prod,A266)+COUNTIF(gam_prod,A266)=0,"Ni nomenclature ni gamme",IF(COUNTIFS(bom_prod,A266,bom_check,"&lt;&gt;OK")&gt;0,"Nomenclature à corriger",IF(COUNTIFS(gam_prod,A266,gam_check,"&lt;&gt;OK")&gt;0,"Gamme à corriger","OK")))))))))))</f>
        <v/>
      </c>
      <c r="Y266" s="70">
        <f>IF(J266="",N(p_fg),N(J266))</f>
        <v>0.15</v>
      </c>
      <c r="Z266" s="70">
        <f>IF(K266="",N(p_target),N(K266))</f>
        <v>0.25</v>
      </c>
      <c r="AA266" s="71" t="str">
        <f>IF(R266="","",IF(N(F266)&gt;0,ROUND(F266*N(E266),2),0))</f>
        <v/>
      </c>
      <c r="AB266" s="71">
        <f>IF(T266="",0,T266*N(E266))</f>
        <v>0.0</v>
      </c>
      <c r="AC266" s="71">
        <f>IF(T266="",0,R266*N(E266))</f>
        <v>0.0</v>
      </c>
      <c r="AD266" s="71">
        <f>IF(R266="",0,L266*N(E266))</f>
        <v>0.0</v>
      </c>
      <c r="AE266" s="71">
        <f>IF(R266="",0,M266*N(E266))</f>
        <v>0.0</v>
      </c>
      <c r="AF266" s="71">
        <f>IF(R266="",0,N266*N(E266))</f>
        <v>0.0</v>
      </c>
      <c r="AG266" s="71">
        <f>IF(R266="",0,O266*N(E266))</f>
        <v>0.0</v>
      </c>
      <c r="AH266" s="71">
        <f>IF(R266="",0,(N(G266)+N(H266)+N(I266)/D266)*N(E266))</f>
        <v>0.0</v>
      </c>
      <c r="AI266" s="71">
        <f>IF(R266="",0,P266*N(E266))</f>
        <v>0.0</v>
      </c>
      <c r="AJ266" s="71" t="str">
        <f>IF(AA266="","",COUNTIF(prod_ca,"&gt;"&amp;AA266)+COUNTIF(AA$6:AA266,AA266))</f>
        <v/>
      </c>
      <c r="AK266" s="71" t="str">
        <f>IF(OR(W266="Vendu à perte",W266="Sous la cible"),ROUND(U266,6),"")</f>
        <v/>
      </c>
      <c r="AL266" s="71" t="str">
        <f>IF(AK266="","",COUNTIF(prod_alk,"&lt;"&amp;AK266)+COUNTIF(AK$6:AK266,AK266))</f>
        <v/>
      </c>
    </row>
    <row r="267">
      <c r="A267" s="60" t="n"/>
      <c r="B267" s="60" t="n"/>
      <c r="C267" s="61" t="n"/>
      <c r="D267" s="62" t="n"/>
      <c r="E267" s="63" t="n"/>
      <c r="F267" s="64" t="n"/>
      <c r="G267" s="64" t="n"/>
      <c r="H267" s="64" t="n"/>
      <c r="I267" s="64" t="n"/>
      <c r="J267" s="65" t="n"/>
      <c r="K267" s="65" t="n"/>
      <c r="L267" s="66" t="str">
        <f>IF(X267="OK",SUMIF(bom_prod,A267,bom_cost),"")</f>
        <v/>
      </c>
      <c r="M267" s="66" t="str">
        <f>IF(X267="OK",SUMIF(gam_prod,A267,gam_mo),"")</f>
        <v/>
      </c>
      <c r="N267" s="66" t="str">
        <f>IF(X267="OK",SUMIF(gam_prod,A267,gam_mac),"")</f>
        <v/>
      </c>
      <c r="O267" s="66" t="str">
        <f>IF(X267="OK",SUMIF(gam_prod,A267,gam_setup)/D267,"")</f>
        <v/>
      </c>
      <c r="P267" s="66" t="str">
        <f>IF(X267="OK",(L267+M267+N267+O267+N(G267))*Y267,"")</f>
        <v/>
      </c>
      <c r="Q267" s="66" t="str">
        <f>IF(X267="OK",L267+M267+N267+O267+N(G267)+P267,"")</f>
        <v/>
      </c>
      <c r="R267" s="67" t="str">
        <f>IF(X267="OK",ROUND(Q267+N(H267)+N(I267)/D267,4),"")</f>
        <v/>
      </c>
      <c r="S267" s="66" t="str">
        <f>IF(X267="OK",ROUND(R267*(1+Z267),2),"")</f>
        <v/>
      </c>
      <c r="T267" s="66" t="str">
        <f>IF(AND(X267="OK",N(F267)&gt;0),F267-R267,"")</f>
        <v/>
      </c>
      <c r="U267" s="68" t="str">
        <f>IF(T267="","",IF(R267&lt;=0,"",T267/R267))</f>
        <v/>
      </c>
      <c r="V267" s="68" t="str">
        <f>IF(T267="","",T267/F267)</f>
        <v/>
      </c>
      <c r="W267" s="69" t="str">
        <f>IF(A267="","",IF(X267&lt;&gt;"OK","À corriger",IF(N(F267)&lt;=0,"Prix à saisir",IF(F267&lt;R267,"Vendu à perte",IF(F267&lt;S267,"Sous la cible","OK")))))</f>
        <v/>
      </c>
      <c r="X267" s="69" t="str">
        <f>IF(AND(A267="",COUNTA(B267:K267)=0),"",IF(A267="","Référence manquante",IF(COUNTIF($A$6:$A$305,A267)&gt;1,"Référence en double",IF(OR(NOT(ISNUMBER(D267)),N(D267)&lt;=0),"Taille de lot invalide",IF(AND(E267&lt;&gt;"",OR(NOT(ISNUMBER(E267)),N(E267)&lt;0)),"Volume annuel invalide",IF(AND(F267&lt;&gt;"",OR(NOT(ISNUMBER(F267)),N(F267)&lt;0)),"Prix de vente invalide",IF(OR(AND(G267&lt;&gt;"",OR(NOT(ISNUMBER(G267)),N(G267)&lt;0)),AND(H267&lt;&gt;"",OR(NOT(ISNUMBER(H267)),N(H267)&lt;0)),AND(I267&lt;&gt;"",OR(NOT(ISNUMBER(I267)),N(I267)&lt;0))),"Montant invalide",IF(OR(AND(J267&lt;&gt;"",OR(NOT(ISNUMBER(J267)),N(J267)&lt;0)),AND(K267&lt;&gt;"",OR(NOT(ISNUMBER(K267)),N(K267)&lt;0))),"Pourcentage invalide",IF(COUNTIF(bom_prod,A267)+COUNTIF(gam_prod,A267)=0,"Ni nomenclature ni gamme",IF(COUNTIFS(bom_prod,A267,bom_check,"&lt;&gt;OK")&gt;0,"Nomenclature à corriger",IF(COUNTIFS(gam_prod,A267,gam_check,"&lt;&gt;OK")&gt;0,"Gamme à corriger","OK")))))))))))</f>
        <v/>
      </c>
      <c r="Y267" s="70">
        <f>IF(J267="",N(p_fg),N(J267))</f>
        <v>0.15</v>
      </c>
      <c r="Z267" s="70">
        <f>IF(K267="",N(p_target),N(K267))</f>
        <v>0.25</v>
      </c>
      <c r="AA267" s="71" t="str">
        <f>IF(R267="","",IF(N(F267)&gt;0,ROUND(F267*N(E267),2),0))</f>
        <v/>
      </c>
      <c r="AB267" s="71">
        <f>IF(T267="",0,T267*N(E267))</f>
        <v>0.0</v>
      </c>
      <c r="AC267" s="71">
        <f>IF(T267="",0,R267*N(E267))</f>
        <v>0.0</v>
      </c>
      <c r="AD267" s="71">
        <f>IF(R267="",0,L267*N(E267))</f>
        <v>0.0</v>
      </c>
      <c r="AE267" s="71">
        <f>IF(R267="",0,M267*N(E267))</f>
        <v>0.0</v>
      </c>
      <c r="AF267" s="71">
        <f>IF(R267="",0,N267*N(E267))</f>
        <v>0.0</v>
      </c>
      <c r="AG267" s="71">
        <f>IF(R267="",0,O267*N(E267))</f>
        <v>0.0</v>
      </c>
      <c r="AH267" s="71">
        <f>IF(R267="",0,(N(G267)+N(H267)+N(I267)/D267)*N(E267))</f>
        <v>0.0</v>
      </c>
      <c r="AI267" s="71">
        <f>IF(R267="",0,P267*N(E267))</f>
        <v>0.0</v>
      </c>
      <c r="AJ267" s="71" t="str">
        <f>IF(AA267="","",COUNTIF(prod_ca,"&gt;"&amp;AA267)+COUNTIF(AA$6:AA267,AA267))</f>
        <v/>
      </c>
      <c r="AK267" s="71" t="str">
        <f>IF(OR(W267="Vendu à perte",W267="Sous la cible"),ROUND(U267,6),"")</f>
        <v/>
      </c>
      <c r="AL267" s="71" t="str">
        <f>IF(AK267="","",COUNTIF(prod_alk,"&lt;"&amp;AK267)+COUNTIF(AK$6:AK267,AK267))</f>
        <v/>
      </c>
    </row>
    <row r="268">
      <c r="A268" s="60" t="n"/>
      <c r="B268" s="60" t="n"/>
      <c r="C268" s="61" t="n"/>
      <c r="D268" s="62" t="n"/>
      <c r="E268" s="63" t="n"/>
      <c r="F268" s="64" t="n"/>
      <c r="G268" s="64" t="n"/>
      <c r="H268" s="64" t="n"/>
      <c r="I268" s="64" t="n"/>
      <c r="J268" s="65" t="n"/>
      <c r="K268" s="65" t="n"/>
      <c r="L268" s="66" t="str">
        <f>IF(X268="OK",SUMIF(bom_prod,A268,bom_cost),"")</f>
        <v/>
      </c>
      <c r="M268" s="66" t="str">
        <f>IF(X268="OK",SUMIF(gam_prod,A268,gam_mo),"")</f>
        <v/>
      </c>
      <c r="N268" s="66" t="str">
        <f>IF(X268="OK",SUMIF(gam_prod,A268,gam_mac),"")</f>
        <v/>
      </c>
      <c r="O268" s="66" t="str">
        <f>IF(X268="OK",SUMIF(gam_prod,A268,gam_setup)/D268,"")</f>
        <v/>
      </c>
      <c r="P268" s="66" t="str">
        <f>IF(X268="OK",(L268+M268+N268+O268+N(G268))*Y268,"")</f>
        <v/>
      </c>
      <c r="Q268" s="66" t="str">
        <f>IF(X268="OK",L268+M268+N268+O268+N(G268)+P268,"")</f>
        <v/>
      </c>
      <c r="R268" s="67" t="str">
        <f>IF(X268="OK",ROUND(Q268+N(H268)+N(I268)/D268,4),"")</f>
        <v/>
      </c>
      <c r="S268" s="66" t="str">
        <f>IF(X268="OK",ROUND(R268*(1+Z268),2),"")</f>
        <v/>
      </c>
      <c r="T268" s="66" t="str">
        <f>IF(AND(X268="OK",N(F268)&gt;0),F268-R268,"")</f>
        <v/>
      </c>
      <c r="U268" s="68" t="str">
        <f>IF(T268="","",IF(R268&lt;=0,"",T268/R268))</f>
        <v/>
      </c>
      <c r="V268" s="68" t="str">
        <f>IF(T268="","",T268/F268)</f>
        <v/>
      </c>
      <c r="W268" s="69" t="str">
        <f>IF(A268="","",IF(X268&lt;&gt;"OK","À corriger",IF(N(F268)&lt;=0,"Prix à saisir",IF(F268&lt;R268,"Vendu à perte",IF(F268&lt;S268,"Sous la cible","OK")))))</f>
        <v/>
      </c>
      <c r="X268" s="69" t="str">
        <f>IF(AND(A268="",COUNTA(B268:K268)=0),"",IF(A268="","Référence manquante",IF(COUNTIF($A$6:$A$305,A268)&gt;1,"Référence en double",IF(OR(NOT(ISNUMBER(D268)),N(D268)&lt;=0),"Taille de lot invalide",IF(AND(E268&lt;&gt;"",OR(NOT(ISNUMBER(E268)),N(E268)&lt;0)),"Volume annuel invalide",IF(AND(F268&lt;&gt;"",OR(NOT(ISNUMBER(F268)),N(F268)&lt;0)),"Prix de vente invalide",IF(OR(AND(G268&lt;&gt;"",OR(NOT(ISNUMBER(G268)),N(G268)&lt;0)),AND(H268&lt;&gt;"",OR(NOT(ISNUMBER(H268)),N(H268)&lt;0)),AND(I268&lt;&gt;"",OR(NOT(ISNUMBER(I268)),N(I268)&lt;0))),"Montant invalide",IF(OR(AND(J268&lt;&gt;"",OR(NOT(ISNUMBER(J268)),N(J268)&lt;0)),AND(K268&lt;&gt;"",OR(NOT(ISNUMBER(K268)),N(K268)&lt;0))),"Pourcentage invalide",IF(COUNTIF(bom_prod,A268)+COUNTIF(gam_prod,A268)=0,"Ni nomenclature ni gamme",IF(COUNTIFS(bom_prod,A268,bom_check,"&lt;&gt;OK")&gt;0,"Nomenclature à corriger",IF(COUNTIFS(gam_prod,A268,gam_check,"&lt;&gt;OK")&gt;0,"Gamme à corriger","OK")))))))))))</f>
        <v/>
      </c>
      <c r="Y268" s="70">
        <f>IF(J268="",N(p_fg),N(J268))</f>
        <v>0.15</v>
      </c>
      <c r="Z268" s="70">
        <f>IF(K268="",N(p_target),N(K268))</f>
        <v>0.25</v>
      </c>
      <c r="AA268" s="71" t="str">
        <f>IF(R268="","",IF(N(F268)&gt;0,ROUND(F268*N(E268),2),0))</f>
        <v/>
      </c>
      <c r="AB268" s="71">
        <f>IF(T268="",0,T268*N(E268))</f>
        <v>0.0</v>
      </c>
      <c r="AC268" s="71">
        <f>IF(T268="",0,R268*N(E268))</f>
        <v>0.0</v>
      </c>
      <c r="AD268" s="71">
        <f>IF(R268="",0,L268*N(E268))</f>
        <v>0.0</v>
      </c>
      <c r="AE268" s="71">
        <f>IF(R268="",0,M268*N(E268))</f>
        <v>0.0</v>
      </c>
      <c r="AF268" s="71">
        <f>IF(R268="",0,N268*N(E268))</f>
        <v>0.0</v>
      </c>
      <c r="AG268" s="71">
        <f>IF(R268="",0,O268*N(E268))</f>
        <v>0.0</v>
      </c>
      <c r="AH268" s="71">
        <f>IF(R268="",0,(N(G268)+N(H268)+N(I268)/D268)*N(E268))</f>
        <v>0.0</v>
      </c>
      <c r="AI268" s="71">
        <f>IF(R268="",0,P268*N(E268))</f>
        <v>0.0</v>
      </c>
      <c r="AJ268" s="71" t="str">
        <f>IF(AA268="","",COUNTIF(prod_ca,"&gt;"&amp;AA268)+COUNTIF(AA$6:AA268,AA268))</f>
        <v/>
      </c>
      <c r="AK268" s="71" t="str">
        <f>IF(OR(W268="Vendu à perte",W268="Sous la cible"),ROUND(U268,6),"")</f>
        <v/>
      </c>
      <c r="AL268" s="71" t="str">
        <f>IF(AK268="","",COUNTIF(prod_alk,"&lt;"&amp;AK268)+COUNTIF(AK$6:AK268,AK268))</f>
        <v/>
      </c>
    </row>
    <row r="269">
      <c r="A269" s="60" t="n"/>
      <c r="B269" s="60" t="n"/>
      <c r="C269" s="61" t="n"/>
      <c r="D269" s="62" t="n"/>
      <c r="E269" s="63" t="n"/>
      <c r="F269" s="64" t="n"/>
      <c r="G269" s="64" t="n"/>
      <c r="H269" s="64" t="n"/>
      <c r="I269" s="64" t="n"/>
      <c r="J269" s="65" t="n"/>
      <c r="K269" s="65" t="n"/>
      <c r="L269" s="66" t="str">
        <f>IF(X269="OK",SUMIF(bom_prod,A269,bom_cost),"")</f>
        <v/>
      </c>
      <c r="M269" s="66" t="str">
        <f>IF(X269="OK",SUMIF(gam_prod,A269,gam_mo),"")</f>
        <v/>
      </c>
      <c r="N269" s="66" t="str">
        <f>IF(X269="OK",SUMIF(gam_prod,A269,gam_mac),"")</f>
        <v/>
      </c>
      <c r="O269" s="66" t="str">
        <f>IF(X269="OK",SUMIF(gam_prod,A269,gam_setup)/D269,"")</f>
        <v/>
      </c>
      <c r="P269" s="66" t="str">
        <f>IF(X269="OK",(L269+M269+N269+O269+N(G269))*Y269,"")</f>
        <v/>
      </c>
      <c r="Q269" s="66" t="str">
        <f>IF(X269="OK",L269+M269+N269+O269+N(G269)+P269,"")</f>
        <v/>
      </c>
      <c r="R269" s="67" t="str">
        <f>IF(X269="OK",ROUND(Q269+N(H269)+N(I269)/D269,4),"")</f>
        <v/>
      </c>
      <c r="S269" s="66" t="str">
        <f>IF(X269="OK",ROUND(R269*(1+Z269),2),"")</f>
        <v/>
      </c>
      <c r="T269" s="66" t="str">
        <f>IF(AND(X269="OK",N(F269)&gt;0),F269-R269,"")</f>
        <v/>
      </c>
      <c r="U269" s="68" t="str">
        <f>IF(T269="","",IF(R269&lt;=0,"",T269/R269))</f>
        <v/>
      </c>
      <c r="V269" s="68" t="str">
        <f>IF(T269="","",T269/F269)</f>
        <v/>
      </c>
      <c r="W269" s="69" t="str">
        <f>IF(A269="","",IF(X269&lt;&gt;"OK","À corriger",IF(N(F269)&lt;=0,"Prix à saisir",IF(F269&lt;R269,"Vendu à perte",IF(F269&lt;S269,"Sous la cible","OK")))))</f>
        <v/>
      </c>
      <c r="X269" s="69" t="str">
        <f>IF(AND(A269="",COUNTA(B269:K269)=0),"",IF(A269="","Référence manquante",IF(COUNTIF($A$6:$A$305,A269)&gt;1,"Référence en double",IF(OR(NOT(ISNUMBER(D269)),N(D269)&lt;=0),"Taille de lot invalide",IF(AND(E269&lt;&gt;"",OR(NOT(ISNUMBER(E269)),N(E269)&lt;0)),"Volume annuel invalide",IF(AND(F269&lt;&gt;"",OR(NOT(ISNUMBER(F269)),N(F269)&lt;0)),"Prix de vente invalide",IF(OR(AND(G269&lt;&gt;"",OR(NOT(ISNUMBER(G269)),N(G269)&lt;0)),AND(H269&lt;&gt;"",OR(NOT(ISNUMBER(H269)),N(H269)&lt;0)),AND(I269&lt;&gt;"",OR(NOT(ISNUMBER(I269)),N(I269)&lt;0))),"Montant invalide",IF(OR(AND(J269&lt;&gt;"",OR(NOT(ISNUMBER(J269)),N(J269)&lt;0)),AND(K269&lt;&gt;"",OR(NOT(ISNUMBER(K269)),N(K269)&lt;0))),"Pourcentage invalide",IF(COUNTIF(bom_prod,A269)+COUNTIF(gam_prod,A269)=0,"Ni nomenclature ni gamme",IF(COUNTIFS(bom_prod,A269,bom_check,"&lt;&gt;OK")&gt;0,"Nomenclature à corriger",IF(COUNTIFS(gam_prod,A269,gam_check,"&lt;&gt;OK")&gt;0,"Gamme à corriger","OK")))))))))))</f>
        <v/>
      </c>
      <c r="Y269" s="70">
        <f>IF(J269="",N(p_fg),N(J269))</f>
        <v>0.15</v>
      </c>
      <c r="Z269" s="70">
        <f>IF(K269="",N(p_target),N(K269))</f>
        <v>0.25</v>
      </c>
      <c r="AA269" s="71" t="str">
        <f>IF(R269="","",IF(N(F269)&gt;0,ROUND(F269*N(E269),2),0))</f>
        <v/>
      </c>
      <c r="AB269" s="71">
        <f>IF(T269="",0,T269*N(E269))</f>
        <v>0.0</v>
      </c>
      <c r="AC269" s="71">
        <f>IF(T269="",0,R269*N(E269))</f>
        <v>0.0</v>
      </c>
      <c r="AD269" s="71">
        <f>IF(R269="",0,L269*N(E269))</f>
        <v>0.0</v>
      </c>
      <c r="AE269" s="71">
        <f>IF(R269="",0,M269*N(E269))</f>
        <v>0.0</v>
      </c>
      <c r="AF269" s="71">
        <f>IF(R269="",0,N269*N(E269))</f>
        <v>0.0</v>
      </c>
      <c r="AG269" s="71">
        <f>IF(R269="",0,O269*N(E269))</f>
        <v>0.0</v>
      </c>
      <c r="AH269" s="71">
        <f>IF(R269="",0,(N(G269)+N(H269)+N(I269)/D269)*N(E269))</f>
        <v>0.0</v>
      </c>
      <c r="AI269" s="71">
        <f>IF(R269="",0,P269*N(E269))</f>
        <v>0.0</v>
      </c>
      <c r="AJ269" s="71" t="str">
        <f>IF(AA269="","",COUNTIF(prod_ca,"&gt;"&amp;AA269)+COUNTIF(AA$6:AA269,AA269))</f>
        <v/>
      </c>
      <c r="AK269" s="71" t="str">
        <f>IF(OR(W269="Vendu à perte",W269="Sous la cible"),ROUND(U269,6),"")</f>
        <v/>
      </c>
      <c r="AL269" s="71" t="str">
        <f>IF(AK269="","",COUNTIF(prod_alk,"&lt;"&amp;AK269)+COUNTIF(AK$6:AK269,AK269))</f>
        <v/>
      </c>
    </row>
    <row r="270">
      <c r="A270" s="60" t="n"/>
      <c r="B270" s="60" t="n"/>
      <c r="C270" s="61" t="n"/>
      <c r="D270" s="62" t="n"/>
      <c r="E270" s="63" t="n"/>
      <c r="F270" s="64" t="n"/>
      <c r="G270" s="64" t="n"/>
      <c r="H270" s="64" t="n"/>
      <c r="I270" s="64" t="n"/>
      <c r="J270" s="65" t="n"/>
      <c r="K270" s="65" t="n"/>
      <c r="L270" s="66" t="str">
        <f>IF(X270="OK",SUMIF(bom_prod,A270,bom_cost),"")</f>
        <v/>
      </c>
      <c r="M270" s="66" t="str">
        <f>IF(X270="OK",SUMIF(gam_prod,A270,gam_mo),"")</f>
        <v/>
      </c>
      <c r="N270" s="66" t="str">
        <f>IF(X270="OK",SUMIF(gam_prod,A270,gam_mac),"")</f>
        <v/>
      </c>
      <c r="O270" s="66" t="str">
        <f>IF(X270="OK",SUMIF(gam_prod,A270,gam_setup)/D270,"")</f>
        <v/>
      </c>
      <c r="P270" s="66" t="str">
        <f>IF(X270="OK",(L270+M270+N270+O270+N(G270))*Y270,"")</f>
        <v/>
      </c>
      <c r="Q270" s="66" t="str">
        <f>IF(X270="OK",L270+M270+N270+O270+N(G270)+P270,"")</f>
        <v/>
      </c>
      <c r="R270" s="67" t="str">
        <f>IF(X270="OK",ROUND(Q270+N(H270)+N(I270)/D270,4),"")</f>
        <v/>
      </c>
      <c r="S270" s="66" t="str">
        <f>IF(X270="OK",ROUND(R270*(1+Z270),2),"")</f>
        <v/>
      </c>
      <c r="T270" s="66" t="str">
        <f>IF(AND(X270="OK",N(F270)&gt;0),F270-R270,"")</f>
        <v/>
      </c>
      <c r="U270" s="68" t="str">
        <f>IF(T270="","",IF(R270&lt;=0,"",T270/R270))</f>
        <v/>
      </c>
      <c r="V270" s="68" t="str">
        <f>IF(T270="","",T270/F270)</f>
        <v/>
      </c>
      <c r="W270" s="69" t="str">
        <f>IF(A270="","",IF(X270&lt;&gt;"OK","À corriger",IF(N(F270)&lt;=0,"Prix à saisir",IF(F270&lt;R270,"Vendu à perte",IF(F270&lt;S270,"Sous la cible","OK")))))</f>
        <v/>
      </c>
      <c r="X270" s="69" t="str">
        <f>IF(AND(A270="",COUNTA(B270:K270)=0),"",IF(A270="","Référence manquante",IF(COUNTIF($A$6:$A$305,A270)&gt;1,"Référence en double",IF(OR(NOT(ISNUMBER(D270)),N(D270)&lt;=0),"Taille de lot invalide",IF(AND(E270&lt;&gt;"",OR(NOT(ISNUMBER(E270)),N(E270)&lt;0)),"Volume annuel invalide",IF(AND(F270&lt;&gt;"",OR(NOT(ISNUMBER(F270)),N(F270)&lt;0)),"Prix de vente invalide",IF(OR(AND(G270&lt;&gt;"",OR(NOT(ISNUMBER(G270)),N(G270)&lt;0)),AND(H270&lt;&gt;"",OR(NOT(ISNUMBER(H270)),N(H270)&lt;0)),AND(I270&lt;&gt;"",OR(NOT(ISNUMBER(I270)),N(I270)&lt;0))),"Montant invalide",IF(OR(AND(J270&lt;&gt;"",OR(NOT(ISNUMBER(J270)),N(J270)&lt;0)),AND(K270&lt;&gt;"",OR(NOT(ISNUMBER(K270)),N(K270)&lt;0))),"Pourcentage invalide",IF(COUNTIF(bom_prod,A270)+COUNTIF(gam_prod,A270)=0,"Ni nomenclature ni gamme",IF(COUNTIFS(bom_prod,A270,bom_check,"&lt;&gt;OK")&gt;0,"Nomenclature à corriger",IF(COUNTIFS(gam_prod,A270,gam_check,"&lt;&gt;OK")&gt;0,"Gamme à corriger","OK")))))))))))</f>
        <v/>
      </c>
      <c r="Y270" s="70">
        <f>IF(J270="",N(p_fg),N(J270))</f>
        <v>0.15</v>
      </c>
      <c r="Z270" s="70">
        <f>IF(K270="",N(p_target),N(K270))</f>
        <v>0.25</v>
      </c>
      <c r="AA270" s="71" t="str">
        <f>IF(R270="","",IF(N(F270)&gt;0,ROUND(F270*N(E270),2),0))</f>
        <v/>
      </c>
      <c r="AB270" s="71">
        <f>IF(T270="",0,T270*N(E270))</f>
        <v>0.0</v>
      </c>
      <c r="AC270" s="71">
        <f>IF(T270="",0,R270*N(E270))</f>
        <v>0.0</v>
      </c>
      <c r="AD270" s="71">
        <f>IF(R270="",0,L270*N(E270))</f>
        <v>0.0</v>
      </c>
      <c r="AE270" s="71">
        <f>IF(R270="",0,M270*N(E270))</f>
        <v>0.0</v>
      </c>
      <c r="AF270" s="71">
        <f>IF(R270="",0,N270*N(E270))</f>
        <v>0.0</v>
      </c>
      <c r="AG270" s="71">
        <f>IF(R270="",0,O270*N(E270))</f>
        <v>0.0</v>
      </c>
      <c r="AH270" s="71">
        <f>IF(R270="",0,(N(G270)+N(H270)+N(I270)/D270)*N(E270))</f>
        <v>0.0</v>
      </c>
      <c r="AI270" s="71">
        <f>IF(R270="",0,P270*N(E270))</f>
        <v>0.0</v>
      </c>
      <c r="AJ270" s="71" t="str">
        <f>IF(AA270="","",COUNTIF(prod_ca,"&gt;"&amp;AA270)+COUNTIF(AA$6:AA270,AA270))</f>
        <v/>
      </c>
      <c r="AK270" s="71" t="str">
        <f>IF(OR(W270="Vendu à perte",W270="Sous la cible"),ROUND(U270,6),"")</f>
        <v/>
      </c>
      <c r="AL270" s="71" t="str">
        <f>IF(AK270="","",COUNTIF(prod_alk,"&lt;"&amp;AK270)+COUNTIF(AK$6:AK270,AK270))</f>
        <v/>
      </c>
    </row>
    <row r="271">
      <c r="A271" s="60" t="n"/>
      <c r="B271" s="60" t="n"/>
      <c r="C271" s="61" t="n"/>
      <c r="D271" s="62" t="n"/>
      <c r="E271" s="63" t="n"/>
      <c r="F271" s="64" t="n"/>
      <c r="G271" s="64" t="n"/>
      <c r="H271" s="64" t="n"/>
      <c r="I271" s="64" t="n"/>
      <c r="J271" s="65" t="n"/>
      <c r="K271" s="65" t="n"/>
      <c r="L271" s="66" t="str">
        <f>IF(X271="OK",SUMIF(bom_prod,A271,bom_cost),"")</f>
        <v/>
      </c>
      <c r="M271" s="66" t="str">
        <f>IF(X271="OK",SUMIF(gam_prod,A271,gam_mo),"")</f>
        <v/>
      </c>
      <c r="N271" s="66" t="str">
        <f>IF(X271="OK",SUMIF(gam_prod,A271,gam_mac),"")</f>
        <v/>
      </c>
      <c r="O271" s="66" t="str">
        <f>IF(X271="OK",SUMIF(gam_prod,A271,gam_setup)/D271,"")</f>
        <v/>
      </c>
      <c r="P271" s="66" t="str">
        <f>IF(X271="OK",(L271+M271+N271+O271+N(G271))*Y271,"")</f>
        <v/>
      </c>
      <c r="Q271" s="66" t="str">
        <f>IF(X271="OK",L271+M271+N271+O271+N(G271)+P271,"")</f>
        <v/>
      </c>
      <c r="R271" s="67" t="str">
        <f>IF(X271="OK",ROUND(Q271+N(H271)+N(I271)/D271,4),"")</f>
        <v/>
      </c>
      <c r="S271" s="66" t="str">
        <f>IF(X271="OK",ROUND(R271*(1+Z271),2),"")</f>
        <v/>
      </c>
      <c r="T271" s="66" t="str">
        <f>IF(AND(X271="OK",N(F271)&gt;0),F271-R271,"")</f>
        <v/>
      </c>
      <c r="U271" s="68" t="str">
        <f>IF(T271="","",IF(R271&lt;=0,"",T271/R271))</f>
        <v/>
      </c>
      <c r="V271" s="68" t="str">
        <f>IF(T271="","",T271/F271)</f>
        <v/>
      </c>
      <c r="W271" s="69" t="str">
        <f>IF(A271="","",IF(X271&lt;&gt;"OK","À corriger",IF(N(F271)&lt;=0,"Prix à saisir",IF(F271&lt;R271,"Vendu à perte",IF(F271&lt;S271,"Sous la cible","OK")))))</f>
        <v/>
      </c>
      <c r="X271" s="69" t="str">
        <f>IF(AND(A271="",COUNTA(B271:K271)=0),"",IF(A271="","Référence manquante",IF(COUNTIF($A$6:$A$305,A271)&gt;1,"Référence en double",IF(OR(NOT(ISNUMBER(D271)),N(D271)&lt;=0),"Taille de lot invalide",IF(AND(E271&lt;&gt;"",OR(NOT(ISNUMBER(E271)),N(E271)&lt;0)),"Volume annuel invalide",IF(AND(F271&lt;&gt;"",OR(NOT(ISNUMBER(F271)),N(F271)&lt;0)),"Prix de vente invalide",IF(OR(AND(G271&lt;&gt;"",OR(NOT(ISNUMBER(G271)),N(G271)&lt;0)),AND(H271&lt;&gt;"",OR(NOT(ISNUMBER(H271)),N(H271)&lt;0)),AND(I271&lt;&gt;"",OR(NOT(ISNUMBER(I271)),N(I271)&lt;0))),"Montant invalide",IF(OR(AND(J271&lt;&gt;"",OR(NOT(ISNUMBER(J271)),N(J271)&lt;0)),AND(K271&lt;&gt;"",OR(NOT(ISNUMBER(K271)),N(K271)&lt;0))),"Pourcentage invalide",IF(COUNTIF(bom_prod,A271)+COUNTIF(gam_prod,A271)=0,"Ni nomenclature ni gamme",IF(COUNTIFS(bom_prod,A271,bom_check,"&lt;&gt;OK")&gt;0,"Nomenclature à corriger",IF(COUNTIFS(gam_prod,A271,gam_check,"&lt;&gt;OK")&gt;0,"Gamme à corriger","OK")))))))))))</f>
        <v/>
      </c>
      <c r="Y271" s="70">
        <f>IF(J271="",N(p_fg),N(J271))</f>
        <v>0.15</v>
      </c>
      <c r="Z271" s="70">
        <f>IF(K271="",N(p_target),N(K271))</f>
        <v>0.25</v>
      </c>
      <c r="AA271" s="71" t="str">
        <f>IF(R271="","",IF(N(F271)&gt;0,ROUND(F271*N(E271),2),0))</f>
        <v/>
      </c>
      <c r="AB271" s="71">
        <f>IF(T271="",0,T271*N(E271))</f>
        <v>0.0</v>
      </c>
      <c r="AC271" s="71">
        <f>IF(T271="",0,R271*N(E271))</f>
        <v>0.0</v>
      </c>
      <c r="AD271" s="71">
        <f>IF(R271="",0,L271*N(E271))</f>
        <v>0.0</v>
      </c>
      <c r="AE271" s="71">
        <f>IF(R271="",0,M271*N(E271))</f>
        <v>0.0</v>
      </c>
      <c r="AF271" s="71">
        <f>IF(R271="",0,N271*N(E271))</f>
        <v>0.0</v>
      </c>
      <c r="AG271" s="71">
        <f>IF(R271="",0,O271*N(E271))</f>
        <v>0.0</v>
      </c>
      <c r="AH271" s="71">
        <f>IF(R271="",0,(N(G271)+N(H271)+N(I271)/D271)*N(E271))</f>
        <v>0.0</v>
      </c>
      <c r="AI271" s="71">
        <f>IF(R271="",0,P271*N(E271))</f>
        <v>0.0</v>
      </c>
      <c r="AJ271" s="71" t="str">
        <f>IF(AA271="","",COUNTIF(prod_ca,"&gt;"&amp;AA271)+COUNTIF(AA$6:AA271,AA271))</f>
        <v/>
      </c>
      <c r="AK271" s="71" t="str">
        <f>IF(OR(W271="Vendu à perte",W271="Sous la cible"),ROUND(U271,6),"")</f>
        <v/>
      </c>
      <c r="AL271" s="71" t="str">
        <f>IF(AK271="","",COUNTIF(prod_alk,"&lt;"&amp;AK271)+COUNTIF(AK$6:AK271,AK271))</f>
        <v/>
      </c>
    </row>
    <row r="272">
      <c r="A272" s="60" t="n"/>
      <c r="B272" s="60" t="n"/>
      <c r="C272" s="61" t="n"/>
      <c r="D272" s="62" t="n"/>
      <c r="E272" s="63" t="n"/>
      <c r="F272" s="64" t="n"/>
      <c r="G272" s="64" t="n"/>
      <c r="H272" s="64" t="n"/>
      <c r="I272" s="64" t="n"/>
      <c r="J272" s="65" t="n"/>
      <c r="K272" s="65" t="n"/>
      <c r="L272" s="66" t="str">
        <f>IF(X272="OK",SUMIF(bom_prod,A272,bom_cost),"")</f>
        <v/>
      </c>
      <c r="M272" s="66" t="str">
        <f>IF(X272="OK",SUMIF(gam_prod,A272,gam_mo),"")</f>
        <v/>
      </c>
      <c r="N272" s="66" t="str">
        <f>IF(X272="OK",SUMIF(gam_prod,A272,gam_mac),"")</f>
        <v/>
      </c>
      <c r="O272" s="66" t="str">
        <f>IF(X272="OK",SUMIF(gam_prod,A272,gam_setup)/D272,"")</f>
        <v/>
      </c>
      <c r="P272" s="66" t="str">
        <f>IF(X272="OK",(L272+M272+N272+O272+N(G272))*Y272,"")</f>
        <v/>
      </c>
      <c r="Q272" s="66" t="str">
        <f>IF(X272="OK",L272+M272+N272+O272+N(G272)+P272,"")</f>
        <v/>
      </c>
      <c r="R272" s="67" t="str">
        <f>IF(X272="OK",ROUND(Q272+N(H272)+N(I272)/D272,4),"")</f>
        <v/>
      </c>
      <c r="S272" s="66" t="str">
        <f>IF(X272="OK",ROUND(R272*(1+Z272),2),"")</f>
        <v/>
      </c>
      <c r="T272" s="66" t="str">
        <f>IF(AND(X272="OK",N(F272)&gt;0),F272-R272,"")</f>
        <v/>
      </c>
      <c r="U272" s="68" t="str">
        <f>IF(T272="","",IF(R272&lt;=0,"",T272/R272))</f>
        <v/>
      </c>
      <c r="V272" s="68" t="str">
        <f>IF(T272="","",T272/F272)</f>
        <v/>
      </c>
      <c r="W272" s="69" t="str">
        <f>IF(A272="","",IF(X272&lt;&gt;"OK","À corriger",IF(N(F272)&lt;=0,"Prix à saisir",IF(F272&lt;R272,"Vendu à perte",IF(F272&lt;S272,"Sous la cible","OK")))))</f>
        <v/>
      </c>
      <c r="X272" s="69" t="str">
        <f>IF(AND(A272="",COUNTA(B272:K272)=0),"",IF(A272="","Référence manquante",IF(COUNTIF($A$6:$A$305,A272)&gt;1,"Référence en double",IF(OR(NOT(ISNUMBER(D272)),N(D272)&lt;=0),"Taille de lot invalide",IF(AND(E272&lt;&gt;"",OR(NOT(ISNUMBER(E272)),N(E272)&lt;0)),"Volume annuel invalide",IF(AND(F272&lt;&gt;"",OR(NOT(ISNUMBER(F272)),N(F272)&lt;0)),"Prix de vente invalide",IF(OR(AND(G272&lt;&gt;"",OR(NOT(ISNUMBER(G272)),N(G272)&lt;0)),AND(H272&lt;&gt;"",OR(NOT(ISNUMBER(H272)),N(H272)&lt;0)),AND(I272&lt;&gt;"",OR(NOT(ISNUMBER(I272)),N(I272)&lt;0))),"Montant invalide",IF(OR(AND(J272&lt;&gt;"",OR(NOT(ISNUMBER(J272)),N(J272)&lt;0)),AND(K272&lt;&gt;"",OR(NOT(ISNUMBER(K272)),N(K272)&lt;0))),"Pourcentage invalide",IF(COUNTIF(bom_prod,A272)+COUNTIF(gam_prod,A272)=0,"Ni nomenclature ni gamme",IF(COUNTIFS(bom_prod,A272,bom_check,"&lt;&gt;OK")&gt;0,"Nomenclature à corriger",IF(COUNTIFS(gam_prod,A272,gam_check,"&lt;&gt;OK")&gt;0,"Gamme à corriger","OK")))))))))))</f>
        <v/>
      </c>
      <c r="Y272" s="70">
        <f>IF(J272="",N(p_fg),N(J272))</f>
        <v>0.15</v>
      </c>
      <c r="Z272" s="70">
        <f>IF(K272="",N(p_target),N(K272))</f>
        <v>0.25</v>
      </c>
      <c r="AA272" s="71" t="str">
        <f>IF(R272="","",IF(N(F272)&gt;0,ROUND(F272*N(E272),2),0))</f>
        <v/>
      </c>
      <c r="AB272" s="71">
        <f>IF(T272="",0,T272*N(E272))</f>
        <v>0.0</v>
      </c>
      <c r="AC272" s="71">
        <f>IF(T272="",0,R272*N(E272))</f>
        <v>0.0</v>
      </c>
      <c r="AD272" s="71">
        <f>IF(R272="",0,L272*N(E272))</f>
        <v>0.0</v>
      </c>
      <c r="AE272" s="71">
        <f>IF(R272="",0,M272*N(E272))</f>
        <v>0.0</v>
      </c>
      <c r="AF272" s="71">
        <f>IF(R272="",0,N272*N(E272))</f>
        <v>0.0</v>
      </c>
      <c r="AG272" s="71">
        <f>IF(R272="",0,O272*N(E272))</f>
        <v>0.0</v>
      </c>
      <c r="AH272" s="71">
        <f>IF(R272="",0,(N(G272)+N(H272)+N(I272)/D272)*N(E272))</f>
        <v>0.0</v>
      </c>
      <c r="AI272" s="71">
        <f>IF(R272="",0,P272*N(E272))</f>
        <v>0.0</v>
      </c>
      <c r="AJ272" s="71" t="str">
        <f>IF(AA272="","",COUNTIF(prod_ca,"&gt;"&amp;AA272)+COUNTIF(AA$6:AA272,AA272))</f>
        <v/>
      </c>
      <c r="AK272" s="71" t="str">
        <f>IF(OR(W272="Vendu à perte",W272="Sous la cible"),ROUND(U272,6),"")</f>
        <v/>
      </c>
      <c r="AL272" s="71" t="str">
        <f>IF(AK272="","",COUNTIF(prod_alk,"&lt;"&amp;AK272)+COUNTIF(AK$6:AK272,AK272))</f>
        <v/>
      </c>
    </row>
    <row r="273">
      <c r="A273" s="60" t="n"/>
      <c r="B273" s="60" t="n"/>
      <c r="C273" s="61" t="n"/>
      <c r="D273" s="62" t="n"/>
      <c r="E273" s="63" t="n"/>
      <c r="F273" s="64" t="n"/>
      <c r="G273" s="64" t="n"/>
      <c r="H273" s="64" t="n"/>
      <c r="I273" s="64" t="n"/>
      <c r="J273" s="65" t="n"/>
      <c r="K273" s="65" t="n"/>
      <c r="L273" s="66" t="str">
        <f>IF(X273="OK",SUMIF(bom_prod,A273,bom_cost),"")</f>
        <v/>
      </c>
      <c r="M273" s="66" t="str">
        <f>IF(X273="OK",SUMIF(gam_prod,A273,gam_mo),"")</f>
        <v/>
      </c>
      <c r="N273" s="66" t="str">
        <f>IF(X273="OK",SUMIF(gam_prod,A273,gam_mac),"")</f>
        <v/>
      </c>
      <c r="O273" s="66" t="str">
        <f>IF(X273="OK",SUMIF(gam_prod,A273,gam_setup)/D273,"")</f>
        <v/>
      </c>
      <c r="P273" s="66" t="str">
        <f>IF(X273="OK",(L273+M273+N273+O273+N(G273))*Y273,"")</f>
        <v/>
      </c>
      <c r="Q273" s="66" t="str">
        <f>IF(X273="OK",L273+M273+N273+O273+N(G273)+P273,"")</f>
        <v/>
      </c>
      <c r="R273" s="67" t="str">
        <f>IF(X273="OK",ROUND(Q273+N(H273)+N(I273)/D273,4),"")</f>
        <v/>
      </c>
      <c r="S273" s="66" t="str">
        <f>IF(X273="OK",ROUND(R273*(1+Z273),2),"")</f>
        <v/>
      </c>
      <c r="T273" s="66" t="str">
        <f>IF(AND(X273="OK",N(F273)&gt;0),F273-R273,"")</f>
        <v/>
      </c>
      <c r="U273" s="68" t="str">
        <f>IF(T273="","",IF(R273&lt;=0,"",T273/R273))</f>
        <v/>
      </c>
      <c r="V273" s="68" t="str">
        <f>IF(T273="","",T273/F273)</f>
        <v/>
      </c>
      <c r="W273" s="69" t="str">
        <f>IF(A273="","",IF(X273&lt;&gt;"OK","À corriger",IF(N(F273)&lt;=0,"Prix à saisir",IF(F273&lt;R273,"Vendu à perte",IF(F273&lt;S273,"Sous la cible","OK")))))</f>
        <v/>
      </c>
      <c r="X273" s="69" t="str">
        <f>IF(AND(A273="",COUNTA(B273:K273)=0),"",IF(A273="","Référence manquante",IF(COUNTIF($A$6:$A$305,A273)&gt;1,"Référence en double",IF(OR(NOT(ISNUMBER(D273)),N(D273)&lt;=0),"Taille de lot invalide",IF(AND(E273&lt;&gt;"",OR(NOT(ISNUMBER(E273)),N(E273)&lt;0)),"Volume annuel invalide",IF(AND(F273&lt;&gt;"",OR(NOT(ISNUMBER(F273)),N(F273)&lt;0)),"Prix de vente invalide",IF(OR(AND(G273&lt;&gt;"",OR(NOT(ISNUMBER(G273)),N(G273)&lt;0)),AND(H273&lt;&gt;"",OR(NOT(ISNUMBER(H273)),N(H273)&lt;0)),AND(I273&lt;&gt;"",OR(NOT(ISNUMBER(I273)),N(I273)&lt;0))),"Montant invalide",IF(OR(AND(J273&lt;&gt;"",OR(NOT(ISNUMBER(J273)),N(J273)&lt;0)),AND(K273&lt;&gt;"",OR(NOT(ISNUMBER(K273)),N(K273)&lt;0))),"Pourcentage invalide",IF(COUNTIF(bom_prod,A273)+COUNTIF(gam_prod,A273)=0,"Ni nomenclature ni gamme",IF(COUNTIFS(bom_prod,A273,bom_check,"&lt;&gt;OK")&gt;0,"Nomenclature à corriger",IF(COUNTIFS(gam_prod,A273,gam_check,"&lt;&gt;OK")&gt;0,"Gamme à corriger","OK")))))))))))</f>
        <v/>
      </c>
      <c r="Y273" s="70">
        <f>IF(J273="",N(p_fg),N(J273))</f>
        <v>0.15</v>
      </c>
      <c r="Z273" s="70">
        <f>IF(K273="",N(p_target),N(K273))</f>
        <v>0.25</v>
      </c>
      <c r="AA273" s="71" t="str">
        <f>IF(R273="","",IF(N(F273)&gt;0,ROUND(F273*N(E273),2),0))</f>
        <v/>
      </c>
      <c r="AB273" s="71">
        <f>IF(T273="",0,T273*N(E273))</f>
        <v>0.0</v>
      </c>
      <c r="AC273" s="71">
        <f>IF(T273="",0,R273*N(E273))</f>
        <v>0.0</v>
      </c>
      <c r="AD273" s="71">
        <f>IF(R273="",0,L273*N(E273))</f>
        <v>0.0</v>
      </c>
      <c r="AE273" s="71">
        <f>IF(R273="",0,M273*N(E273))</f>
        <v>0.0</v>
      </c>
      <c r="AF273" s="71">
        <f>IF(R273="",0,N273*N(E273))</f>
        <v>0.0</v>
      </c>
      <c r="AG273" s="71">
        <f>IF(R273="",0,O273*N(E273))</f>
        <v>0.0</v>
      </c>
      <c r="AH273" s="71">
        <f>IF(R273="",0,(N(G273)+N(H273)+N(I273)/D273)*N(E273))</f>
        <v>0.0</v>
      </c>
      <c r="AI273" s="71">
        <f>IF(R273="",0,P273*N(E273))</f>
        <v>0.0</v>
      </c>
      <c r="AJ273" s="71" t="str">
        <f>IF(AA273="","",COUNTIF(prod_ca,"&gt;"&amp;AA273)+COUNTIF(AA$6:AA273,AA273))</f>
        <v/>
      </c>
      <c r="AK273" s="71" t="str">
        <f>IF(OR(W273="Vendu à perte",W273="Sous la cible"),ROUND(U273,6),"")</f>
        <v/>
      </c>
      <c r="AL273" s="71" t="str">
        <f>IF(AK273="","",COUNTIF(prod_alk,"&lt;"&amp;AK273)+COUNTIF(AK$6:AK273,AK273))</f>
        <v/>
      </c>
    </row>
    <row r="274">
      <c r="A274" s="60" t="n"/>
      <c r="B274" s="60" t="n"/>
      <c r="C274" s="61" t="n"/>
      <c r="D274" s="62" t="n"/>
      <c r="E274" s="63" t="n"/>
      <c r="F274" s="64" t="n"/>
      <c r="G274" s="64" t="n"/>
      <c r="H274" s="64" t="n"/>
      <c r="I274" s="64" t="n"/>
      <c r="J274" s="65" t="n"/>
      <c r="K274" s="65" t="n"/>
      <c r="L274" s="66" t="str">
        <f>IF(X274="OK",SUMIF(bom_prod,A274,bom_cost),"")</f>
        <v/>
      </c>
      <c r="M274" s="66" t="str">
        <f>IF(X274="OK",SUMIF(gam_prod,A274,gam_mo),"")</f>
        <v/>
      </c>
      <c r="N274" s="66" t="str">
        <f>IF(X274="OK",SUMIF(gam_prod,A274,gam_mac),"")</f>
        <v/>
      </c>
      <c r="O274" s="66" t="str">
        <f>IF(X274="OK",SUMIF(gam_prod,A274,gam_setup)/D274,"")</f>
        <v/>
      </c>
      <c r="P274" s="66" t="str">
        <f>IF(X274="OK",(L274+M274+N274+O274+N(G274))*Y274,"")</f>
        <v/>
      </c>
      <c r="Q274" s="66" t="str">
        <f>IF(X274="OK",L274+M274+N274+O274+N(G274)+P274,"")</f>
        <v/>
      </c>
      <c r="R274" s="67" t="str">
        <f>IF(X274="OK",ROUND(Q274+N(H274)+N(I274)/D274,4),"")</f>
        <v/>
      </c>
      <c r="S274" s="66" t="str">
        <f>IF(X274="OK",ROUND(R274*(1+Z274),2),"")</f>
        <v/>
      </c>
      <c r="T274" s="66" t="str">
        <f>IF(AND(X274="OK",N(F274)&gt;0),F274-R274,"")</f>
        <v/>
      </c>
      <c r="U274" s="68" t="str">
        <f>IF(T274="","",IF(R274&lt;=0,"",T274/R274))</f>
        <v/>
      </c>
      <c r="V274" s="68" t="str">
        <f>IF(T274="","",T274/F274)</f>
        <v/>
      </c>
      <c r="W274" s="69" t="str">
        <f>IF(A274="","",IF(X274&lt;&gt;"OK","À corriger",IF(N(F274)&lt;=0,"Prix à saisir",IF(F274&lt;R274,"Vendu à perte",IF(F274&lt;S274,"Sous la cible","OK")))))</f>
        <v/>
      </c>
      <c r="X274" s="69" t="str">
        <f>IF(AND(A274="",COUNTA(B274:K274)=0),"",IF(A274="","Référence manquante",IF(COUNTIF($A$6:$A$305,A274)&gt;1,"Référence en double",IF(OR(NOT(ISNUMBER(D274)),N(D274)&lt;=0),"Taille de lot invalide",IF(AND(E274&lt;&gt;"",OR(NOT(ISNUMBER(E274)),N(E274)&lt;0)),"Volume annuel invalide",IF(AND(F274&lt;&gt;"",OR(NOT(ISNUMBER(F274)),N(F274)&lt;0)),"Prix de vente invalide",IF(OR(AND(G274&lt;&gt;"",OR(NOT(ISNUMBER(G274)),N(G274)&lt;0)),AND(H274&lt;&gt;"",OR(NOT(ISNUMBER(H274)),N(H274)&lt;0)),AND(I274&lt;&gt;"",OR(NOT(ISNUMBER(I274)),N(I274)&lt;0))),"Montant invalide",IF(OR(AND(J274&lt;&gt;"",OR(NOT(ISNUMBER(J274)),N(J274)&lt;0)),AND(K274&lt;&gt;"",OR(NOT(ISNUMBER(K274)),N(K274)&lt;0))),"Pourcentage invalide",IF(COUNTIF(bom_prod,A274)+COUNTIF(gam_prod,A274)=0,"Ni nomenclature ni gamme",IF(COUNTIFS(bom_prod,A274,bom_check,"&lt;&gt;OK")&gt;0,"Nomenclature à corriger",IF(COUNTIFS(gam_prod,A274,gam_check,"&lt;&gt;OK")&gt;0,"Gamme à corriger","OK")))))))))))</f>
        <v/>
      </c>
      <c r="Y274" s="70">
        <f>IF(J274="",N(p_fg),N(J274))</f>
        <v>0.15</v>
      </c>
      <c r="Z274" s="70">
        <f>IF(K274="",N(p_target),N(K274))</f>
        <v>0.25</v>
      </c>
      <c r="AA274" s="71" t="str">
        <f>IF(R274="","",IF(N(F274)&gt;0,ROUND(F274*N(E274),2),0))</f>
        <v/>
      </c>
      <c r="AB274" s="71">
        <f>IF(T274="",0,T274*N(E274))</f>
        <v>0.0</v>
      </c>
      <c r="AC274" s="71">
        <f>IF(T274="",0,R274*N(E274))</f>
        <v>0.0</v>
      </c>
      <c r="AD274" s="71">
        <f>IF(R274="",0,L274*N(E274))</f>
        <v>0.0</v>
      </c>
      <c r="AE274" s="71">
        <f>IF(R274="",0,M274*N(E274))</f>
        <v>0.0</v>
      </c>
      <c r="AF274" s="71">
        <f>IF(R274="",0,N274*N(E274))</f>
        <v>0.0</v>
      </c>
      <c r="AG274" s="71">
        <f>IF(R274="",0,O274*N(E274))</f>
        <v>0.0</v>
      </c>
      <c r="AH274" s="71">
        <f>IF(R274="",0,(N(G274)+N(H274)+N(I274)/D274)*N(E274))</f>
        <v>0.0</v>
      </c>
      <c r="AI274" s="71">
        <f>IF(R274="",0,P274*N(E274))</f>
        <v>0.0</v>
      </c>
      <c r="AJ274" s="71" t="str">
        <f>IF(AA274="","",COUNTIF(prod_ca,"&gt;"&amp;AA274)+COUNTIF(AA$6:AA274,AA274))</f>
        <v/>
      </c>
      <c r="AK274" s="71" t="str">
        <f>IF(OR(W274="Vendu à perte",W274="Sous la cible"),ROUND(U274,6),"")</f>
        <v/>
      </c>
      <c r="AL274" s="71" t="str">
        <f>IF(AK274="","",COUNTIF(prod_alk,"&lt;"&amp;AK274)+COUNTIF(AK$6:AK274,AK274))</f>
        <v/>
      </c>
    </row>
    <row r="275">
      <c r="A275" s="60" t="n"/>
      <c r="B275" s="60" t="n"/>
      <c r="C275" s="61" t="n"/>
      <c r="D275" s="62" t="n"/>
      <c r="E275" s="63" t="n"/>
      <c r="F275" s="64" t="n"/>
      <c r="G275" s="64" t="n"/>
      <c r="H275" s="64" t="n"/>
      <c r="I275" s="64" t="n"/>
      <c r="J275" s="65" t="n"/>
      <c r="K275" s="65" t="n"/>
      <c r="L275" s="66" t="str">
        <f>IF(X275="OK",SUMIF(bom_prod,A275,bom_cost),"")</f>
        <v/>
      </c>
      <c r="M275" s="66" t="str">
        <f>IF(X275="OK",SUMIF(gam_prod,A275,gam_mo),"")</f>
        <v/>
      </c>
      <c r="N275" s="66" t="str">
        <f>IF(X275="OK",SUMIF(gam_prod,A275,gam_mac),"")</f>
        <v/>
      </c>
      <c r="O275" s="66" t="str">
        <f>IF(X275="OK",SUMIF(gam_prod,A275,gam_setup)/D275,"")</f>
        <v/>
      </c>
      <c r="P275" s="66" t="str">
        <f>IF(X275="OK",(L275+M275+N275+O275+N(G275))*Y275,"")</f>
        <v/>
      </c>
      <c r="Q275" s="66" t="str">
        <f>IF(X275="OK",L275+M275+N275+O275+N(G275)+P275,"")</f>
        <v/>
      </c>
      <c r="R275" s="67" t="str">
        <f>IF(X275="OK",ROUND(Q275+N(H275)+N(I275)/D275,4),"")</f>
        <v/>
      </c>
      <c r="S275" s="66" t="str">
        <f>IF(X275="OK",ROUND(R275*(1+Z275),2),"")</f>
        <v/>
      </c>
      <c r="T275" s="66" t="str">
        <f>IF(AND(X275="OK",N(F275)&gt;0),F275-R275,"")</f>
        <v/>
      </c>
      <c r="U275" s="68" t="str">
        <f>IF(T275="","",IF(R275&lt;=0,"",T275/R275))</f>
        <v/>
      </c>
      <c r="V275" s="68" t="str">
        <f>IF(T275="","",T275/F275)</f>
        <v/>
      </c>
      <c r="W275" s="69" t="str">
        <f>IF(A275="","",IF(X275&lt;&gt;"OK","À corriger",IF(N(F275)&lt;=0,"Prix à saisir",IF(F275&lt;R275,"Vendu à perte",IF(F275&lt;S275,"Sous la cible","OK")))))</f>
        <v/>
      </c>
      <c r="X275" s="69" t="str">
        <f>IF(AND(A275="",COUNTA(B275:K275)=0),"",IF(A275="","Référence manquante",IF(COUNTIF($A$6:$A$305,A275)&gt;1,"Référence en double",IF(OR(NOT(ISNUMBER(D275)),N(D275)&lt;=0),"Taille de lot invalide",IF(AND(E275&lt;&gt;"",OR(NOT(ISNUMBER(E275)),N(E275)&lt;0)),"Volume annuel invalide",IF(AND(F275&lt;&gt;"",OR(NOT(ISNUMBER(F275)),N(F275)&lt;0)),"Prix de vente invalide",IF(OR(AND(G275&lt;&gt;"",OR(NOT(ISNUMBER(G275)),N(G275)&lt;0)),AND(H275&lt;&gt;"",OR(NOT(ISNUMBER(H275)),N(H275)&lt;0)),AND(I275&lt;&gt;"",OR(NOT(ISNUMBER(I275)),N(I275)&lt;0))),"Montant invalide",IF(OR(AND(J275&lt;&gt;"",OR(NOT(ISNUMBER(J275)),N(J275)&lt;0)),AND(K275&lt;&gt;"",OR(NOT(ISNUMBER(K275)),N(K275)&lt;0))),"Pourcentage invalide",IF(COUNTIF(bom_prod,A275)+COUNTIF(gam_prod,A275)=0,"Ni nomenclature ni gamme",IF(COUNTIFS(bom_prod,A275,bom_check,"&lt;&gt;OK")&gt;0,"Nomenclature à corriger",IF(COUNTIFS(gam_prod,A275,gam_check,"&lt;&gt;OK")&gt;0,"Gamme à corriger","OK")))))))))))</f>
        <v/>
      </c>
      <c r="Y275" s="70">
        <f>IF(J275="",N(p_fg),N(J275))</f>
        <v>0.15</v>
      </c>
      <c r="Z275" s="70">
        <f>IF(K275="",N(p_target),N(K275))</f>
        <v>0.25</v>
      </c>
      <c r="AA275" s="71" t="str">
        <f>IF(R275="","",IF(N(F275)&gt;0,ROUND(F275*N(E275),2),0))</f>
        <v/>
      </c>
      <c r="AB275" s="71">
        <f>IF(T275="",0,T275*N(E275))</f>
        <v>0.0</v>
      </c>
      <c r="AC275" s="71">
        <f>IF(T275="",0,R275*N(E275))</f>
        <v>0.0</v>
      </c>
      <c r="AD275" s="71">
        <f>IF(R275="",0,L275*N(E275))</f>
        <v>0.0</v>
      </c>
      <c r="AE275" s="71">
        <f>IF(R275="",0,M275*N(E275))</f>
        <v>0.0</v>
      </c>
      <c r="AF275" s="71">
        <f>IF(R275="",0,N275*N(E275))</f>
        <v>0.0</v>
      </c>
      <c r="AG275" s="71">
        <f>IF(R275="",0,O275*N(E275))</f>
        <v>0.0</v>
      </c>
      <c r="AH275" s="71">
        <f>IF(R275="",0,(N(G275)+N(H275)+N(I275)/D275)*N(E275))</f>
        <v>0.0</v>
      </c>
      <c r="AI275" s="71">
        <f>IF(R275="",0,P275*N(E275))</f>
        <v>0.0</v>
      </c>
      <c r="AJ275" s="71" t="str">
        <f>IF(AA275="","",COUNTIF(prod_ca,"&gt;"&amp;AA275)+COUNTIF(AA$6:AA275,AA275))</f>
        <v/>
      </c>
      <c r="AK275" s="71" t="str">
        <f>IF(OR(W275="Vendu à perte",W275="Sous la cible"),ROUND(U275,6),"")</f>
        <v/>
      </c>
      <c r="AL275" s="71" t="str">
        <f>IF(AK275="","",COUNTIF(prod_alk,"&lt;"&amp;AK275)+COUNTIF(AK$6:AK275,AK275))</f>
        <v/>
      </c>
    </row>
    <row r="276">
      <c r="A276" s="60" t="n"/>
      <c r="B276" s="60" t="n"/>
      <c r="C276" s="61" t="n"/>
      <c r="D276" s="62" t="n"/>
      <c r="E276" s="63" t="n"/>
      <c r="F276" s="64" t="n"/>
      <c r="G276" s="64" t="n"/>
      <c r="H276" s="64" t="n"/>
      <c r="I276" s="64" t="n"/>
      <c r="J276" s="65" t="n"/>
      <c r="K276" s="65" t="n"/>
      <c r="L276" s="66" t="str">
        <f>IF(X276="OK",SUMIF(bom_prod,A276,bom_cost),"")</f>
        <v/>
      </c>
      <c r="M276" s="66" t="str">
        <f>IF(X276="OK",SUMIF(gam_prod,A276,gam_mo),"")</f>
        <v/>
      </c>
      <c r="N276" s="66" t="str">
        <f>IF(X276="OK",SUMIF(gam_prod,A276,gam_mac),"")</f>
        <v/>
      </c>
      <c r="O276" s="66" t="str">
        <f>IF(X276="OK",SUMIF(gam_prod,A276,gam_setup)/D276,"")</f>
        <v/>
      </c>
      <c r="P276" s="66" t="str">
        <f>IF(X276="OK",(L276+M276+N276+O276+N(G276))*Y276,"")</f>
        <v/>
      </c>
      <c r="Q276" s="66" t="str">
        <f>IF(X276="OK",L276+M276+N276+O276+N(G276)+P276,"")</f>
        <v/>
      </c>
      <c r="R276" s="67" t="str">
        <f>IF(X276="OK",ROUND(Q276+N(H276)+N(I276)/D276,4),"")</f>
        <v/>
      </c>
      <c r="S276" s="66" t="str">
        <f>IF(X276="OK",ROUND(R276*(1+Z276),2),"")</f>
        <v/>
      </c>
      <c r="T276" s="66" t="str">
        <f>IF(AND(X276="OK",N(F276)&gt;0),F276-R276,"")</f>
        <v/>
      </c>
      <c r="U276" s="68" t="str">
        <f>IF(T276="","",IF(R276&lt;=0,"",T276/R276))</f>
        <v/>
      </c>
      <c r="V276" s="68" t="str">
        <f>IF(T276="","",T276/F276)</f>
        <v/>
      </c>
      <c r="W276" s="69" t="str">
        <f>IF(A276="","",IF(X276&lt;&gt;"OK","À corriger",IF(N(F276)&lt;=0,"Prix à saisir",IF(F276&lt;R276,"Vendu à perte",IF(F276&lt;S276,"Sous la cible","OK")))))</f>
        <v/>
      </c>
      <c r="X276" s="69" t="str">
        <f>IF(AND(A276="",COUNTA(B276:K276)=0),"",IF(A276="","Référence manquante",IF(COUNTIF($A$6:$A$305,A276)&gt;1,"Référence en double",IF(OR(NOT(ISNUMBER(D276)),N(D276)&lt;=0),"Taille de lot invalide",IF(AND(E276&lt;&gt;"",OR(NOT(ISNUMBER(E276)),N(E276)&lt;0)),"Volume annuel invalide",IF(AND(F276&lt;&gt;"",OR(NOT(ISNUMBER(F276)),N(F276)&lt;0)),"Prix de vente invalide",IF(OR(AND(G276&lt;&gt;"",OR(NOT(ISNUMBER(G276)),N(G276)&lt;0)),AND(H276&lt;&gt;"",OR(NOT(ISNUMBER(H276)),N(H276)&lt;0)),AND(I276&lt;&gt;"",OR(NOT(ISNUMBER(I276)),N(I276)&lt;0))),"Montant invalide",IF(OR(AND(J276&lt;&gt;"",OR(NOT(ISNUMBER(J276)),N(J276)&lt;0)),AND(K276&lt;&gt;"",OR(NOT(ISNUMBER(K276)),N(K276)&lt;0))),"Pourcentage invalide",IF(COUNTIF(bom_prod,A276)+COUNTIF(gam_prod,A276)=0,"Ni nomenclature ni gamme",IF(COUNTIFS(bom_prod,A276,bom_check,"&lt;&gt;OK")&gt;0,"Nomenclature à corriger",IF(COUNTIFS(gam_prod,A276,gam_check,"&lt;&gt;OK")&gt;0,"Gamme à corriger","OK")))))))))))</f>
        <v/>
      </c>
      <c r="Y276" s="70">
        <f>IF(J276="",N(p_fg),N(J276))</f>
        <v>0.15</v>
      </c>
      <c r="Z276" s="70">
        <f>IF(K276="",N(p_target),N(K276))</f>
        <v>0.25</v>
      </c>
      <c r="AA276" s="71" t="str">
        <f>IF(R276="","",IF(N(F276)&gt;0,ROUND(F276*N(E276),2),0))</f>
        <v/>
      </c>
      <c r="AB276" s="71">
        <f>IF(T276="",0,T276*N(E276))</f>
        <v>0.0</v>
      </c>
      <c r="AC276" s="71">
        <f>IF(T276="",0,R276*N(E276))</f>
        <v>0.0</v>
      </c>
      <c r="AD276" s="71">
        <f>IF(R276="",0,L276*N(E276))</f>
        <v>0.0</v>
      </c>
      <c r="AE276" s="71">
        <f>IF(R276="",0,M276*N(E276))</f>
        <v>0.0</v>
      </c>
      <c r="AF276" s="71">
        <f>IF(R276="",0,N276*N(E276))</f>
        <v>0.0</v>
      </c>
      <c r="AG276" s="71">
        <f>IF(R276="",0,O276*N(E276))</f>
        <v>0.0</v>
      </c>
      <c r="AH276" s="71">
        <f>IF(R276="",0,(N(G276)+N(H276)+N(I276)/D276)*N(E276))</f>
        <v>0.0</v>
      </c>
      <c r="AI276" s="71">
        <f>IF(R276="",0,P276*N(E276))</f>
        <v>0.0</v>
      </c>
      <c r="AJ276" s="71" t="str">
        <f>IF(AA276="","",COUNTIF(prod_ca,"&gt;"&amp;AA276)+COUNTIF(AA$6:AA276,AA276))</f>
        <v/>
      </c>
      <c r="AK276" s="71" t="str">
        <f>IF(OR(W276="Vendu à perte",W276="Sous la cible"),ROUND(U276,6),"")</f>
        <v/>
      </c>
      <c r="AL276" s="71" t="str">
        <f>IF(AK276="","",COUNTIF(prod_alk,"&lt;"&amp;AK276)+COUNTIF(AK$6:AK276,AK276))</f>
        <v/>
      </c>
    </row>
    <row r="277">
      <c r="A277" s="60" t="n"/>
      <c r="B277" s="60" t="n"/>
      <c r="C277" s="61" t="n"/>
      <c r="D277" s="62" t="n"/>
      <c r="E277" s="63" t="n"/>
      <c r="F277" s="64" t="n"/>
      <c r="G277" s="64" t="n"/>
      <c r="H277" s="64" t="n"/>
      <c r="I277" s="64" t="n"/>
      <c r="J277" s="65" t="n"/>
      <c r="K277" s="65" t="n"/>
      <c r="L277" s="66" t="str">
        <f>IF(X277="OK",SUMIF(bom_prod,A277,bom_cost),"")</f>
        <v/>
      </c>
      <c r="M277" s="66" t="str">
        <f>IF(X277="OK",SUMIF(gam_prod,A277,gam_mo),"")</f>
        <v/>
      </c>
      <c r="N277" s="66" t="str">
        <f>IF(X277="OK",SUMIF(gam_prod,A277,gam_mac),"")</f>
        <v/>
      </c>
      <c r="O277" s="66" t="str">
        <f>IF(X277="OK",SUMIF(gam_prod,A277,gam_setup)/D277,"")</f>
        <v/>
      </c>
      <c r="P277" s="66" t="str">
        <f>IF(X277="OK",(L277+M277+N277+O277+N(G277))*Y277,"")</f>
        <v/>
      </c>
      <c r="Q277" s="66" t="str">
        <f>IF(X277="OK",L277+M277+N277+O277+N(G277)+P277,"")</f>
        <v/>
      </c>
      <c r="R277" s="67" t="str">
        <f>IF(X277="OK",ROUND(Q277+N(H277)+N(I277)/D277,4),"")</f>
        <v/>
      </c>
      <c r="S277" s="66" t="str">
        <f>IF(X277="OK",ROUND(R277*(1+Z277),2),"")</f>
        <v/>
      </c>
      <c r="T277" s="66" t="str">
        <f>IF(AND(X277="OK",N(F277)&gt;0),F277-R277,"")</f>
        <v/>
      </c>
      <c r="U277" s="68" t="str">
        <f>IF(T277="","",IF(R277&lt;=0,"",T277/R277))</f>
        <v/>
      </c>
      <c r="V277" s="68" t="str">
        <f>IF(T277="","",T277/F277)</f>
        <v/>
      </c>
      <c r="W277" s="69" t="str">
        <f>IF(A277="","",IF(X277&lt;&gt;"OK","À corriger",IF(N(F277)&lt;=0,"Prix à saisir",IF(F277&lt;R277,"Vendu à perte",IF(F277&lt;S277,"Sous la cible","OK")))))</f>
        <v/>
      </c>
      <c r="X277" s="69" t="str">
        <f>IF(AND(A277="",COUNTA(B277:K277)=0),"",IF(A277="","Référence manquante",IF(COUNTIF($A$6:$A$305,A277)&gt;1,"Référence en double",IF(OR(NOT(ISNUMBER(D277)),N(D277)&lt;=0),"Taille de lot invalide",IF(AND(E277&lt;&gt;"",OR(NOT(ISNUMBER(E277)),N(E277)&lt;0)),"Volume annuel invalide",IF(AND(F277&lt;&gt;"",OR(NOT(ISNUMBER(F277)),N(F277)&lt;0)),"Prix de vente invalide",IF(OR(AND(G277&lt;&gt;"",OR(NOT(ISNUMBER(G277)),N(G277)&lt;0)),AND(H277&lt;&gt;"",OR(NOT(ISNUMBER(H277)),N(H277)&lt;0)),AND(I277&lt;&gt;"",OR(NOT(ISNUMBER(I277)),N(I277)&lt;0))),"Montant invalide",IF(OR(AND(J277&lt;&gt;"",OR(NOT(ISNUMBER(J277)),N(J277)&lt;0)),AND(K277&lt;&gt;"",OR(NOT(ISNUMBER(K277)),N(K277)&lt;0))),"Pourcentage invalide",IF(COUNTIF(bom_prod,A277)+COUNTIF(gam_prod,A277)=0,"Ni nomenclature ni gamme",IF(COUNTIFS(bom_prod,A277,bom_check,"&lt;&gt;OK")&gt;0,"Nomenclature à corriger",IF(COUNTIFS(gam_prod,A277,gam_check,"&lt;&gt;OK")&gt;0,"Gamme à corriger","OK")))))))))))</f>
        <v/>
      </c>
      <c r="Y277" s="70">
        <f>IF(J277="",N(p_fg),N(J277))</f>
        <v>0.15</v>
      </c>
      <c r="Z277" s="70">
        <f>IF(K277="",N(p_target),N(K277))</f>
        <v>0.25</v>
      </c>
      <c r="AA277" s="71" t="str">
        <f>IF(R277="","",IF(N(F277)&gt;0,ROUND(F277*N(E277),2),0))</f>
        <v/>
      </c>
      <c r="AB277" s="71">
        <f>IF(T277="",0,T277*N(E277))</f>
        <v>0.0</v>
      </c>
      <c r="AC277" s="71">
        <f>IF(T277="",0,R277*N(E277))</f>
        <v>0.0</v>
      </c>
      <c r="AD277" s="71">
        <f>IF(R277="",0,L277*N(E277))</f>
        <v>0.0</v>
      </c>
      <c r="AE277" s="71">
        <f>IF(R277="",0,M277*N(E277))</f>
        <v>0.0</v>
      </c>
      <c r="AF277" s="71">
        <f>IF(R277="",0,N277*N(E277))</f>
        <v>0.0</v>
      </c>
      <c r="AG277" s="71">
        <f>IF(R277="",0,O277*N(E277))</f>
        <v>0.0</v>
      </c>
      <c r="AH277" s="71">
        <f>IF(R277="",0,(N(G277)+N(H277)+N(I277)/D277)*N(E277))</f>
        <v>0.0</v>
      </c>
      <c r="AI277" s="71">
        <f>IF(R277="",0,P277*N(E277))</f>
        <v>0.0</v>
      </c>
      <c r="AJ277" s="71" t="str">
        <f>IF(AA277="","",COUNTIF(prod_ca,"&gt;"&amp;AA277)+COUNTIF(AA$6:AA277,AA277))</f>
        <v/>
      </c>
      <c r="AK277" s="71" t="str">
        <f>IF(OR(W277="Vendu à perte",W277="Sous la cible"),ROUND(U277,6),"")</f>
        <v/>
      </c>
      <c r="AL277" s="71" t="str">
        <f>IF(AK277="","",COUNTIF(prod_alk,"&lt;"&amp;AK277)+COUNTIF(AK$6:AK277,AK277))</f>
        <v/>
      </c>
    </row>
    <row r="278">
      <c r="A278" s="60" t="n"/>
      <c r="B278" s="60" t="n"/>
      <c r="C278" s="61" t="n"/>
      <c r="D278" s="62" t="n"/>
      <c r="E278" s="63" t="n"/>
      <c r="F278" s="64" t="n"/>
      <c r="G278" s="64" t="n"/>
      <c r="H278" s="64" t="n"/>
      <c r="I278" s="64" t="n"/>
      <c r="J278" s="65" t="n"/>
      <c r="K278" s="65" t="n"/>
      <c r="L278" s="66" t="str">
        <f>IF(X278="OK",SUMIF(bom_prod,A278,bom_cost),"")</f>
        <v/>
      </c>
      <c r="M278" s="66" t="str">
        <f>IF(X278="OK",SUMIF(gam_prod,A278,gam_mo),"")</f>
        <v/>
      </c>
      <c r="N278" s="66" t="str">
        <f>IF(X278="OK",SUMIF(gam_prod,A278,gam_mac),"")</f>
        <v/>
      </c>
      <c r="O278" s="66" t="str">
        <f>IF(X278="OK",SUMIF(gam_prod,A278,gam_setup)/D278,"")</f>
        <v/>
      </c>
      <c r="P278" s="66" t="str">
        <f>IF(X278="OK",(L278+M278+N278+O278+N(G278))*Y278,"")</f>
        <v/>
      </c>
      <c r="Q278" s="66" t="str">
        <f>IF(X278="OK",L278+M278+N278+O278+N(G278)+P278,"")</f>
        <v/>
      </c>
      <c r="R278" s="67" t="str">
        <f>IF(X278="OK",ROUND(Q278+N(H278)+N(I278)/D278,4),"")</f>
        <v/>
      </c>
      <c r="S278" s="66" t="str">
        <f>IF(X278="OK",ROUND(R278*(1+Z278),2),"")</f>
        <v/>
      </c>
      <c r="T278" s="66" t="str">
        <f>IF(AND(X278="OK",N(F278)&gt;0),F278-R278,"")</f>
        <v/>
      </c>
      <c r="U278" s="68" t="str">
        <f>IF(T278="","",IF(R278&lt;=0,"",T278/R278))</f>
        <v/>
      </c>
      <c r="V278" s="68" t="str">
        <f>IF(T278="","",T278/F278)</f>
        <v/>
      </c>
      <c r="W278" s="69" t="str">
        <f>IF(A278="","",IF(X278&lt;&gt;"OK","À corriger",IF(N(F278)&lt;=0,"Prix à saisir",IF(F278&lt;R278,"Vendu à perte",IF(F278&lt;S278,"Sous la cible","OK")))))</f>
        <v/>
      </c>
      <c r="X278" s="69" t="str">
        <f>IF(AND(A278="",COUNTA(B278:K278)=0),"",IF(A278="","Référence manquante",IF(COUNTIF($A$6:$A$305,A278)&gt;1,"Référence en double",IF(OR(NOT(ISNUMBER(D278)),N(D278)&lt;=0),"Taille de lot invalide",IF(AND(E278&lt;&gt;"",OR(NOT(ISNUMBER(E278)),N(E278)&lt;0)),"Volume annuel invalide",IF(AND(F278&lt;&gt;"",OR(NOT(ISNUMBER(F278)),N(F278)&lt;0)),"Prix de vente invalide",IF(OR(AND(G278&lt;&gt;"",OR(NOT(ISNUMBER(G278)),N(G278)&lt;0)),AND(H278&lt;&gt;"",OR(NOT(ISNUMBER(H278)),N(H278)&lt;0)),AND(I278&lt;&gt;"",OR(NOT(ISNUMBER(I278)),N(I278)&lt;0))),"Montant invalide",IF(OR(AND(J278&lt;&gt;"",OR(NOT(ISNUMBER(J278)),N(J278)&lt;0)),AND(K278&lt;&gt;"",OR(NOT(ISNUMBER(K278)),N(K278)&lt;0))),"Pourcentage invalide",IF(COUNTIF(bom_prod,A278)+COUNTIF(gam_prod,A278)=0,"Ni nomenclature ni gamme",IF(COUNTIFS(bom_prod,A278,bom_check,"&lt;&gt;OK")&gt;0,"Nomenclature à corriger",IF(COUNTIFS(gam_prod,A278,gam_check,"&lt;&gt;OK")&gt;0,"Gamme à corriger","OK")))))))))))</f>
        <v/>
      </c>
      <c r="Y278" s="70">
        <f>IF(J278="",N(p_fg),N(J278))</f>
        <v>0.15</v>
      </c>
      <c r="Z278" s="70">
        <f>IF(K278="",N(p_target),N(K278))</f>
        <v>0.25</v>
      </c>
      <c r="AA278" s="71" t="str">
        <f>IF(R278="","",IF(N(F278)&gt;0,ROUND(F278*N(E278),2),0))</f>
        <v/>
      </c>
      <c r="AB278" s="71">
        <f>IF(T278="",0,T278*N(E278))</f>
        <v>0.0</v>
      </c>
      <c r="AC278" s="71">
        <f>IF(T278="",0,R278*N(E278))</f>
        <v>0.0</v>
      </c>
      <c r="AD278" s="71">
        <f>IF(R278="",0,L278*N(E278))</f>
        <v>0.0</v>
      </c>
      <c r="AE278" s="71">
        <f>IF(R278="",0,M278*N(E278))</f>
        <v>0.0</v>
      </c>
      <c r="AF278" s="71">
        <f>IF(R278="",0,N278*N(E278))</f>
        <v>0.0</v>
      </c>
      <c r="AG278" s="71">
        <f>IF(R278="",0,O278*N(E278))</f>
        <v>0.0</v>
      </c>
      <c r="AH278" s="71">
        <f>IF(R278="",0,(N(G278)+N(H278)+N(I278)/D278)*N(E278))</f>
        <v>0.0</v>
      </c>
      <c r="AI278" s="71">
        <f>IF(R278="",0,P278*N(E278))</f>
        <v>0.0</v>
      </c>
      <c r="AJ278" s="71" t="str">
        <f>IF(AA278="","",COUNTIF(prod_ca,"&gt;"&amp;AA278)+COUNTIF(AA$6:AA278,AA278))</f>
        <v/>
      </c>
      <c r="AK278" s="71" t="str">
        <f>IF(OR(W278="Vendu à perte",W278="Sous la cible"),ROUND(U278,6),"")</f>
        <v/>
      </c>
      <c r="AL278" s="71" t="str">
        <f>IF(AK278="","",COUNTIF(prod_alk,"&lt;"&amp;AK278)+COUNTIF(AK$6:AK278,AK278))</f>
        <v/>
      </c>
    </row>
    <row r="279">
      <c r="A279" s="60" t="n"/>
      <c r="B279" s="60" t="n"/>
      <c r="C279" s="61" t="n"/>
      <c r="D279" s="62" t="n"/>
      <c r="E279" s="63" t="n"/>
      <c r="F279" s="64" t="n"/>
      <c r="G279" s="64" t="n"/>
      <c r="H279" s="64" t="n"/>
      <c r="I279" s="64" t="n"/>
      <c r="J279" s="65" t="n"/>
      <c r="K279" s="65" t="n"/>
      <c r="L279" s="66" t="str">
        <f>IF(X279="OK",SUMIF(bom_prod,A279,bom_cost),"")</f>
        <v/>
      </c>
      <c r="M279" s="66" t="str">
        <f>IF(X279="OK",SUMIF(gam_prod,A279,gam_mo),"")</f>
        <v/>
      </c>
      <c r="N279" s="66" t="str">
        <f>IF(X279="OK",SUMIF(gam_prod,A279,gam_mac),"")</f>
        <v/>
      </c>
      <c r="O279" s="66" t="str">
        <f>IF(X279="OK",SUMIF(gam_prod,A279,gam_setup)/D279,"")</f>
        <v/>
      </c>
      <c r="P279" s="66" t="str">
        <f>IF(X279="OK",(L279+M279+N279+O279+N(G279))*Y279,"")</f>
        <v/>
      </c>
      <c r="Q279" s="66" t="str">
        <f>IF(X279="OK",L279+M279+N279+O279+N(G279)+P279,"")</f>
        <v/>
      </c>
      <c r="R279" s="67" t="str">
        <f>IF(X279="OK",ROUND(Q279+N(H279)+N(I279)/D279,4),"")</f>
        <v/>
      </c>
      <c r="S279" s="66" t="str">
        <f>IF(X279="OK",ROUND(R279*(1+Z279),2),"")</f>
        <v/>
      </c>
      <c r="T279" s="66" t="str">
        <f>IF(AND(X279="OK",N(F279)&gt;0),F279-R279,"")</f>
        <v/>
      </c>
      <c r="U279" s="68" t="str">
        <f>IF(T279="","",IF(R279&lt;=0,"",T279/R279))</f>
        <v/>
      </c>
      <c r="V279" s="68" t="str">
        <f>IF(T279="","",T279/F279)</f>
        <v/>
      </c>
      <c r="W279" s="69" t="str">
        <f>IF(A279="","",IF(X279&lt;&gt;"OK","À corriger",IF(N(F279)&lt;=0,"Prix à saisir",IF(F279&lt;R279,"Vendu à perte",IF(F279&lt;S279,"Sous la cible","OK")))))</f>
        <v/>
      </c>
      <c r="X279" s="69" t="str">
        <f>IF(AND(A279="",COUNTA(B279:K279)=0),"",IF(A279="","Référence manquante",IF(COUNTIF($A$6:$A$305,A279)&gt;1,"Référence en double",IF(OR(NOT(ISNUMBER(D279)),N(D279)&lt;=0),"Taille de lot invalide",IF(AND(E279&lt;&gt;"",OR(NOT(ISNUMBER(E279)),N(E279)&lt;0)),"Volume annuel invalide",IF(AND(F279&lt;&gt;"",OR(NOT(ISNUMBER(F279)),N(F279)&lt;0)),"Prix de vente invalide",IF(OR(AND(G279&lt;&gt;"",OR(NOT(ISNUMBER(G279)),N(G279)&lt;0)),AND(H279&lt;&gt;"",OR(NOT(ISNUMBER(H279)),N(H279)&lt;0)),AND(I279&lt;&gt;"",OR(NOT(ISNUMBER(I279)),N(I279)&lt;0))),"Montant invalide",IF(OR(AND(J279&lt;&gt;"",OR(NOT(ISNUMBER(J279)),N(J279)&lt;0)),AND(K279&lt;&gt;"",OR(NOT(ISNUMBER(K279)),N(K279)&lt;0))),"Pourcentage invalide",IF(COUNTIF(bom_prod,A279)+COUNTIF(gam_prod,A279)=0,"Ni nomenclature ni gamme",IF(COUNTIFS(bom_prod,A279,bom_check,"&lt;&gt;OK")&gt;0,"Nomenclature à corriger",IF(COUNTIFS(gam_prod,A279,gam_check,"&lt;&gt;OK")&gt;0,"Gamme à corriger","OK")))))))))))</f>
        <v/>
      </c>
      <c r="Y279" s="70">
        <f>IF(J279="",N(p_fg),N(J279))</f>
        <v>0.15</v>
      </c>
      <c r="Z279" s="70">
        <f>IF(K279="",N(p_target),N(K279))</f>
        <v>0.25</v>
      </c>
      <c r="AA279" s="71" t="str">
        <f>IF(R279="","",IF(N(F279)&gt;0,ROUND(F279*N(E279),2),0))</f>
        <v/>
      </c>
      <c r="AB279" s="71">
        <f>IF(T279="",0,T279*N(E279))</f>
        <v>0.0</v>
      </c>
      <c r="AC279" s="71">
        <f>IF(T279="",0,R279*N(E279))</f>
        <v>0.0</v>
      </c>
      <c r="AD279" s="71">
        <f>IF(R279="",0,L279*N(E279))</f>
        <v>0.0</v>
      </c>
      <c r="AE279" s="71">
        <f>IF(R279="",0,M279*N(E279))</f>
        <v>0.0</v>
      </c>
      <c r="AF279" s="71">
        <f>IF(R279="",0,N279*N(E279))</f>
        <v>0.0</v>
      </c>
      <c r="AG279" s="71">
        <f>IF(R279="",0,O279*N(E279))</f>
        <v>0.0</v>
      </c>
      <c r="AH279" s="71">
        <f>IF(R279="",0,(N(G279)+N(H279)+N(I279)/D279)*N(E279))</f>
        <v>0.0</v>
      </c>
      <c r="AI279" s="71">
        <f>IF(R279="",0,P279*N(E279))</f>
        <v>0.0</v>
      </c>
      <c r="AJ279" s="71" t="str">
        <f>IF(AA279="","",COUNTIF(prod_ca,"&gt;"&amp;AA279)+COUNTIF(AA$6:AA279,AA279))</f>
        <v/>
      </c>
      <c r="AK279" s="71" t="str">
        <f>IF(OR(W279="Vendu à perte",W279="Sous la cible"),ROUND(U279,6),"")</f>
        <v/>
      </c>
      <c r="AL279" s="71" t="str">
        <f>IF(AK279="","",COUNTIF(prod_alk,"&lt;"&amp;AK279)+COUNTIF(AK$6:AK279,AK279))</f>
        <v/>
      </c>
    </row>
    <row r="280">
      <c r="A280" s="60" t="n"/>
      <c r="B280" s="60" t="n"/>
      <c r="C280" s="61" t="n"/>
      <c r="D280" s="62" t="n"/>
      <c r="E280" s="63" t="n"/>
      <c r="F280" s="64" t="n"/>
      <c r="G280" s="64" t="n"/>
      <c r="H280" s="64" t="n"/>
      <c r="I280" s="64" t="n"/>
      <c r="J280" s="65" t="n"/>
      <c r="K280" s="65" t="n"/>
      <c r="L280" s="66" t="str">
        <f>IF(X280="OK",SUMIF(bom_prod,A280,bom_cost),"")</f>
        <v/>
      </c>
      <c r="M280" s="66" t="str">
        <f>IF(X280="OK",SUMIF(gam_prod,A280,gam_mo),"")</f>
        <v/>
      </c>
      <c r="N280" s="66" t="str">
        <f>IF(X280="OK",SUMIF(gam_prod,A280,gam_mac),"")</f>
        <v/>
      </c>
      <c r="O280" s="66" t="str">
        <f>IF(X280="OK",SUMIF(gam_prod,A280,gam_setup)/D280,"")</f>
        <v/>
      </c>
      <c r="P280" s="66" t="str">
        <f>IF(X280="OK",(L280+M280+N280+O280+N(G280))*Y280,"")</f>
        <v/>
      </c>
      <c r="Q280" s="66" t="str">
        <f>IF(X280="OK",L280+M280+N280+O280+N(G280)+P280,"")</f>
        <v/>
      </c>
      <c r="R280" s="67" t="str">
        <f>IF(X280="OK",ROUND(Q280+N(H280)+N(I280)/D280,4),"")</f>
        <v/>
      </c>
      <c r="S280" s="66" t="str">
        <f>IF(X280="OK",ROUND(R280*(1+Z280),2),"")</f>
        <v/>
      </c>
      <c r="T280" s="66" t="str">
        <f>IF(AND(X280="OK",N(F280)&gt;0),F280-R280,"")</f>
        <v/>
      </c>
      <c r="U280" s="68" t="str">
        <f>IF(T280="","",IF(R280&lt;=0,"",T280/R280))</f>
        <v/>
      </c>
      <c r="V280" s="68" t="str">
        <f>IF(T280="","",T280/F280)</f>
        <v/>
      </c>
      <c r="W280" s="69" t="str">
        <f>IF(A280="","",IF(X280&lt;&gt;"OK","À corriger",IF(N(F280)&lt;=0,"Prix à saisir",IF(F280&lt;R280,"Vendu à perte",IF(F280&lt;S280,"Sous la cible","OK")))))</f>
        <v/>
      </c>
      <c r="X280" s="69" t="str">
        <f>IF(AND(A280="",COUNTA(B280:K280)=0),"",IF(A280="","Référence manquante",IF(COUNTIF($A$6:$A$305,A280)&gt;1,"Référence en double",IF(OR(NOT(ISNUMBER(D280)),N(D280)&lt;=0),"Taille de lot invalide",IF(AND(E280&lt;&gt;"",OR(NOT(ISNUMBER(E280)),N(E280)&lt;0)),"Volume annuel invalide",IF(AND(F280&lt;&gt;"",OR(NOT(ISNUMBER(F280)),N(F280)&lt;0)),"Prix de vente invalide",IF(OR(AND(G280&lt;&gt;"",OR(NOT(ISNUMBER(G280)),N(G280)&lt;0)),AND(H280&lt;&gt;"",OR(NOT(ISNUMBER(H280)),N(H280)&lt;0)),AND(I280&lt;&gt;"",OR(NOT(ISNUMBER(I280)),N(I280)&lt;0))),"Montant invalide",IF(OR(AND(J280&lt;&gt;"",OR(NOT(ISNUMBER(J280)),N(J280)&lt;0)),AND(K280&lt;&gt;"",OR(NOT(ISNUMBER(K280)),N(K280)&lt;0))),"Pourcentage invalide",IF(COUNTIF(bom_prod,A280)+COUNTIF(gam_prod,A280)=0,"Ni nomenclature ni gamme",IF(COUNTIFS(bom_prod,A280,bom_check,"&lt;&gt;OK")&gt;0,"Nomenclature à corriger",IF(COUNTIFS(gam_prod,A280,gam_check,"&lt;&gt;OK")&gt;0,"Gamme à corriger","OK")))))))))))</f>
        <v/>
      </c>
      <c r="Y280" s="70">
        <f>IF(J280="",N(p_fg),N(J280))</f>
        <v>0.15</v>
      </c>
      <c r="Z280" s="70">
        <f>IF(K280="",N(p_target),N(K280))</f>
        <v>0.25</v>
      </c>
      <c r="AA280" s="71" t="str">
        <f>IF(R280="","",IF(N(F280)&gt;0,ROUND(F280*N(E280),2),0))</f>
        <v/>
      </c>
      <c r="AB280" s="71">
        <f>IF(T280="",0,T280*N(E280))</f>
        <v>0.0</v>
      </c>
      <c r="AC280" s="71">
        <f>IF(T280="",0,R280*N(E280))</f>
        <v>0.0</v>
      </c>
      <c r="AD280" s="71">
        <f>IF(R280="",0,L280*N(E280))</f>
        <v>0.0</v>
      </c>
      <c r="AE280" s="71">
        <f>IF(R280="",0,M280*N(E280))</f>
        <v>0.0</v>
      </c>
      <c r="AF280" s="71">
        <f>IF(R280="",0,N280*N(E280))</f>
        <v>0.0</v>
      </c>
      <c r="AG280" s="71">
        <f>IF(R280="",0,O280*N(E280))</f>
        <v>0.0</v>
      </c>
      <c r="AH280" s="71">
        <f>IF(R280="",0,(N(G280)+N(H280)+N(I280)/D280)*N(E280))</f>
        <v>0.0</v>
      </c>
      <c r="AI280" s="71">
        <f>IF(R280="",0,P280*N(E280))</f>
        <v>0.0</v>
      </c>
      <c r="AJ280" s="71" t="str">
        <f>IF(AA280="","",COUNTIF(prod_ca,"&gt;"&amp;AA280)+COUNTIF(AA$6:AA280,AA280))</f>
        <v/>
      </c>
      <c r="AK280" s="71" t="str">
        <f>IF(OR(W280="Vendu à perte",W280="Sous la cible"),ROUND(U280,6),"")</f>
        <v/>
      </c>
      <c r="AL280" s="71" t="str">
        <f>IF(AK280="","",COUNTIF(prod_alk,"&lt;"&amp;AK280)+COUNTIF(AK$6:AK280,AK280))</f>
        <v/>
      </c>
    </row>
    <row r="281">
      <c r="A281" s="60" t="n"/>
      <c r="B281" s="60" t="n"/>
      <c r="C281" s="61" t="n"/>
      <c r="D281" s="62" t="n"/>
      <c r="E281" s="63" t="n"/>
      <c r="F281" s="64" t="n"/>
      <c r="G281" s="64" t="n"/>
      <c r="H281" s="64" t="n"/>
      <c r="I281" s="64" t="n"/>
      <c r="J281" s="65" t="n"/>
      <c r="K281" s="65" t="n"/>
      <c r="L281" s="66" t="str">
        <f>IF(X281="OK",SUMIF(bom_prod,A281,bom_cost),"")</f>
        <v/>
      </c>
      <c r="M281" s="66" t="str">
        <f>IF(X281="OK",SUMIF(gam_prod,A281,gam_mo),"")</f>
        <v/>
      </c>
      <c r="N281" s="66" t="str">
        <f>IF(X281="OK",SUMIF(gam_prod,A281,gam_mac),"")</f>
        <v/>
      </c>
      <c r="O281" s="66" t="str">
        <f>IF(X281="OK",SUMIF(gam_prod,A281,gam_setup)/D281,"")</f>
        <v/>
      </c>
      <c r="P281" s="66" t="str">
        <f>IF(X281="OK",(L281+M281+N281+O281+N(G281))*Y281,"")</f>
        <v/>
      </c>
      <c r="Q281" s="66" t="str">
        <f>IF(X281="OK",L281+M281+N281+O281+N(G281)+P281,"")</f>
        <v/>
      </c>
      <c r="R281" s="67" t="str">
        <f>IF(X281="OK",ROUND(Q281+N(H281)+N(I281)/D281,4),"")</f>
        <v/>
      </c>
      <c r="S281" s="66" t="str">
        <f>IF(X281="OK",ROUND(R281*(1+Z281),2),"")</f>
        <v/>
      </c>
      <c r="T281" s="66" t="str">
        <f>IF(AND(X281="OK",N(F281)&gt;0),F281-R281,"")</f>
        <v/>
      </c>
      <c r="U281" s="68" t="str">
        <f>IF(T281="","",IF(R281&lt;=0,"",T281/R281))</f>
        <v/>
      </c>
      <c r="V281" s="68" t="str">
        <f>IF(T281="","",T281/F281)</f>
        <v/>
      </c>
      <c r="W281" s="69" t="str">
        <f>IF(A281="","",IF(X281&lt;&gt;"OK","À corriger",IF(N(F281)&lt;=0,"Prix à saisir",IF(F281&lt;R281,"Vendu à perte",IF(F281&lt;S281,"Sous la cible","OK")))))</f>
        <v/>
      </c>
      <c r="X281" s="69" t="str">
        <f>IF(AND(A281="",COUNTA(B281:K281)=0),"",IF(A281="","Référence manquante",IF(COUNTIF($A$6:$A$305,A281)&gt;1,"Référence en double",IF(OR(NOT(ISNUMBER(D281)),N(D281)&lt;=0),"Taille de lot invalide",IF(AND(E281&lt;&gt;"",OR(NOT(ISNUMBER(E281)),N(E281)&lt;0)),"Volume annuel invalide",IF(AND(F281&lt;&gt;"",OR(NOT(ISNUMBER(F281)),N(F281)&lt;0)),"Prix de vente invalide",IF(OR(AND(G281&lt;&gt;"",OR(NOT(ISNUMBER(G281)),N(G281)&lt;0)),AND(H281&lt;&gt;"",OR(NOT(ISNUMBER(H281)),N(H281)&lt;0)),AND(I281&lt;&gt;"",OR(NOT(ISNUMBER(I281)),N(I281)&lt;0))),"Montant invalide",IF(OR(AND(J281&lt;&gt;"",OR(NOT(ISNUMBER(J281)),N(J281)&lt;0)),AND(K281&lt;&gt;"",OR(NOT(ISNUMBER(K281)),N(K281)&lt;0))),"Pourcentage invalide",IF(COUNTIF(bom_prod,A281)+COUNTIF(gam_prod,A281)=0,"Ni nomenclature ni gamme",IF(COUNTIFS(bom_prod,A281,bom_check,"&lt;&gt;OK")&gt;0,"Nomenclature à corriger",IF(COUNTIFS(gam_prod,A281,gam_check,"&lt;&gt;OK")&gt;0,"Gamme à corriger","OK")))))))))))</f>
        <v/>
      </c>
      <c r="Y281" s="70">
        <f>IF(J281="",N(p_fg),N(J281))</f>
        <v>0.15</v>
      </c>
      <c r="Z281" s="70">
        <f>IF(K281="",N(p_target),N(K281))</f>
        <v>0.25</v>
      </c>
      <c r="AA281" s="71" t="str">
        <f>IF(R281="","",IF(N(F281)&gt;0,ROUND(F281*N(E281),2),0))</f>
        <v/>
      </c>
      <c r="AB281" s="71">
        <f>IF(T281="",0,T281*N(E281))</f>
        <v>0.0</v>
      </c>
      <c r="AC281" s="71">
        <f>IF(T281="",0,R281*N(E281))</f>
        <v>0.0</v>
      </c>
      <c r="AD281" s="71">
        <f>IF(R281="",0,L281*N(E281))</f>
        <v>0.0</v>
      </c>
      <c r="AE281" s="71">
        <f>IF(R281="",0,M281*N(E281))</f>
        <v>0.0</v>
      </c>
      <c r="AF281" s="71">
        <f>IF(R281="",0,N281*N(E281))</f>
        <v>0.0</v>
      </c>
      <c r="AG281" s="71">
        <f>IF(R281="",0,O281*N(E281))</f>
        <v>0.0</v>
      </c>
      <c r="AH281" s="71">
        <f>IF(R281="",0,(N(G281)+N(H281)+N(I281)/D281)*N(E281))</f>
        <v>0.0</v>
      </c>
      <c r="AI281" s="71">
        <f>IF(R281="",0,P281*N(E281))</f>
        <v>0.0</v>
      </c>
      <c r="AJ281" s="71" t="str">
        <f>IF(AA281="","",COUNTIF(prod_ca,"&gt;"&amp;AA281)+COUNTIF(AA$6:AA281,AA281))</f>
        <v/>
      </c>
      <c r="AK281" s="71" t="str">
        <f>IF(OR(W281="Vendu à perte",W281="Sous la cible"),ROUND(U281,6),"")</f>
        <v/>
      </c>
      <c r="AL281" s="71" t="str">
        <f>IF(AK281="","",COUNTIF(prod_alk,"&lt;"&amp;AK281)+COUNTIF(AK$6:AK281,AK281))</f>
        <v/>
      </c>
    </row>
    <row r="282">
      <c r="A282" s="60" t="n"/>
      <c r="B282" s="60" t="n"/>
      <c r="C282" s="61" t="n"/>
      <c r="D282" s="62" t="n"/>
      <c r="E282" s="63" t="n"/>
      <c r="F282" s="64" t="n"/>
      <c r="G282" s="64" t="n"/>
      <c r="H282" s="64" t="n"/>
      <c r="I282" s="64" t="n"/>
      <c r="J282" s="65" t="n"/>
      <c r="K282" s="65" t="n"/>
      <c r="L282" s="66" t="str">
        <f>IF(X282="OK",SUMIF(bom_prod,A282,bom_cost),"")</f>
        <v/>
      </c>
      <c r="M282" s="66" t="str">
        <f>IF(X282="OK",SUMIF(gam_prod,A282,gam_mo),"")</f>
        <v/>
      </c>
      <c r="N282" s="66" t="str">
        <f>IF(X282="OK",SUMIF(gam_prod,A282,gam_mac),"")</f>
        <v/>
      </c>
      <c r="O282" s="66" t="str">
        <f>IF(X282="OK",SUMIF(gam_prod,A282,gam_setup)/D282,"")</f>
        <v/>
      </c>
      <c r="P282" s="66" t="str">
        <f>IF(X282="OK",(L282+M282+N282+O282+N(G282))*Y282,"")</f>
        <v/>
      </c>
      <c r="Q282" s="66" t="str">
        <f>IF(X282="OK",L282+M282+N282+O282+N(G282)+P282,"")</f>
        <v/>
      </c>
      <c r="R282" s="67" t="str">
        <f>IF(X282="OK",ROUND(Q282+N(H282)+N(I282)/D282,4),"")</f>
        <v/>
      </c>
      <c r="S282" s="66" t="str">
        <f>IF(X282="OK",ROUND(R282*(1+Z282),2),"")</f>
        <v/>
      </c>
      <c r="T282" s="66" t="str">
        <f>IF(AND(X282="OK",N(F282)&gt;0),F282-R282,"")</f>
        <v/>
      </c>
      <c r="U282" s="68" t="str">
        <f>IF(T282="","",IF(R282&lt;=0,"",T282/R282))</f>
        <v/>
      </c>
      <c r="V282" s="68" t="str">
        <f>IF(T282="","",T282/F282)</f>
        <v/>
      </c>
      <c r="W282" s="69" t="str">
        <f>IF(A282="","",IF(X282&lt;&gt;"OK","À corriger",IF(N(F282)&lt;=0,"Prix à saisir",IF(F282&lt;R282,"Vendu à perte",IF(F282&lt;S282,"Sous la cible","OK")))))</f>
        <v/>
      </c>
      <c r="X282" s="69" t="str">
        <f>IF(AND(A282="",COUNTA(B282:K282)=0),"",IF(A282="","Référence manquante",IF(COUNTIF($A$6:$A$305,A282)&gt;1,"Référence en double",IF(OR(NOT(ISNUMBER(D282)),N(D282)&lt;=0),"Taille de lot invalide",IF(AND(E282&lt;&gt;"",OR(NOT(ISNUMBER(E282)),N(E282)&lt;0)),"Volume annuel invalide",IF(AND(F282&lt;&gt;"",OR(NOT(ISNUMBER(F282)),N(F282)&lt;0)),"Prix de vente invalide",IF(OR(AND(G282&lt;&gt;"",OR(NOT(ISNUMBER(G282)),N(G282)&lt;0)),AND(H282&lt;&gt;"",OR(NOT(ISNUMBER(H282)),N(H282)&lt;0)),AND(I282&lt;&gt;"",OR(NOT(ISNUMBER(I282)),N(I282)&lt;0))),"Montant invalide",IF(OR(AND(J282&lt;&gt;"",OR(NOT(ISNUMBER(J282)),N(J282)&lt;0)),AND(K282&lt;&gt;"",OR(NOT(ISNUMBER(K282)),N(K282)&lt;0))),"Pourcentage invalide",IF(COUNTIF(bom_prod,A282)+COUNTIF(gam_prod,A282)=0,"Ni nomenclature ni gamme",IF(COUNTIFS(bom_prod,A282,bom_check,"&lt;&gt;OK")&gt;0,"Nomenclature à corriger",IF(COUNTIFS(gam_prod,A282,gam_check,"&lt;&gt;OK")&gt;0,"Gamme à corriger","OK")))))))))))</f>
        <v/>
      </c>
      <c r="Y282" s="70">
        <f>IF(J282="",N(p_fg),N(J282))</f>
        <v>0.15</v>
      </c>
      <c r="Z282" s="70">
        <f>IF(K282="",N(p_target),N(K282))</f>
        <v>0.25</v>
      </c>
      <c r="AA282" s="71" t="str">
        <f>IF(R282="","",IF(N(F282)&gt;0,ROUND(F282*N(E282),2),0))</f>
        <v/>
      </c>
      <c r="AB282" s="71">
        <f>IF(T282="",0,T282*N(E282))</f>
        <v>0.0</v>
      </c>
      <c r="AC282" s="71">
        <f>IF(T282="",0,R282*N(E282))</f>
        <v>0.0</v>
      </c>
      <c r="AD282" s="71">
        <f>IF(R282="",0,L282*N(E282))</f>
        <v>0.0</v>
      </c>
      <c r="AE282" s="71">
        <f>IF(R282="",0,M282*N(E282))</f>
        <v>0.0</v>
      </c>
      <c r="AF282" s="71">
        <f>IF(R282="",0,N282*N(E282))</f>
        <v>0.0</v>
      </c>
      <c r="AG282" s="71">
        <f>IF(R282="",0,O282*N(E282))</f>
        <v>0.0</v>
      </c>
      <c r="AH282" s="71">
        <f>IF(R282="",0,(N(G282)+N(H282)+N(I282)/D282)*N(E282))</f>
        <v>0.0</v>
      </c>
      <c r="AI282" s="71">
        <f>IF(R282="",0,P282*N(E282))</f>
        <v>0.0</v>
      </c>
      <c r="AJ282" s="71" t="str">
        <f>IF(AA282="","",COUNTIF(prod_ca,"&gt;"&amp;AA282)+COUNTIF(AA$6:AA282,AA282))</f>
        <v/>
      </c>
      <c r="AK282" s="71" t="str">
        <f>IF(OR(W282="Vendu à perte",W282="Sous la cible"),ROUND(U282,6),"")</f>
        <v/>
      </c>
      <c r="AL282" s="71" t="str">
        <f>IF(AK282="","",COUNTIF(prod_alk,"&lt;"&amp;AK282)+COUNTIF(AK$6:AK282,AK282))</f>
        <v/>
      </c>
    </row>
    <row r="283">
      <c r="A283" s="60" t="n"/>
      <c r="B283" s="60" t="n"/>
      <c r="C283" s="61" t="n"/>
      <c r="D283" s="62" t="n"/>
      <c r="E283" s="63" t="n"/>
      <c r="F283" s="64" t="n"/>
      <c r="G283" s="64" t="n"/>
      <c r="H283" s="64" t="n"/>
      <c r="I283" s="64" t="n"/>
      <c r="J283" s="65" t="n"/>
      <c r="K283" s="65" t="n"/>
      <c r="L283" s="66" t="str">
        <f>IF(X283="OK",SUMIF(bom_prod,A283,bom_cost),"")</f>
        <v/>
      </c>
      <c r="M283" s="66" t="str">
        <f>IF(X283="OK",SUMIF(gam_prod,A283,gam_mo),"")</f>
        <v/>
      </c>
      <c r="N283" s="66" t="str">
        <f>IF(X283="OK",SUMIF(gam_prod,A283,gam_mac),"")</f>
        <v/>
      </c>
      <c r="O283" s="66" t="str">
        <f>IF(X283="OK",SUMIF(gam_prod,A283,gam_setup)/D283,"")</f>
        <v/>
      </c>
      <c r="P283" s="66" t="str">
        <f>IF(X283="OK",(L283+M283+N283+O283+N(G283))*Y283,"")</f>
        <v/>
      </c>
      <c r="Q283" s="66" t="str">
        <f>IF(X283="OK",L283+M283+N283+O283+N(G283)+P283,"")</f>
        <v/>
      </c>
      <c r="R283" s="67" t="str">
        <f>IF(X283="OK",ROUND(Q283+N(H283)+N(I283)/D283,4),"")</f>
        <v/>
      </c>
      <c r="S283" s="66" t="str">
        <f>IF(X283="OK",ROUND(R283*(1+Z283),2),"")</f>
        <v/>
      </c>
      <c r="T283" s="66" t="str">
        <f>IF(AND(X283="OK",N(F283)&gt;0),F283-R283,"")</f>
        <v/>
      </c>
      <c r="U283" s="68" t="str">
        <f>IF(T283="","",IF(R283&lt;=0,"",T283/R283))</f>
        <v/>
      </c>
      <c r="V283" s="68" t="str">
        <f>IF(T283="","",T283/F283)</f>
        <v/>
      </c>
      <c r="W283" s="69" t="str">
        <f>IF(A283="","",IF(X283&lt;&gt;"OK","À corriger",IF(N(F283)&lt;=0,"Prix à saisir",IF(F283&lt;R283,"Vendu à perte",IF(F283&lt;S283,"Sous la cible","OK")))))</f>
        <v/>
      </c>
      <c r="X283" s="69" t="str">
        <f>IF(AND(A283="",COUNTA(B283:K283)=0),"",IF(A283="","Référence manquante",IF(COUNTIF($A$6:$A$305,A283)&gt;1,"Référence en double",IF(OR(NOT(ISNUMBER(D283)),N(D283)&lt;=0),"Taille de lot invalide",IF(AND(E283&lt;&gt;"",OR(NOT(ISNUMBER(E283)),N(E283)&lt;0)),"Volume annuel invalide",IF(AND(F283&lt;&gt;"",OR(NOT(ISNUMBER(F283)),N(F283)&lt;0)),"Prix de vente invalide",IF(OR(AND(G283&lt;&gt;"",OR(NOT(ISNUMBER(G283)),N(G283)&lt;0)),AND(H283&lt;&gt;"",OR(NOT(ISNUMBER(H283)),N(H283)&lt;0)),AND(I283&lt;&gt;"",OR(NOT(ISNUMBER(I283)),N(I283)&lt;0))),"Montant invalide",IF(OR(AND(J283&lt;&gt;"",OR(NOT(ISNUMBER(J283)),N(J283)&lt;0)),AND(K283&lt;&gt;"",OR(NOT(ISNUMBER(K283)),N(K283)&lt;0))),"Pourcentage invalide",IF(COUNTIF(bom_prod,A283)+COUNTIF(gam_prod,A283)=0,"Ni nomenclature ni gamme",IF(COUNTIFS(bom_prod,A283,bom_check,"&lt;&gt;OK")&gt;0,"Nomenclature à corriger",IF(COUNTIFS(gam_prod,A283,gam_check,"&lt;&gt;OK")&gt;0,"Gamme à corriger","OK")))))))))))</f>
        <v/>
      </c>
      <c r="Y283" s="70">
        <f>IF(J283="",N(p_fg),N(J283))</f>
        <v>0.15</v>
      </c>
      <c r="Z283" s="70">
        <f>IF(K283="",N(p_target),N(K283))</f>
        <v>0.25</v>
      </c>
      <c r="AA283" s="71" t="str">
        <f>IF(R283="","",IF(N(F283)&gt;0,ROUND(F283*N(E283),2),0))</f>
        <v/>
      </c>
      <c r="AB283" s="71">
        <f>IF(T283="",0,T283*N(E283))</f>
        <v>0.0</v>
      </c>
      <c r="AC283" s="71">
        <f>IF(T283="",0,R283*N(E283))</f>
        <v>0.0</v>
      </c>
      <c r="AD283" s="71">
        <f>IF(R283="",0,L283*N(E283))</f>
        <v>0.0</v>
      </c>
      <c r="AE283" s="71">
        <f>IF(R283="",0,M283*N(E283))</f>
        <v>0.0</v>
      </c>
      <c r="AF283" s="71">
        <f>IF(R283="",0,N283*N(E283))</f>
        <v>0.0</v>
      </c>
      <c r="AG283" s="71">
        <f>IF(R283="",0,O283*N(E283))</f>
        <v>0.0</v>
      </c>
      <c r="AH283" s="71">
        <f>IF(R283="",0,(N(G283)+N(H283)+N(I283)/D283)*N(E283))</f>
        <v>0.0</v>
      </c>
      <c r="AI283" s="71">
        <f>IF(R283="",0,P283*N(E283))</f>
        <v>0.0</v>
      </c>
      <c r="AJ283" s="71" t="str">
        <f>IF(AA283="","",COUNTIF(prod_ca,"&gt;"&amp;AA283)+COUNTIF(AA$6:AA283,AA283))</f>
        <v/>
      </c>
      <c r="AK283" s="71" t="str">
        <f>IF(OR(W283="Vendu à perte",W283="Sous la cible"),ROUND(U283,6),"")</f>
        <v/>
      </c>
      <c r="AL283" s="71" t="str">
        <f>IF(AK283="","",COUNTIF(prod_alk,"&lt;"&amp;AK283)+COUNTIF(AK$6:AK283,AK283))</f>
        <v/>
      </c>
    </row>
    <row r="284">
      <c r="A284" s="60" t="n"/>
      <c r="B284" s="60" t="n"/>
      <c r="C284" s="61" t="n"/>
      <c r="D284" s="62" t="n"/>
      <c r="E284" s="63" t="n"/>
      <c r="F284" s="64" t="n"/>
      <c r="G284" s="64" t="n"/>
      <c r="H284" s="64" t="n"/>
      <c r="I284" s="64" t="n"/>
      <c r="J284" s="65" t="n"/>
      <c r="K284" s="65" t="n"/>
      <c r="L284" s="66" t="str">
        <f>IF(X284="OK",SUMIF(bom_prod,A284,bom_cost),"")</f>
        <v/>
      </c>
      <c r="M284" s="66" t="str">
        <f>IF(X284="OK",SUMIF(gam_prod,A284,gam_mo),"")</f>
        <v/>
      </c>
      <c r="N284" s="66" t="str">
        <f>IF(X284="OK",SUMIF(gam_prod,A284,gam_mac),"")</f>
        <v/>
      </c>
      <c r="O284" s="66" t="str">
        <f>IF(X284="OK",SUMIF(gam_prod,A284,gam_setup)/D284,"")</f>
        <v/>
      </c>
      <c r="P284" s="66" t="str">
        <f>IF(X284="OK",(L284+M284+N284+O284+N(G284))*Y284,"")</f>
        <v/>
      </c>
      <c r="Q284" s="66" t="str">
        <f>IF(X284="OK",L284+M284+N284+O284+N(G284)+P284,"")</f>
        <v/>
      </c>
      <c r="R284" s="67" t="str">
        <f>IF(X284="OK",ROUND(Q284+N(H284)+N(I284)/D284,4),"")</f>
        <v/>
      </c>
      <c r="S284" s="66" t="str">
        <f>IF(X284="OK",ROUND(R284*(1+Z284),2),"")</f>
        <v/>
      </c>
      <c r="T284" s="66" t="str">
        <f>IF(AND(X284="OK",N(F284)&gt;0),F284-R284,"")</f>
        <v/>
      </c>
      <c r="U284" s="68" t="str">
        <f>IF(T284="","",IF(R284&lt;=0,"",T284/R284))</f>
        <v/>
      </c>
      <c r="V284" s="68" t="str">
        <f>IF(T284="","",T284/F284)</f>
        <v/>
      </c>
      <c r="W284" s="69" t="str">
        <f>IF(A284="","",IF(X284&lt;&gt;"OK","À corriger",IF(N(F284)&lt;=0,"Prix à saisir",IF(F284&lt;R284,"Vendu à perte",IF(F284&lt;S284,"Sous la cible","OK")))))</f>
        <v/>
      </c>
      <c r="X284" s="69" t="str">
        <f>IF(AND(A284="",COUNTA(B284:K284)=0),"",IF(A284="","Référence manquante",IF(COUNTIF($A$6:$A$305,A284)&gt;1,"Référence en double",IF(OR(NOT(ISNUMBER(D284)),N(D284)&lt;=0),"Taille de lot invalide",IF(AND(E284&lt;&gt;"",OR(NOT(ISNUMBER(E284)),N(E284)&lt;0)),"Volume annuel invalide",IF(AND(F284&lt;&gt;"",OR(NOT(ISNUMBER(F284)),N(F284)&lt;0)),"Prix de vente invalide",IF(OR(AND(G284&lt;&gt;"",OR(NOT(ISNUMBER(G284)),N(G284)&lt;0)),AND(H284&lt;&gt;"",OR(NOT(ISNUMBER(H284)),N(H284)&lt;0)),AND(I284&lt;&gt;"",OR(NOT(ISNUMBER(I284)),N(I284)&lt;0))),"Montant invalide",IF(OR(AND(J284&lt;&gt;"",OR(NOT(ISNUMBER(J284)),N(J284)&lt;0)),AND(K284&lt;&gt;"",OR(NOT(ISNUMBER(K284)),N(K284)&lt;0))),"Pourcentage invalide",IF(COUNTIF(bom_prod,A284)+COUNTIF(gam_prod,A284)=0,"Ni nomenclature ni gamme",IF(COUNTIFS(bom_prod,A284,bom_check,"&lt;&gt;OK")&gt;0,"Nomenclature à corriger",IF(COUNTIFS(gam_prod,A284,gam_check,"&lt;&gt;OK")&gt;0,"Gamme à corriger","OK")))))))))))</f>
        <v/>
      </c>
      <c r="Y284" s="70">
        <f>IF(J284="",N(p_fg),N(J284))</f>
        <v>0.15</v>
      </c>
      <c r="Z284" s="70">
        <f>IF(K284="",N(p_target),N(K284))</f>
        <v>0.25</v>
      </c>
      <c r="AA284" s="71" t="str">
        <f>IF(R284="","",IF(N(F284)&gt;0,ROUND(F284*N(E284),2),0))</f>
        <v/>
      </c>
      <c r="AB284" s="71">
        <f>IF(T284="",0,T284*N(E284))</f>
        <v>0.0</v>
      </c>
      <c r="AC284" s="71">
        <f>IF(T284="",0,R284*N(E284))</f>
        <v>0.0</v>
      </c>
      <c r="AD284" s="71">
        <f>IF(R284="",0,L284*N(E284))</f>
        <v>0.0</v>
      </c>
      <c r="AE284" s="71">
        <f>IF(R284="",0,M284*N(E284))</f>
        <v>0.0</v>
      </c>
      <c r="AF284" s="71">
        <f>IF(R284="",0,N284*N(E284))</f>
        <v>0.0</v>
      </c>
      <c r="AG284" s="71">
        <f>IF(R284="",0,O284*N(E284))</f>
        <v>0.0</v>
      </c>
      <c r="AH284" s="71">
        <f>IF(R284="",0,(N(G284)+N(H284)+N(I284)/D284)*N(E284))</f>
        <v>0.0</v>
      </c>
      <c r="AI284" s="71">
        <f>IF(R284="",0,P284*N(E284))</f>
        <v>0.0</v>
      </c>
      <c r="AJ284" s="71" t="str">
        <f>IF(AA284="","",COUNTIF(prod_ca,"&gt;"&amp;AA284)+COUNTIF(AA$6:AA284,AA284))</f>
        <v/>
      </c>
      <c r="AK284" s="71" t="str">
        <f>IF(OR(W284="Vendu à perte",W284="Sous la cible"),ROUND(U284,6),"")</f>
        <v/>
      </c>
      <c r="AL284" s="71" t="str">
        <f>IF(AK284="","",COUNTIF(prod_alk,"&lt;"&amp;AK284)+COUNTIF(AK$6:AK284,AK284))</f>
        <v/>
      </c>
    </row>
    <row r="285">
      <c r="A285" s="60" t="n"/>
      <c r="B285" s="60" t="n"/>
      <c r="C285" s="61" t="n"/>
      <c r="D285" s="62" t="n"/>
      <c r="E285" s="63" t="n"/>
      <c r="F285" s="64" t="n"/>
      <c r="G285" s="64" t="n"/>
      <c r="H285" s="64" t="n"/>
      <c r="I285" s="64" t="n"/>
      <c r="J285" s="65" t="n"/>
      <c r="K285" s="65" t="n"/>
      <c r="L285" s="66" t="str">
        <f>IF(X285="OK",SUMIF(bom_prod,A285,bom_cost),"")</f>
        <v/>
      </c>
      <c r="M285" s="66" t="str">
        <f>IF(X285="OK",SUMIF(gam_prod,A285,gam_mo),"")</f>
        <v/>
      </c>
      <c r="N285" s="66" t="str">
        <f>IF(X285="OK",SUMIF(gam_prod,A285,gam_mac),"")</f>
        <v/>
      </c>
      <c r="O285" s="66" t="str">
        <f>IF(X285="OK",SUMIF(gam_prod,A285,gam_setup)/D285,"")</f>
        <v/>
      </c>
      <c r="P285" s="66" t="str">
        <f>IF(X285="OK",(L285+M285+N285+O285+N(G285))*Y285,"")</f>
        <v/>
      </c>
      <c r="Q285" s="66" t="str">
        <f>IF(X285="OK",L285+M285+N285+O285+N(G285)+P285,"")</f>
        <v/>
      </c>
      <c r="R285" s="67" t="str">
        <f>IF(X285="OK",ROUND(Q285+N(H285)+N(I285)/D285,4),"")</f>
        <v/>
      </c>
      <c r="S285" s="66" t="str">
        <f>IF(X285="OK",ROUND(R285*(1+Z285),2),"")</f>
        <v/>
      </c>
      <c r="T285" s="66" t="str">
        <f>IF(AND(X285="OK",N(F285)&gt;0),F285-R285,"")</f>
        <v/>
      </c>
      <c r="U285" s="68" t="str">
        <f>IF(T285="","",IF(R285&lt;=0,"",T285/R285))</f>
        <v/>
      </c>
      <c r="V285" s="68" t="str">
        <f>IF(T285="","",T285/F285)</f>
        <v/>
      </c>
      <c r="W285" s="69" t="str">
        <f>IF(A285="","",IF(X285&lt;&gt;"OK","À corriger",IF(N(F285)&lt;=0,"Prix à saisir",IF(F285&lt;R285,"Vendu à perte",IF(F285&lt;S285,"Sous la cible","OK")))))</f>
        <v/>
      </c>
      <c r="X285" s="69" t="str">
        <f>IF(AND(A285="",COUNTA(B285:K285)=0),"",IF(A285="","Référence manquante",IF(COUNTIF($A$6:$A$305,A285)&gt;1,"Référence en double",IF(OR(NOT(ISNUMBER(D285)),N(D285)&lt;=0),"Taille de lot invalide",IF(AND(E285&lt;&gt;"",OR(NOT(ISNUMBER(E285)),N(E285)&lt;0)),"Volume annuel invalide",IF(AND(F285&lt;&gt;"",OR(NOT(ISNUMBER(F285)),N(F285)&lt;0)),"Prix de vente invalide",IF(OR(AND(G285&lt;&gt;"",OR(NOT(ISNUMBER(G285)),N(G285)&lt;0)),AND(H285&lt;&gt;"",OR(NOT(ISNUMBER(H285)),N(H285)&lt;0)),AND(I285&lt;&gt;"",OR(NOT(ISNUMBER(I285)),N(I285)&lt;0))),"Montant invalide",IF(OR(AND(J285&lt;&gt;"",OR(NOT(ISNUMBER(J285)),N(J285)&lt;0)),AND(K285&lt;&gt;"",OR(NOT(ISNUMBER(K285)),N(K285)&lt;0))),"Pourcentage invalide",IF(COUNTIF(bom_prod,A285)+COUNTIF(gam_prod,A285)=0,"Ni nomenclature ni gamme",IF(COUNTIFS(bom_prod,A285,bom_check,"&lt;&gt;OK")&gt;0,"Nomenclature à corriger",IF(COUNTIFS(gam_prod,A285,gam_check,"&lt;&gt;OK")&gt;0,"Gamme à corriger","OK")))))))))))</f>
        <v/>
      </c>
      <c r="Y285" s="70">
        <f>IF(J285="",N(p_fg),N(J285))</f>
        <v>0.15</v>
      </c>
      <c r="Z285" s="70">
        <f>IF(K285="",N(p_target),N(K285))</f>
        <v>0.25</v>
      </c>
      <c r="AA285" s="71" t="str">
        <f>IF(R285="","",IF(N(F285)&gt;0,ROUND(F285*N(E285),2),0))</f>
        <v/>
      </c>
      <c r="AB285" s="71">
        <f>IF(T285="",0,T285*N(E285))</f>
        <v>0.0</v>
      </c>
      <c r="AC285" s="71">
        <f>IF(T285="",0,R285*N(E285))</f>
        <v>0.0</v>
      </c>
      <c r="AD285" s="71">
        <f>IF(R285="",0,L285*N(E285))</f>
        <v>0.0</v>
      </c>
      <c r="AE285" s="71">
        <f>IF(R285="",0,M285*N(E285))</f>
        <v>0.0</v>
      </c>
      <c r="AF285" s="71">
        <f>IF(R285="",0,N285*N(E285))</f>
        <v>0.0</v>
      </c>
      <c r="AG285" s="71">
        <f>IF(R285="",0,O285*N(E285))</f>
        <v>0.0</v>
      </c>
      <c r="AH285" s="71">
        <f>IF(R285="",0,(N(G285)+N(H285)+N(I285)/D285)*N(E285))</f>
        <v>0.0</v>
      </c>
      <c r="AI285" s="71">
        <f>IF(R285="",0,P285*N(E285))</f>
        <v>0.0</v>
      </c>
      <c r="AJ285" s="71" t="str">
        <f>IF(AA285="","",COUNTIF(prod_ca,"&gt;"&amp;AA285)+COUNTIF(AA$6:AA285,AA285))</f>
        <v/>
      </c>
      <c r="AK285" s="71" t="str">
        <f>IF(OR(W285="Vendu à perte",W285="Sous la cible"),ROUND(U285,6),"")</f>
        <v/>
      </c>
      <c r="AL285" s="71" t="str">
        <f>IF(AK285="","",COUNTIF(prod_alk,"&lt;"&amp;AK285)+COUNTIF(AK$6:AK285,AK285))</f>
        <v/>
      </c>
    </row>
    <row r="286">
      <c r="A286" s="60" t="n"/>
      <c r="B286" s="60" t="n"/>
      <c r="C286" s="61" t="n"/>
      <c r="D286" s="62" t="n"/>
      <c r="E286" s="63" t="n"/>
      <c r="F286" s="64" t="n"/>
      <c r="G286" s="64" t="n"/>
      <c r="H286" s="64" t="n"/>
      <c r="I286" s="64" t="n"/>
      <c r="J286" s="65" t="n"/>
      <c r="K286" s="65" t="n"/>
      <c r="L286" s="66" t="str">
        <f>IF(X286="OK",SUMIF(bom_prod,A286,bom_cost),"")</f>
        <v/>
      </c>
      <c r="M286" s="66" t="str">
        <f>IF(X286="OK",SUMIF(gam_prod,A286,gam_mo),"")</f>
        <v/>
      </c>
      <c r="N286" s="66" t="str">
        <f>IF(X286="OK",SUMIF(gam_prod,A286,gam_mac),"")</f>
        <v/>
      </c>
      <c r="O286" s="66" t="str">
        <f>IF(X286="OK",SUMIF(gam_prod,A286,gam_setup)/D286,"")</f>
        <v/>
      </c>
      <c r="P286" s="66" t="str">
        <f>IF(X286="OK",(L286+M286+N286+O286+N(G286))*Y286,"")</f>
        <v/>
      </c>
      <c r="Q286" s="66" t="str">
        <f>IF(X286="OK",L286+M286+N286+O286+N(G286)+P286,"")</f>
        <v/>
      </c>
      <c r="R286" s="67" t="str">
        <f>IF(X286="OK",ROUND(Q286+N(H286)+N(I286)/D286,4),"")</f>
        <v/>
      </c>
      <c r="S286" s="66" t="str">
        <f>IF(X286="OK",ROUND(R286*(1+Z286),2),"")</f>
        <v/>
      </c>
      <c r="T286" s="66" t="str">
        <f>IF(AND(X286="OK",N(F286)&gt;0),F286-R286,"")</f>
        <v/>
      </c>
      <c r="U286" s="68" t="str">
        <f>IF(T286="","",IF(R286&lt;=0,"",T286/R286))</f>
        <v/>
      </c>
      <c r="V286" s="68" t="str">
        <f>IF(T286="","",T286/F286)</f>
        <v/>
      </c>
      <c r="W286" s="69" t="str">
        <f>IF(A286="","",IF(X286&lt;&gt;"OK","À corriger",IF(N(F286)&lt;=0,"Prix à saisir",IF(F286&lt;R286,"Vendu à perte",IF(F286&lt;S286,"Sous la cible","OK")))))</f>
        <v/>
      </c>
      <c r="X286" s="69" t="str">
        <f>IF(AND(A286="",COUNTA(B286:K286)=0),"",IF(A286="","Référence manquante",IF(COUNTIF($A$6:$A$305,A286)&gt;1,"Référence en double",IF(OR(NOT(ISNUMBER(D286)),N(D286)&lt;=0),"Taille de lot invalide",IF(AND(E286&lt;&gt;"",OR(NOT(ISNUMBER(E286)),N(E286)&lt;0)),"Volume annuel invalide",IF(AND(F286&lt;&gt;"",OR(NOT(ISNUMBER(F286)),N(F286)&lt;0)),"Prix de vente invalide",IF(OR(AND(G286&lt;&gt;"",OR(NOT(ISNUMBER(G286)),N(G286)&lt;0)),AND(H286&lt;&gt;"",OR(NOT(ISNUMBER(H286)),N(H286)&lt;0)),AND(I286&lt;&gt;"",OR(NOT(ISNUMBER(I286)),N(I286)&lt;0))),"Montant invalide",IF(OR(AND(J286&lt;&gt;"",OR(NOT(ISNUMBER(J286)),N(J286)&lt;0)),AND(K286&lt;&gt;"",OR(NOT(ISNUMBER(K286)),N(K286)&lt;0))),"Pourcentage invalide",IF(COUNTIF(bom_prod,A286)+COUNTIF(gam_prod,A286)=0,"Ni nomenclature ni gamme",IF(COUNTIFS(bom_prod,A286,bom_check,"&lt;&gt;OK")&gt;0,"Nomenclature à corriger",IF(COUNTIFS(gam_prod,A286,gam_check,"&lt;&gt;OK")&gt;0,"Gamme à corriger","OK")))))))))))</f>
        <v/>
      </c>
      <c r="Y286" s="70">
        <f>IF(J286="",N(p_fg),N(J286))</f>
        <v>0.15</v>
      </c>
      <c r="Z286" s="70">
        <f>IF(K286="",N(p_target),N(K286))</f>
        <v>0.25</v>
      </c>
      <c r="AA286" s="71" t="str">
        <f>IF(R286="","",IF(N(F286)&gt;0,ROUND(F286*N(E286),2),0))</f>
        <v/>
      </c>
      <c r="AB286" s="71">
        <f>IF(T286="",0,T286*N(E286))</f>
        <v>0.0</v>
      </c>
      <c r="AC286" s="71">
        <f>IF(T286="",0,R286*N(E286))</f>
        <v>0.0</v>
      </c>
      <c r="AD286" s="71">
        <f>IF(R286="",0,L286*N(E286))</f>
        <v>0.0</v>
      </c>
      <c r="AE286" s="71">
        <f>IF(R286="",0,M286*N(E286))</f>
        <v>0.0</v>
      </c>
      <c r="AF286" s="71">
        <f>IF(R286="",0,N286*N(E286))</f>
        <v>0.0</v>
      </c>
      <c r="AG286" s="71">
        <f>IF(R286="",0,O286*N(E286))</f>
        <v>0.0</v>
      </c>
      <c r="AH286" s="71">
        <f>IF(R286="",0,(N(G286)+N(H286)+N(I286)/D286)*N(E286))</f>
        <v>0.0</v>
      </c>
      <c r="AI286" s="71">
        <f>IF(R286="",0,P286*N(E286))</f>
        <v>0.0</v>
      </c>
      <c r="AJ286" s="71" t="str">
        <f>IF(AA286="","",COUNTIF(prod_ca,"&gt;"&amp;AA286)+COUNTIF(AA$6:AA286,AA286))</f>
        <v/>
      </c>
      <c r="AK286" s="71" t="str">
        <f>IF(OR(W286="Vendu à perte",W286="Sous la cible"),ROUND(U286,6),"")</f>
        <v/>
      </c>
      <c r="AL286" s="71" t="str">
        <f>IF(AK286="","",COUNTIF(prod_alk,"&lt;"&amp;AK286)+COUNTIF(AK$6:AK286,AK286))</f>
        <v/>
      </c>
    </row>
    <row r="287">
      <c r="A287" s="60" t="n"/>
      <c r="B287" s="60" t="n"/>
      <c r="C287" s="61" t="n"/>
      <c r="D287" s="62" t="n"/>
      <c r="E287" s="63" t="n"/>
      <c r="F287" s="64" t="n"/>
      <c r="G287" s="64" t="n"/>
      <c r="H287" s="64" t="n"/>
      <c r="I287" s="64" t="n"/>
      <c r="J287" s="65" t="n"/>
      <c r="K287" s="65" t="n"/>
      <c r="L287" s="66" t="str">
        <f>IF(X287="OK",SUMIF(bom_prod,A287,bom_cost),"")</f>
        <v/>
      </c>
      <c r="M287" s="66" t="str">
        <f>IF(X287="OK",SUMIF(gam_prod,A287,gam_mo),"")</f>
        <v/>
      </c>
      <c r="N287" s="66" t="str">
        <f>IF(X287="OK",SUMIF(gam_prod,A287,gam_mac),"")</f>
        <v/>
      </c>
      <c r="O287" s="66" t="str">
        <f>IF(X287="OK",SUMIF(gam_prod,A287,gam_setup)/D287,"")</f>
        <v/>
      </c>
      <c r="P287" s="66" t="str">
        <f>IF(X287="OK",(L287+M287+N287+O287+N(G287))*Y287,"")</f>
        <v/>
      </c>
      <c r="Q287" s="66" t="str">
        <f>IF(X287="OK",L287+M287+N287+O287+N(G287)+P287,"")</f>
        <v/>
      </c>
      <c r="R287" s="67" t="str">
        <f>IF(X287="OK",ROUND(Q287+N(H287)+N(I287)/D287,4),"")</f>
        <v/>
      </c>
      <c r="S287" s="66" t="str">
        <f>IF(X287="OK",ROUND(R287*(1+Z287),2),"")</f>
        <v/>
      </c>
      <c r="T287" s="66" t="str">
        <f>IF(AND(X287="OK",N(F287)&gt;0),F287-R287,"")</f>
        <v/>
      </c>
      <c r="U287" s="68" t="str">
        <f>IF(T287="","",IF(R287&lt;=0,"",T287/R287))</f>
        <v/>
      </c>
      <c r="V287" s="68" t="str">
        <f>IF(T287="","",T287/F287)</f>
        <v/>
      </c>
      <c r="W287" s="69" t="str">
        <f>IF(A287="","",IF(X287&lt;&gt;"OK","À corriger",IF(N(F287)&lt;=0,"Prix à saisir",IF(F287&lt;R287,"Vendu à perte",IF(F287&lt;S287,"Sous la cible","OK")))))</f>
        <v/>
      </c>
      <c r="X287" s="69" t="str">
        <f>IF(AND(A287="",COUNTA(B287:K287)=0),"",IF(A287="","Référence manquante",IF(COUNTIF($A$6:$A$305,A287)&gt;1,"Référence en double",IF(OR(NOT(ISNUMBER(D287)),N(D287)&lt;=0),"Taille de lot invalide",IF(AND(E287&lt;&gt;"",OR(NOT(ISNUMBER(E287)),N(E287)&lt;0)),"Volume annuel invalide",IF(AND(F287&lt;&gt;"",OR(NOT(ISNUMBER(F287)),N(F287)&lt;0)),"Prix de vente invalide",IF(OR(AND(G287&lt;&gt;"",OR(NOT(ISNUMBER(G287)),N(G287)&lt;0)),AND(H287&lt;&gt;"",OR(NOT(ISNUMBER(H287)),N(H287)&lt;0)),AND(I287&lt;&gt;"",OR(NOT(ISNUMBER(I287)),N(I287)&lt;0))),"Montant invalide",IF(OR(AND(J287&lt;&gt;"",OR(NOT(ISNUMBER(J287)),N(J287)&lt;0)),AND(K287&lt;&gt;"",OR(NOT(ISNUMBER(K287)),N(K287)&lt;0))),"Pourcentage invalide",IF(COUNTIF(bom_prod,A287)+COUNTIF(gam_prod,A287)=0,"Ni nomenclature ni gamme",IF(COUNTIFS(bom_prod,A287,bom_check,"&lt;&gt;OK")&gt;0,"Nomenclature à corriger",IF(COUNTIFS(gam_prod,A287,gam_check,"&lt;&gt;OK")&gt;0,"Gamme à corriger","OK")))))))))))</f>
        <v/>
      </c>
      <c r="Y287" s="70">
        <f>IF(J287="",N(p_fg),N(J287))</f>
        <v>0.15</v>
      </c>
      <c r="Z287" s="70">
        <f>IF(K287="",N(p_target),N(K287))</f>
        <v>0.25</v>
      </c>
      <c r="AA287" s="71" t="str">
        <f>IF(R287="","",IF(N(F287)&gt;0,ROUND(F287*N(E287),2),0))</f>
        <v/>
      </c>
      <c r="AB287" s="71">
        <f>IF(T287="",0,T287*N(E287))</f>
        <v>0.0</v>
      </c>
      <c r="AC287" s="71">
        <f>IF(T287="",0,R287*N(E287))</f>
        <v>0.0</v>
      </c>
      <c r="AD287" s="71">
        <f>IF(R287="",0,L287*N(E287))</f>
        <v>0.0</v>
      </c>
      <c r="AE287" s="71">
        <f>IF(R287="",0,M287*N(E287))</f>
        <v>0.0</v>
      </c>
      <c r="AF287" s="71">
        <f>IF(R287="",0,N287*N(E287))</f>
        <v>0.0</v>
      </c>
      <c r="AG287" s="71">
        <f>IF(R287="",0,O287*N(E287))</f>
        <v>0.0</v>
      </c>
      <c r="AH287" s="71">
        <f>IF(R287="",0,(N(G287)+N(H287)+N(I287)/D287)*N(E287))</f>
        <v>0.0</v>
      </c>
      <c r="AI287" s="71">
        <f>IF(R287="",0,P287*N(E287))</f>
        <v>0.0</v>
      </c>
      <c r="AJ287" s="71" t="str">
        <f>IF(AA287="","",COUNTIF(prod_ca,"&gt;"&amp;AA287)+COUNTIF(AA$6:AA287,AA287))</f>
        <v/>
      </c>
      <c r="AK287" s="71" t="str">
        <f>IF(OR(W287="Vendu à perte",W287="Sous la cible"),ROUND(U287,6),"")</f>
        <v/>
      </c>
      <c r="AL287" s="71" t="str">
        <f>IF(AK287="","",COUNTIF(prod_alk,"&lt;"&amp;AK287)+COUNTIF(AK$6:AK287,AK287))</f>
        <v/>
      </c>
    </row>
    <row r="288">
      <c r="A288" s="60" t="n"/>
      <c r="B288" s="60" t="n"/>
      <c r="C288" s="61" t="n"/>
      <c r="D288" s="62" t="n"/>
      <c r="E288" s="63" t="n"/>
      <c r="F288" s="64" t="n"/>
      <c r="G288" s="64" t="n"/>
      <c r="H288" s="64" t="n"/>
      <c r="I288" s="64" t="n"/>
      <c r="J288" s="65" t="n"/>
      <c r="K288" s="65" t="n"/>
      <c r="L288" s="66" t="str">
        <f>IF(X288="OK",SUMIF(bom_prod,A288,bom_cost),"")</f>
        <v/>
      </c>
      <c r="M288" s="66" t="str">
        <f>IF(X288="OK",SUMIF(gam_prod,A288,gam_mo),"")</f>
        <v/>
      </c>
      <c r="N288" s="66" t="str">
        <f>IF(X288="OK",SUMIF(gam_prod,A288,gam_mac),"")</f>
        <v/>
      </c>
      <c r="O288" s="66" t="str">
        <f>IF(X288="OK",SUMIF(gam_prod,A288,gam_setup)/D288,"")</f>
        <v/>
      </c>
      <c r="P288" s="66" t="str">
        <f>IF(X288="OK",(L288+M288+N288+O288+N(G288))*Y288,"")</f>
        <v/>
      </c>
      <c r="Q288" s="66" t="str">
        <f>IF(X288="OK",L288+M288+N288+O288+N(G288)+P288,"")</f>
        <v/>
      </c>
      <c r="R288" s="67" t="str">
        <f>IF(X288="OK",ROUND(Q288+N(H288)+N(I288)/D288,4),"")</f>
        <v/>
      </c>
      <c r="S288" s="66" t="str">
        <f>IF(X288="OK",ROUND(R288*(1+Z288),2),"")</f>
        <v/>
      </c>
      <c r="T288" s="66" t="str">
        <f>IF(AND(X288="OK",N(F288)&gt;0),F288-R288,"")</f>
        <v/>
      </c>
      <c r="U288" s="68" t="str">
        <f>IF(T288="","",IF(R288&lt;=0,"",T288/R288))</f>
        <v/>
      </c>
      <c r="V288" s="68" t="str">
        <f>IF(T288="","",T288/F288)</f>
        <v/>
      </c>
      <c r="W288" s="69" t="str">
        <f>IF(A288="","",IF(X288&lt;&gt;"OK","À corriger",IF(N(F288)&lt;=0,"Prix à saisir",IF(F288&lt;R288,"Vendu à perte",IF(F288&lt;S288,"Sous la cible","OK")))))</f>
        <v/>
      </c>
      <c r="X288" s="69" t="str">
        <f>IF(AND(A288="",COUNTA(B288:K288)=0),"",IF(A288="","Référence manquante",IF(COUNTIF($A$6:$A$305,A288)&gt;1,"Référence en double",IF(OR(NOT(ISNUMBER(D288)),N(D288)&lt;=0),"Taille de lot invalide",IF(AND(E288&lt;&gt;"",OR(NOT(ISNUMBER(E288)),N(E288)&lt;0)),"Volume annuel invalide",IF(AND(F288&lt;&gt;"",OR(NOT(ISNUMBER(F288)),N(F288)&lt;0)),"Prix de vente invalide",IF(OR(AND(G288&lt;&gt;"",OR(NOT(ISNUMBER(G288)),N(G288)&lt;0)),AND(H288&lt;&gt;"",OR(NOT(ISNUMBER(H288)),N(H288)&lt;0)),AND(I288&lt;&gt;"",OR(NOT(ISNUMBER(I288)),N(I288)&lt;0))),"Montant invalide",IF(OR(AND(J288&lt;&gt;"",OR(NOT(ISNUMBER(J288)),N(J288)&lt;0)),AND(K288&lt;&gt;"",OR(NOT(ISNUMBER(K288)),N(K288)&lt;0))),"Pourcentage invalide",IF(COUNTIF(bom_prod,A288)+COUNTIF(gam_prod,A288)=0,"Ni nomenclature ni gamme",IF(COUNTIFS(bom_prod,A288,bom_check,"&lt;&gt;OK")&gt;0,"Nomenclature à corriger",IF(COUNTIFS(gam_prod,A288,gam_check,"&lt;&gt;OK")&gt;0,"Gamme à corriger","OK")))))))))))</f>
        <v/>
      </c>
      <c r="Y288" s="70">
        <f>IF(J288="",N(p_fg),N(J288))</f>
        <v>0.15</v>
      </c>
      <c r="Z288" s="70">
        <f>IF(K288="",N(p_target),N(K288))</f>
        <v>0.25</v>
      </c>
      <c r="AA288" s="71" t="str">
        <f>IF(R288="","",IF(N(F288)&gt;0,ROUND(F288*N(E288),2),0))</f>
        <v/>
      </c>
      <c r="AB288" s="71">
        <f>IF(T288="",0,T288*N(E288))</f>
        <v>0.0</v>
      </c>
      <c r="AC288" s="71">
        <f>IF(T288="",0,R288*N(E288))</f>
        <v>0.0</v>
      </c>
      <c r="AD288" s="71">
        <f>IF(R288="",0,L288*N(E288))</f>
        <v>0.0</v>
      </c>
      <c r="AE288" s="71">
        <f>IF(R288="",0,M288*N(E288))</f>
        <v>0.0</v>
      </c>
      <c r="AF288" s="71">
        <f>IF(R288="",0,N288*N(E288))</f>
        <v>0.0</v>
      </c>
      <c r="AG288" s="71">
        <f>IF(R288="",0,O288*N(E288))</f>
        <v>0.0</v>
      </c>
      <c r="AH288" s="71">
        <f>IF(R288="",0,(N(G288)+N(H288)+N(I288)/D288)*N(E288))</f>
        <v>0.0</v>
      </c>
      <c r="AI288" s="71">
        <f>IF(R288="",0,P288*N(E288))</f>
        <v>0.0</v>
      </c>
      <c r="AJ288" s="71" t="str">
        <f>IF(AA288="","",COUNTIF(prod_ca,"&gt;"&amp;AA288)+COUNTIF(AA$6:AA288,AA288))</f>
        <v/>
      </c>
      <c r="AK288" s="71" t="str">
        <f>IF(OR(W288="Vendu à perte",W288="Sous la cible"),ROUND(U288,6),"")</f>
        <v/>
      </c>
      <c r="AL288" s="71" t="str">
        <f>IF(AK288="","",COUNTIF(prod_alk,"&lt;"&amp;AK288)+COUNTIF(AK$6:AK288,AK288))</f>
        <v/>
      </c>
    </row>
    <row r="289">
      <c r="A289" s="60" t="n"/>
      <c r="B289" s="60" t="n"/>
      <c r="C289" s="61" t="n"/>
      <c r="D289" s="62" t="n"/>
      <c r="E289" s="63" t="n"/>
      <c r="F289" s="64" t="n"/>
      <c r="G289" s="64" t="n"/>
      <c r="H289" s="64" t="n"/>
      <c r="I289" s="64" t="n"/>
      <c r="J289" s="65" t="n"/>
      <c r="K289" s="65" t="n"/>
      <c r="L289" s="66" t="str">
        <f>IF(X289="OK",SUMIF(bom_prod,A289,bom_cost),"")</f>
        <v/>
      </c>
      <c r="M289" s="66" t="str">
        <f>IF(X289="OK",SUMIF(gam_prod,A289,gam_mo),"")</f>
        <v/>
      </c>
      <c r="N289" s="66" t="str">
        <f>IF(X289="OK",SUMIF(gam_prod,A289,gam_mac),"")</f>
        <v/>
      </c>
      <c r="O289" s="66" t="str">
        <f>IF(X289="OK",SUMIF(gam_prod,A289,gam_setup)/D289,"")</f>
        <v/>
      </c>
      <c r="P289" s="66" t="str">
        <f>IF(X289="OK",(L289+M289+N289+O289+N(G289))*Y289,"")</f>
        <v/>
      </c>
      <c r="Q289" s="66" t="str">
        <f>IF(X289="OK",L289+M289+N289+O289+N(G289)+P289,"")</f>
        <v/>
      </c>
      <c r="R289" s="67" t="str">
        <f>IF(X289="OK",ROUND(Q289+N(H289)+N(I289)/D289,4),"")</f>
        <v/>
      </c>
      <c r="S289" s="66" t="str">
        <f>IF(X289="OK",ROUND(R289*(1+Z289),2),"")</f>
        <v/>
      </c>
      <c r="T289" s="66" t="str">
        <f>IF(AND(X289="OK",N(F289)&gt;0),F289-R289,"")</f>
        <v/>
      </c>
      <c r="U289" s="68" t="str">
        <f>IF(T289="","",IF(R289&lt;=0,"",T289/R289))</f>
        <v/>
      </c>
      <c r="V289" s="68" t="str">
        <f>IF(T289="","",T289/F289)</f>
        <v/>
      </c>
      <c r="W289" s="69" t="str">
        <f>IF(A289="","",IF(X289&lt;&gt;"OK","À corriger",IF(N(F289)&lt;=0,"Prix à saisir",IF(F289&lt;R289,"Vendu à perte",IF(F289&lt;S289,"Sous la cible","OK")))))</f>
        <v/>
      </c>
      <c r="X289" s="69" t="str">
        <f>IF(AND(A289="",COUNTA(B289:K289)=0),"",IF(A289="","Référence manquante",IF(COUNTIF($A$6:$A$305,A289)&gt;1,"Référence en double",IF(OR(NOT(ISNUMBER(D289)),N(D289)&lt;=0),"Taille de lot invalide",IF(AND(E289&lt;&gt;"",OR(NOT(ISNUMBER(E289)),N(E289)&lt;0)),"Volume annuel invalide",IF(AND(F289&lt;&gt;"",OR(NOT(ISNUMBER(F289)),N(F289)&lt;0)),"Prix de vente invalide",IF(OR(AND(G289&lt;&gt;"",OR(NOT(ISNUMBER(G289)),N(G289)&lt;0)),AND(H289&lt;&gt;"",OR(NOT(ISNUMBER(H289)),N(H289)&lt;0)),AND(I289&lt;&gt;"",OR(NOT(ISNUMBER(I289)),N(I289)&lt;0))),"Montant invalide",IF(OR(AND(J289&lt;&gt;"",OR(NOT(ISNUMBER(J289)),N(J289)&lt;0)),AND(K289&lt;&gt;"",OR(NOT(ISNUMBER(K289)),N(K289)&lt;0))),"Pourcentage invalide",IF(COUNTIF(bom_prod,A289)+COUNTIF(gam_prod,A289)=0,"Ni nomenclature ni gamme",IF(COUNTIFS(bom_prod,A289,bom_check,"&lt;&gt;OK")&gt;0,"Nomenclature à corriger",IF(COUNTIFS(gam_prod,A289,gam_check,"&lt;&gt;OK")&gt;0,"Gamme à corriger","OK")))))))))))</f>
        <v/>
      </c>
      <c r="Y289" s="70">
        <f>IF(J289="",N(p_fg),N(J289))</f>
        <v>0.15</v>
      </c>
      <c r="Z289" s="70">
        <f>IF(K289="",N(p_target),N(K289))</f>
        <v>0.25</v>
      </c>
      <c r="AA289" s="71" t="str">
        <f>IF(R289="","",IF(N(F289)&gt;0,ROUND(F289*N(E289),2),0))</f>
        <v/>
      </c>
      <c r="AB289" s="71">
        <f>IF(T289="",0,T289*N(E289))</f>
        <v>0.0</v>
      </c>
      <c r="AC289" s="71">
        <f>IF(T289="",0,R289*N(E289))</f>
        <v>0.0</v>
      </c>
      <c r="AD289" s="71">
        <f>IF(R289="",0,L289*N(E289))</f>
        <v>0.0</v>
      </c>
      <c r="AE289" s="71">
        <f>IF(R289="",0,M289*N(E289))</f>
        <v>0.0</v>
      </c>
      <c r="AF289" s="71">
        <f>IF(R289="",0,N289*N(E289))</f>
        <v>0.0</v>
      </c>
      <c r="AG289" s="71">
        <f>IF(R289="",0,O289*N(E289))</f>
        <v>0.0</v>
      </c>
      <c r="AH289" s="71">
        <f>IF(R289="",0,(N(G289)+N(H289)+N(I289)/D289)*N(E289))</f>
        <v>0.0</v>
      </c>
      <c r="AI289" s="71">
        <f>IF(R289="",0,P289*N(E289))</f>
        <v>0.0</v>
      </c>
      <c r="AJ289" s="71" t="str">
        <f>IF(AA289="","",COUNTIF(prod_ca,"&gt;"&amp;AA289)+COUNTIF(AA$6:AA289,AA289))</f>
        <v/>
      </c>
      <c r="AK289" s="71" t="str">
        <f>IF(OR(W289="Vendu à perte",W289="Sous la cible"),ROUND(U289,6),"")</f>
        <v/>
      </c>
      <c r="AL289" s="71" t="str">
        <f>IF(AK289="","",COUNTIF(prod_alk,"&lt;"&amp;AK289)+COUNTIF(AK$6:AK289,AK289))</f>
        <v/>
      </c>
    </row>
    <row r="290">
      <c r="A290" s="60" t="n"/>
      <c r="B290" s="60" t="n"/>
      <c r="C290" s="61" t="n"/>
      <c r="D290" s="62" t="n"/>
      <c r="E290" s="63" t="n"/>
      <c r="F290" s="64" t="n"/>
      <c r="G290" s="64" t="n"/>
      <c r="H290" s="64" t="n"/>
      <c r="I290" s="64" t="n"/>
      <c r="J290" s="65" t="n"/>
      <c r="K290" s="65" t="n"/>
      <c r="L290" s="66" t="str">
        <f>IF(X290="OK",SUMIF(bom_prod,A290,bom_cost),"")</f>
        <v/>
      </c>
      <c r="M290" s="66" t="str">
        <f>IF(X290="OK",SUMIF(gam_prod,A290,gam_mo),"")</f>
        <v/>
      </c>
      <c r="N290" s="66" t="str">
        <f>IF(X290="OK",SUMIF(gam_prod,A290,gam_mac),"")</f>
        <v/>
      </c>
      <c r="O290" s="66" t="str">
        <f>IF(X290="OK",SUMIF(gam_prod,A290,gam_setup)/D290,"")</f>
        <v/>
      </c>
      <c r="P290" s="66" t="str">
        <f>IF(X290="OK",(L290+M290+N290+O290+N(G290))*Y290,"")</f>
        <v/>
      </c>
      <c r="Q290" s="66" t="str">
        <f>IF(X290="OK",L290+M290+N290+O290+N(G290)+P290,"")</f>
        <v/>
      </c>
      <c r="R290" s="67" t="str">
        <f>IF(X290="OK",ROUND(Q290+N(H290)+N(I290)/D290,4),"")</f>
        <v/>
      </c>
      <c r="S290" s="66" t="str">
        <f>IF(X290="OK",ROUND(R290*(1+Z290),2),"")</f>
        <v/>
      </c>
      <c r="T290" s="66" t="str">
        <f>IF(AND(X290="OK",N(F290)&gt;0),F290-R290,"")</f>
        <v/>
      </c>
      <c r="U290" s="68" t="str">
        <f>IF(T290="","",IF(R290&lt;=0,"",T290/R290))</f>
        <v/>
      </c>
      <c r="V290" s="68" t="str">
        <f>IF(T290="","",T290/F290)</f>
        <v/>
      </c>
      <c r="W290" s="69" t="str">
        <f>IF(A290="","",IF(X290&lt;&gt;"OK","À corriger",IF(N(F290)&lt;=0,"Prix à saisir",IF(F290&lt;R290,"Vendu à perte",IF(F290&lt;S290,"Sous la cible","OK")))))</f>
        <v/>
      </c>
      <c r="X290" s="69" t="str">
        <f>IF(AND(A290="",COUNTA(B290:K290)=0),"",IF(A290="","Référence manquante",IF(COUNTIF($A$6:$A$305,A290)&gt;1,"Référence en double",IF(OR(NOT(ISNUMBER(D290)),N(D290)&lt;=0),"Taille de lot invalide",IF(AND(E290&lt;&gt;"",OR(NOT(ISNUMBER(E290)),N(E290)&lt;0)),"Volume annuel invalide",IF(AND(F290&lt;&gt;"",OR(NOT(ISNUMBER(F290)),N(F290)&lt;0)),"Prix de vente invalide",IF(OR(AND(G290&lt;&gt;"",OR(NOT(ISNUMBER(G290)),N(G290)&lt;0)),AND(H290&lt;&gt;"",OR(NOT(ISNUMBER(H290)),N(H290)&lt;0)),AND(I290&lt;&gt;"",OR(NOT(ISNUMBER(I290)),N(I290)&lt;0))),"Montant invalide",IF(OR(AND(J290&lt;&gt;"",OR(NOT(ISNUMBER(J290)),N(J290)&lt;0)),AND(K290&lt;&gt;"",OR(NOT(ISNUMBER(K290)),N(K290)&lt;0))),"Pourcentage invalide",IF(COUNTIF(bom_prod,A290)+COUNTIF(gam_prod,A290)=0,"Ni nomenclature ni gamme",IF(COUNTIFS(bom_prod,A290,bom_check,"&lt;&gt;OK")&gt;0,"Nomenclature à corriger",IF(COUNTIFS(gam_prod,A290,gam_check,"&lt;&gt;OK")&gt;0,"Gamme à corriger","OK")))))))))))</f>
        <v/>
      </c>
      <c r="Y290" s="70">
        <f>IF(J290="",N(p_fg),N(J290))</f>
        <v>0.15</v>
      </c>
      <c r="Z290" s="70">
        <f>IF(K290="",N(p_target),N(K290))</f>
        <v>0.25</v>
      </c>
      <c r="AA290" s="71" t="str">
        <f>IF(R290="","",IF(N(F290)&gt;0,ROUND(F290*N(E290),2),0))</f>
        <v/>
      </c>
      <c r="AB290" s="71">
        <f>IF(T290="",0,T290*N(E290))</f>
        <v>0.0</v>
      </c>
      <c r="AC290" s="71">
        <f>IF(T290="",0,R290*N(E290))</f>
        <v>0.0</v>
      </c>
      <c r="AD290" s="71">
        <f>IF(R290="",0,L290*N(E290))</f>
        <v>0.0</v>
      </c>
      <c r="AE290" s="71">
        <f>IF(R290="",0,M290*N(E290))</f>
        <v>0.0</v>
      </c>
      <c r="AF290" s="71">
        <f>IF(R290="",0,N290*N(E290))</f>
        <v>0.0</v>
      </c>
      <c r="AG290" s="71">
        <f>IF(R290="",0,O290*N(E290))</f>
        <v>0.0</v>
      </c>
      <c r="AH290" s="71">
        <f>IF(R290="",0,(N(G290)+N(H290)+N(I290)/D290)*N(E290))</f>
        <v>0.0</v>
      </c>
      <c r="AI290" s="71">
        <f>IF(R290="",0,P290*N(E290))</f>
        <v>0.0</v>
      </c>
      <c r="AJ290" s="71" t="str">
        <f>IF(AA290="","",COUNTIF(prod_ca,"&gt;"&amp;AA290)+COUNTIF(AA$6:AA290,AA290))</f>
        <v/>
      </c>
      <c r="AK290" s="71" t="str">
        <f>IF(OR(W290="Vendu à perte",W290="Sous la cible"),ROUND(U290,6),"")</f>
        <v/>
      </c>
      <c r="AL290" s="71" t="str">
        <f>IF(AK290="","",COUNTIF(prod_alk,"&lt;"&amp;AK290)+COUNTIF(AK$6:AK290,AK290))</f>
        <v/>
      </c>
    </row>
    <row r="291">
      <c r="A291" s="60" t="n"/>
      <c r="B291" s="60" t="n"/>
      <c r="C291" s="61" t="n"/>
      <c r="D291" s="62" t="n"/>
      <c r="E291" s="63" t="n"/>
      <c r="F291" s="64" t="n"/>
      <c r="G291" s="64" t="n"/>
      <c r="H291" s="64" t="n"/>
      <c r="I291" s="64" t="n"/>
      <c r="J291" s="65" t="n"/>
      <c r="K291" s="65" t="n"/>
      <c r="L291" s="66" t="str">
        <f>IF(X291="OK",SUMIF(bom_prod,A291,bom_cost),"")</f>
        <v/>
      </c>
      <c r="M291" s="66" t="str">
        <f>IF(X291="OK",SUMIF(gam_prod,A291,gam_mo),"")</f>
        <v/>
      </c>
      <c r="N291" s="66" t="str">
        <f>IF(X291="OK",SUMIF(gam_prod,A291,gam_mac),"")</f>
        <v/>
      </c>
      <c r="O291" s="66" t="str">
        <f>IF(X291="OK",SUMIF(gam_prod,A291,gam_setup)/D291,"")</f>
        <v/>
      </c>
      <c r="P291" s="66" t="str">
        <f>IF(X291="OK",(L291+M291+N291+O291+N(G291))*Y291,"")</f>
        <v/>
      </c>
      <c r="Q291" s="66" t="str">
        <f>IF(X291="OK",L291+M291+N291+O291+N(G291)+P291,"")</f>
        <v/>
      </c>
      <c r="R291" s="67" t="str">
        <f>IF(X291="OK",ROUND(Q291+N(H291)+N(I291)/D291,4),"")</f>
        <v/>
      </c>
      <c r="S291" s="66" t="str">
        <f>IF(X291="OK",ROUND(R291*(1+Z291),2),"")</f>
        <v/>
      </c>
      <c r="T291" s="66" t="str">
        <f>IF(AND(X291="OK",N(F291)&gt;0),F291-R291,"")</f>
        <v/>
      </c>
      <c r="U291" s="68" t="str">
        <f>IF(T291="","",IF(R291&lt;=0,"",T291/R291))</f>
        <v/>
      </c>
      <c r="V291" s="68" t="str">
        <f>IF(T291="","",T291/F291)</f>
        <v/>
      </c>
      <c r="W291" s="69" t="str">
        <f>IF(A291="","",IF(X291&lt;&gt;"OK","À corriger",IF(N(F291)&lt;=0,"Prix à saisir",IF(F291&lt;R291,"Vendu à perte",IF(F291&lt;S291,"Sous la cible","OK")))))</f>
        <v/>
      </c>
      <c r="X291" s="69" t="str">
        <f>IF(AND(A291="",COUNTA(B291:K291)=0),"",IF(A291="","Référence manquante",IF(COUNTIF($A$6:$A$305,A291)&gt;1,"Référence en double",IF(OR(NOT(ISNUMBER(D291)),N(D291)&lt;=0),"Taille de lot invalide",IF(AND(E291&lt;&gt;"",OR(NOT(ISNUMBER(E291)),N(E291)&lt;0)),"Volume annuel invalide",IF(AND(F291&lt;&gt;"",OR(NOT(ISNUMBER(F291)),N(F291)&lt;0)),"Prix de vente invalide",IF(OR(AND(G291&lt;&gt;"",OR(NOT(ISNUMBER(G291)),N(G291)&lt;0)),AND(H291&lt;&gt;"",OR(NOT(ISNUMBER(H291)),N(H291)&lt;0)),AND(I291&lt;&gt;"",OR(NOT(ISNUMBER(I291)),N(I291)&lt;0))),"Montant invalide",IF(OR(AND(J291&lt;&gt;"",OR(NOT(ISNUMBER(J291)),N(J291)&lt;0)),AND(K291&lt;&gt;"",OR(NOT(ISNUMBER(K291)),N(K291)&lt;0))),"Pourcentage invalide",IF(COUNTIF(bom_prod,A291)+COUNTIF(gam_prod,A291)=0,"Ni nomenclature ni gamme",IF(COUNTIFS(bom_prod,A291,bom_check,"&lt;&gt;OK")&gt;0,"Nomenclature à corriger",IF(COUNTIFS(gam_prod,A291,gam_check,"&lt;&gt;OK")&gt;0,"Gamme à corriger","OK")))))))))))</f>
        <v/>
      </c>
      <c r="Y291" s="70">
        <f>IF(J291="",N(p_fg),N(J291))</f>
        <v>0.15</v>
      </c>
      <c r="Z291" s="70">
        <f>IF(K291="",N(p_target),N(K291))</f>
        <v>0.25</v>
      </c>
      <c r="AA291" s="71" t="str">
        <f>IF(R291="","",IF(N(F291)&gt;0,ROUND(F291*N(E291),2),0))</f>
        <v/>
      </c>
      <c r="AB291" s="71">
        <f>IF(T291="",0,T291*N(E291))</f>
        <v>0.0</v>
      </c>
      <c r="AC291" s="71">
        <f>IF(T291="",0,R291*N(E291))</f>
        <v>0.0</v>
      </c>
      <c r="AD291" s="71">
        <f>IF(R291="",0,L291*N(E291))</f>
        <v>0.0</v>
      </c>
      <c r="AE291" s="71">
        <f>IF(R291="",0,M291*N(E291))</f>
        <v>0.0</v>
      </c>
      <c r="AF291" s="71">
        <f>IF(R291="",0,N291*N(E291))</f>
        <v>0.0</v>
      </c>
      <c r="AG291" s="71">
        <f>IF(R291="",0,O291*N(E291))</f>
        <v>0.0</v>
      </c>
      <c r="AH291" s="71">
        <f>IF(R291="",0,(N(G291)+N(H291)+N(I291)/D291)*N(E291))</f>
        <v>0.0</v>
      </c>
      <c r="AI291" s="71">
        <f>IF(R291="",0,P291*N(E291))</f>
        <v>0.0</v>
      </c>
      <c r="AJ291" s="71" t="str">
        <f>IF(AA291="","",COUNTIF(prod_ca,"&gt;"&amp;AA291)+COUNTIF(AA$6:AA291,AA291))</f>
        <v/>
      </c>
      <c r="AK291" s="71" t="str">
        <f>IF(OR(W291="Vendu à perte",W291="Sous la cible"),ROUND(U291,6),"")</f>
        <v/>
      </c>
      <c r="AL291" s="71" t="str">
        <f>IF(AK291="","",COUNTIF(prod_alk,"&lt;"&amp;AK291)+COUNTIF(AK$6:AK291,AK291))</f>
        <v/>
      </c>
    </row>
    <row r="292">
      <c r="A292" s="60" t="n"/>
      <c r="B292" s="60" t="n"/>
      <c r="C292" s="61" t="n"/>
      <c r="D292" s="62" t="n"/>
      <c r="E292" s="63" t="n"/>
      <c r="F292" s="64" t="n"/>
      <c r="G292" s="64" t="n"/>
      <c r="H292" s="64" t="n"/>
      <c r="I292" s="64" t="n"/>
      <c r="J292" s="65" t="n"/>
      <c r="K292" s="65" t="n"/>
      <c r="L292" s="66" t="str">
        <f>IF(X292="OK",SUMIF(bom_prod,A292,bom_cost),"")</f>
        <v/>
      </c>
      <c r="M292" s="66" t="str">
        <f>IF(X292="OK",SUMIF(gam_prod,A292,gam_mo),"")</f>
        <v/>
      </c>
      <c r="N292" s="66" t="str">
        <f>IF(X292="OK",SUMIF(gam_prod,A292,gam_mac),"")</f>
        <v/>
      </c>
      <c r="O292" s="66" t="str">
        <f>IF(X292="OK",SUMIF(gam_prod,A292,gam_setup)/D292,"")</f>
        <v/>
      </c>
      <c r="P292" s="66" t="str">
        <f>IF(X292="OK",(L292+M292+N292+O292+N(G292))*Y292,"")</f>
        <v/>
      </c>
      <c r="Q292" s="66" t="str">
        <f>IF(X292="OK",L292+M292+N292+O292+N(G292)+P292,"")</f>
        <v/>
      </c>
      <c r="R292" s="67" t="str">
        <f>IF(X292="OK",ROUND(Q292+N(H292)+N(I292)/D292,4),"")</f>
        <v/>
      </c>
      <c r="S292" s="66" t="str">
        <f>IF(X292="OK",ROUND(R292*(1+Z292),2),"")</f>
        <v/>
      </c>
      <c r="T292" s="66" t="str">
        <f>IF(AND(X292="OK",N(F292)&gt;0),F292-R292,"")</f>
        <v/>
      </c>
      <c r="U292" s="68" t="str">
        <f>IF(T292="","",IF(R292&lt;=0,"",T292/R292))</f>
        <v/>
      </c>
      <c r="V292" s="68" t="str">
        <f>IF(T292="","",T292/F292)</f>
        <v/>
      </c>
      <c r="W292" s="69" t="str">
        <f>IF(A292="","",IF(X292&lt;&gt;"OK","À corriger",IF(N(F292)&lt;=0,"Prix à saisir",IF(F292&lt;R292,"Vendu à perte",IF(F292&lt;S292,"Sous la cible","OK")))))</f>
        <v/>
      </c>
      <c r="X292" s="69" t="str">
        <f>IF(AND(A292="",COUNTA(B292:K292)=0),"",IF(A292="","Référence manquante",IF(COUNTIF($A$6:$A$305,A292)&gt;1,"Référence en double",IF(OR(NOT(ISNUMBER(D292)),N(D292)&lt;=0),"Taille de lot invalide",IF(AND(E292&lt;&gt;"",OR(NOT(ISNUMBER(E292)),N(E292)&lt;0)),"Volume annuel invalide",IF(AND(F292&lt;&gt;"",OR(NOT(ISNUMBER(F292)),N(F292)&lt;0)),"Prix de vente invalide",IF(OR(AND(G292&lt;&gt;"",OR(NOT(ISNUMBER(G292)),N(G292)&lt;0)),AND(H292&lt;&gt;"",OR(NOT(ISNUMBER(H292)),N(H292)&lt;0)),AND(I292&lt;&gt;"",OR(NOT(ISNUMBER(I292)),N(I292)&lt;0))),"Montant invalide",IF(OR(AND(J292&lt;&gt;"",OR(NOT(ISNUMBER(J292)),N(J292)&lt;0)),AND(K292&lt;&gt;"",OR(NOT(ISNUMBER(K292)),N(K292)&lt;0))),"Pourcentage invalide",IF(COUNTIF(bom_prod,A292)+COUNTIF(gam_prod,A292)=0,"Ni nomenclature ni gamme",IF(COUNTIFS(bom_prod,A292,bom_check,"&lt;&gt;OK")&gt;0,"Nomenclature à corriger",IF(COUNTIFS(gam_prod,A292,gam_check,"&lt;&gt;OK")&gt;0,"Gamme à corriger","OK")))))))))))</f>
        <v/>
      </c>
      <c r="Y292" s="70">
        <f>IF(J292="",N(p_fg),N(J292))</f>
        <v>0.15</v>
      </c>
      <c r="Z292" s="70">
        <f>IF(K292="",N(p_target),N(K292))</f>
        <v>0.25</v>
      </c>
      <c r="AA292" s="71" t="str">
        <f>IF(R292="","",IF(N(F292)&gt;0,ROUND(F292*N(E292),2),0))</f>
        <v/>
      </c>
      <c r="AB292" s="71">
        <f>IF(T292="",0,T292*N(E292))</f>
        <v>0.0</v>
      </c>
      <c r="AC292" s="71">
        <f>IF(T292="",0,R292*N(E292))</f>
        <v>0.0</v>
      </c>
      <c r="AD292" s="71">
        <f>IF(R292="",0,L292*N(E292))</f>
        <v>0.0</v>
      </c>
      <c r="AE292" s="71">
        <f>IF(R292="",0,M292*N(E292))</f>
        <v>0.0</v>
      </c>
      <c r="AF292" s="71">
        <f>IF(R292="",0,N292*N(E292))</f>
        <v>0.0</v>
      </c>
      <c r="AG292" s="71">
        <f>IF(R292="",0,O292*N(E292))</f>
        <v>0.0</v>
      </c>
      <c r="AH292" s="71">
        <f>IF(R292="",0,(N(G292)+N(H292)+N(I292)/D292)*N(E292))</f>
        <v>0.0</v>
      </c>
      <c r="AI292" s="71">
        <f>IF(R292="",0,P292*N(E292))</f>
        <v>0.0</v>
      </c>
      <c r="AJ292" s="71" t="str">
        <f>IF(AA292="","",COUNTIF(prod_ca,"&gt;"&amp;AA292)+COUNTIF(AA$6:AA292,AA292))</f>
        <v/>
      </c>
      <c r="AK292" s="71" t="str">
        <f>IF(OR(W292="Vendu à perte",W292="Sous la cible"),ROUND(U292,6),"")</f>
        <v/>
      </c>
      <c r="AL292" s="71" t="str">
        <f>IF(AK292="","",COUNTIF(prod_alk,"&lt;"&amp;AK292)+COUNTIF(AK$6:AK292,AK292))</f>
        <v/>
      </c>
    </row>
    <row r="293">
      <c r="A293" s="60" t="n"/>
      <c r="B293" s="60" t="n"/>
      <c r="C293" s="61" t="n"/>
      <c r="D293" s="62" t="n"/>
      <c r="E293" s="63" t="n"/>
      <c r="F293" s="64" t="n"/>
      <c r="G293" s="64" t="n"/>
      <c r="H293" s="64" t="n"/>
      <c r="I293" s="64" t="n"/>
      <c r="J293" s="65" t="n"/>
      <c r="K293" s="65" t="n"/>
      <c r="L293" s="66" t="str">
        <f>IF(X293="OK",SUMIF(bom_prod,A293,bom_cost),"")</f>
        <v/>
      </c>
      <c r="M293" s="66" t="str">
        <f>IF(X293="OK",SUMIF(gam_prod,A293,gam_mo),"")</f>
        <v/>
      </c>
      <c r="N293" s="66" t="str">
        <f>IF(X293="OK",SUMIF(gam_prod,A293,gam_mac),"")</f>
        <v/>
      </c>
      <c r="O293" s="66" t="str">
        <f>IF(X293="OK",SUMIF(gam_prod,A293,gam_setup)/D293,"")</f>
        <v/>
      </c>
      <c r="P293" s="66" t="str">
        <f>IF(X293="OK",(L293+M293+N293+O293+N(G293))*Y293,"")</f>
        <v/>
      </c>
      <c r="Q293" s="66" t="str">
        <f>IF(X293="OK",L293+M293+N293+O293+N(G293)+P293,"")</f>
        <v/>
      </c>
      <c r="R293" s="67" t="str">
        <f>IF(X293="OK",ROUND(Q293+N(H293)+N(I293)/D293,4),"")</f>
        <v/>
      </c>
      <c r="S293" s="66" t="str">
        <f>IF(X293="OK",ROUND(R293*(1+Z293),2),"")</f>
        <v/>
      </c>
      <c r="T293" s="66" t="str">
        <f>IF(AND(X293="OK",N(F293)&gt;0),F293-R293,"")</f>
        <v/>
      </c>
      <c r="U293" s="68" t="str">
        <f>IF(T293="","",IF(R293&lt;=0,"",T293/R293))</f>
        <v/>
      </c>
      <c r="V293" s="68" t="str">
        <f>IF(T293="","",T293/F293)</f>
        <v/>
      </c>
      <c r="W293" s="69" t="str">
        <f>IF(A293="","",IF(X293&lt;&gt;"OK","À corriger",IF(N(F293)&lt;=0,"Prix à saisir",IF(F293&lt;R293,"Vendu à perte",IF(F293&lt;S293,"Sous la cible","OK")))))</f>
        <v/>
      </c>
      <c r="X293" s="69" t="str">
        <f>IF(AND(A293="",COUNTA(B293:K293)=0),"",IF(A293="","Référence manquante",IF(COUNTIF($A$6:$A$305,A293)&gt;1,"Référence en double",IF(OR(NOT(ISNUMBER(D293)),N(D293)&lt;=0),"Taille de lot invalide",IF(AND(E293&lt;&gt;"",OR(NOT(ISNUMBER(E293)),N(E293)&lt;0)),"Volume annuel invalide",IF(AND(F293&lt;&gt;"",OR(NOT(ISNUMBER(F293)),N(F293)&lt;0)),"Prix de vente invalide",IF(OR(AND(G293&lt;&gt;"",OR(NOT(ISNUMBER(G293)),N(G293)&lt;0)),AND(H293&lt;&gt;"",OR(NOT(ISNUMBER(H293)),N(H293)&lt;0)),AND(I293&lt;&gt;"",OR(NOT(ISNUMBER(I293)),N(I293)&lt;0))),"Montant invalide",IF(OR(AND(J293&lt;&gt;"",OR(NOT(ISNUMBER(J293)),N(J293)&lt;0)),AND(K293&lt;&gt;"",OR(NOT(ISNUMBER(K293)),N(K293)&lt;0))),"Pourcentage invalide",IF(COUNTIF(bom_prod,A293)+COUNTIF(gam_prod,A293)=0,"Ni nomenclature ni gamme",IF(COUNTIFS(bom_prod,A293,bom_check,"&lt;&gt;OK")&gt;0,"Nomenclature à corriger",IF(COUNTIFS(gam_prod,A293,gam_check,"&lt;&gt;OK")&gt;0,"Gamme à corriger","OK")))))))))))</f>
        <v/>
      </c>
      <c r="Y293" s="70">
        <f>IF(J293="",N(p_fg),N(J293))</f>
        <v>0.15</v>
      </c>
      <c r="Z293" s="70">
        <f>IF(K293="",N(p_target),N(K293))</f>
        <v>0.25</v>
      </c>
      <c r="AA293" s="71" t="str">
        <f>IF(R293="","",IF(N(F293)&gt;0,ROUND(F293*N(E293),2),0))</f>
        <v/>
      </c>
      <c r="AB293" s="71">
        <f>IF(T293="",0,T293*N(E293))</f>
        <v>0.0</v>
      </c>
      <c r="AC293" s="71">
        <f>IF(T293="",0,R293*N(E293))</f>
        <v>0.0</v>
      </c>
      <c r="AD293" s="71">
        <f>IF(R293="",0,L293*N(E293))</f>
        <v>0.0</v>
      </c>
      <c r="AE293" s="71">
        <f>IF(R293="",0,M293*N(E293))</f>
        <v>0.0</v>
      </c>
      <c r="AF293" s="71">
        <f>IF(R293="",0,N293*N(E293))</f>
        <v>0.0</v>
      </c>
      <c r="AG293" s="71">
        <f>IF(R293="",0,O293*N(E293))</f>
        <v>0.0</v>
      </c>
      <c r="AH293" s="71">
        <f>IF(R293="",0,(N(G293)+N(H293)+N(I293)/D293)*N(E293))</f>
        <v>0.0</v>
      </c>
      <c r="AI293" s="71">
        <f>IF(R293="",0,P293*N(E293))</f>
        <v>0.0</v>
      </c>
      <c r="AJ293" s="71" t="str">
        <f>IF(AA293="","",COUNTIF(prod_ca,"&gt;"&amp;AA293)+COUNTIF(AA$6:AA293,AA293))</f>
        <v/>
      </c>
      <c r="AK293" s="71" t="str">
        <f>IF(OR(W293="Vendu à perte",W293="Sous la cible"),ROUND(U293,6),"")</f>
        <v/>
      </c>
      <c r="AL293" s="71" t="str">
        <f>IF(AK293="","",COUNTIF(prod_alk,"&lt;"&amp;AK293)+COUNTIF(AK$6:AK293,AK293))</f>
        <v/>
      </c>
    </row>
    <row r="294">
      <c r="A294" s="60" t="n"/>
      <c r="B294" s="60" t="n"/>
      <c r="C294" s="61" t="n"/>
      <c r="D294" s="62" t="n"/>
      <c r="E294" s="63" t="n"/>
      <c r="F294" s="64" t="n"/>
      <c r="G294" s="64" t="n"/>
      <c r="H294" s="64" t="n"/>
      <c r="I294" s="64" t="n"/>
      <c r="J294" s="65" t="n"/>
      <c r="K294" s="65" t="n"/>
      <c r="L294" s="66" t="str">
        <f>IF(X294="OK",SUMIF(bom_prod,A294,bom_cost),"")</f>
        <v/>
      </c>
      <c r="M294" s="66" t="str">
        <f>IF(X294="OK",SUMIF(gam_prod,A294,gam_mo),"")</f>
        <v/>
      </c>
      <c r="N294" s="66" t="str">
        <f>IF(X294="OK",SUMIF(gam_prod,A294,gam_mac),"")</f>
        <v/>
      </c>
      <c r="O294" s="66" t="str">
        <f>IF(X294="OK",SUMIF(gam_prod,A294,gam_setup)/D294,"")</f>
        <v/>
      </c>
      <c r="P294" s="66" t="str">
        <f>IF(X294="OK",(L294+M294+N294+O294+N(G294))*Y294,"")</f>
        <v/>
      </c>
      <c r="Q294" s="66" t="str">
        <f>IF(X294="OK",L294+M294+N294+O294+N(G294)+P294,"")</f>
        <v/>
      </c>
      <c r="R294" s="67" t="str">
        <f>IF(X294="OK",ROUND(Q294+N(H294)+N(I294)/D294,4),"")</f>
        <v/>
      </c>
      <c r="S294" s="66" t="str">
        <f>IF(X294="OK",ROUND(R294*(1+Z294),2),"")</f>
        <v/>
      </c>
      <c r="T294" s="66" t="str">
        <f>IF(AND(X294="OK",N(F294)&gt;0),F294-R294,"")</f>
        <v/>
      </c>
      <c r="U294" s="68" t="str">
        <f>IF(T294="","",IF(R294&lt;=0,"",T294/R294))</f>
        <v/>
      </c>
      <c r="V294" s="68" t="str">
        <f>IF(T294="","",T294/F294)</f>
        <v/>
      </c>
      <c r="W294" s="69" t="str">
        <f>IF(A294="","",IF(X294&lt;&gt;"OK","À corriger",IF(N(F294)&lt;=0,"Prix à saisir",IF(F294&lt;R294,"Vendu à perte",IF(F294&lt;S294,"Sous la cible","OK")))))</f>
        <v/>
      </c>
      <c r="X294" s="69" t="str">
        <f>IF(AND(A294="",COUNTA(B294:K294)=0),"",IF(A294="","Référence manquante",IF(COUNTIF($A$6:$A$305,A294)&gt;1,"Référence en double",IF(OR(NOT(ISNUMBER(D294)),N(D294)&lt;=0),"Taille de lot invalide",IF(AND(E294&lt;&gt;"",OR(NOT(ISNUMBER(E294)),N(E294)&lt;0)),"Volume annuel invalide",IF(AND(F294&lt;&gt;"",OR(NOT(ISNUMBER(F294)),N(F294)&lt;0)),"Prix de vente invalide",IF(OR(AND(G294&lt;&gt;"",OR(NOT(ISNUMBER(G294)),N(G294)&lt;0)),AND(H294&lt;&gt;"",OR(NOT(ISNUMBER(H294)),N(H294)&lt;0)),AND(I294&lt;&gt;"",OR(NOT(ISNUMBER(I294)),N(I294)&lt;0))),"Montant invalide",IF(OR(AND(J294&lt;&gt;"",OR(NOT(ISNUMBER(J294)),N(J294)&lt;0)),AND(K294&lt;&gt;"",OR(NOT(ISNUMBER(K294)),N(K294)&lt;0))),"Pourcentage invalide",IF(COUNTIF(bom_prod,A294)+COUNTIF(gam_prod,A294)=0,"Ni nomenclature ni gamme",IF(COUNTIFS(bom_prod,A294,bom_check,"&lt;&gt;OK")&gt;0,"Nomenclature à corriger",IF(COUNTIFS(gam_prod,A294,gam_check,"&lt;&gt;OK")&gt;0,"Gamme à corriger","OK")))))))))))</f>
        <v/>
      </c>
      <c r="Y294" s="70">
        <f>IF(J294="",N(p_fg),N(J294))</f>
        <v>0.15</v>
      </c>
      <c r="Z294" s="70">
        <f>IF(K294="",N(p_target),N(K294))</f>
        <v>0.25</v>
      </c>
      <c r="AA294" s="71" t="str">
        <f>IF(R294="","",IF(N(F294)&gt;0,ROUND(F294*N(E294),2),0))</f>
        <v/>
      </c>
      <c r="AB294" s="71">
        <f>IF(T294="",0,T294*N(E294))</f>
        <v>0.0</v>
      </c>
      <c r="AC294" s="71">
        <f>IF(T294="",0,R294*N(E294))</f>
        <v>0.0</v>
      </c>
      <c r="AD294" s="71">
        <f>IF(R294="",0,L294*N(E294))</f>
        <v>0.0</v>
      </c>
      <c r="AE294" s="71">
        <f>IF(R294="",0,M294*N(E294))</f>
        <v>0.0</v>
      </c>
      <c r="AF294" s="71">
        <f>IF(R294="",0,N294*N(E294))</f>
        <v>0.0</v>
      </c>
      <c r="AG294" s="71">
        <f>IF(R294="",0,O294*N(E294))</f>
        <v>0.0</v>
      </c>
      <c r="AH294" s="71">
        <f>IF(R294="",0,(N(G294)+N(H294)+N(I294)/D294)*N(E294))</f>
        <v>0.0</v>
      </c>
      <c r="AI294" s="71">
        <f>IF(R294="",0,P294*N(E294))</f>
        <v>0.0</v>
      </c>
      <c r="AJ294" s="71" t="str">
        <f>IF(AA294="","",COUNTIF(prod_ca,"&gt;"&amp;AA294)+COUNTIF(AA$6:AA294,AA294))</f>
        <v/>
      </c>
      <c r="AK294" s="71" t="str">
        <f>IF(OR(W294="Vendu à perte",W294="Sous la cible"),ROUND(U294,6),"")</f>
        <v/>
      </c>
      <c r="AL294" s="71" t="str">
        <f>IF(AK294="","",COUNTIF(prod_alk,"&lt;"&amp;AK294)+COUNTIF(AK$6:AK294,AK294))</f>
        <v/>
      </c>
    </row>
    <row r="295">
      <c r="A295" s="60" t="n"/>
      <c r="B295" s="60" t="n"/>
      <c r="C295" s="61" t="n"/>
      <c r="D295" s="62" t="n"/>
      <c r="E295" s="63" t="n"/>
      <c r="F295" s="64" t="n"/>
      <c r="G295" s="64" t="n"/>
      <c r="H295" s="64" t="n"/>
      <c r="I295" s="64" t="n"/>
      <c r="J295" s="65" t="n"/>
      <c r="K295" s="65" t="n"/>
      <c r="L295" s="66" t="str">
        <f>IF(X295="OK",SUMIF(bom_prod,A295,bom_cost),"")</f>
        <v/>
      </c>
      <c r="M295" s="66" t="str">
        <f>IF(X295="OK",SUMIF(gam_prod,A295,gam_mo),"")</f>
        <v/>
      </c>
      <c r="N295" s="66" t="str">
        <f>IF(X295="OK",SUMIF(gam_prod,A295,gam_mac),"")</f>
        <v/>
      </c>
      <c r="O295" s="66" t="str">
        <f>IF(X295="OK",SUMIF(gam_prod,A295,gam_setup)/D295,"")</f>
        <v/>
      </c>
      <c r="P295" s="66" t="str">
        <f>IF(X295="OK",(L295+M295+N295+O295+N(G295))*Y295,"")</f>
        <v/>
      </c>
      <c r="Q295" s="66" t="str">
        <f>IF(X295="OK",L295+M295+N295+O295+N(G295)+P295,"")</f>
        <v/>
      </c>
      <c r="R295" s="67" t="str">
        <f>IF(X295="OK",ROUND(Q295+N(H295)+N(I295)/D295,4),"")</f>
        <v/>
      </c>
      <c r="S295" s="66" t="str">
        <f>IF(X295="OK",ROUND(R295*(1+Z295),2),"")</f>
        <v/>
      </c>
      <c r="T295" s="66" t="str">
        <f>IF(AND(X295="OK",N(F295)&gt;0),F295-R295,"")</f>
        <v/>
      </c>
      <c r="U295" s="68" t="str">
        <f>IF(T295="","",IF(R295&lt;=0,"",T295/R295))</f>
        <v/>
      </c>
      <c r="V295" s="68" t="str">
        <f>IF(T295="","",T295/F295)</f>
        <v/>
      </c>
      <c r="W295" s="69" t="str">
        <f>IF(A295="","",IF(X295&lt;&gt;"OK","À corriger",IF(N(F295)&lt;=0,"Prix à saisir",IF(F295&lt;R295,"Vendu à perte",IF(F295&lt;S295,"Sous la cible","OK")))))</f>
        <v/>
      </c>
      <c r="X295" s="69" t="str">
        <f>IF(AND(A295="",COUNTA(B295:K295)=0),"",IF(A295="","Référence manquante",IF(COUNTIF($A$6:$A$305,A295)&gt;1,"Référence en double",IF(OR(NOT(ISNUMBER(D295)),N(D295)&lt;=0),"Taille de lot invalide",IF(AND(E295&lt;&gt;"",OR(NOT(ISNUMBER(E295)),N(E295)&lt;0)),"Volume annuel invalide",IF(AND(F295&lt;&gt;"",OR(NOT(ISNUMBER(F295)),N(F295)&lt;0)),"Prix de vente invalide",IF(OR(AND(G295&lt;&gt;"",OR(NOT(ISNUMBER(G295)),N(G295)&lt;0)),AND(H295&lt;&gt;"",OR(NOT(ISNUMBER(H295)),N(H295)&lt;0)),AND(I295&lt;&gt;"",OR(NOT(ISNUMBER(I295)),N(I295)&lt;0))),"Montant invalide",IF(OR(AND(J295&lt;&gt;"",OR(NOT(ISNUMBER(J295)),N(J295)&lt;0)),AND(K295&lt;&gt;"",OR(NOT(ISNUMBER(K295)),N(K295)&lt;0))),"Pourcentage invalide",IF(COUNTIF(bom_prod,A295)+COUNTIF(gam_prod,A295)=0,"Ni nomenclature ni gamme",IF(COUNTIFS(bom_prod,A295,bom_check,"&lt;&gt;OK")&gt;0,"Nomenclature à corriger",IF(COUNTIFS(gam_prod,A295,gam_check,"&lt;&gt;OK")&gt;0,"Gamme à corriger","OK")))))))))))</f>
        <v/>
      </c>
      <c r="Y295" s="70">
        <f>IF(J295="",N(p_fg),N(J295))</f>
        <v>0.15</v>
      </c>
      <c r="Z295" s="70">
        <f>IF(K295="",N(p_target),N(K295))</f>
        <v>0.25</v>
      </c>
      <c r="AA295" s="71" t="str">
        <f>IF(R295="","",IF(N(F295)&gt;0,ROUND(F295*N(E295),2),0))</f>
        <v/>
      </c>
      <c r="AB295" s="71">
        <f>IF(T295="",0,T295*N(E295))</f>
        <v>0.0</v>
      </c>
      <c r="AC295" s="71">
        <f>IF(T295="",0,R295*N(E295))</f>
        <v>0.0</v>
      </c>
      <c r="AD295" s="71">
        <f>IF(R295="",0,L295*N(E295))</f>
        <v>0.0</v>
      </c>
      <c r="AE295" s="71">
        <f>IF(R295="",0,M295*N(E295))</f>
        <v>0.0</v>
      </c>
      <c r="AF295" s="71">
        <f>IF(R295="",0,N295*N(E295))</f>
        <v>0.0</v>
      </c>
      <c r="AG295" s="71">
        <f>IF(R295="",0,O295*N(E295))</f>
        <v>0.0</v>
      </c>
      <c r="AH295" s="71">
        <f>IF(R295="",0,(N(G295)+N(H295)+N(I295)/D295)*N(E295))</f>
        <v>0.0</v>
      </c>
      <c r="AI295" s="71">
        <f>IF(R295="",0,P295*N(E295))</f>
        <v>0.0</v>
      </c>
      <c r="AJ295" s="71" t="str">
        <f>IF(AA295="","",COUNTIF(prod_ca,"&gt;"&amp;AA295)+COUNTIF(AA$6:AA295,AA295))</f>
        <v/>
      </c>
      <c r="AK295" s="71" t="str">
        <f>IF(OR(W295="Vendu à perte",W295="Sous la cible"),ROUND(U295,6),"")</f>
        <v/>
      </c>
      <c r="AL295" s="71" t="str">
        <f>IF(AK295="","",COUNTIF(prod_alk,"&lt;"&amp;AK295)+COUNTIF(AK$6:AK295,AK295))</f>
        <v/>
      </c>
    </row>
    <row r="296">
      <c r="A296" s="60" t="n"/>
      <c r="B296" s="60" t="n"/>
      <c r="C296" s="61" t="n"/>
      <c r="D296" s="62" t="n"/>
      <c r="E296" s="63" t="n"/>
      <c r="F296" s="64" t="n"/>
      <c r="G296" s="64" t="n"/>
      <c r="H296" s="64" t="n"/>
      <c r="I296" s="64" t="n"/>
      <c r="J296" s="65" t="n"/>
      <c r="K296" s="65" t="n"/>
      <c r="L296" s="66" t="str">
        <f>IF(X296="OK",SUMIF(bom_prod,A296,bom_cost),"")</f>
        <v/>
      </c>
      <c r="M296" s="66" t="str">
        <f>IF(X296="OK",SUMIF(gam_prod,A296,gam_mo),"")</f>
        <v/>
      </c>
      <c r="N296" s="66" t="str">
        <f>IF(X296="OK",SUMIF(gam_prod,A296,gam_mac),"")</f>
        <v/>
      </c>
      <c r="O296" s="66" t="str">
        <f>IF(X296="OK",SUMIF(gam_prod,A296,gam_setup)/D296,"")</f>
        <v/>
      </c>
      <c r="P296" s="66" t="str">
        <f>IF(X296="OK",(L296+M296+N296+O296+N(G296))*Y296,"")</f>
        <v/>
      </c>
      <c r="Q296" s="66" t="str">
        <f>IF(X296="OK",L296+M296+N296+O296+N(G296)+P296,"")</f>
        <v/>
      </c>
      <c r="R296" s="67" t="str">
        <f>IF(X296="OK",ROUND(Q296+N(H296)+N(I296)/D296,4),"")</f>
        <v/>
      </c>
      <c r="S296" s="66" t="str">
        <f>IF(X296="OK",ROUND(R296*(1+Z296),2),"")</f>
        <v/>
      </c>
      <c r="T296" s="66" t="str">
        <f>IF(AND(X296="OK",N(F296)&gt;0),F296-R296,"")</f>
        <v/>
      </c>
      <c r="U296" s="68" t="str">
        <f>IF(T296="","",IF(R296&lt;=0,"",T296/R296))</f>
        <v/>
      </c>
      <c r="V296" s="68" t="str">
        <f>IF(T296="","",T296/F296)</f>
        <v/>
      </c>
      <c r="W296" s="69" t="str">
        <f>IF(A296="","",IF(X296&lt;&gt;"OK","À corriger",IF(N(F296)&lt;=0,"Prix à saisir",IF(F296&lt;R296,"Vendu à perte",IF(F296&lt;S296,"Sous la cible","OK")))))</f>
        <v/>
      </c>
      <c r="X296" s="69" t="str">
        <f>IF(AND(A296="",COUNTA(B296:K296)=0),"",IF(A296="","Référence manquante",IF(COUNTIF($A$6:$A$305,A296)&gt;1,"Référence en double",IF(OR(NOT(ISNUMBER(D296)),N(D296)&lt;=0),"Taille de lot invalide",IF(AND(E296&lt;&gt;"",OR(NOT(ISNUMBER(E296)),N(E296)&lt;0)),"Volume annuel invalide",IF(AND(F296&lt;&gt;"",OR(NOT(ISNUMBER(F296)),N(F296)&lt;0)),"Prix de vente invalide",IF(OR(AND(G296&lt;&gt;"",OR(NOT(ISNUMBER(G296)),N(G296)&lt;0)),AND(H296&lt;&gt;"",OR(NOT(ISNUMBER(H296)),N(H296)&lt;0)),AND(I296&lt;&gt;"",OR(NOT(ISNUMBER(I296)),N(I296)&lt;0))),"Montant invalide",IF(OR(AND(J296&lt;&gt;"",OR(NOT(ISNUMBER(J296)),N(J296)&lt;0)),AND(K296&lt;&gt;"",OR(NOT(ISNUMBER(K296)),N(K296)&lt;0))),"Pourcentage invalide",IF(COUNTIF(bom_prod,A296)+COUNTIF(gam_prod,A296)=0,"Ni nomenclature ni gamme",IF(COUNTIFS(bom_prod,A296,bom_check,"&lt;&gt;OK")&gt;0,"Nomenclature à corriger",IF(COUNTIFS(gam_prod,A296,gam_check,"&lt;&gt;OK")&gt;0,"Gamme à corriger","OK")))))))))))</f>
        <v/>
      </c>
      <c r="Y296" s="70">
        <f>IF(J296="",N(p_fg),N(J296))</f>
        <v>0.15</v>
      </c>
      <c r="Z296" s="70">
        <f>IF(K296="",N(p_target),N(K296))</f>
        <v>0.25</v>
      </c>
      <c r="AA296" s="71" t="str">
        <f>IF(R296="","",IF(N(F296)&gt;0,ROUND(F296*N(E296),2),0))</f>
        <v/>
      </c>
      <c r="AB296" s="71">
        <f>IF(T296="",0,T296*N(E296))</f>
        <v>0.0</v>
      </c>
      <c r="AC296" s="71">
        <f>IF(T296="",0,R296*N(E296))</f>
        <v>0.0</v>
      </c>
      <c r="AD296" s="71">
        <f>IF(R296="",0,L296*N(E296))</f>
        <v>0.0</v>
      </c>
      <c r="AE296" s="71">
        <f>IF(R296="",0,M296*N(E296))</f>
        <v>0.0</v>
      </c>
      <c r="AF296" s="71">
        <f>IF(R296="",0,N296*N(E296))</f>
        <v>0.0</v>
      </c>
      <c r="AG296" s="71">
        <f>IF(R296="",0,O296*N(E296))</f>
        <v>0.0</v>
      </c>
      <c r="AH296" s="71">
        <f>IF(R296="",0,(N(G296)+N(H296)+N(I296)/D296)*N(E296))</f>
        <v>0.0</v>
      </c>
      <c r="AI296" s="71">
        <f>IF(R296="",0,P296*N(E296))</f>
        <v>0.0</v>
      </c>
      <c r="AJ296" s="71" t="str">
        <f>IF(AA296="","",COUNTIF(prod_ca,"&gt;"&amp;AA296)+COUNTIF(AA$6:AA296,AA296))</f>
        <v/>
      </c>
      <c r="AK296" s="71" t="str">
        <f>IF(OR(W296="Vendu à perte",W296="Sous la cible"),ROUND(U296,6),"")</f>
        <v/>
      </c>
      <c r="AL296" s="71" t="str">
        <f>IF(AK296="","",COUNTIF(prod_alk,"&lt;"&amp;AK296)+COUNTIF(AK$6:AK296,AK296))</f>
        <v/>
      </c>
    </row>
    <row r="297">
      <c r="A297" s="60" t="n"/>
      <c r="B297" s="60" t="n"/>
      <c r="C297" s="61" t="n"/>
      <c r="D297" s="62" t="n"/>
      <c r="E297" s="63" t="n"/>
      <c r="F297" s="64" t="n"/>
      <c r="G297" s="64" t="n"/>
      <c r="H297" s="64" t="n"/>
      <c r="I297" s="64" t="n"/>
      <c r="J297" s="65" t="n"/>
      <c r="K297" s="65" t="n"/>
      <c r="L297" s="66" t="str">
        <f>IF(X297="OK",SUMIF(bom_prod,A297,bom_cost),"")</f>
        <v/>
      </c>
      <c r="M297" s="66" t="str">
        <f>IF(X297="OK",SUMIF(gam_prod,A297,gam_mo),"")</f>
        <v/>
      </c>
      <c r="N297" s="66" t="str">
        <f>IF(X297="OK",SUMIF(gam_prod,A297,gam_mac),"")</f>
        <v/>
      </c>
      <c r="O297" s="66" t="str">
        <f>IF(X297="OK",SUMIF(gam_prod,A297,gam_setup)/D297,"")</f>
        <v/>
      </c>
      <c r="P297" s="66" t="str">
        <f>IF(X297="OK",(L297+M297+N297+O297+N(G297))*Y297,"")</f>
        <v/>
      </c>
      <c r="Q297" s="66" t="str">
        <f>IF(X297="OK",L297+M297+N297+O297+N(G297)+P297,"")</f>
        <v/>
      </c>
      <c r="R297" s="67" t="str">
        <f>IF(X297="OK",ROUND(Q297+N(H297)+N(I297)/D297,4),"")</f>
        <v/>
      </c>
      <c r="S297" s="66" t="str">
        <f>IF(X297="OK",ROUND(R297*(1+Z297),2),"")</f>
        <v/>
      </c>
      <c r="T297" s="66" t="str">
        <f>IF(AND(X297="OK",N(F297)&gt;0),F297-R297,"")</f>
        <v/>
      </c>
      <c r="U297" s="68" t="str">
        <f>IF(T297="","",IF(R297&lt;=0,"",T297/R297))</f>
        <v/>
      </c>
      <c r="V297" s="68" t="str">
        <f>IF(T297="","",T297/F297)</f>
        <v/>
      </c>
      <c r="W297" s="69" t="str">
        <f>IF(A297="","",IF(X297&lt;&gt;"OK","À corriger",IF(N(F297)&lt;=0,"Prix à saisir",IF(F297&lt;R297,"Vendu à perte",IF(F297&lt;S297,"Sous la cible","OK")))))</f>
        <v/>
      </c>
      <c r="X297" s="69" t="str">
        <f>IF(AND(A297="",COUNTA(B297:K297)=0),"",IF(A297="","Référence manquante",IF(COUNTIF($A$6:$A$305,A297)&gt;1,"Référence en double",IF(OR(NOT(ISNUMBER(D297)),N(D297)&lt;=0),"Taille de lot invalide",IF(AND(E297&lt;&gt;"",OR(NOT(ISNUMBER(E297)),N(E297)&lt;0)),"Volume annuel invalide",IF(AND(F297&lt;&gt;"",OR(NOT(ISNUMBER(F297)),N(F297)&lt;0)),"Prix de vente invalide",IF(OR(AND(G297&lt;&gt;"",OR(NOT(ISNUMBER(G297)),N(G297)&lt;0)),AND(H297&lt;&gt;"",OR(NOT(ISNUMBER(H297)),N(H297)&lt;0)),AND(I297&lt;&gt;"",OR(NOT(ISNUMBER(I297)),N(I297)&lt;0))),"Montant invalide",IF(OR(AND(J297&lt;&gt;"",OR(NOT(ISNUMBER(J297)),N(J297)&lt;0)),AND(K297&lt;&gt;"",OR(NOT(ISNUMBER(K297)),N(K297)&lt;0))),"Pourcentage invalide",IF(COUNTIF(bom_prod,A297)+COUNTIF(gam_prod,A297)=0,"Ni nomenclature ni gamme",IF(COUNTIFS(bom_prod,A297,bom_check,"&lt;&gt;OK")&gt;0,"Nomenclature à corriger",IF(COUNTIFS(gam_prod,A297,gam_check,"&lt;&gt;OK")&gt;0,"Gamme à corriger","OK")))))))))))</f>
        <v/>
      </c>
      <c r="Y297" s="70">
        <f>IF(J297="",N(p_fg),N(J297))</f>
        <v>0.15</v>
      </c>
      <c r="Z297" s="70">
        <f>IF(K297="",N(p_target),N(K297))</f>
        <v>0.25</v>
      </c>
      <c r="AA297" s="71" t="str">
        <f>IF(R297="","",IF(N(F297)&gt;0,ROUND(F297*N(E297),2),0))</f>
        <v/>
      </c>
      <c r="AB297" s="71">
        <f>IF(T297="",0,T297*N(E297))</f>
        <v>0.0</v>
      </c>
      <c r="AC297" s="71">
        <f>IF(T297="",0,R297*N(E297))</f>
        <v>0.0</v>
      </c>
      <c r="AD297" s="71">
        <f>IF(R297="",0,L297*N(E297))</f>
        <v>0.0</v>
      </c>
      <c r="AE297" s="71">
        <f>IF(R297="",0,M297*N(E297))</f>
        <v>0.0</v>
      </c>
      <c r="AF297" s="71">
        <f>IF(R297="",0,N297*N(E297))</f>
        <v>0.0</v>
      </c>
      <c r="AG297" s="71">
        <f>IF(R297="",0,O297*N(E297))</f>
        <v>0.0</v>
      </c>
      <c r="AH297" s="71">
        <f>IF(R297="",0,(N(G297)+N(H297)+N(I297)/D297)*N(E297))</f>
        <v>0.0</v>
      </c>
      <c r="AI297" s="71">
        <f>IF(R297="",0,P297*N(E297))</f>
        <v>0.0</v>
      </c>
      <c r="AJ297" s="71" t="str">
        <f>IF(AA297="","",COUNTIF(prod_ca,"&gt;"&amp;AA297)+COUNTIF(AA$6:AA297,AA297))</f>
        <v/>
      </c>
      <c r="AK297" s="71" t="str">
        <f>IF(OR(W297="Vendu à perte",W297="Sous la cible"),ROUND(U297,6),"")</f>
        <v/>
      </c>
      <c r="AL297" s="71" t="str">
        <f>IF(AK297="","",COUNTIF(prod_alk,"&lt;"&amp;AK297)+COUNTIF(AK$6:AK297,AK297))</f>
        <v/>
      </c>
    </row>
    <row r="298">
      <c r="A298" s="60" t="n"/>
      <c r="B298" s="60" t="n"/>
      <c r="C298" s="61" t="n"/>
      <c r="D298" s="62" t="n"/>
      <c r="E298" s="63" t="n"/>
      <c r="F298" s="64" t="n"/>
      <c r="G298" s="64" t="n"/>
      <c r="H298" s="64" t="n"/>
      <c r="I298" s="64" t="n"/>
      <c r="J298" s="65" t="n"/>
      <c r="K298" s="65" t="n"/>
      <c r="L298" s="66" t="str">
        <f>IF(X298="OK",SUMIF(bom_prod,A298,bom_cost),"")</f>
        <v/>
      </c>
      <c r="M298" s="66" t="str">
        <f>IF(X298="OK",SUMIF(gam_prod,A298,gam_mo),"")</f>
        <v/>
      </c>
      <c r="N298" s="66" t="str">
        <f>IF(X298="OK",SUMIF(gam_prod,A298,gam_mac),"")</f>
        <v/>
      </c>
      <c r="O298" s="66" t="str">
        <f>IF(X298="OK",SUMIF(gam_prod,A298,gam_setup)/D298,"")</f>
        <v/>
      </c>
      <c r="P298" s="66" t="str">
        <f>IF(X298="OK",(L298+M298+N298+O298+N(G298))*Y298,"")</f>
        <v/>
      </c>
      <c r="Q298" s="66" t="str">
        <f>IF(X298="OK",L298+M298+N298+O298+N(G298)+P298,"")</f>
        <v/>
      </c>
      <c r="R298" s="67" t="str">
        <f>IF(X298="OK",ROUND(Q298+N(H298)+N(I298)/D298,4),"")</f>
        <v/>
      </c>
      <c r="S298" s="66" t="str">
        <f>IF(X298="OK",ROUND(R298*(1+Z298),2),"")</f>
        <v/>
      </c>
      <c r="T298" s="66" t="str">
        <f>IF(AND(X298="OK",N(F298)&gt;0),F298-R298,"")</f>
        <v/>
      </c>
      <c r="U298" s="68" t="str">
        <f>IF(T298="","",IF(R298&lt;=0,"",T298/R298))</f>
        <v/>
      </c>
      <c r="V298" s="68" t="str">
        <f>IF(T298="","",T298/F298)</f>
        <v/>
      </c>
      <c r="W298" s="69" t="str">
        <f>IF(A298="","",IF(X298&lt;&gt;"OK","À corriger",IF(N(F298)&lt;=0,"Prix à saisir",IF(F298&lt;R298,"Vendu à perte",IF(F298&lt;S298,"Sous la cible","OK")))))</f>
        <v/>
      </c>
      <c r="X298" s="69" t="str">
        <f>IF(AND(A298="",COUNTA(B298:K298)=0),"",IF(A298="","Référence manquante",IF(COUNTIF($A$6:$A$305,A298)&gt;1,"Référence en double",IF(OR(NOT(ISNUMBER(D298)),N(D298)&lt;=0),"Taille de lot invalide",IF(AND(E298&lt;&gt;"",OR(NOT(ISNUMBER(E298)),N(E298)&lt;0)),"Volume annuel invalide",IF(AND(F298&lt;&gt;"",OR(NOT(ISNUMBER(F298)),N(F298)&lt;0)),"Prix de vente invalide",IF(OR(AND(G298&lt;&gt;"",OR(NOT(ISNUMBER(G298)),N(G298)&lt;0)),AND(H298&lt;&gt;"",OR(NOT(ISNUMBER(H298)),N(H298)&lt;0)),AND(I298&lt;&gt;"",OR(NOT(ISNUMBER(I298)),N(I298)&lt;0))),"Montant invalide",IF(OR(AND(J298&lt;&gt;"",OR(NOT(ISNUMBER(J298)),N(J298)&lt;0)),AND(K298&lt;&gt;"",OR(NOT(ISNUMBER(K298)),N(K298)&lt;0))),"Pourcentage invalide",IF(COUNTIF(bom_prod,A298)+COUNTIF(gam_prod,A298)=0,"Ni nomenclature ni gamme",IF(COUNTIFS(bom_prod,A298,bom_check,"&lt;&gt;OK")&gt;0,"Nomenclature à corriger",IF(COUNTIFS(gam_prod,A298,gam_check,"&lt;&gt;OK")&gt;0,"Gamme à corriger","OK")))))))))))</f>
        <v/>
      </c>
      <c r="Y298" s="70">
        <f>IF(J298="",N(p_fg),N(J298))</f>
        <v>0.15</v>
      </c>
      <c r="Z298" s="70">
        <f>IF(K298="",N(p_target),N(K298))</f>
        <v>0.25</v>
      </c>
      <c r="AA298" s="71" t="str">
        <f>IF(R298="","",IF(N(F298)&gt;0,ROUND(F298*N(E298),2),0))</f>
        <v/>
      </c>
      <c r="AB298" s="71">
        <f>IF(T298="",0,T298*N(E298))</f>
        <v>0.0</v>
      </c>
      <c r="AC298" s="71">
        <f>IF(T298="",0,R298*N(E298))</f>
        <v>0.0</v>
      </c>
      <c r="AD298" s="71">
        <f>IF(R298="",0,L298*N(E298))</f>
        <v>0.0</v>
      </c>
      <c r="AE298" s="71">
        <f>IF(R298="",0,M298*N(E298))</f>
        <v>0.0</v>
      </c>
      <c r="AF298" s="71">
        <f>IF(R298="",0,N298*N(E298))</f>
        <v>0.0</v>
      </c>
      <c r="AG298" s="71">
        <f>IF(R298="",0,O298*N(E298))</f>
        <v>0.0</v>
      </c>
      <c r="AH298" s="71">
        <f>IF(R298="",0,(N(G298)+N(H298)+N(I298)/D298)*N(E298))</f>
        <v>0.0</v>
      </c>
      <c r="AI298" s="71">
        <f>IF(R298="",0,P298*N(E298))</f>
        <v>0.0</v>
      </c>
      <c r="AJ298" s="71" t="str">
        <f>IF(AA298="","",COUNTIF(prod_ca,"&gt;"&amp;AA298)+COUNTIF(AA$6:AA298,AA298))</f>
        <v/>
      </c>
      <c r="AK298" s="71" t="str">
        <f>IF(OR(W298="Vendu à perte",W298="Sous la cible"),ROUND(U298,6),"")</f>
        <v/>
      </c>
      <c r="AL298" s="71" t="str">
        <f>IF(AK298="","",COUNTIF(prod_alk,"&lt;"&amp;AK298)+COUNTIF(AK$6:AK298,AK298))</f>
        <v/>
      </c>
    </row>
    <row r="299">
      <c r="A299" s="60" t="n"/>
      <c r="B299" s="60" t="n"/>
      <c r="C299" s="61" t="n"/>
      <c r="D299" s="62" t="n"/>
      <c r="E299" s="63" t="n"/>
      <c r="F299" s="64" t="n"/>
      <c r="G299" s="64" t="n"/>
      <c r="H299" s="64" t="n"/>
      <c r="I299" s="64" t="n"/>
      <c r="J299" s="65" t="n"/>
      <c r="K299" s="65" t="n"/>
      <c r="L299" s="66" t="str">
        <f>IF(X299="OK",SUMIF(bom_prod,A299,bom_cost),"")</f>
        <v/>
      </c>
      <c r="M299" s="66" t="str">
        <f>IF(X299="OK",SUMIF(gam_prod,A299,gam_mo),"")</f>
        <v/>
      </c>
      <c r="N299" s="66" t="str">
        <f>IF(X299="OK",SUMIF(gam_prod,A299,gam_mac),"")</f>
        <v/>
      </c>
      <c r="O299" s="66" t="str">
        <f>IF(X299="OK",SUMIF(gam_prod,A299,gam_setup)/D299,"")</f>
        <v/>
      </c>
      <c r="P299" s="66" t="str">
        <f>IF(X299="OK",(L299+M299+N299+O299+N(G299))*Y299,"")</f>
        <v/>
      </c>
      <c r="Q299" s="66" t="str">
        <f>IF(X299="OK",L299+M299+N299+O299+N(G299)+P299,"")</f>
        <v/>
      </c>
      <c r="R299" s="67" t="str">
        <f>IF(X299="OK",ROUND(Q299+N(H299)+N(I299)/D299,4),"")</f>
        <v/>
      </c>
      <c r="S299" s="66" t="str">
        <f>IF(X299="OK",ROUND(R299*(1+Z299),2),"")</f>
        <v/>
      </c>
      <c r="T299" s="66" t="str">
        <f>IF(AND(X299="OK",N(F299)&gt;0),F299-R299,"")</f>
        <v/>
      </c>
      <c r="U299" s="68" t="str">
        <f>IF(T299="","",IF(R299&lt;=0,"",T299/R299))</f>
        <v/>
      </c>
      <c r="V299" s="68" t="str">
        <f>IF(T299="","",T299/F299)</f>
        <v/>
      </c>
      <c r="W299" s="69" t="str">
        <f>IF(A299="","",IF(X299&lt;&gt;"OK","À corriger",IF(N(F299)&lt;=0,"Prix à saisir",IF(F299&lt;R299,"Vendu à perte",IF(F299&lt;S299,"Sous la cible","OK")))))</f>
        <v/>
      </c>
      <c r="X299" s="69" t="str">
        <f>IF(AND(A299="",COUNTA(B299:K299)=0),"",IF(A299="","Référence manquante",IF(COUNTIF($A$6:$A$305,A299)&gt;1,"Référence en double",IF(OR(NOT(ISNUMBER(D299)),N(D299)&lt;=0),"Taille de lot invalide",IF(AND(E299&lt;&gt;"",OR(NOT(ISNUMBER(E299)),N(E299)&lt;0)),"Volume annuel invalide",IF(AND(F299&lt;&gt;"",OR(NOT(ISNUMBER(F299)),N(F299)&lt;0)),"Prix de vente invalide",IF(OR(AND(G299&lt;&gt;"",OR(NOT(ISNUMBER(G299)),N(G299)&lt;0)),AND(H299&lt;&gt;"",OR(NOT(ISNUMBER(H299)),N(H299)&lt;0)),AND(I299&lt;&gt;"",OR(NOT(ISNUMBER(I299)),N(I299)&lt;0))),"Montant invalide",IF(OR(AND(J299&lt;&gt;"",OR(NOT(ISNUMBER(J299)),N(J299)&lt;0)),AND(K299&lt;&gt;"",OR(NOT(ISNUMBER(K299)),N(K299)&lt;0))),"Pourcentage invalide",IF(COUNTIF(bom_prod,A299)+COUNTIF(gam_prod,A299)=0,"Ni nomenclature ni gamme",IF(COUNTIFS(bom_prod,A299,bom_check,"&lt;&gt;OK")&gt;0,"Nomenclature à corriger",IF(COUNTIFS(gam_prod,A299,gam_check,"&lt;&gt;OK")&gt;0,"Gamme à corriger","OK")))))))))))</f>
        <v/>
      </c>
      <c r="Y299" s="70">
        <f>IF(J299="",N(p_fg),N(J299))</f>
        <v>0.15</v>
      </c>
      <c r="Z299" s="70">
        <f>IF(K299="",N(p_target),N(K299))</f>
        <v>0.25</v>
      </c>
      <c r="AA299" s="71" t="str">
        <f>IF(R299="","",IF(N(F299)&gt;0,ROUND(F299*N(E299),2),0))</f>
        <v/>
      </c>
      <c r="AB299" s="71">
        <f>IF(T299="",0,T299*N(E299))</f>
        <v>0.0</v>
      </c>
      <c r="AC299" s="71">
        <f>IF(T299="",0,R299*N(E299))</f>
        <v>0.0</v>
      </c>
      <c r="AD299" s="71">
        <f>IF(R299="",0,L299*N(E299))</f>
        <v>0.0</v>
      </c>
      <c r="AE299" s="71">
        <f>IF(R299="",0,M299*N(E299))</f>
        <v>0.0</v>
      </c>
      <c r="AF299" s="71">
        <f>IF(R299="",0,N299*N(E299))</f>
        <v>0.0</v>
      </c>
      <c r="AG299" s="71">
        <f>IF(R299="",0,O299*N(E299))</f>
        <v>0.0</v>
      </c>
      <c r="AH299" s="71">
        <f>IF(R299="",0,(N(G299)+N(H299)+N(I299)/D299)*N(E299))</f>
        <v>0.0</v>
      </c>
      <c r="AI299" s="71">
        <f>IF(R299="",0,P299*N(E299))</f>
        <v>0.0</v>
      </c>
      <c r="AJ299" s="71" t="str">
        <f>IF(AA299="","",COUNTIF(prod_ca,"&gt;"&amp;AA299)+COUNTIF(AA$6:AA299,AA299))</f>
        <v/>
      </c>
      <c r="AK299" s="71" t="str">
        <f>IF(OR(W299="Vendu à perte",W299="Sous la cible"),ROUND(U299,6),"")</f>
        <v/>
      </c>
      <c r="AL299" s="71" t="str">
        <f>IF(AK299="","",COUNTIF(prod_alk,"&lt;"&amp;AK299)+COUNTIF(AK$6:AK299,AK299))</f>
        <v/>
      </c>
    </row>
    <row r="300">
      <c r="A300" s="60" t="n"/>
      <c r="B300" s="60" t="n"/>
      <c r="C300" s="61" t="n"/>
      <c r="D300" s="62" t="n"/>
      <c r="E300" s="63" t="n"/>
      <c r="F300" s="64" t="n"/>
      <c r="G300" s="64" t="n"/>
      <c r="H300" s="64" t="n"/>
      <c r="I300" s="64" t="n"/>
      <c r="J300" s="65" t="n"/>
      <c r="K300" s="65" t="n"/>
      <c r="L300" s="66" t="str">
        <f>IF(X300="OK",SUMIF(bom_prod,A300,bom_cost),"")</f>
        <v/>
      </c>
      <c r="M300" s="66" t="str">
        <f>IF(X300="OK",SUMIF(gam_prod,A300,gam_mo),"")</f>
        <v/>
      </c>
      <c r="N300" s="66" t="str">
        <f>IF(X300="OK",SUMIF(gam_prod,A300,gam_mac),"")</f>
        <v/>
      </c>
      <c r="O300" s="66" t="str">
        <f>IF(X300="OK",SUMIF(gam_prod,A300,gam_setup)/D300,"")</f>
        <v/>
      </c>
      <c r="P300" s="66" t="str">
        <f>IF(X300="OK",(L300+M300+N300+O300+N(G300))*Y300,"")</f>
        <v/>
      </c>
      <c r="Q300" s="66" t="str">
        <f>IF(X300="OK",L300+M300+N300+O300+N(G300)+P300,"")</f>
        <v/>
      </c>
      <c r="R300" s="67" t="str">
        <f>IF(X300="OK",ROUND(Q300+N(H300)+N(I300)/D300,4),"")</f>
        <v/>
      </c>
      <c r="S300" s="66" t="str">
        <f>IF(X300="OK",ROUND(R300*(1+Z300),2),"")</f>
        <v/>
      </c>
      <c r="T300" s="66" t="str">
        <f>IF(AND(X300="OK",N(F300)&gt;0),F300-R300,"")</f>
        <v/>
      </c>
      <c r="U300" s="68" t="str">
        <f>IF(T300="","",IF(R300&lt;=0,"",T300/R300))</f>
        <v/>
      </c>
      <c r="V300" s="68" t="str">
        <f>IF(T300="","",T300/F300)</f>
        <v/>
      </c>
      <c r="W300" s="69" t="str">
        <f>IF(A300="","",IF(X300&lt;&gt;"OK","À corriger",IF(N(F300)&lt;=0,"Prix à saisir",IF(F300&lt;R300,"Vendu à perte",IF(F300&lt;S300,"Sous la cible","OK")))))</f>
        <v/>
      </c>
      <c r="X300" s="69" t="str">
        <f>IF(AND(A300="",COUNTA(B300:K300)=0),"",IF(A300="","Référence manquante",IF(COUNTIF($A$6:$A$305,A300)&gt;1,"Référence en double",IF(OR(NOT(ISNUMBER(D300)),N(D300)&lt;=0),"Taille de lot invalide",IF(AND(E300&lt;&gt;"",OR(NOT(ISNUMBER(E300)),N(E300)&lt;0)),"Volume annuel invalide",IF(AND(F300&lt;&gt;"",OR(NOT(ISNUMBER(F300)),N(F300)&lt;0)),"Prix de vente invalide",IF(OR(AND(G300&lt;&gt;"",OR(NOT(ISNUMBER(G300)),N(G300)&lt;0)),AND(H300&lt;&gt;"",OR(NOT(ISNUMBER(H300)),N(H300)&lt;0)),AND(I300&lt;&gt;"",OR(NOT(ISNUMBER(I300)),N(I300)&lt;0))),"Montant invalide",IF(OR(AND(J300&lt;&gt;"",OR(NOT(ISNUMBER(J300)),N(J300)&lt;0)),AND(K300&lt;&gt;"",OR(NOT(ISNUMBER(K300)),N(K300)&lt;0))),"Pourcentage invalide",IF(COUNTIF(bom_prod,A300)+COUNTIF(gam_prod,A300)=0,"Ni nomenclature ni gamme",IF(COUNTIFS(bom_prod,A300,bom_check,"&lt;&gt;OK")&gt;0,"Nomenclature à corriger",IF(COUNTIFS(gam_prod,A300,gam_check,"&lt;&gt;OK")&gt;0,"Gamme à corriger","OK")))))))))))</f>
        <v/>
      </c>
      <c r="Y300" s="70">
        <f>IF(J300="",N(p_fg),N(J300))</f>
        <v>0.15</v>
      </c>
      <c r="Z300" s="70">
        <f>IF(K300="",N(p_target),N(K300))</f>
        <v>0.25</v>
      </c>
      <c r="AA300" s="71" t="str">
        <f>IF(R300="","",IF(N(F300)&gt;0,ROUND(F300*N(E300),2),0))</f>
        <v/>
      </c>
      <c r="AB300" s="71">
        <f>IF(T300="",0,T300*N(E300))</f>
        <v>0.0</v>
      </c>
      <c r="AC300" s="71">
        <f>IF(T300="",0,R300*N(E300))</f>
        <v>0.0</v>
      </c>
      <c r="AD300" s="71">
        <f>IF(R300="",0,L300*N(E300))</f>
        <v>0.0</v>
      </c>
      <c r="AE300" s="71">
        <f>IF(R300="",0,M300*N(E300))</f>
        <v>0.0</v>
      </c>
      <c r="AF300" s="71">
        <f>IF(R300="",0,N300*N(E300))</f>
        <v>0.0</v>
      </c>
      <c r="AG300" s="71">
        <f>IF(R300="",0,O300*N(E300))</f>
        <v>0.0</v>
      </c>
      <c r="AH300" s="71">
        <f>IF(R300="",0,(N(G300)+N(H300)+N(I300)/D300)*N(E300))</f>
        <v>0.0</v>
      </c>
      <c r="AI300" s="71">
        <f>IF(R300="",0,P300*N(E300))</f>
        <v>0.0</v>
      </c>
      <c r="AJ300" s="71" t="str">
        <f>IF(AA300="","",COUNTIF(prod_ca,"&gt;"&amp;AA300)+COUNTIF(AA$6:AA300,AA300))</f>
        <v/>
      </c>
      <c r="AK300" s="71" t="str">
        <f>IF(OR(W300="Vendu à perte",W300="Sous la cible"),ROUND(U300,6),"")</f>
        <v/>
      </c>
      <c r="AL300" s="71" t="str">
        <f>IF(AK300="","",COUNTIF(prod_alk,"&lt;"&amp;AK300)+COUNTIF(AK$6:AK300,AK300))</f>
        <v/>
      </c>
    </row>
    <row r="301">
      <c r="A301" s="60" t="n"/>
      <c r="B301" s="60" t="n"/>
      <c r="C301" s="61" t="n"/>
      <c r="D301" s="62" t="n"/>
      <c r="E301" s="63" t="n"/>
      <c r="F301" s="64" t="n"/>
      <c r="G301" s="64" t="n"/>
      <c r="H301" s="64" t="n"/>
      <c r="I301" s="64" t="n"/>
      <c r="J301" s="65" t="n"/>
      <c r="K301" s="65" t="n"/>
      <c r="L301" s="66" t="str">
        <f>IF(X301="OK",SUMIF(bom_prod,A301,bom_cost),"")</f>
        <v/>
      </c>
      <c r="M301" s="66" t="str">
        <f>IF(X301="OK",SUMIF(gam_prod,A301,gam_mo),"")</f>
        <v/>
      </c>
      <c r="N301" s="66" t="str">
        <f>IF(X301="OK",SUMIF(gam_prod,A301,gam_mac),"")</f>
        <v/>
      </c>
      <c r="O301" s="66" t="str">
        <f>IF(X301="OK",SUMIF(gam_prod,A301,gam_setup)/D301,"")</f>
        <v/>
      </c>
      <c r="P301" s="66" t="str">
        <f>IF(X301="OK",(L301+M301+N301+O301+N(G301))*Y301,"")</f>
        <v/>
      </c>
      <c r="Q301" s="66" t="str">
        <f>IF(X301="OK",L301+M301+N301+O301+N(G301)+P301,"")</f>
        <v/>
      </c>
      <c r="R301" s="67" t="str">
        <f>IF(X301="OK",ROUND(Q301+N(H301)+N(I301)/D301,4),"")</f>
        <v/>
      </c>
      <c r="S301" s="66" t="str">
        <f>IF(X301="OK",ROUND(R301*(1+Z301),2),"")</f>
        <v/>
      </c>
      <c r="T301" s="66" t="str">
        <f>IF(AND(X301="OK",N(F301)&gt;0),F301-R301,"")</f>
        <v/>
      </c>
      <c r="U301" s="68" t="str">
        <f>IF(T301="","",IF(R301&lt;=0,"",T301/R301))</f>
        <v/>
      </c>
      <c r="V301" s="68" t="str">
        <f>IF(T301="","",T301/F301)</f>
        <v/>
      </c>
      <c r="W301" s="69" t="str">
        <f>IF(A301="","",IF(X301&lt;&gt;"OK","À corriger",IF(N(F301)&lt;=0,"Prix à saisir",IF(F301&lt;R301,"Vendu à perte",IF(F301&lt;S301,"Sous la cible","OK")))))</f>
        <v/>
      </c>
      <c r="X301" s="69" t="str">
        <f>IF(AND(A301="",COUNTA(B301:K301)=0),"",IF(A301="","Référence manquante",IF(COUNTIF($A$6:$A$305,A301)&gt;1,"Référence en double",IF(OR(NOT(ISNUMBER(D301)),N(D301)&lt;=0),"Taille de lot invalide",IF(AND(E301&lt;&gt;"",OR(NOT(ISNUMBER(E301)),N(E301)&lt;0)),"Volume annuel invalide",IF(AND(F301&lt;&gt;"",OR(NOT(ISNUMBER(F301)),N(F301)&lt;0)),"Prix de vente invalide",IF(OR(AND(G301&lt;&gt;"",OR(NOT(ISNUMBER(G301)),N(G301)&lt;0)),AND(H301&lt;&gt;"",OR(NOT(ISNUMBER(H301)),N(H301)&lt;0)),AND(I301&lt;&gt;"",OR(NOT(ISNUMBER(I301)),N(I301)&lt;0))),"Montant invalide",IF(OR(AND(J301&lt;&gt;"",OR(NOT(ISNUMBER(J301)),N(J301)&lt;0)),AND(K301&lt;&gt;"",OR(NOT(ISNUMBER(K301)),N(K301)&lt;0))),"Pourcentage invalide",IF(COUNTIF(bom_prod,A301)+COUNTIF(gam_prod,A301)=0,"Ni nomenclature ni gamme",IF(COUNTIFS(bom_prod,A301,bom_check,"&lt;&gt;OK")&gt;0,"Nomenclature à corriger",IF(COUNTIFS(gam_prod,A301,gam_check,"&lt;&gt;OK")&gt;0,"Gamme à corriger","OK")))))))))))</f>
        <v/>
      </c>
      <c r="Y301" s="70">
        <f>IF(J301="",N(p_fg),N(J301))</f>
        <v>0.15</v>
      </c>
      <c r="Z301" s="70">
        <f>IF(K301="",N(p_target),N(K301))</f>
        <v>0.25</v>
      </c>
      <c r="AA301" s="71" t="str">
        <f>IF(R301="","",IF(N(F301)&gt;0,ROUND(F301*N(E301),2),0))</f>
        <v/>
      </c>
      <c r="AB301" s="71">
        <f>IF(T301="",0,T301*N(E301))</f>
        <v>0.0</v>
      </c>
      <c r="AC301" s="71">
        <f>IF(T301="",0,R301*N(E301))</f>
        <v>0.0</v>
      </c>
      <c r="AD301" s="71">
        <f>IF(R301="",0,L301*N(E301))</f>
        <v>0.0</v>
      </c>
      <c r="AE301" s="71">
        <f>IF(R301="",0,M301*N(E301))</f>
        <v>0.0</v>
      </c>
      <c r="AF301" s="71">
        <f>IF(R301="",0,N301*N(E301))</f>
        <v>0.0</v>
      </c>
      <c r="AG301" s="71">
        <f>IF(R301="",0,O301*N(E301))</f>
        <v>0.0</v>
      </c>
      <c r="AH301" s="71">
        <f>IF(R301="",0,(N(G301)+N(H301)+N(I301)/D301)*N(E301))</f>
        <v>0.0</v>
      </c>
      <c r="AI301" s="71">
        <f>IF(R301="",0,P301*N(E301))</f>
        <v>0.0</v>
      </c>
      <c r="AJ301" s="71" t="str">
        <f>IF(AA301="","",COUNTIF(prod_ca,"&gt;"&amp;AA301)+COUNTIF(AA$6:AA301,AA301))</f>
        <v/>
      </c>
      <c r="AK301" s="71" t="str">
        <f>IF(OR(W301="Vendu à perte",W301="Sous la cible"),ROUND(U301,6),"")</f>
        <v/>
      </c>
      <c r="AL301" s="71" t="str">
        <f>IF(AK301="","",COUNTIF(prod_alk,"&lt;"&amp;AK301)+COUNTIF(AK$6:AK301,AK301))</f>
        <v/>
      </c>
    </row>
    <row r="302">
      <c r="A302" s="60" t="n"/>
      <c r="B302" s="60" t="n"/>
      <c r="C302" s="61" t="n"/>
      <c r="D302" s="62" t="n"/>
      <c r="E302" s="63" t="n"/>
      <c r="F302" s="64" t="n"/>
      <c r="G302" s="64" t="n"/>
      <c r="H302" s="64" t="n"/>
      <c r="I302" s="64" t="n"/>
      <c r="J302" s="65" t="n"/>
      <c r="K302" s="65" t="n"/>
      <c r="L302" s="66" t="str">
        <f>IF(X302="OK",SUMIF(bom_prod,A302,bom_cost),"")</f>
        <v/>
      </c>
      <c r="M302" s="66" t="str">
        <f>IF(X302="OK",SUMIF(gam_prod,A302,gam_mo),"")</f>
        <v/>
      </c>
      <c r="N302" s="66" t="str">
        <f>IF(X302="OK",SUMIF(gam_prod,A302,gam_mac),"")</f>
        <v/>
      </c>
      <c r="O302" s="66" t="str">
        <f>IF(X302="OK",SUMIF(gam_prod,A302,gam_setup)/D302,"")</f>
        <v/>
      </c>
      <c r="P302" s="66" t="str">
        <f>IF(X302="OK",(L302+M302+N302+O302+N(G302))*Y302,"")</f>
        <v/>
      </c>
      <c r="Q302" s="66" t="str">
        <f>IF(X302="OK",L302+M302+N302+O302+N(G302)+P302,"")</f>
        <v/>
      </c>
      <c r="R302" s="67" t="str">
        <f>IF(X302="OK",ROUND(Q302+N(H302)+N(I302)/D302,4),"")</f>
        <v/>
      </c>
      <c r="S302" s="66" t="str">
        <f>IF(X302="OK",ROUND(R302*(1+Z302),2),"")</f>
        <v/>
      </c>
      <c r="T302" s="66" t="str">
        <f>IF(AND(X302="OK",N(F302)&gt;0),F302-R302,"")</f>
        <v/>
      </c>
      <c r="U302" s="68" t="str">
        <f>IF(T302="","",IF(R302&lt;=0,"",T302/R302))</f>
        <v/>
      </c>
      <c r="V302" s="68" t="str">
        <f>IF(T302="","",T302/F302)</f>
        <v/>
      </c>
      <c r="W302" s="69" t="str">
        <f>IF(A302="","",IF(X302&lt;&gt;"OK","À corriger",IF(N(F302)&lt;=0,"Prix à saisir",IF(F302&lt;R302,"Vendu à perte",IF(F302&lt;S302,"Sous la cible","OK")))))</f>
        <v/>
      </c>
      <c r="X302" s="69" t="str">
        <f>IF(AND(A302="",COUNTA(B302:K302)=0),"",IF(A302="","Référence manquante",IF(COUNTIF($A$6:$A$305,A302)&gt;1,"Référence en double",IF(OR(NOT(ISNUMBER(D302)),N(D302)&lt;=0),"Taille de lot invalide",IF(AND(E302&lt;&gt;"",OR(NOT(ISNUMBER(E302)),N(E302)&lt;0)),"Volume annuel invalide",IF(AND(F302&lt;&gt;"",OR(NOT(ISNUMBER(F302)),N(F302)&lt;0)),"Prix de vente invalide",IF(OR(AND(G302&lt;&gt;"",OR(NOT(ISNUMBER(G302)),N(G302)&lt;0)),AND(H302&lt;&gt;"",OR(NOT(ISNUMBER(H302)),N(H302)&lt;0)),AND(I302&lt;&gt;"",OR(NOT(ISNUMBER(I302)),N(I302)&lt;0))),"Montant invalide",IF(OR(AND(J302&lt;&gt;"",OR(NOT(ISNUMBER(J302)),N(J302)&lt;0)),AND(K302&lt;&gt;"",OR(NOT(ISNUMBER(K302)),N(K302)&lt;0))),"Pourcentage invalide",IF(COUNTIF(bom_prod,A302)+COUNTIF(gam_prod,A302)=0,"Ni nomenclature ni gamme",IF(COUNTIFS(bom_prod,A302,bom_check,"&lt;&gt;OK")&gt;0,"Nomenclature à corriger",IF(COUNTIFS(gam_prod,A302,gam_check,"&lt;&gt;OK")&gt;0,"Gamme à corriger","OK")))))))))))</f>
        <v/>
      </c>
      <c r="Y302" s="70">
        <f>IF(J302="",N(p_fg),N(J302))</f>
        <v>0.15</v>
      </c>
      <c r="Z302" s="70">
        <f>IF(K302="",N(p_target),N(K302))</f>
        <v>0.25</v>
      </c>
      <c r="AA302" s="71" t="str">
        <f>IF(R302="","",IF(N(F302)&gt;0,ROUND(F302*N(E302),2),0))</f>
        <v/>
      </c>
      <c r="AB302" s="71">
        <f>IF(T302="",0,T302*N(E302))</f>
        <v>0.0</v>
      </c>
      <c r="AC302" s="71">
        <f>IF(T302="",0,R302*N(E302))</f>
        <v>0.0</v>
      </c>
      <c r="AD302" s="71">
        <f>IF(R302="",0,L302*N(E302))</f>
        <v>0.0</v>
      </c>
      <c r="AE302" s="71">
        <f>IF(R302="",0,M302*N(E302))</f>
        <v>0.0</v>
      </c>
      <c r="AF302" s="71">
        <f>IF(R302="",0,N302*N(E302))</f>
        <v>0.0</v>
      </c>
      <c r="AG302" s="71">
        <f>IF(R302="",0,O302*N(E302))</f>
        <v>0.0</v>
      </c>
      <c r="AH302" s="71">
        <f>IF(R302="",0,(N(G302)+N(H302)+N(I302)/D302)*N(E302))</f>
        <v>0.0</v>
      </c>
      <c r="AI302" s="71">
        <f>IF(R302="",0,P302*N(E302))</f>
        <v>0.0</v>
      </c>
      <c r="AJ302" s="71" t="str">
        <f>IF(AA302="","",COUNTIF(prod_ca,"&gt;"&amp;AA302)+COUNTIF(AA$6:AA302,AA302))</f>
        <v/>
      </c>
      <c r="AK302" s="71" t="str">
        <f>IF(OR(W302="Vendu à perte",W302="Sous la cible"),ROUND(U302,6),"")</f>
        <v/>
      </c>
      <c r="AL302" s="71" t="str">
        <f>IF(AK302="","",COUNTIF(prod_alk,"&lt;"&amp;AK302)+COUNTIF(AK$6:AK302,AK302))</f>
        <v/>
      </c>
    </row>
    <row r="303">
      <c r="A303" s="60" t="n"/>
      <c r="B303" s="60" t="n"/>
      <c r="C303" s="61" t="n"/>
      <c r="D303" s="62" t="n"/>
      <c r="E303" s="63" t="n"/>
      <c r="F303" s="64" t="n"/>
      <c r="G303" s="64" t="n"/>
      <c r="H303" s="64" t="n"/>
      <c r="I303" s="64" t="n"/>
      <c r="J303" s="65" t="n"/>
      <c r="K303" s="65" t="n"/>
      <c r="L303" s="66" t="str">
        <f>IF(X303="OK",SUMIF(bom_prod,A303,bom_cost),"")</f>
        <v/>
      </c>
      <c r="M303" s="66" t="str">
        <f>IF(X303="OK",SUMIF(gam_prod,A303,gam_mo),"")</f>
        <v/>
      </c>
      <c r="N303" s="66" t="str">
        <f>IF(X303="OK",SUMIF(gam_prod,A303,gam_mac),"")</f>
        <v/>
      </c>
      <c r="O303" s="66" t="str">
        <f>IF(X303="OK",SUMIF(gam_prod,A303,gam_setup)/D303,"")</f>
        <v/>
      </c>
      <c r="P303" s="66" t="str">
        <f>IF(X303="OK",(L303+M303+N303+O303+N(G303))*Y303,"")</f>
        <v/>
      </c>
      <c r="Q303" s="66" t="str">
        <f>IF(X303="OK",L303+M303+N303+O303+N(G303)+P303,"")</f>
        <v/>
      </c>
      <c r="R303" s="67" t="str">
        <f>IF(X303="OK",ROUND(Q303+N(H303)+N(I303)/D303,4),"")</f>
        <v/>
      </c>
      <c r="S303" s="66" t="str">
        <f>IF(X303="OK",ROUND(R303*(1+Z303),2),"")</f>
        <v/>
      </c>
      <c r="T303" s="66" t="str">
        <f>IF(AND(X303="OK",N(F303)&gt;0),F303-R303,"")</f>
        <v/>
      </c>
      <c r="U303" s="68" t="str">
        <f>IF(T303="","",IF(R303&lt;=0,"",T303/R303))</f>
        <v/>
      </c>
      <c r="V303" s="68" t="str">
        <f>IF(T303="","",T303/F303)</f>
        <v/>
      </c>
      <c r="W303" s="69" t="str">
        <f>IF(A303="","",IF(X303&lt;&gt;"OK","À corriger",IF(N(F303)&lt;=0,"Prix à saisir",IF(F303&lt;R303,"Vendu à perte",IF(F303&lt;S303,"Sous la cible","OK")))))</f>
        <v/>
      </c>
      <c r="X303" s="69" t="str">
        <f>IF(AND(A303="",COUNTA(B303:K303)=0),"",IF(A303="","Référence manquante",IF(COUNTIF($A$6:$A$305,A303)&gt;1,"Référence en double",IF(OR(NOT(ISNUMBER(D303)),N(D303)&lt;=0),"Taille de lot invalide",IF(AND(E303&lt;&gt;"",OR(NOT(ISNUMBER(E303)),N(E303)&lt;0)),"Volume annuel invalide",IF(AND(F303&lt;&gt;"",OR(NOT(ISNUMBER(F303)),N(F303)&lt;0)),"Prix de vente invalide",IF(OR(AND(G303&lt;&gt;"",OR(NOT(ISNUMBER(G303)),N(G303)&lt;0)),AND(H303&lt;&gt;"",OR(NOT(ISNUMBER(H303)),N(H303)&lt;0)),AND(I303&lt;&gt;"",OR(NOT(ISNUMBER(I303)),N(I303)&lt;0))),"Montant invalide",IF(OR(AND(J303&lt;&gt;"",OR(NOT(ISNUMBER(J303)),N(J303)&lt;0)),AND(K303&lt;&gt;"",OR(NOT(ISNUMBER(K303)),N(K303)&lt;0))),"Pourcentage invalide",IF(COUNTIF(bom_prod,A303)+COUNTIF(gam_prod,A303)=0,"Ni nomenclature ni gamme",IF(COUNTIFS(bom_prod,A303,bom_check,"&lt;&gt;OK")&gt;0,"Nomenclature à corriger",IF(COUNTIFS(gam_prod,A303,gam_check,"&lt;&gt;OK")&gt;0,"Gamme à corriger","OK")))))))))))</f>
        <v/>
      </c>
      <c r="Y303" s="70">
        <f>IF(J303="",N(p_fg),N(J303))</f>
        <v>0.15</v>
      </c>
      <c r="Z303" s="70">
        <f>IF(K303="",N(p_target),N(K303))</f>
        <v>0.25</v>
      </c>
      <c r="AA303" s="71" t="str">
        <f>IF(R303="","",IF(N(F303)&gt;0,ROUND(F303*N(E303),2),0))</f>
        <v/>
      </c>
      <c r="AB303" s="71">
        <f>IF(T303="",0,T303*N(E303))</f>
        <v>0.0</v>
      </c>
      <c r="AC303" s="71">
        <f>IF(T303="",0,R303*N(E303))</f>
        <v>0.0</v>
      </c>
      <c r="AD303" s="71">
        <f>IF(R303="",0,L303*N(E303))</f>
        <v>0.0</v>
      </c>
      <c r="AE303" s="71">
        <f>IF(R303="",0,M303*N(E303))</f>
        <v>0.0</v>
      </c>
      <c r="AF303" s="71">
        <f>IF(R303="",0,N303*N(E303))</f>
        <v>0.0</v>
      </c>
      <c r="AG303" s="71">
        <f>IF(R303="",0,O303*N(E303))</f>
        <v>0.0</v>
      </c>
      <c r="AH303" s="71">
        <f>IF(R303="",0,(N(G303)+N(H303)+N(I303)/D303)*N(E303))</f>
        <v>0.0</v>
      </c>
      <c r="AI303" s="71">
        <f>IF(R303="",0,P303*N(E303))</f>
        <v>0.0</v>
      </c>
      <c r="AJ303" s="71" t="str">
        <f>IF(AA303="","",COUNTIF(prod_ca,"&gt;"&amp;AA303)+COUNTIF(AA$6:AA303,AA303))</f>
        <v/>
      </c>
      <c r="AK303" s="71" t="str">
        <f>IF(OR(W303="Vendu à perte",W303="Sous la cible"),ROUND(U303,6),"")</f>
        <v/>
      </c>
      <c r="AL303" s="71" t="str">
        <f>IF(AK303="","",COUNTIF(prod_alk,"&lt;"&amp;AK303)+COUNTIF(AK$6:AK303,AK303))</f>
        <v/>
      </c>
    </row>
    <row r="304">
      <c r="A304" s="60" t="n"/>
      <c r="B304" s="60" t="n"/>
      <c r="C304" s="61" t="n"/>
      <c r="D304" s="62" t="n"/>
      <c r="E304" s="63" t="n"/>
      <c r="F304" s="64" t="n"/>
      <c r="G304" s="64" t="n"/>
      <c r="H304" s="64" t="n"/>
      <c r="I304" s="64" t="n"/>
      <c r="J304" s="65" t="n"/>
      <c r="K304" s="65" t="n"/>
      <c r="L304" s="66" t="str">
        <f>IF(X304="OK",SUMIF(bom_prod,A304,bom_cost),"")</f>
        <v/>
      </c>
      <c r="M304" s="66" t="str">
        <f>IF(X304="OK",SUMIF(gam_prod,A304,gam_mo),"")</f>
        <v/>
      </c>
      <c r="N304" s="66" t="str">
        <f>IF(X304="OK",SUMIF(gam_prod,A304,gam_mac),"")</f>
        <v/>
      </c>
      <c r="O304" s="66" t="str">
        <f>IF(X304="OK",SUMIF(gam_prod,A304,gam_setup)/D304,"")</f>
        <v/>
      </c>
      <c r="P304" s="66" t="str">
        <f>IF(X304="OK",(L304+M304+N304+O304+N(G304))*Y304,"")</f>
        <v/>
      </c>
      <c r="Q304" s="66" t="str">
        <f>IF(X304="OK",L304+M304+N304+O304+N(G304)+P304,"")</f>
        <v/>
      </c>
      <c r="R304" s="67" t="str">
        <f>IF(X304="OK",ROUND(Q304+N(H304)+N(I304)/D304,4),"")</f>
        <v/>
      </c>
      <c r="S304" s="66" t="str">
        <f>IF(X304="OK",ROUND(R304*(1+Z304),2),"")</f>
        <v/>
      </c>
      <c r="T304" s="66" t="str">
        <f>IF(AND(X304="OK",N(F304)&gt;0),F304-R304,"")</f>
        <v/>
      </c>
      <c r="U304" s="68" t="str">
        <f>IF(T304="","",IF(R304&lt;=0,"",T304/R304))</f>
        <v/>
      </c>
      <c r="V304" s="68" t="str">
        <f>IF(T304="","",T304/F304)</f>
        <v/>
      </c>
      <c r="W304" s="69" t="str">
        <f>IF(A304="","",IF(X304&lt;&gt;"OK","À corriger",IF(N(F304)&lt;=0,"Prix à saisir",IF(F304&lt;R304,"Vendu à perte",IF(F304&lt;S304,"Sous la cible","OK")))))</f>
        <v/>
      </c>
      <c r="X304" s="69" t="str">
        <f>IF(AND(A304="",COUNTA(B304:K304)=0),"",IF(A304="","Référence manquante",IF(COUNTIF($A$6:$A$305,A304)&gt;1,"Référence en double",IF(OR(NOT(ISNUMBER(D304)),N(D304)&lt;=0),"Taille de lot invalide",IF(AND(E304&lt;&gt;"",OR(NOT(ISNUMBER(E304)),N(E304)&lt;0)),"Volume annuel invalide",IF(AND(F304&lt;&gt;"",OR(NOT(ISNUMBER(F304)),N(F304)&lt;0)),"Prix de vente invalide",IF(OR(AND(G304&lt;&gt;"",OR(NOT(ISNUMBER(G304)),N(G304)&lt;0)),AND(H304&lt;&gt;"",OR(NOT(ISNUMBER(H304)),N(H304)&lt;0)),AND(I304&lt;&gt;"",OR(NOT(ISNUMBER(I304)),N(I304)&lt;0))),"Montant invalide",IF(OR(AND(J304&lt;&gt;"",OR(NOT(ISNUMBER(J304)),N(J304)&lt;0)),AND(K304&lt;&gt;"",OR(NOT(ISNUMBER(K304)),N(K304)&lt;0))),"Pourcentage invalide",IF(COUNTIF(bom_prod,A304)+COUNTIF(gam_prod,A304)=0,"Ni nomenclature ni gamme",IF(COUNTIFS(bom_prod,A304,bom_check,"&lt;&gt;OK")&gt;0,"Nomenclature à corriger",IF(COUNTIFS(gam_prod,A304,gam_check,"&lt;&gt;OK")&gt;0,"Gamme à corriger","OK")))))))))))</f>
        <v/>
      </c>
      <c r="Y304" s="70">
        <f>IF(J304="",N(p_fg),N(J304))</f>
        <v>0.15</v>
      </c>
      <c r="Z304" s="70">
        <f>IF(K304="",N(p_target),N(K304))</f>
        <v>0.25</v>
      </c>
      <c r="AA304" s="71" t="str">
        <f>IF(R304="","",IF(N(F304)&gt;0,ROUND(F304*N(E304),2),0))</f>
        <v/>
      </c>
      <c r="AB304" s="71">
        <f>IF(T304="",0,T304*N(E304))</f>
        <v>0.0</v>
      </c>
      <c r="AC304" s="71">
        <f>IF(T304="",0,R304*N(E304))</f>
        <v>0.0</v>
      </c>
      <c r="AD304" s="71">
        <f>IF(R304="",0,L304*N(E304))</f>
        <v>0.0</v>
      </c>
      <c r="AE304" s="71">
        <f>IF(R304="",0,M304*N(E304))</f>
        <v>0.0</v>
      </c>
      <c r="AF304" s="71">
        <f>IF(R304="",0,N304*N(E304))</f>
        <v>0.0</v>
      </c>
      <c r="AG304" s="71">
        <f>IF(R304="",0,O304*N(E304))</f>
        <v>0.0</v>
      </c>
      <c r="AH304" s="71">
        <f>IF(R304="",0,(N(G304)+N(H304)+N(I304)/D304)*N(E304))</f>
        <v>0.0</v>
      </c>
      <c r="AI304" s="71">
        <f>IF(R304="",0,P304*N(E304))</f>
        <v>0.0</v>
      </c>
      <c r="AJ304" s="71" t="str">
        <f>IF(AA304="","",COUNTIF(prod_ca,"&gt;"&amp;AA304)+COUNTIF(AA$6:AA304,AA304))</f>
        <v/>
      </c>
      <c r="AK304" s="71" t="str">
        <f>IF(OR(W304="Vendu à perte",W304="Sous la cible"),ROUND(U304,6),"")</f>
        <v/>
      </c>
      <c r="AL304" s="71" t="str">
        <f>IF(AK304="","",COUNTIF(prod_alk,"&lt;"&amp;AK304)+COUNTIF(AK$6:AK304,AK304))</f>
        <v/>
      </c>
    </row>
    <row r="305">
      <c r="A305" s="60" t="n"/>
      <c r="B305" s="60" t="n"/>
      <c r="C305" s="61" t="n"/>
      <c r="D305" s="62" t="n"/>
      <c r="E305" s="63" t="n"/>
      <c r="F305" s="64" t="n"/>
      <c r="G305" s="64" t="n"/>
      <c r="H305" s="64" t="n"/>
      <c r="I305" s="64" t="n"/>
      <c r="J305" s="65" t="n"/>
      <c r="K305" s="65" t="n"/>
      <c r="L305" s="66" t="str">
        <f>IF(X305="OK",SUMIF(bom_prod,A305,bom_cost),"")</f>
        <v/>
      </c>
      <c r="M305" s="66" t="str">
        <f>IF(X305="OK",SUMIF(gam_prod,A305,gam_mo),"")</f>
        <v/>
      </c>
      <c r="N305" s="66" t="str">
        <f>IF(X305="OK",SUMIF(gam_prod,A305,gam_mac),"")</f>
        <v/>
      </c>
      <c r="O305" s="66" t="str">
        <f>IF(X305="OK",SUMIF(gam_prod,A305,gam_setup)/D305,"")</f>
        <v/>
      </c>
      <c r="P305" s="66" t="str">
        <f>IF(X305="OK",(L305+M305+N305+O305+N(G305))*Y305,"")</f>
        <v/>
      </c>
      <c r="Q305" s="66" t="str">
        <f>IF(X305="OK",L305+M305+N305+O305+N(G305)+P305,"")</f>
        <v/>
      </c>
      <c r="R305" s="67" t="str">
        <f>IF(X305="OK",ROUND(Q305+N(H305)+N(I305)/D305,4),"")</f>
        <v/>
      </c>
      <c r="S305" s="66" t="str">
        <f>IF(X305="OK",ROUND(R305*(1+Z305),2),"")</f>
        <v/>
      </c>
      <c r="T305" s="66" t="str">
        <f>IF(AND(X305="OK",N(F305)&gt;0),F305-R305,"")</f>
        <v/>
      </c>
      <c r="U305" s="68" t="str">
        <f>IF(T305="","",IF(R305&lt;=0,"",T305/R305))</f>
        <v/>
      </c>
      <c r="V305" s="68" t="str">
        <f>IF(T305="","",T305/F305)</f>
        <v/>
      </c>
      <c r="W305" s="69" t="str">
        <f>IF(A305="","",IF(X305&lt;&gt;"OK","À corriger",IF(N(F305)&lt;=0,"Prix à saisir",IF(F305&lt;R305,"Vendu à perte",IF(F305&lt;S305,"Sous la cible","OK")))))</f>
        <v/>
      </c>
      <c r="X305" s="69" t="str">
        <f>IF(AND(A305="",COUNTA(B305:K305)=0),"",IF(A305="","Référence manquante",IF(COUNTIF($A$6:$A$305,A305)&gt;1,"Référence en double",IF(OR(NOT(ISNUMBER(D305)),N(D305)&lt;=0),"Taille de lot invalide",IF(AND(E305&lt;&gt;"",OR(NOT(ISNUMBER(E305)),N(E305)&lt;0)),"Volume annuel invalide",IF(AND(F305&lt;&gt;"",OR(NOT(ISNUMBER(F305)),N(F305)&lt;0)),"Prix de vente invalide",IF(OR(AND(G305&lt;&gt;"",OR(NOT(ISNUMBER(G305)),N(G305)&lt;0)),AND(H305&lt;&gt;"",OR(NOT(ISNUMBER(H305)),N(H305)&lt;0)),AND(I305&lt;&gt;"",OR(NOT(ISNUMBER(I305)),N(I305)&lt;0))),"Montant invalide",IF(OR(AND(J305&lt;&gt;"",OR(NOT(ISNUMBER(J305)),N(J305)&lt;0)),AND(K305&lt;&gt;"",OR(NOT(ISNUMBER(K305)),N(K305)&lt;0))),"Pourcentage invalide",IF(COUNTIF(bom_prod,A305)+COUNTIF(gam_prod,A305)=0,"Ni nomenclature ni gamme",IF(COUNTIFS(bom_prod,A305,bom_check,"&lt;&gt;OK")&gt;0,"Nomenclature à corriger",IF(COUNTIFS(gam_prod,A305,gam_check,"&lt;&gt;OK")&gt;0,"Gamme à corriger","OK")))))))))))</f>
        <v/>
      </c>
      <c r="Y305" s="70">
        <f>IF(J305="",N(p_fg),N(J305))</f>
        <v>0.15</v>
      </c>
      <c r="Z305" s="70">
        <f>IF(K305="",N(p_target),N(K305))</f>
        <v>0.25</v>
      </c>
      <c r="AA305" s="71" t="str">
        <f>IF(R305="","",IF(N(F305)&gt;0,ROUND(F305*N(E305),2),0))</f>
        <v/>
      </c>
      <c r="AB305" s="71">
        <f>IF(T305="",0,T305*N(E305))</f>
        <v>0.0</v>
      </c>
      <c r="AC305" s="71">
        <f>IF(T305="",0,R305*N(E305))</f>
        <v>0.0</v>
      </c>
      <c r="AD305" s="71">
        <f>IF(R305="",0,L305*N(E305))</f>
        <v>0.0</v>
      </c>
      <c r="AE305" s="71">
        <f>IF(R305="",0,M305*N(E305))</f>
        <v>0.0</v>
      </c>
      <c r="AF305" s="71">
        <f>IF(R305="",0,N305*N(E305))</f>
        <v>0.0</v>
      </c>
      <c r="AG305" s="71">
        <f>IF(R305="",0,O305*N(E305))</f>
        <v>0.0</v>
      </c>
      <c r="AH305" s="71">
        <f>IF(R305="",0,(N(G305)+N(H305)+N(I305)/D305)*N(E305))</f>
        <v>0.0</v>
      </c>
      <c r="AI305" s="71">
        <f>IF(R305="",0,P305*N(E305))</f>
        <v>0.0</v>
      </c>
      <c r="AJ305" s="71" t="str">
        <f>IF(AA305="","",COUNTIF(prod_ca,"&gt;"&amp;AA305)+COUNTIF(AA$6:AA305,AA305))</f>
        <v/>
      </c>
      <c r="AK305" s="71" t="str">
        <f>IF(OR(W305="Vendu à perte",W305="Sous la cible"),ROUND(U305,6),"")</f>
        <v/>
      </c>
      <c r="AL305" s="71" t="str">
        <f>IF(AK305="","",COUNTIF(prod_alk,"&lt;"&amp;AK305)+COUNTIF(AK$6:AK305,AK305))</f>
        <v/>
      </c>
    </row>
  </sheetData>
  <autoFilter ref="A5:X305"/>
  <conditionalFormatting sqref="W6:W305">
    <cfRule type="expression" priority="1" dxfId="0">
      <formula>$W6="OK"</formula>
    </cfRule>
    <cfRule type="expression" priority="2" dxfId="1">
      <formula>$W6="Sous la cible"</formula>
    </cfRule>
    <cfRule type="expression" priority="3" dxfId="2">
      <formula>$W6="Vendu à perte"</formula>
    </cfRule>
    <cfRule type="expression" priority="4" dxfId="3">
      <formula>$W6="Prix à saisir"</formula>
    </cfRule>
    <cfRule type="expression" priority="5" dxfId="4">
      <formula>$W6="À corriger"</formula>
    </cfRule>
  </conditionalFormatting>
  <conditionalFormatting sqref="X6:X305">
    <cfRule type="expression" priority="6" dxfId="2">
      <formula>AND($X6&lt;&gt;"",$X6&lt;&gt;"OK")</formula>
    </cfRule>
    <cfRule type="expression" priority="7" dxfId="0">
      <formula>$X6="OK"</formula>
    </cfRule>
  </conditionalFormatting>
  <conditionalFormatting sqref="F6:F305">
    <cfRule type="expression" priority="8" dxfId="5">
      <formula>p_currency="MAD"</formula>
    </cfRule>
    <cfRule type="expression" priority="21" dxfId="6">
      <formula>p_currency="EUR"</formula>
    </cfRule>
    <cfRule type="expression" priority="34" dxfId="7">
      <formula>p_currency="USD"</formula>
    </cfRule>
  </conditionalFormatting>
  <conditionalFormatting sqref="G6:G305">
    <cfRule type="expression" priority="9" dxfId="5">
      <formula>p_currency="MAD"</formula>
    </cfRule>
    <cfRule type="expression" priority="22" dxfId="6">
      <formula>p_currency="EUR"</formula>
    </cfRule>
    <cfRule type="expression" priority="35" dxfId="7">
      <formula>p_currency="USD"</formula>
    </cfRule>
  </conditionalFormatting>
  <conditionalFormatting sqref="H6:H305">
    <cfRule type="expression" priority="10" dxfId="5">
      <formula>p_currency="MAD"</formula>
    </cfRule>
    <cfRule type="expression" priority="23" dxfId="6">
      <formula>p_currency="EUR"</formula>
    </cfRule>
    <cfRule type="expression" priority="36" dxfId="7">
      <formula>p_currency="USD"</formula>
    </cfRule>
  </conditionalFormatting>
  <conditionalFormatting sqref="I6:I305">
    <cfRule type="expression" priority="11" dxfId="5">
      <formula>p_currency="MAD"</formula>
    </cfRule>
    <cfRule type="expression" priority="24" dxfId="6">
      <formula>p_currency="EUR"</formula>
    </cfRule>
    <cfRule type="expression" priority="37" dxfId="7">
      <formula>p_currency="USD"</formula>
    </cfRule>
  </conditionalFormatting>
  <conditionalFormatting sqref="L6:L305">
    <cfRule type="expression" priority="12" dxfId="5">
      <formula>p_currency="MAD"</formula>
    </cfRule>
    <cfRule type="expression" priority="25" dxfId="6">
      <formula>p_currency="EUR"</formula>
    </cfRule>
    <cfRule type="expression" priority="38" dxfId="7">
      <formula>p_currency="USD"</formula>
    </cfRule>
  </conditionalFormatting>
  <conditionalFormatting sqref="M6:M305">
    <cfRule type="expression" priority="13" dxfId="5">
      <formula>p_currency="MAD"</formula>
    </cfRule>
    <cfRule type="expression" priority="26" dxfId="6">
      <formula>p_currency="EUR"</formula>
    </cfRule>
    <cfRule type="expression" priority="39" dxfId="7">
      <formula>p_currency="USD"</formula>
    </cfRule>
  </conditionalFormatting>
  <conditionalFormatting sqref="N6:N305">
    <cfRule type="expression" priority="14" dxfId="5">
      <formula>p_currency="MAD"</formula>
    </cfRule>
    <cfRule type="expression" priority="27" dxfId="6">
      <formula>p_currency="EUR"</formula>
    </cfRule>
    <cfRule type="expression" priority="40" dxfId="7">
      <formula>p_currency="USD"</formula>
    </cfRule>
  </conditionalFormatting>
  <conditionalFormatting sqref="O6:O305">
    <cfRule type="expression" priority="15" dxfId="5">
      <formula>p_currency="MAD"</formula>
    </cfRule>
    <cfRule type="expression" priority="28" dxfId="6">
      <formula>p_currency="EUR"</formula>
    </cfRule>
    <cfRule type="expression" priority="41" dxfId="7">
      <formula>p_currency="USD"</formula>
    </cfRule>
  </conditionalFormatting>
  <conditionalFormatting sqref="P6:P305">
    <cfRule type="expression" priority="16" dxfId="5">
      <formula>p_currency="MAD"</formula>
    </cfRule>
    <cfRule type="expression" priority="29" dxfId="6">
      <formula>p_currency="EUR"</formula>
    </cfRule>
    <cfRule type="expression" priority="42" dxfId="7">
      <formula>p_currency="USD"</formula>
    </cfRule>
  </conditionalFormatting>
  <conditionalFormatting sqref="Q6:Q305">
    <cfRule type="expression" priority="17" dxfId="5">
      <formula>p_currency="MAD"</formula>
    </cfRule>
    <cfRule type="expression" priority="30" dxfId="6">
      <formula>p_currency="EUR"</formula>
    </cfRule>
    <cfRule type="expression" priority="43" dxfId="7">
      <formula>p_currency="USD"</formula>
    </cfRule>
  </conditionalFormatting>
  <conditionalFormatting sqref="R6:R305">
    <cfRule type="expression" priority="18" dxfId="5">
      <formula>p_currency="MAD"</formula>
    </cfRule>
    <cfRule type="expression" priority="31" dxfId="6">
      <formula>p_currency="EUR"</formula>
    </cfRule>
    <cfRule type="expression" priority="44" dxfId="7">
      <formula>p_currency="USD"</formula>
    </cfRule>
  </conditionalFormatting>
  <conditionalFormatting sqref="S6:S305">
    <cfRule type="expression" priority="19" dxfId="5">
      <formula>p_currency="MAD"</formula>
    </cfRule>
    <cfRule type="expression" priority="32" dxfId="6">
      <formula>p_currency="EUR"</formula>
    </cfRule>
    <cfRule type="expression" priority="45" dxfId="7">
      <formula>p_currency="USD"</formula>
    </cfRule>
  </conditionalFormatting>
  <conditionalFormatting sqref="T6:T305">
    <cfRule type="expression" priority="20" dxfId="5">
      <formula>p_currency="MAD"</formula>
    </cfRule>
    <cfRule type="expression" priority="33" dxfId="6">
      <formula>p_currency="EUR"</formula>
    </cfRule>
    <cfRule type="expression" priority="46" dxfId="7">
      <formula>p_currency="USD"</formula>
    </cfRule>
  </conditionalFormatting>
  <dataValidations count="5">
    <dataValidation sqref="D6:D305" showDropDown="0" showInputMessage="1" showErrorMessage="1" allowBlank="1" errorTitle="Taille de lot" error="Nombre de pièces fabriquées d'un coup, après un seul réglage. Le réglage et le transport sont divisés par ce nombre." promptTitle="Taille de lot" prompt="Nombre de pièces fabriquées d'un coup, après un seul réglage. Le réglage et le transport sont divisés par ce nombre." type="decimal" operator="greaterThan">
      <formula1>0</formula1>
    </dataValidation>
    <dataValidation sqref="E6:E305" showDropDown="0" showInputMessage="1" showErrorMessage="1" allowBlank="1" errorTitle="Volume annuel" error="Facultatif. Pièces vendues par an : sert à calculer la marge annuelle et la structure des coûts du tableau de bord." promptTitle="Volume annuel" prompt="Facultatif. Pièces vendues par an : sert à calculer la marge annuelle et la structure des coûts du tableau de bord." type="decimal" operator="greaterThanOrEqual">
      <formula1>0</formula1>
    </dataValidation>
    <dataValidation sqref="F6:F305" showDropDown="0" showInputMessage="1" showErrorMessage="1" allowBlank="1" errorTitle="Prix de vente" error="Prix de vente unitaire hors taxes. Vide si le produit n'a pas encore de prix." promptTitle="Prix de vente" prompt="Prix de vente unitaire hors taxes. Vide si le produit n'a pas encore de prix." type="decimal" operator="greaterThanOrEqual">
      <formula1>0</formula1>
    </dataValidation>
    <dataValidation sqref="G6:I305" showDropDown="0" showInputMessage="1" showErrorMessage="1" allowBlank="1" errorTitle="Montant" error="Sous-traitance et emballage par pièce, transport par lot (une livraison). Montant hors taxes, 0 ou vide si aucun." promptTitle="Montant" prompt="Sous-traitance et emballage par pièce, transport par lot (une livraison). Montant hors taxes, 0 ou vide si aucun." type="decimal" operator="greaterThanOrEqual">
      <formula1>0</formula1>
    </dataValidation>
    <dataValidation sqref="J6:K305" showDropDown="0" showInputMessage="1" showErrorMessage="1" allowBlank="1" errorTitle="Pourcentage" error="Facultatif. Vide = taux des Paramètres. 20 % = 0,2." promptTitle="Pourcentage" prompt="Facultatif. Vide = taux des Paramètres. 20 % = 0,2." type="decimal" operator="between">
      <formula1>0</formula1>
      <formula2>5</formula2>
    </dataValidation>
  </dataValidations>
  <hyperlinks>
    <hyperlink ref="X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K3005"/>
  <sheetViews>
    <sheetView showGridLines="0" tabSelected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30" customWidth="1" min="3" max="3"/>
    <col width="9" customWidth="1" min="4" max="4"/>
    <col width="13" customWidth="1" min="5" max="5"/>
    <col width="12" customWidth="1" min="6" max="6"/>
    <col width="11" customWidth="1" min="7" max="7"/>
    <col width="14" customWidth="1" min="8" max="8"/>
    <col width="14" customWidth="1" min="9" max="9"/>
    <col width="28" customWidth="1" min="10" max="10"/>
    <col hidden="1" width="7" customWidth="1" min="11" max="11"/>
  </cols>
  <sheetData>
    <row r="1" ht="38" customHeight="1">
      <c r="A1" s="2" t="inlineStr">
        <is>
          <t>Nomenclatures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8" t="inlineStr">
        <is>
          <t>⌂ Mode d'emploi</t>
        </is>
      </c>
    </row>
    <row r="2" ht="22" customHeight="1">
      <c r="A2" s="4" t="inlineStr">
        <is>
          <t>Une ligne par matière d'un produit. La quantité est consommée par pièce finie, dans l'unité de la matière.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18" customHeight="1">
      <c r="H3" s="16" t="inlineStr">
        <is>
          <t>Saisie</t>
        </is>
      </c>
      <c r="I3" s="17" t="inlineStr">
        <is>
          <t>Calcul auto</t>
        </is>
      </c>
    </row>
    <row r="5" ht="34" customHeight="1">
      <c r="A5" s="42" t="inlineStr">
        <is>
          <t>Produit</t>
        </is>
      </c>
      <c r="B5" s="42" t="inlineStr">
        <is>
          <t>Matière</t>
        </is>
      </c>
      <c r="C5" s="42" t="inlineStr">
        <is>
          <t>Désignation</t>
        </is>
      </c>
      <c r="D5" s="42" t="inlineStr">
        <is>
          <t>Unité</t>
        </is>
      </c>
      <c r="E5" s="42" t="inlineStr">
        <is>
          <t>Quantité par pièce</t>
        </is>
      </c>
      <c r="F5" s="42" t="inlineStr">
        <is>
          <t>Perte spécifique</t>
        </is>
      </c>
      <c r="G5" s="42" t="inlineStr">
        <is>
          <t>Perte retenue</t>
        </is>
      </c>
      <c r="H5" s="42" t="inlineStr">
        <is>
          <t>Prix unitaire</t>
        </is>
      </c>
      <c r="I5" s="42" t="inlineStr">
        <is>
          <t>Coût par pièce</t>
        </is>
      </c>
      <c r="J5" s="42" t="inlineStr">
        <is>
          <t>Contrôle</t>
        </is>
      </c>
      <c r="K5" s="42" t="inlineStr">
        <is>
          <t>Rang fiche</t>
        </is>
      </c>
    </row>
    <row r="6">
      <c r="A6" s="60" t="n"/>
      <c r="B6" s="60" t="n"/>
      <c r="C6" s="71" t="str">
        <f>IF(B6="","",IFERROR(INDEX(mat_des,MATCH(B6,mat_ref,0))&amp;"","Matière inconnue"))</f>
        <v/>
      </c>
      <c r="D6" s="69" t="str">
        <f>IF(B6="","",IFERROR(INDEX(mat_unit,MATCH(B6,mat_ref,0))&amp;"",""))</f>
        <v/>
      </c>
      <c r="E6" s="72" t="n"/>
      <c r="F6" s="65" t="n"/>
      <c r="G6" s="68" t="str">
        <f>IF(J6&lt;&gt;"OK","",IF(F6="",N(INDEX(mat_loss,MATCH(B6,mat_ref,0))),F6))</f>
        <v/>
      </c>
      <c r="H6" s="66" t="str">
        <f>IF(J6&lt;&gt;"OK","",INDEX(mat_price,MATCH(B6,mat_ref,0)))</f>
        <v/>
      </c>
      <c r="I6" s="66" t="str">
        <f>IF(J6&lt;&gt;"OK","",E6*(1+G6)*H6)</f>
        <v/>
      </c>
      <c r="J6" s="69" t="str">
        <f>IF(AND(A6="",B6=""),"",IF(A6="","Produit manquant",IF(COUNTIF(prod_ref,A6)=0,"Produit inconnu",IF(B6="","Matière manquante",IF(ISNA(MATCH(B6,mat_ref,0)),"Matière inconnue",IF(INDEX(mat_check,MATCH(B6,mat_ref,0))&lt;&gt;"OK","Matière à corriger",IF(OR(NOT(ISNUMBER(E6)),N(E6)&lt;=0),"Quantité invalide",IF(AND(F6&lt;&gt;"",OR(NOT(ISNUMBER(F6)),N(F6)&lt;0,N(F6)&gt;=1)),"Perte entre 0 et 99 %",IF(COUNTIFS(bom_prod,A6,bom_mat,B6)&gt;1,"Matière en double","OK")))))))))</f>
        <v/>
      </c>
      <c r="K6" s="71" t="str">
        <f>IF(AND(fiche_sel&lt;&gt;"",A6=fiche_sel),COUNTIF(A$6:A6,fiche_sel),"")</f>
        <v/>
      </c>
    </row>
    <row r="7">
      <c r="A7" s="60" t="n"/>
      <c r="B7" s="60" t="n"/>
      <c r="C7" s="71" t="str">
        <f>IF(B7="","",IFERROR(INDEX(mat_des,MATCH(B7,mat_ref,0))&amp;"","Matière inconnue"))</f>
        <v/>
      </c>
      <c r="D7" s="69" t="str">
        <f>IF(B7="","",IFERROR(INDEX(mat_unit,MATCH(B7,mat_ref,0))&amp;"",""))</f>
        <v/>
      </c>
      <c r="E7" s="72" t="n"/>
      <c r="F7" s="65" t="n"/>
      <c r="G7" s="68" t="str">
        <f>IF(J7&lt;&gt;"OK","",IF(F7="",N(INDEX(mat_loss,MATCH(B7,mat_ref,0))),F7))</f>
        <v/>
      </c>
      <c r="H7" s="66" t="str">
        <f>IF(J7&lt;&gt;"OK","",INDEX(mat_price,MATCH(B7,mat_ref,0)))</f>
        <v/>
      </c>
      <c r="I7" s="66" t="str">
        <f>IF(J7&lt;&gt;"OK","",E7*(1+G7)*H7)</f>
        <v/>
      </c>
      <c r="J7" s="69" t="str">
        <f>IF(AND(A7="",B7=""),"",IF(A7="","Produit manquant",IF(COUNTIF(prod_ref,A7)=0,"Produit inconnu",IF(B7="","Matière manquante",IF(ISNA(MATCH(B7,mat_ref,0)),"Matière inconnue",IF(INDEX(mat_check,MATCH(B7,mat_ref,0))&lt;&gt;"OK","Matière à corriger",IF(OR(NOT(ISNUMBER(E7)),N(E7)&lt;=0),"Quantité invalide",IF(AND(F7&lt;&gt;"",OR(NOT(ISNUMBER(F7)),N(F7)&lt;0,N(F7)&gt;=1)),"Perte entre 0 et 99 %",IF(COUNTIFS(bom_prod,A7,bom_mat,B7)&gt;1,"Matière en double","OK")))))))))</f>
        <v/>
      </c>
      <c r="K7" s="71" t="str">
        <f>IF(AND(fiche_sel&lt;&gt;"",A7=fiche_sel),COUNTIF(A$6:A7,fiche_sel),"")</f>
        <v/>
      </c>
    </row>
    <row r="8">
      <c r="A8" s="60" t="n"/>
      <c r="B8" s="60" t="n"/>
      <c r="C8" s="71" t="str">
        <f>IF(B8="","",IFERROR(INDEX(mat_des,MATCH(B8,mat_ref,0))&amp;"","Matière inconnue"))</f>
        <v/>
      </c>
      <c r="D8" s="69" t="str">
        <f>IF(B8="","",IFERROR(INDEX(mat_unit,MATCH(B8,mat_ref,0))&amp;"",""))</f>
        <v/>
      </c>
      <c r="E8" s="72" t="n"/>
      <c r="F8" s="65" t="n"/>
      <c r="G8" s="68" t="str">
        <f>IF(J8&lt;&gt;"OK","",IF(F8="",N(INDEX(mat_loss,MATCH(B8,mat_ref,0))),F8))</f>
        <v/>
      </c>
      <c r="H8" s="66" t="str">
        <f>IF(J8&lt;&gt;"OK","",INDEX(mat_price,MATCH(B8,mat_ref,0)))</f>
        <v/>
      </c>
      <c r="I8" s="66" t="str">
        <f>IF(J8&lt;&gt;"OK","",E8*(1+G8)*H8)</f>
        <v/>
      </c>
      <c r="J8" s="69" t="str">
        <f>IF(AND(A8="",B8=""),"",IF(A8="","Produit manquant",IF(COUNTIF(prod_ref,A8)=0,"Produit inconnu",IF(B8="","Matière manquante",IF(ISNA(MATCH(B8,mat_ref,0)),"Matière inconnue",IF(INDEX(mat_check,MATCH(B8,mat_ref,0))&lt;&gt;"OK","Matière à corriger",IF(OR(NOT(ISNUMBER(E8)),N(E8)&lt;=0),"Quantité invalide",IF(AND(F8&lt;&gt;"",OR(NOT(ISNUMBER(F8)),N(F8)&lt;0,N(F8)&gt;=1)),"Perte entre 0 et 99 %",IF(COUNTIFS(bom_prod,A8,bom_mat,B8)&gt;1,"Matière en double","OK")))))))))</f>
        <v/>
      </c>
      <c r="K8" s="71" t="str">
        <f>IF(AND(fiche_sel&lt;&gt;"",A8=fiche_sel),COUNTIF(A$6:A8,fiche_sel),"")</f>
        <v/>
      </c>
    </row>
    <row r="9">
      <c r="A9" s="60" t="n"/>
      <c r="B9" s="60" t="n"/>
      <c r="C9" s="71" t="str">
        <f>IF(B9="","",IFERROR(INDEX(mat_des,MATCH(B9,mat_ref,0))&amp;"","Matière inconnue"))</f>
        <v/>
      </c>
      <c r="D9" s="69" t="str">
        <f>IF(B9="","",IFERROR(INDEX(mat_unit,MATCH(B9,mat_ref,0))&amp;"",""))</f>
        <v/>
      </c>
      <c r="E9" s="72" t="n"/>
      <c r="F9" s="65" t="n"/>
      <c r="G9" s="68" t="str">
        <f>IF(J9&lt;&gt;"OK","",IF(F9="",N(INDEX(mat_loss,MATCH(B9,mat_ref,0))),F9))</f>
        <v/>
      </c>
      <c r="H9" s="66" t="str">
        <f>IF(J9&lt;&gt;"OK","",INDEX(mat_price,MATCH(B9,mat_ref,0)))</f>
        <v/>
      </c>
      <c r="I9" s="66" t="str">
        <f>IF(J9&lt;&gt;"OK","",E9*(1+G9)*H9)</f>
        <v/>
      </c>
      <c r="J9" s="69" t="str">
        <f>IF(AND(A9="",B9=""),"",IF(A9="","Produit manquant",IF(COUNTIF(prod_ref,A9)=0,"Produit inconnu",IF(B9="","Matière manquante",IF(ISNA(MATCH(B9,mat_ref,0)),"Matière inconnue",IF(INDEX(mat_check,MATCH(B9,mat_ref,0))&lt;&gt;"OK","Matière à corriger",IF(OR(NOT(ISNUMBER(E9)),N(E9)&lt;=0),"Quantité invalide",IF(AND(F9&lt;&gt;"",OR(NOT(ISNUMBER(F9)),N(F9)&lt;0,N(F9)&gt;=1)),"Perte entre 0 et 99 %",IF(COUNTIFS(bom_prod,A9,bom_mat,B9)&gt;1,"Matière en double","OK")))))))))</f>
        <v/>
      </c>
      <c r="K9" s="71" t="str">
        <f>IF(AND(fiche_sel&lt;&gt;"",A9=fiche_sel),COUNTIF(A$6:A9,fiche_sel),"")</f>
        <v/>
      </c>
    </row>
    <row r="10">
      <c r="A10" s="60" t="n"/>
      <c r="B10" s="60" t="n"/>
      <c r="C10" s="71" t="str">
        <f>IF(B10="","",IFERROR(INDEX(mat_des,MATCH(B10,mat_ref,0))&amp;"","Matière inconnue"))</f>
        <v/>
      </c>
      <c r="D10" s="69" t="str">
        <f>IF(B10="","",IFERROR(INDEX(mat_unit,MATCH(B10,mat_ref,0))&amp;"",""))</f>
        <v/>
      </c>
      <c r="E10" s="72" t="n"/>
      <c r="F10" s="65" t="n"/>
      <c r="G10" s="68" t="str">
        <f>IF(J10&lt;&gt;"OK","",IF(F10="",N(INDEX(mat_loss,MATCH(B10,mat_ref,0))),F10))</f>
        <v/>
      </c>
      <c r="H10" s="66" t="str">
        <f>IF(J10&lt;&gt;"OK","",INDEX(mat_price,MATCH(B10,mat_ref,0)))</f>
        <v/>
      </c>
      <c r="I10" s="66" t="str">
        <f>IF(J10&lt;&gt;"OK","",E10*(1+G10)*H10)</f>
        <v/>
      </c>
      <c r="J10" s="69" t="str">
        <f>IF(AND(A10="",B10=""),"",IF(A10="","Produit manquant",IF(COUNTIF(prod_ref,A10)=0,"Produit inconnu",IF(B10="","Matière manquante",IF(ISNA(MATCH(B10,mat_ref,0)),"Matière inconnue",IF(INDEX(mat_check,MATCH(B10,mat_ref,0))&lt;&gt;"OK","Matière à corriger",IF(OR(NOT(ISNUMBER(E10)),N(E10)&lt;=0),"Quantité invalide",IF(AND(F10&lt;&gt;"",OR(NOT(ISNUMBER(F10)),N(F10)&lt;0,N(F10)&gt;=1)),"Perte entre 0 et 99 %",IF(COUNTIFS(bom_prod,A10,bom_mat,B10)&gt;1,"Matière en double","OK")))))))))</f>
        <v/>
      </c>
      <c r="K10" s="71" t="str">
        <f>IF(AND(fiche_sel&lt;&gt;"",A10=fiche_sel),COUNTIF(A$6:A10,fiche_sel),"")</f>
        <v/>
      </c>
    </row>
    <row r="11">
      <c r="A11" s="60" t="n"/>
      <c r="B11" s="60" t="n"/>
      <c r="C11" s="71" t="str">
        <f>IF(B11="","",IFERROR(INDEX(mat_des,MATCH(B11,mat_ref,0))&amp;"","Matière inconnue"))</f>
        <v/>
      </c>
      <c r="D11" s="69" t="str">
        <f>IF(B11="","",IFERROR(INDEX(mat_unit,MATCH(B11,mat_ref,0))&amp;"",""))</f>
        <v/>
      </c>
      <c r="E11" s="72" t="n"/>
      <c r="F11" s="65" t="n"/>
      <c r="G11" s="68" t="str">
        <f>IF(J11&lt;&gt;"OK","",IF(F11="",N(INDEX(mat_loss,MATCH(B11,mat_ref,0))),F11))</f>
        <v/>
      </c>
      <c r="H11" s="66" t="str">
        <f>IF(J11&lt;&gt;"OK","",INDEX(mat_price,MATCH(B11,mat_ref,0)))</f>
        <v/>
      </c>
      <c r="I11" s="66" t="str">
        <f>IF(J11&lt;&gt;"OK","",E11*(1+G11)*H11)</f>
        <v/>
      </c>
      <c r="J11" s="69" t="str">
        <f>IF(AND(A11="",B11=""),"",IF(A11="","Produit manquant",IF(COUNTIF(prod_ref,A11)=0,"Produit inconnu",IF(B11="","Matière manquante",IF(ISNA(MATCH(B11,mat_ref,0)),"Matière inconnue",IF(INDEX(mat_check,MATCH(B11,mat_ref,0))&lt;&gt;"OK","Matière à corriger",IF(OR(NOT(ISNUMBER(E11)),N(E11)&lt;=0),"Quantité invalide",IF(AND(F11&lt;&gt;"",OR(NOT(ISNUMBER(F11)),N(F11)&lt;0,N(F11)&gt;=1)),"Perte entre 0 et 99 %",IF(COUNTIFS(bom_prod,A11,bom_mat,B11)&gt;1,"Matière en double","OK")))))))))</f>
        <v/>
      </c>
      <c r="K11" s="71" t="str">
        <f>IF(AND(fiche_sel&lt;&gt;"",A11=fiche_sel),COUNTIF(A$6:A11,fiche_sel),"")</f>
        <v/>
      </c>
    </row>
    <row r="12">
      <c r="A12" s="60" t="n"/>
      <c r="B12" s="60" t="n"/>
      <c r="C12" s="71" t="str">
        <f>IF(B12="","",IFERROR(INDEX(mat_des,MATCH(B12,mat_ref,0))&amp;"","Matière inconnue"))</f>
        <v/>
      </c>
      <c r="D12" s="69" t="str">
        <f>IF(B12="","",IFERROR(INDEX(mat_unit,MATCH(B12,mat_ref,0))&amp;"",""))</f>
        <v/>
      </c>
      <c r="E12" s="72" t="n"/>
      <c r="F12" s="65" t="n"/>
      <c r="G12" s="68" t="str">
        <f>IF(J12&lt;&gt;"OK","",IF(F12="",N(INDEX(mat_loss,MATCH(B12,mat_ref,0))),F12))</f>
        <v/>
      </c>
      <c r="H12" s="66" t="str">
        <f>IF(J12&lt;&gt;"OK","",INDEX(mat_price,MATCH(B12,mat_ref,0)))</f>
        <v/>
      </c>
      <c r="I12" s="66" t="str">
        <f>IF(J12&lt;&gt;"OK","",E12*(1+G12)*H12)</f>
        <v/>
      </c>
      <c r="J12" s="69" t="str">
        <f>IF(AND(A12="",B12=""),"",IF(A12="","Produit manquant",IF(COUNTIF(prod_ref,A12)=0,"Produit inconnu",IF(B12="","Matière manquante",IF(ISNA(MATCH(B12,mat_ref,0)),"Matière inconnue",IF(INDEX(mat_check,MATCH(B12,mat_ref,0))&lt;&gt;"OK","Matière à corriger",IF(OR(NOT(ISNUMBER(E12)),N(E12)&lt;=0),"Quantité invalide",IF(AND(F12&lt;&gt;"",OR(NOT(ISNUMBER(F12)),N(F12)&lt;0,N(F12)&gt;=1)),"Perte entre 0 et 99 %",IF(COUNTIFS(bom_prod,A12,bom_mat,B12)&gt;1,"Matière en double","OK")))))))))</f>
        <v/>
      </c>
      <c r="K12" s="71" t="str">
        <f>IF(AND(fiche_sel&lt;&gt;"",A12=fiche_sel),COUNTIF(A$6:A12,fiche_sel),"")</f>
        <v/>
      </c>
    </row>
    <row r="13">
      <c r="A13" s="60" t="n"/>
      <c r="B13" s="60" t="n"/>
      <c r="C13" s="71" t="str">
        <f>IF(B13="","",IFERROR(INDEX(mat_des,MATCH(B13,mat_ref,0))&amp;"","Matière inconnue"))</f>
        <v/>
      </c>
      <c r="D13" s="69" t="str">
        <f>IF(B13="","",IFERROR(INDEX(mat_unit,MATCH(B13,mat_ref,0))&amp;"",""))</f>
        <v/>
      </c>
      <c r="E13" s="72" t="n"/>
      <c r="F13" s="65" t="n"/>
      <c r="G13" s="68" t="str">
        <f>IF(J13&lt;&gt;"OK","",IF(F13="",N(INDEX(mat_loss,MATCH(B13,mat_ref,0))),F13))</f>
        <v/>
      </c>
      <c r="H13" s="66" t="str">
        <f>IF(J13&lt;&gt;"OK","",INDEX(mat_price,MATCH(B13,mat_ref,0)))</f>
        <v/>
      </c>
      <c r="I13" s="66" t="str">
        <f>IF(J13&lt;&gt;"OK","",E13*(1+G13)*H13)</f>
        <v/>
      </c>
      <c r="J13" s="69" t="str">
        <f>IF(AND(A13="",B13=""),"",IF(A13="","Produit manquant",IF(COUNTIF(prod_ref,A13)=0,"Produit inconnu",IF(B13="","Matière manquante",IF(ISNA(MATCH(B13,mat_ref,0)),"Matière inconnue",IF(INDEX(mat_check,MATCH(B13,mat_ref,0))&lt;&gt;"OK","Matière à corriger",IF(OR(NOT(ISNUMBER(E13)),N(E13)&lt;=0),"Quantité invalide",IF(AND(F13&lt;&gt;"",OR(NOT(ISNUMBER(F13)),N(F13)&lt;0,N(F13)&gt;=1)),"Perte entre 0 et 99 %",IF(COUNTIFS(bom_prod,A13,bom_mat,B13)&gt;1,"Matière en double","OK")))))))))</f>
        <v/>
      </c>
      <c r="K13" s="71" t="str">
        <f>IF(AND(fiche_sel&lt;&gt;"",A13=fiche_sel),COUNTIF(A$6:A13,fiche_sel),"")</f>
        <v/>
      </c>
    </row>
    <row r="14">
      <c r="A14" s="60" t="n"/>
      <c r="B14" s="60" t="n"/>
      <c r="C14" s="71" t="str">
        <f>IF(B14="","",IFERROR(INDEX(mat_des,MATCH(B14,mat_ref,0))&amp;"","Matière inconnue"))</f>
        <v/>
      </c>
      <c r="D14" s="69" t="str">
        <f>IF(B14="","",IFERROR(INDEX(mat_unit,MATCH(B14,mat_ref,0))&amp;"",""))</f>
        <v/>
      </c>
      <c r="E14" s="72" t="n"/>
      <c r="F14" s="65" t="n"/>
      <c r="G14" s="68" t="str">
        <f>IF(J14&lt;&gt;"OK","",IF(F14="",N(INDEX(mat_loss,MATCH(B14,mat_ref,0))),F14))</f>
        <v/>
      </c>
      <c r="H14" s="66" t="str">
        <f>IF(J14&lt;&gt;"OK","",INDEX(mat_price,MATCH(B14,mat_ref,0)))</f>
        <v/>
      </c>
      <c r="I14" s="66" t="str">
        <f>IF(J14&lt;&gt;"OK","",E14*(1+G14)*H14)</f>
        <v/>
      </c>
      <c r="J14" s="69" t="str">
        <f>IF(AND(A14="",B14=""),"",IF(A14="","Produit manquant",IF(COUNTIF(prod_ref,A14)=0,"Produit inconnu",IF(B14="","Matière manquante",IF(ISNA(MATCH(B14,mat_ref,0)),"Matière inconnue",IF(INDEX(mat_check,MATCH(B14,mat_ref,0))&lt;&gt;"OK","Matière à corriger",IF(OR(NOT(ISNUMBER(E14)),N(E14)&lt;=0),"Quantité invalide",IF(AND(F14&lt;&gt;"",OR(NOT(ISNUMBER(F14)),N(F14)&lt;0,N(F14)&gt;=1)),"Perte entre 0 et 99 %",IF(COUNTIFS(bom_prod,A14,bom_mat,B14)&gt;1,"Matière en double","OK")))))))))</f>
        <v/>
      </c>
      <c r="K14" s="71" t="str">
        <f>IF(AND(fiche_sel&lt;&gt;"",A14=fiche_sel),COUNTIF(A$6:A14,fiche_sel),"")</f>
        <v/>
      </c>
    </row>
    <row r="15">
      <c r="A15" s="60" t="n"/>
      <c r="B15" s="60" t="n"/>
      <c r="C15" s="71" t="str">
        <f>IF(B15="","",IFERROR(INDEX(mat_des,MATCH(B15,mat_ref,0))&amp;"","Matière inconnue"))</f>
        <v/>
      </c>
      <c r="D15" s="69" t="str">
        <f>IF(B15="","",IFERROR(INDEX(mat_unit,MATCH(B15,mat_ref,0))&amp;"",""))</f>
        <v/>
      </c>
      <c r="E15" s="72" t="n"/>
      <c r="F15" s="65" t="n"/>
      <c r="G15" s="68" t="str">
        <f>IF(J15&lt;&gt;"OK","",IF(F15="",N(INDEX(mat_loss,MATCH(B15,mat_ref,0))),F15))</f>
        <v/>
      </c>
      <c r="H15" s="66" t="str">
        <f>IF(J15&lt;&gt;"OK","",INDEX(mat_price,MATCH(B15,mat_ref,0)))</f>
        <v/>
      </c>
      <c r="I15" s="66" t="str">
        <f>IF(J15&lt;&gt;"OK","",E15*(1+G15)*H15)</f>
        <v/>
      </c>
      <c r="J15" s="69" t="str">
        <f>IF(AND(A15="",B15=""),"",IF(A15="","Produit manquant",IF(COUNTIF(prod_ref,A15)=0,"Produit inconnu",IF(B15="","Matière manquante",IF(ISNA(MATCH(B15,mat_ref,0)),"Matière inconnue",IF(INDEX(mat_check,MATCH(B15,mat_ref,0))&lt;&gt;"OK","Matière à corriger",IF(OR(NOT(ISNUMBER(E15)),N(E15)&lt;=0),"Quantité invalide",IF(AND(F15&lt;&gt;"",OR(NOT(ISNUMBER(F15)),N(F15)&lt;0,N(F15)&gt;=1)),"Perte entre 0 et 99 %",IF(COUNTIFS(bom_prod,A15,bom_mat,B15)&gt;1,"Matière en double","OK")))))))))</f>
        <v/>
      </c>
      <c r="K15" s="71" t="str">
        <f>IF(AND(fiche_sel&lt;&gt;"",A15=fiche_sel),COUNTIF(A$6:A15,fiche_sel),"")</f>
        <v/>
      </c>
    </row>
    <row r="16">
      <c r="A16" s="60" t="n"/>
      <c r="B16" s="60" t="n"/>
      <c r="C16" s="71" t="str">
        <f>IF(B16="","",IFERROR(INDEX(mat_des,MATCH(B16,mat_ref,0))&amp;"","Matière inconnue"))</f>
        <v/>
      </c>
      <c r="D16" s="69" t="str">
        <f>IF(B16="","",IFERROR(INDEX(mat_unit,MATCH(B16,mat_ref,0))&amp;"",""))</f>
        <v/>
      </c>
      <c r="E16" s="72" t="n"/>
      <c r="F16" s="65" t="n"/>
      <c r="G16" s="68" t="str">
        <f>IF(J16&lt;&gt;"OK","",IF(F16="",N(INDEX(mat_loss,MATCH(B16,mat_ref,0))),F16))</f>
        <v/>
      </c>
      <c r="H16" s="66" t="str">
        <f>IF(J16&lt;&gt;"OK","",INDEX(mat_price,MATCH(B16,mat_ref,0)))</f>
        <v/>
      </c>
      <c r="I16" s="66" t="str">
        <f>IF(J16&lt;&gt;"OK","",E16*(1+G16)*H16)</f>
        <v/>
      </c>
      <c r="J16" s="69" t="str">
        <f>IF(AND(A16="",B16=""),"",IF(A16="","Produit manquant",IF(COUNTIF(prod_ref,A16)=0,"Produit inconnu",IF(B16="","Matière manquante",IF(ISNA(MATCH(B16,mat_ref,0)),"Matière inconnue",IF(INDEX(mat_check,MATCH(B16,mat_ref,0))&lt;&gt;"OK","Matière à corriger",IF(OR(NOT(ISNUMBER(E16)),N(E16)&lt;=0),"Quantité invalide",IF(AND(F16&lt;&gt;"",OR(NOT(ISNUMBER(F16)),N(F16)&lt;0,N(F16)&gt;=1)),"Perte entre 0 et 99 %",IF(COUNTIFS(bom_prod,A16,bom_mat,B16)&gt;1,"Matière en double","OK")))))))))</f>
        <v/>
      </c>
      <c r="K16" s="71" t="str">
        <f>IF(AND(fiche_sel&lt;&gt;"",A16=fiche_sel),COUNTIF(A$6:A16,fiche_sel),"")</f>
        <v/>
      </c>
    </row>
    <row r="17">
      <c r="A17" s="60" t="n"/>
      <c r="B17" s="60" t="n"/>
      <c r="C17" s="71" t="str">
        <f>IF(B17="","",IFERROR(INDEX(mat_des,MATCH(B17,mat_ref,0))&amp;"","Matière inconnue"))</f>
        <v/>
      </c>
      <c r="D17" s="69" t="str">
        <f>IF(B17="","",IFERROR(INDEX(mat_unit,MATCH(B17,mat_ref,0))&amp;"",""))</f>
        <v/>
      </c>
      <c r="E17" s="72" t="n"/>
      <c r="F17" s="65" t="n"/>
      <c r="G17" s="68" t="str">
        <f>IF(J17&lt;&gt;"OK","",IF(F17="",N(INDEX(mat_loss,MATCH(B17,mat_ref,0))),F17))</f>
        <v/>
      </c>
      <c r="H17" s="66" t="str">
        <f>IF(J17&lt;&gt;"OK","",INDEX(mat_price,MATCH(B17,mat_ref,0)))</f>
        <v/>
      </c>
      <c r="I17" s="66" t="str">
        <f>IF(J17&lt;&gt;"OK","",E17*(1+G17)*H17)</f>
        <v/>
      </c>
      <c r="J17" s="69" t="str">
        <f>IF(AND(A17="",B17=""),"",IF(A17="","Produit manquant",IF(COUNTIF(prod_ref,A17)=0,"Produit inconnu",IF(B17="","Matière manquante",IF(ISNA(MATCH(B17,mat_ref,0)),"Matière inconnue",IF(INDEX(mat_check,MATCH(B17,mat_ref,0))&lt;&gt;"OK","Matière à corriger",IF(OR(NOT(ISNUMBER(E17)),N(E17)&lt;=0),"Quantité invalide",IF(AND(F17&lt;&gt;"",OR(NOT(ISNUMBER(F17)),N(F17)&lt;0,N(F17)&gt;=1)),"Perte entre 0 et 99 %",IF(COUNTIFS(bom_prod,A17,bom_mat,B17)&gt;1,"Matière en double","OK")))))))))</f>
        <v/>
      </c>
      <c r="K17" s="71" t="str">
        <f>IF(AND(fiche_sel&lt;&gt;"",A17=fiche_sel),COUNTIF(A$6:A17,fiche_sel),"")</f>
        <v/>
      </c>
    </row>
    <row r="18">
      <c r="A18" s="60" t="n"/>
      <c r="B18" s="60" t="n"/>
      <c r="C18" s="71" t="str">
        <f>IF(B18="","",IFERROR(INDEX(mat_des,MATCH(B18,mat_ref,0))&amp;"","Matière inconnue"))</f>
        <v/>
      </c>
      <c r="D18" s="69" t="str">
        <f>IF(B18="","",IFERROR(INDEX(mat_unit,MATCH(B18,mat_ref,0))&amp;"",""))</f>
        <v/>
      </c>
      <c r="E18" s="72" t="n"/>
      <c r="F18" s="65" t="n"/>
      <c r="G18" s="68" t="str">
        <f>IF(J18&lt;&gt;"OK","",IF(F18="",N(INDEX(mat_loss,MATCH(B18,mat_ref,0))),F18))</f>
        <v/>
      </c>
      <c r="H18" s="66" t="str">
        <f>IF(J18&lt;&gt;"OK","",INDEX(mat_price,MATCH(B18,mat_ref,0)))</f>
        <v/>
      </c>
      <c r="I18" s="66" t="str">
        <f>IF(J18&lt;&gt;"OK","",E18*(1+G18)*H18)</f>
        <v/>
      </c>
      <c r="J18" s="69" t="str">
        <f>IF(AND(A18="",B18=""),"",IF(A18="","Produit manquant",IF(COUNTIF(prod_ref,A18)=0,"Produit inconnu",IF(B18="","Matière manquante",IF(ISNA(MATCH(B18,mat_ref,0)),"Matière inconnue",IF(INDEX(mat_check,MATCH(B18,mat_ref,0))&lt;&gt;"OK","Matière à corriger",IF(OR(NOT(ISNUMBER(E18)),N(E18)&lt;=0),"Quantité invalide",IF(AND(F18&lt;&gt;"",OR(NOT(ISNUMBER(F18)),N(F18)&lt;0,N(F18)&gt;=1)),"Perte entre 0 et 99 %",IF(COUNTIFS(bom_prod,A18,bom_mat,B18)&gt;1,"Matière en double","OK")))))))))</f>
        <v/>
      </c>
      <c r="K18" s="71" t="str">
        <f>IF(AND(fiche_sel&lt;&gt;"",A18=fiche_sel),COUNTIF(A$6:A18,fiche_sel),"")</f>
        <v/>
      </c>
    </row>
    <row r="19">
      <c r="A19" s="60" t="n"/>
      <c r="B19" s="60" t="n"/>
      <c r="C19" s="71" t="str">
        <f>IF(B19="","",IFERROR(INDEX(mat_des,MATCH(B19,mat_ref,0))&amp;"","Matière inconnue"))</f>
        <v/>
      </c>
      <c r="D19" s="69" t="str">
        <f>IF(B19="","",IFERROR(INDEX(mat_unit,MATCH(B19,mat_ref,0))&amp;"",""))</f>
        <v/>
      </c>
      <c r="E19" s="72" t="n"/>
      <c r="F19" s="65" t="n"/>
      <c r="G19" s="68" t="str">
        <f>IF(J19&lt;&gt;"OK","",IF(F19="",N(INDEX(mat_loss,MATCH(B19,mat_ref,0))),F19))</f>
        <v/>
      </c>
      <c r="H19" s="66" t="str">
        <f>IF(J19&lt;&gt;"OK","",INDEX(mat_price,MATCH(B19,mat_ref,0)))</f>
        <v/>
      </c>
      <c r="I19" s="66" t="str">
        <f>IF(J19&lt;&gt;"OK","",E19*(1+G19)*H19)</f>
        <v/>
      </c>
      <c r="J19" s="69" t="str">
        <f>IF(AND(A19="",B19=""),"",IF(A19="","Produit manquant",IF(COUNTIF(prod_ref,A19)=0,"Produit inconnu",IF(B19="","Matière manquante",IF(ISNA(MATCH(B19,mat_ref,0)),"Matière inconnue",IF(INDEX(mat_check,MATCH(B19,mat_ref,0))&lt;&gt;"OK","Matière à corriger",IF(OR(NOT(ISNUMBER(E19)),N(E19)&lt;=0),"Quantité invalide",IF(AND(F19&lt;&gt;"",OR(NOT(ISNUMBER(F19)),N(F19)&lt;0,N(F19)&gt;=1)),"Perte entre 0 et 99 %",IF(COUNTIFS(bom_prod,A19,bom_mat,B19)&gt;1,"Matière en double","OK")))))))))</f>
        <v/>
      </c>
      <c r="K19" s="71" t="str">
        <f>IF(AND(fiche_sel&lt;&gt;"",A19=fiche_sel),COUNTIF(A$6:A19,fiche_sel),"")</f>
        <v/>
      </c>
    </row>
    <row r="20">
      <c r="A20" s="60" t="n"/>
      <c r="B20" s="60" t="n"/>
      <c r="C20" s="71" t="str">
        <f>IF(B20="","",IFERROR(INDEX(mat_des,MATCH(B20,mat_ref,0))&amp;"","Matière inconnue"))</f>
        <v/>
      </c>
      <c r="D20" s="69" t="str">
        <f>IF(B20="","",IFERROR(INDEX(mat_unit,MATCH(B20,mat_ref,0))&amp;"",""))</f>
        <v/>
      </c>
      <c r="E20" s="72" t="n"/>
      <c r="F20" s="65" t="n"/>
      <c r="G20" s="68" t="str">
        <f>IF(J20&lt;&gt;"OK","",IF(F20="",N(INDEX(mat_loss,MATCH(B20,mat_ref,0))),F20))</f>
        <v/>
      </c>
      <c r="H20" s="66" t="str">
        <f>IF(J20&lt;&gt;"OK","",INDEX(mat_price,MATCH(B20,mat_ref,0)))</f>
        <v/>
      </c>
      <c r="I20" s="66" t="str">
        <f>IF(J20&lt;&gt;"OK","",E20*(1+G20)*H20)</f>
        <v/>
      </c>
      <c r="J20" s="69" t="str">
        <f>IF(AND(A20="",B20=""),"",IF(A20="","Produit manquant",IF(COUNTIF(prod_ref,A20)=0,"Produit inconnu",IF(B20="","Matière manquante",IF(ISNA(MATCH(B20,mat_ref,0)),"Matière inconnue",IF(INDEX(mat_check,MATCH(B20,mat_ref,0))&lt;&gt;"OK","Matière à corriger",IF(OR(NOT(ISNUMBER(E20)),N(E20)&lt;=0),"Quantité invalide",IF(AND(F20&lt;&gt;"",OR(NOT(ISNUMBER(F20)),N(F20)&lt;0,N(F20)&gt;=1)),"Perte entre 0 et 99 %",IF(COUNTIFS(bom_prod,A20,bom_mat,B20)&gt;1,"Matière en double","OK")))))))))</f>
        <v/>
      </c>
      <c r="K20" s="71" t="str">
        <f>IF(AND(fiche_sel&lt;&gt;"",A20=fiche_sel),COUNTIF(A$6:A20,fiche_sel),"")</f>
        <v/>
      </c>
    </row>
    <row r="21">
      <c r="A21" s="60" t="n"/>
      <c r="B21" s="60" t="n"/>
      <c r="C21" s="71" t="str">
        <f>IF(B21="","",IFERROR(INDEX(mat_des,MATCH(B21,mat_ref,0))&amp;"","Matière inconnue"))</f>
        <v/>
      </c>
      <c r="D21" s="69" t="str">
        <f>IF(B21="","",IFERROR(INDEX(mat_unit,MATCH(B21,mat_ref,0))&amp;"",""))</f>
        <v/>
      </c>
      <c r="E21" s="72" t="n"/>
      <c r="F21" s="65" t="n"/>
      <c r="G21" s="68" t="str">
        <f>IF(J21&lt;&gt;"OK","",IF(F21="",N(INDEX(mat_loss,MATCH(B21,mat_ref,0))),F21))</f>
        <v/>
      </c>
      <c r="H21" s="66" t="str">
        <f>IF(J21&lt;&gt;"OK","",INDEX(mat_price,MATCH(B21,mat_ref,0)))</f>
        <v/>
      </c>
      <c r="I21" s="66" t="str">
        <f>IF(J21&lt;&gt;"OK","",E21*(1+G21)*H21)</f>
        <v/>
      </c>
      <c r="J21" s="69" t="str">
        <f>IF(AND(A21="",B21=""),"",IF(A21="","Produit manquant",IF(COUNTIF(prod_ref,A21)=0,"Produit inconnu",IF(B21="","Matière manquante",IF(ISNA(MATCH(B21,mat_ref,0)),"Matière inconnue",IF(INDEX(mat_check,MATCH(B21,mat_ref,0))&lt;&gt;"OK","Matière à corriger",IF(OR(NOT(ISNUMBER(E21)),N(E21)&lt;=0),"Quantité invalide",IF(AND(F21&lt;&gt;"",OR(NOT(ISNUMBER(F21)),N(F21)&lt;0,N(F21)&gt;=1)),"Perte entre 0 et 99 %",IF(COUNTIFS(bom_prod,A21,bom_mat,B21)&gt;1,"Matière en double","OK")))))))))</f>
        <v/>
      </c>
      <c r="K21" s="71" t="str">
        <f>IF(AND(fiche_sel&lt;&gt;"",A21=fiche_sel),COUNTIF(A$6:A21,fiche_sel),"")</f>
        <v/>
      </c>
    </row>
    <row r="22">
      <c r="A22" s="60" t="n"/>
      <c r="B22" s="60" t="n"/>
      <c r="C22" s="71" t="str">
        <f>IF(B22="","",IFERROR(INDEX(mat_des,MATCH(B22,mat_ref,0))&amp;"","Matière inconnue"))</f>
        <v/>
      </c>
      <c r="D22" s="69" t="str">
        <f>IF(B22="","",IFERROR(INDEX(mat_unit,MATCH(B22,mat_ref,0))&amp;"",""))</f>
        <v/>
      </c>
      <c r="E22" s="72" t="n"/>
      <c r="F22" s="65" t="n"/>
      <c r="G22" s="68" t="str">
        <f>IF(J22&lt;&gt;"OK","",IF(F22="",N(INDEX(mat_loss,MATCH(B22,mat_ref,0))),F22))</f>
        <v/>
      </c>
      <c r="H22" s="66" t="str">
        <f>IF(J22&lt;&gt;"OK","",INDEX(mat_price,MATCH(B22,mat_ref,0)))</f>
        <v/>
      </c>
      <c r="I22" s="66" t="str">
        <f>IF(J22&lt;&gt;"OK","",E22*(1+G22)*H22)</f>
        <v/>
      </c>
      <c r="J22" s="69" t="str">
        <f>IF(AND(A22="",B22=""),"",IF(A22="","Produit manquant",IF(COUNTIF(prod_ref,A22)=0,"Produit inconnu",IF(B22="","Matière manquante",IF(ISNA(MATCH(B22,mat_ref,0)),"Matière inconnue",IF(INDEX(mat_check,MATCH(B22,mat_ref,0))&lt;&gt;"OK","Matière à corriger",IF(OR(NOT(ISNUMBER(E22)),N(E22)&lt;=0),"Quantité invalide",IF(AND(F22&lt;&gt;"",OR(NOT(ISNUMBER(F22)),N(F22)&lt;0,N(F22)&gt;=1)),"Perte entre 0 et 99 %",IF(COUNTIFS(bom_prod,A22,bom_mat,B22)&gt;1,"Matière en double","OK")))))))))</f>
        <v/>
      </c>
      <c r="K22" s="71" t="str">
        <f>IF(AND(fiche_sel&lt;&gt;"",A22=fiche_sel),COUNTIF(A$6:A22,fiche_sel),"")</f>
        <v/>
      </c>
    </row>
    <row r="23">
      <c r="A23" s="60" t="n"/>
      <c r="B23" s="60" t="n"/>
      <c r="C23" s="71" t="str">
        <f>IF(B23="","",IFERROR(INDEX(mat_des,MATCH(B23,mat_ref,0))&amp;"","Matière inconnue"))</f>
        <v/>
      </c>
      <c r="D23" s="69" t="str">
        <f>IF(B23="","",IFERROR(INDEX(mat_unit,MATCH(B23,mat_ref,0))&amp;"",""))</f>
        <v/>
      </c>
      <c r="E23" s="72" t="n"/>
      <c r="F23" s="65" t="n"/>
      <c r="G23" s="68" t="str">
        <f>IF(J23&lt;&gt;"OK","",IF(F23="",N(INDEX(mat_loss,MATCH(B23,mat_ref,0))),F23))</f>
        <v/>
      </c>
      <c r="H23" s="66" t="str">
        <f>IF(J23&lt;&gt;"OK","",INDEX(mat_price,MATCH(B23,mat_ref,0)))</f>
        <v/>
      </c>
      <c r="I23" s="66" t="str">
        <f>IF(J23&lt;&gt;"OK","",E23*(1+G23)*H23)</f>
        <v/>
      </c>
      <c r="J23" s="69" t="str">
        <f>IF(AND(A23="",B23=""),"",IF(A23="","Produit manquant",IF(COUNTIF(prod_ref,A23)=0,"Produit inconnu",IF(B23="","Matière manquante",IF(ISNA(MATCH(B23,mat_ref,0)),"Matière inconnue",IF(INDEX(mat_check,MATCH(B23,mat_ref,0))&lt;&gt;"OK","Matière à corriger",IF(OR(NOT(ISNUMBER(E23)),N(E23)&lt;=0),"Quantité invalide",IF(AND(F23&lt;&gt;"",OR(NOT(ISNUMBER(F23)),N(F23)&lt;0,N(F23)&gt;=1)),"Perte entre 0 et 99 %",IF(COUNTIFS(bom_prod,A23,bom_mat,B23)&gt;1,"Matière en double","OK")))))))))</f>
        <v/>
      </c>
      <c r="K23" s="71" t="str">
        <f>IF(AND(fiche_sel&lt;&gt;"",A23=fiche_sel),COUNTIF(A$6:A23,fiche_sel),"")</f>
        <v/>
      </c>
    </row>
    <row r="24">
      <c r="A24" s="60" t="n"/>
      <c r="B24" s="60" t="n"/>
      <c r="C24" s="71" t="str">
        <f>IF(B24="","",IFERROR(INDEX(mat_des,MATCH(B24,mat_ref,0))&amp;"","Matière inconnue"))</f>
        <v/>
      </c>
      <c r="D24" s="69" t="str">
        <f>IF(B24="","",IFERROR(INDEX(mat_unit,MATCH(B24,mat_ref,0))&amp;"",""))</f>
        <v/>
      </c>
      <c r="E24" s="72" t="n"/>
      <c r="F24" s="65" t="n"/>
      <c r="G24" s="68" t="str">
        <f>IF(J24&lt;&gt;"OK","",IF(F24="",N(INDEX(mat_loss,MATCH(B24,mat_ref,0))),F24))</f>
        <v/>
      </c>
      <c r="H24" s="66" t="str">
        <f>IF(J24&lt;&gt;"OK","",INDEX(mat_price,MATCH(B24,mat_ref,0)))</f>
        <v/>
      </c>
      <c r="I24" s="66" t="str">
        <f>IF(J24&lt;&gt;"OK","",E24*(1+G24)*H24)</f>
        <v/>
      </c>
      <c r="J24" s="69" t="str">
        <f>IF(AND(A24="",B24=""),"",IF(A24="","Produit manquant",IF(COUNTIF(prod_ref,A24)=0,"Produit inconnu",IF(B24="","Matière manquante",IF(ISNA(MATCH(B24,mat_ref,0)),"Matière inconnue",IF(INDEX(mat_check,MATCH(B24,mat_ref,0))&lt;&gt;"OK","Matière à corriger",IF(OR(NOT(ISNUMBER(E24)),N(E24)&lt;=0),"Quantité invalide",IF(AND(F24&lt;&gt;"",OR(NOT(ISNUMBER(F24)),N(F24)&lt;0,N(F24)&gt;=1)),"Perte entre 0 et 99 %",IF(COUNTIFS(bom_prod,A24,bom_mat,B24)&gt;1,"Matière en double","OK")))))))))</f>
        <v/>
      </c>
      <c r="K24" s="71" t="str">
        <f>IF(AND(fiche_sel&lt;&gt;"",A24=fiche_sel),COUNTIF(A$6:A24,fiche_sel),"")</f>
        <v/>
      </c>
    </row>
    <row r="25">
      <c r="A25" s="60" t="n"/>
      <c r="B25" s="60" t="n"/>
      <c r="C25" s="71" t="str">
        <f>IF(B25="","",IFERROR(INDEX(mat_des,MATCH(B25,mat_ref,0))&amp;"","Matière inconnue"))</f>
        <v/>
      </c>
      <c r="D25" s="69" t="str">
        <f>IF(B25="","",IFERROR(INDEX(mat_unit,MATCH(B25,mat_ref,0))&amp;"",""))</f>
        <v/>
      </c>
      <c r="E25" s="72" t="n"/>
      <c r="F25" s="65" t="n"/>
      <c r="G25" s="68" t="str">
        <f>IF(J25&lt;&gt;"OK","",IF(F25="",N(INDEX(mat_loss,MATCH(B25,mat_ref,0))),F25))</f>
        <v/>
      </c>
      <c r="H25" s="66" t="str">
        <f>IF(J25&lt;&gt;"OK","",INDEX(mat_price,MATCH(B25,mat_ref,0)))</f>
        <v/>
      </c>
      <c r="I25" s="66" t="str">
        <f>IF(J25&lt;&gt;"OK","",E25*(1+G25)*H25)</f>
        <v/>
      </c>
      <c r="J25" s="69" t="str">
        <f>IF(AND(A25="",B25=""),"",IF(A25="","Produit manquant",IF(COUNTIF(prod_ref,A25)=0,"Produit inconnu",IF(B25="","Matière manquante",IF(ISNA(MATCH(B25,mat_ref,0)),"Matière inconnue",IF(INDEX(mat_check,MATCH(B25,mat_ref,0))&lt;&gt;"OK","Matière à corriger",IF(OR(NOT(ISNUMBER(E25)),N(E25)&lt;=0),"Quantité invalide",IF(AND(F25&lt;&gt;"",OR(NOT(ISNUMBER(F25)),N(F25)&lt;0,N(F25)&gt;=1)),"Perte entre 0 et 99 %",IF(COUNTIFS(bom_prod,A25,bom_mat,B25)&gt;1,"Matière en double","OK")))))))))</f>
        <v/>
      </c>
      <c r="K25" s="71" t="str">
        <f>IF(AND(fiche_sel&lt;&gt;"",A25=fiche_sel),COUNTIF(A$6:A25,fiche_sel),"")</f>
        <v/>
      </c>
    </row>
    <row r="26">
      <c r="A26" s="60" t="n"/>
      <c r="B26" s="60" t="n"/>
      <c r="C26" s="71" t="str">
        <f>IF(B26="","",IFERROR(INDEX(mat_des,MATCH(B26,mat_ref,0))&amp;"","Matière inconnue"))</f>
        <v/>
      </c>
      <c r="D26" s="69" t="str">
        <f>IF(B26="","",IFERROR(INDEX(mat_unit,MATCH(B26,mat_ref,0))&amp;"",""))</f>
        <v/>
      </c>
      <c r="E26" s="72" t="n"/>
      <c r="F26" s="65" t="n"/>
      <c r="G26" s="68" t="str">
        <f>IF(J26&lt;&gt;"OK","",IF(F26="",N(INDEX(mat_loss,MATCH(B26,mat_ref,0))),F26))</f>
        <v/>
      </c>
      <c r="H26" s="66" t="str">
        <f>IF(J26&lt;&gt;"OK","",INDEX(mat_price,MATCH(B26,mat_ref,0)))</f>
        <v/>
      </c>
      <c r="I26" s="66" t="str">
        <f>IF(J26&lt;&gt;"OK","",E26*(1+G26)*H26)</f>
        <v/>
      </c>
      <c r="J26" s="69" t="str">
        <f>IF(AND(A26="",B26=""),"",IF(A26="","Produit manquant",IF(COUNTIF(prod_ref,A26)=0,"Produit inconnu",IF(B26="","Matière manquante",IF(ISNA(MATCH(B26,mat_ref,0)),"Matière inconnue",IF(INDEX(mat_check,MATCH(B26,mat_ref,0))&lt;&gt;"OK","Matière à corriger",IF(OR(NOT(ISNUMBER(E26)),N(E26)&lt;=0),"Quantité invalide",IF(AND(F26&lt;&gt;"",OR(NOT(ISNUMBER(F26)),N(F26)&lt;0,N(F26)&gt;=1)),"Perte entre 0 et 99 %",IF(COUNTIFS(bom_prod,A26,bom_mat,B26)&gt;1,"Matière en double","OK")))))))))</f>
        <v/>
      </c>
      <c r="K26" s="71" t="str">
        <f>IF(AND(fiche_sel&lt;&gt;"",A26=fiche_sel),COUNTIF(A$6:A26,fiche_sel),"")</f>
        <v/>
      </c>
    </row>
    <row r="27">
      <c r="A27" s="60" t="n"/>
      <c r="B27" s="60" t="n"/>
      <c r="C27" s="71" t="str">
        <f>IF(B27="","",IFERROR(INDEX(mat_des,MATCH(B27,mat_ref,0))&amp;"","Matière inconnue"))</f>
        <v/>
      </c>
      <c r="D27" s="69" t="str">
        <f>IF(B27="","",IFERROR(INDEX(mat_unit,MATCH(B27,mat_ref,0))&amp;"",""))</f>
        <v/>
      </c>
      <c r="E27" s="72" t="n"/>
      <c r="F27" s="65" t="n"/>
      <c r="G27" s="68" t="str">
        <f>IF(J27&lt;&gt;"OK","",IF(F27="",N(INDEX(mat_loss,MATCH(B27,mat_ref,0))),F27))</f>
        <v/>
      </c>
      <c r="H27" s="66" t="str">
        <f>IF(J27&lt;&gt;"OK","",INDEX(mat_price,MATCH(B27,mat_ref,0)))</f>
        <v/>
      </c>
      <c r="I27" s="66" t="str">
        <f>IF(J27&lt;&gt;"OK","",E27*(1+G27)*H27)</f>
        <v/>
      </c>
      <c r="J27" s="69" t="str">
        <f>IF(AND(A27="",B27=""),"",IF(A27="","Produit manquant",IF(COUNTIF(prod_ref,A27)=0,"Produit inconnu",IF(B27="","Matière manquante",IF(ISNA(MATCH(B27,mat_ref,0)),"Matière inconnue",IF(INDEX(mat_check,MATCH(B27,mat_ref,0))&lt;&gt;"OK","Matière à corriger",IF(OR(NOT(ISNUMBER(E27)),N(E27)&lt;=0),"Quantité invalide",IF(AND(F27&lt;&gt;"",OR(NOT(ISNUMBER(F27)),N(F27)&lt;0,N(F27)&gt;=1)),"Perte entre 0 et 99 %",IF(COUNTIFS(bom_prod,A27,bom_mat,B27)&gt;1,"Matière en double","OK")))))))))</f>
        <v/>
      </c>
      <c r="K27" s="71" t="str">
        <f>IF(AND(fiche_sel&lt;&gt;"",A27=fiche_sel),COUNTIF(A$6:A27,fiche_sel),"")</f>
        <v/>
      </c>
    </row>
    <row r="28">
      <c r="A28" s="60" t="n"/>
      <c r="B28" s="60" t="n"/>
      <c r="C28" s="71" t="str">
        <f>IF(B28="","",IFERROR(INDEX(mat_des,MATCH(B28,mat_ref,0))&amp;"","Matière inconnue"))</f>
        <v/>
      </c>
      <c r="D28" s="69" t="str">
        <f>IF(B28="","",IFERROR(INDEX(mat_unit,MATCH(B28,mat_ref,0))&amp;"",""))</f>
        <v/>
      </c>
      <c r="E28" s="72" t="n"/>
      <c r="F28" s="65" t="n"/>
      <c r="G28" s="68" t="str">
        <f>IF(J28&lt;&gt;"OK","",IF(F28="",N(INDEX(mat_loss,MATCH(B28,mat_ref,0))),F28))</f>
        <v/>
      </c>
      <c r="H28" s="66" t="str">
        <f>IF(J28&lt;&gt;"OK","",INDEX(mat_price,MATCH(B28,mat_ref,0)))</f>
        <v/>
      </c>
      <c r="I28" s="66" t="str">
        <f>IF(J28&lt;&gt;"OK","",E28*(1+G28)*H28)</f>
        <v/>
      </c>
      <c r="J28" s="69" t="str">
        <f>IF(AND(A28="",B28=""),"",IF(A28="","Produit manquant",IF(COUNTIF(prod_ref,A28)=0,"Produit inconnu",IF(B28="","Matière manquante",IF(ISNA(MATCH(B28,mat_ref,0)),"Matière inconnue",IF(INDEX(mat_check,MATCH(B28,mat_ref,0))&lt;&gt;"OK","Matière à corriger",IF(OR(NOT(ISNUMBER(E28)),N(E28)&lt;=0),"Quantité invalide",IF(AND(F28&lt;&gt;"",OR(NOT(ISNUMBER(F28)),N(F28)&lt;0,N(F28)&gt;=1)),"Perte entre 0 et 99 %",IF(COUNTIFS(bom_prod,A28,bom_mat,B28)&gt;1,"Matière en double","OK")))))))))</f>
        <v/>
      </c>
      <c r="K28" s="71" t="str">
        <f>IF(AND(fiche_sel&lt;&gt;"",A28=fiche_sel),COUNTIF(A$6:A28,fiche_sel),"")</f>
        <v/>
      </c>
    </row>
    <row r="29">
      <c r="A29" s="60" t="n"/>
      <c r="B29" s="60" t="n"/>
      <c r="C29" s="71" t="str">
        <f>IF(B29="","",IFERROR(INDEX(mat_des,MATCH(B29,mat_ref,0))&amp;"","Matière inconnue"))</f>
        <v/>
      </c>
      <c r="D29" s="69" t="str">
        <f>IF(B29="","",IFERROR(INDEX(mat_unit,MATCH(B29,mat_ref,0))&amp;"",""))</f>
        <v/>
      </c>
      <c r="E29" s="72" t="n"/>
      <c r="F29" s="65" t="n"/>
      <c r="G29" s="68" t="str">
        <f>IF(J29&lt;&gt;"OK","",IF(F29="",N(INDEX(mat_loss,MATCH(B29,mat_ref,0))),F29))</f>
        <v/>
      </c>
      <c r="H29" s="66" t="str">
        <f>IF(J29&lt;&gt;"OK","",INDEX(mat_price,MATCH(B29,mat_ref,0)))</f>
        <v/>
      </c>
      <c r="I29" s="66" t="str">
        <f>IF(J29&lt;&gt;"OK","",E29*(1+G29)*H29)</f>
        <v/>
      </c>
      <c r="J29" s="69" t="str">
        <f>IF(AND(A29="",B29=""),"",IF(A29="","Produit manquant",IF(COUNTIF(prod_ref,A29)=0,"Produit inconnu",IF(B29="","Matière manquante",IF(ISNA(MATCH(B29,mat_ref,0)),"Matière inconnue",IF(INDEX(mat_check,MATCH(B29,mat_ref,0))&lt;&gt;"OK","Matière à corriger",IF(OR(NOT(ISNUMBER(E29)),N(E29)&lt;=0),"Quantité invalide",IF(AND(F29&lt;&gt;"",OR(NOT(ISNUMBER(F29)),N(F29)&lt;0,N(F29)&gt;=1)),"Perte entre 0 et 99 %",IF(COUNTIFS(bom_prod,A29,bom_mat,B29)&gt;1,"Matière en double","OK")))))))))</f>
        <v/>
      </c>
      <c r="K29" s="71" t="str">
        <f>IF(AND(fiche_sel&lt;&gt;"",A29=fiche_sel),COUNTIF(A$6:A29,fiche_sel),"")</f>
        <v/>
      </c>
    </row>
    <row r="30">
      <c r="A30" s="60" t="n"/>
      <c r="B30" s="60" t="n"/>
      <c r="C30" s="71" t="str">
        <f>IF(B30="","",IFERROR(INDEX(mat_des,MATCH(B30,mat_ref,0))&amp;"","Matière inconnue"))</f>
        <v/>
      </c>
      <c r="D30" s="69" t="str">
        <f>IF(B30="","",IFERROR(INDEX(mat_unit,MATCH(B30,mat_ref,0))&amp;"",""))</f>
        <v/>
      </c>
      <c r="E30" s="72" t="n"/>
      <c r="F30" s="65" t="n"/>
      <c r="G30" s="68" t="str">
        <f>IF(J30&lt;&gt;"OK","",IF(F30="",N(INDEX(mat_loss,MATCH(B30,mat_ref,0))),F30))</f>
        <v/>
      </c>
      <c r="H30" s="66" t="str">
        <f>IF(J30&lt;&gt;"OK","",INDEX(mat_price,MATCH(B30,mat_ref,0)))</f>
        <v/>
      </c>
      <c r="I30" s="66" t="str">
        <f>IF(J30&lt;&gt;"OK","",E30*(1+G30)*H30)</f>
        <v/>
      </c>
      <c r="J30" s="69" t="str">
        <f>IF(AND(A30="",B30=""),"",IF(A30="","Produit manquant",IF(COUNTIF(prod_ref,A30)=0,"Produit inconnu",IF(B30="","Matière manquante",IF(ISNA(MATCH(B30,mat_ref,0)),"Matière inconnue",IF(INDEX(mat_check,MATCH(B30,mat_ref,0))&lt;&gt;"OK","Matière à corriger",IF(OR(NOT(ISNUMBER(E30)),N(E30)&lt;=0),"Quantité invalide",IF(AND(F30&lt;&gt;"",OR(NOT(ISNUMBER(F30)),N(F30)&lt;0,N(F30)&gt;=1)),"Perte entre 0 et 99 %",IF(COUNTIFS(bom_prod,A30,bom_mat,B30)&gt;1,"Matière en double","OK")))))))))</f>
        <v/>
      </c>
      <c r="K30" s="71" t="str">
        <f>IF(AND(fiche_sel&lt;&gt;"",A30=fiche_sel),COUNTIF(A$6:A30,fiche_sel),"")</f>
        <v/>
      </c>
    </row>
    <row r="31">
      <c r="A31" s="60" t="n"/>
      <c r="B31" s="60" t="n"/>
      <c r="C31" s="71" t="str">
        <f>IF(B31="","",IFERROR(INDEX(mat_des,MATCH(B31,mat_ref,0))&amp;"","Matière inconnue"))</f>
        <v/>
      </c>
      <c r="D31" s="69" t="str">
        <f>IF(B31="","",IFERROR(INDEX(mat_unit,MATCH(B31,mat_ref,0))&amp;"",""))</f>
        <v/>
      </c>
      <c r="E31" s="72" t="n"/>
      <c r="F31" s="65" t="n"/>
      <c r="G31" s="68" t="str">
        <f>IF(J31&lt;&gt;"OK","",IF(F31="",N(INDEX(mat_loss,MATCH(B31,mat_ref,0))),F31))</f>
        <v/>
      </c>
      <c r="H31" s="66" t="str">
        <f>IF(J31&lt;&gt;"OK","",INDEX(mat_price,MATCH(B31,mat_ref,0)))</f>
        <v/>
      </c>
      <c r="I31" s="66" t="str">
        <f>IF(J31&lt;&gt;"OK","",E31*(1+G31)*H31)</f>
        <v/>
      </c>
      <c r="J31" s="69" t="str">
        <f>IF(AND(A31="",B31=""),"",IF(A31="","Produit manquant",IF(COUNTIF(prod_ref,A31)=0,"Produit inconnu",IF(B31="","Matière manquante",IF(ISNA(MATCH(B31,mat_ref,0)),"Matière inconnue",IF(INDEX(mat_check,MATCH(B31,mat_ref,0))&lt;&gt;"OK","Matière à corriger",IF(OR(NOT(ISNUMBER(E31)),N(E31)&lt;=0),"Quantité invalide",IF(AND(F31&lt;&gt;"",OR(NOT(ISNUMBER(F31)),N(F31)&lt;0,N(F31)&gt;=1)),"Perte entre 0 et 99 %",IF(COUNTIFS(bom_prod,A31,bom_mat,B31)&gt;1,"Matière en double","OK")))))))))</f>
        <v/>
      </c>
      <c r="K31" s="71" t="str">
        <f>IF(AND(fiche_sel&lt;&gt;"",A31=fiche_sel),COUNTIF(A$6:A31,fiche_sel),"")</f>
        <v/>
      </c>
    </row>
    <row r="32">
      <c r="A32" s="60" t="n"/>
      <c r="B32" s="60" t="n"/>
      <c r="C32" s="71" t="str">
        <f>IF(B32="","",IFERROR(INDEX(mat_des,MATCH(B32,mat_ref,0))&amp;"","Matière inconnue"))</f>
        <v/>
      </c>
      <c r="D32" s="69" t="str">
        <f>IF(B32="","",IFERROR(INDEX(mat_unit,MATCH(B32,mat_ref,0))&amp;"",""))</f>
        <v/>
      </c>
      <c r="E32" s="72" t="n"/>
      <c r="F32" s="65" t="n"/>
      <c r="G32" s="68" t="str">
        <f>IF(J32&lt;&gt;"OK","",IF(F32="",N(INDEX(mat_loss,MATCH(B32,mat_ref,0))),F32))</f>
        <v/>
      </c>
      <c r="H32" s="66" t="str">
        <f>IF(J32&lt;&gt;"OK","",INDEX(mat_price,MATCH(B32,mat_ref,0)))</f>
        <v/>
      </c>
      <c r="I32" s="66" t="str">
        <f>IF(J32&lt;&gt;"OK","",E32*(1+G32)*H32)</f>
        <v/>
      </c>
      <c r="J32" s="69" t="str">
        <f>IF(AND(A32="",B32=""),"",IF(A32="","Produit manquant",IF(COUNTIF(prod_ref,A32)=0,"Produit inconnu",IF(B32="","Matière manquante",IF(ISNA(MATCH(B32,mat_ref,0)),"Matière inconnue",IF(INDEX(mat_check,MATCH(B32,mat_ref,0))&lt;&gt;"OK","Matière à corriger",IF(OR(NOT(ISNUMBER(E32)),N(E32)&lt;=0),"Quantité invalide",IF(AND(F32&lt;&gt;"",OR(NOT(ISNUMBER(F32)),N(F32)&lt;0,N(F32)&gt;=1)),"Perte entre 0 et 99 %",IF(COUNTIFS(bom_prod,A32,bom_mat,B32)&gt;1,"Matière en double","OK")))))))))</f>
        <v/>
      </c>
      <c r="K32" s="71" t="str">
        <f>IF(AND(fiche_sel&lt;&gt;"",A32=fiche_sel),COUNTIF(A$6:A32,fiche_sel),"")</f>
        <v/>
      </c>
    </row>
    <row r="33">
      <c r="A33" s="60" t="n"/>
      <c r="B33" s="60" t="n"/>
      <c r="C33" s="71" t="str">
        <f>IF(B33="","",IFERROR(INDEX(mat_des,MATCH(B33,mat_ref,0))&amp;"","Matière inconnue"))</f>
        <v/>
      </c>
      <c r="D33" s="69" t="str">
        <f>IF(B33="","",IFERROR(INDEX(mat_unit,MATCH(B33,mat_ref,0))&amp;"",""))</f>
        <v/>
      </c>
      <c r="E33" s="72" t="n"/>
      <c r="F33" s="65" t="n"/>
      <c r="G33" s="68" t="str">
        <f>IF(J33&lt;&gt;"OK","",IF(F33="",N(INDEX(mat_loss,MATCH(B33,mat_ref,0))),F33))</f>
        <v/>
      </c>
      <c r="H33" s="66" t="str">
        <f>IF(J33&lt;&gt;"OK","",INDEX(mat_price,MATCH(B33,mat_ref,0)))</f>
        <v/>
      </c>
      <c r="I33" s="66" t="str">
        <f>IF(J33&lt;&gt;"OK","",E33*(1+G33)*H33)</f>
        <v/>
      </c>
      <c r="J33" s="69" t="str">
        <f>IF(AND(A33="",B33=""),"",IF(A33="","Produit manquant",IF(COUNTIF(prod_ref,A33)=0,"Produit inconnu",IF(B33="","Matière manquante",IF(ISNA(MATCH(B33,mat_ref,0)),"Matière inconnue",IF(INDEX(mat_check,MATCH(B33,mat_ref,0))&lt;&gt;"OK","Matière à corriger",IF(OR(NOT(ISNUMBER(E33)),N(E33)&lt;=0),"Quantité invalide",IF(AND(F33&lt;&gt;"",OR(NOT(ISNUMBER(F33)),N(F33)&lt;0,N(F33)&gt;=1)),"Perte entre 0 et 99 %",IF(COUNTIFS(bom_prod,A33,bom_mat,B33)&gt;1,"Matière en double","OK")))))))))</f>
        <v/>
      </c>
      <c r="K33" s="71" t="str">
        <f>IF(AND(fiche_sel&lt;&gt;"",A33=fiche_sel),COUNTIF(A$6:A33,fiche_sel),"")</f>
        <v/>
      </c>
    </row>
    <row r="34">
      <c r="A34" s="60" t="n"/>
      <c r="B34" s="60" t="n"/>
      <c r="C34" s="71" t="str">
        <f>IF(B34="","",IFERROR(INDEX(mat_des,MATCH(B34,mat_ref,0))&amp;"","Matière inconnue"))</f>
        <v/>
      </c>
      <c r="D34" s="69" t="str">
        <f>IF(B34="","",IFERROR(INDEX(mat_unit,MATCH(B34,mat_ref,0))&amp;"",""))</f>
        <v/>
      </c>
      <c r="E34" s="72" t="n"/>
      <c r="F34" s="65" t="n"/>
      <c r="G34" s="68" t="str">
        <f>IF(J34&lt;&gt;"OK","",IF(F34="",N(INDEX(mat_loss,MATCH(B34,mat_ref,0))),F34))</f>
        <v/>
      </c>
      <c r="H34" s="66" t="str">
        <f>IF(J34&lt;&gt;"OK","",INDEX(mat_price,MATCH(B34,mat_ref,0)))</f>
        <v/>
      </c>
      <c r="I34" s="66" t="str">
        <f>IF(J34&lt;&gt;"OK","",E34*(1+G34)*H34)</f>
        <v/>
      </c>
      <c r="J34" s="69" t="str">
        <f>IF(AND(A34="",B34=""),"",IF(A34="","Produit manquant",IF(COUNTIF(prod_ref,A34)=0,"Produit inconnu",IF(B34="","Matière manquante",IF(ISNA(MATCH(B34,mat_ref,0)),"Matière inconnue",IF(INDEX(mat_check,MATCH(B34,mat_ref,0))&lt;&gt;"OK","Matière à corriger",IF(OR(NOT(ISNUMBER(E34)),N(E34)&lt;=0),"Quantité invalide",IF(AND(F34&lt;&gt;"",OR(NOT(ISNUMBER(F34)),N(F34)&lt;0,N(F34)&gt;=1)),"Perte entre 0 et 99 %",IF(COUNTIFS(bom_prod,A34,bom_mat,B34)&gt;1,"Matière en double","OK")))))))))</f>
        <v/>
      </c>
      <c r="K34" s="71" t="str">
        <f>IF(AND(fiche_sel&lt;&gt;"",A34=fiche_sel),COUNTIF(A$6:A34,fiche_sel),"")</f>
        <v/>
      </c>
    </row>
    <row r="35">
      <c r="A35" s="60" t="n"/>
      <c r="B35" s="60" t="n"/>
      <c r="C35" s="71" t="str">
        <f>IF(B35="","",IFERROR(INDEX(mat_des,MATCH(B35,mat_ref,0))&amp;"","Matière inconnue"))</f>
        <v/>
      </c>
      <c r="D35" s="69" t="str">
        <f>IF(B35="","",IFERROR(INDEX(mat_unit,MATCH(B35,mat_ref,0))&amp;"",""))</f>
        <v/>
      </c>
      <c r="E35" s="72" t="n"/>
      <c r="F35" s="65" t="n"/>
      <c r="G35" s="68" t="str">
        <f>IF(J35&lt;&gt;"OK","",IF(F35="",N(INDEX(mat_loss,MATCH(B35,mat_ref,0))),F35))</f>
        <v/>
      </c>
      <c r="H35" s="66" t="str">
        <f>IF(J35&lt;&gt;"OK","",INDEX(mat_price,MATCH(B35,mat_ref,0)))</f>
        <v/>
      </c>
      <c r="I35" s="66" t="str">
        <f>IF(J35&lt;&gt;"OK","",E35*(1+G35)*H35)</f>
        <v/>
      </c>
      <c r="J35" s="69" t="str">
        <f>IF(AND(A35="",B35=""),"",IF(A35="","Produit manquant",IF(COUNTIF(prod_ref,A35)=0,"Produit inconnu",IF(B35="","Matière manquante",IF(ISNA(MATCH(B35,mat_ref,0)),"Matière inconnue",IF(INDEX(mat_check,MATCH(B35,mat_ref,0))&lt;&gt;"OK","Matière à corriger",IF(OR(NOT(ISNUMBER(E35)),N(E35)&lt;=0),"Quantité invalide",IF(AND(F35&lt;&gt;"",OR(NOT(ISNUMBER(F35)),N(F35)&lt;0,N(F35)&gt;=1)),"Perte entre 0 et 99 %",IF(COUNTIFS(bom_prod,A35,bom_mat,B35)&gt;1,"Matière en double","OK")))))))))</f>
        <v/>
      </c>
      <c r="K35" s="71" t="str">
        <f>IF(AND(fiche_sel&lt;&gt;"",A35=fiche_sel),COUNTIF(A$6:A35,fiche_sel),"")</f>
        <v/>
      </c>
    </row>
    <row r="36">
      <c r="A36" s="60" t="n"/>
      <c r="B36" s="60" t="n"/>
      <c r="C36" s="71" t="str">
        <f>IF(B36="","",IFERROR(INDEX(mat_des,MATCH(B36,mat_ref,0))&amp;"","Matière inconnue"))</f>
        <v/>
      </c>
      <c r="D36" s="69" t="str">
        <f>IF(B36="","",IFERROR(INDEX(mat_unit,MATCH(B36,mat_ref,0))&amp;"",""))</f>
        <v/>
      </c>
      <c r="E36" s="72" t="n"/>
      <c r="F36" s="65" t="n"/>
      <c r="G36" s="68" t="str">
        <f>IF(J36&lt;&gt;"OK","",IF(F36="",N(INDEX(mat_loss,MATCH(B36,mat_ref,0))),F36))</f>
        <v/>
      </c>
      <c r="H36" s="66" t="str">
        <f>IF(J36&lt;&gt;"OK","",INDEX(mat_price,MATCH(B36,mat_ref,0)))</f>
        <v/>
      </c>
      <c r="I36" s="66" t="str">
        <f>IF(J36&lt;&gt;"OK","",E36*(1+G36)*H36)</f>
        <v/>
      </c>
      <c r="J36" s="69" t="str">
        <f>IF(AND(A36="",B36=""),"",IF(A36="","Produit manquant",IF(COUNTIF(prod_ref,A36)=0,"Produit inconnu",IF(B36="","Matière manquante",IF(ISNA(MATCH(B36,mat_ref,0)),"Matière inconnue",IF(INDEX(mat_check,MATCH(B36,mat_ref,0))&lt;&gt;"OK","Matière à corriger",IF(OR(NOT(ISNUMBER(E36)),N(E36)&lt;=0),"Quantité invalide",IF(AND(F36&lt;&gt;"",OR(NOT(ISNUMBER(F36)),N(F36)&lt;0,N(F36)&gt;=1)),"Perte entre 0 et 99 %",IF(COUNTIFS(bom_prod,A36,bom_mat,B36)&gt;1,"Matière en double","OK")))))))))</f>
        <v/>
      </c>
      <c r="K36" s="71" t="str">
        <f>IF(AND(fiche_sel&lt;&gt;"",A36=fiche_sel),COUNTIF(A$6:A36,fiche_sel),"")</f>
        <v/>
      </c>
    </row>
    <row r="37">
      <c r="A37" s="60" t="n"/>
      <c r="B37" s="60" t="n"/>
      <c r="C37" s="71" t="str">
        <f>IF(B37="","",IFERROR(INDEX(mat_des,MATCH(B37,mat_ref,0))&amp;"","Matière inconnue"))</f>
        <v/>
      </c>
      <c r="D37" s="69" t="str">
        <f>IF(B37="","",IFERROR(INDEX(mat_unit,MATCH(B37,mat_ref,0))&amp;"",""))</f>
        <v/>
      </c>
      <c r="E37" s="72" t="n"/>
      <c r="F37" s="65" t="n"/>
      <c r="G37" s="68" t="str">
        <f>IF(J37&lt;&gt;"OK","",IF(F37="",N(INDEX(mat_loss,MATCH(B37,mat_ref,0))),F37))</f>
        <v/>
      </c>
      <c r="H37" s="66" t="str">
        <f>IF(J37&lt;&gt;"OK","",INDEX(mat_price,MATCH(B37,mat_ref,0)))</f>
        <v/>
      </c>
      <c r="I37" s="66" t="str">
        <f>IF(J37&lt;&gt;"OK","",E37*(1+G37)*H37)</f>
        <v/>
      </c>
      <c r="J37" s="69" t="str">
        <f>IF(AND(A37="",B37=""),"",IF(A37="","Produit manquant",IF(COUNTIF(prod_ref,A37)=0,"Produit inconnu",IF(B37="","Matière manquante",IF(ISNA(MATCH(B37,mat_ref,0)),"Matière inconnue",IF(INDEX(mat_check,MATCH(B37,mat_ref,0))&lt;&gt;"OK","Matière à corriger",IF(OR(NOT(ISNUMBER(E37)),N(E37)&lt;=0),"Quantité invalide",IF(AND(F37&lt;&gt;"",OR(NOT(ISNUMBER(F37)),N(F37)&lt;0,N(F37)&gt;=1)),"Perte entre 0 et 99 %",IF(COUNTIFS(bom_prod,A37,bom_mat,B37)&gt;1,"Matière en double","OK")))))))))</f>
        <v/>
      </c>
      <c r="K37" s="71" t="str">
        <f>IF(AND(fiche_sel&lt;&gt;"",A37=fiche_sel),COUNTIF(A$6:A37,fiche_sel),"")</f>
        <v/>
      </c>
    </row>
    <row r="38">
      <c r="A38" s="60" t="n"/>
      <c r="B38" s="60" t="n"/>
      <c r="C38" s="71" t="str">
        <f>IF(B38="","",IFERROR(INDEX(mat_des,MATCH(B38,mat_ref,0))&amp;"","Matière inconnue"))</f>
        <v/>
      </c>
      <c r="D38" s="69" t="str">
        <f>IF(B38="","",IFERROR(INDEX(mat_unit,MATCH(B38,mat_ref,0))&amp;"",""))</f>
        <v/>
      </c>
      <c r="E38" s="72" t="n"/>
      <c r="F38" s="65" t="n"/>
      <c r="G38" s="68" t="str">
        <f>IF(J38&lt;&gt;"OK","",IF(F38="",N(INDEX(mat_loss,MATCH(B38,mat_ref,0))),F38))</f>
        <v/>
      </c>
      <c r="H38" s="66" t="str">
        <f>IF(J38&lt;&gt;"OK","",INDEX(mat_price,MATCH(B38,mat_ref,0)))</f>
        <v/>
      </c>
      <c r="I38" s="66" t="str">
        <f>IF(J38&lt;&gt;"OK","",E38*(1+G38)*H38)</f>
        <v/>
      </c>
      <c r="J38" s="69" t="str">
        <f>IF(AND(A38="",B38=""),"",IF(A38="","Produit manquant",IF(COUNTIF(prod_ref,A38)=0,"Produit inconnu",IF(B38="","Matière manquante",IF(ISNA(MATCH(B38,mat_ref,0)),"Matière inconnue",IF(INDEX(mat_check,MATCH(B38,mat_ref,0))&lt;&gt;"OK","Matière à corriger",IF(OR(NOT(ISNUMBER(E38)),N(E38)&lt;=0),"Quantité invalide",IF(AND(F38&lt;&gt;"",OR(NOT(ISNUMBER(F38)),N(F38)&lt;0,N(F38)&gt;=1)),"Perte entre 0 et 99 %",IF(COUNTIFS(bom_prod,A38,bom_mat,B38)&gt;1,"Matière en double","OK")))))))))</f>
        <v/>
      </c>
      <c r="K38" s="71" t="str">
        <f>IF(AND(fiche_sel&lt;&gt;"",A38=fiche_sel),COUNTIF(A$6:A38,fiche_sel),"")</f>
        <v/>
      </c>
    </row>
    <row r="39">
      <c r="A39" s="60" t="n"/>
      <c r="B39" s="60" t="n"/>
      <c r="C39" s="71" t="str">
        <f>IF(B39="","",IFERROR(INDEX(mat_des,MATCH(B39,mat_ref,0))&amp;"","Matière inconnue"))</f>
        <v/>
      </c>
      <c r="D39" s="69" t="str">
        <f>IF(B39="","",IFERROR(INDEX(mat_unit,MATCH(B39,mat_ref,0))&amp;"",""))</f>
        <v/>
      </c>
      <c r="E39" s="72" t="n"/>
      <c r="F39" s="65" t="n"/>
      <c r="G39" s="68" t="str">
        <f>IF(J39&lt;&gt;"OK","",IF(F39="",N(INDEX(mat_loss,MATCH(B39,mat_ref,0))),F39))</f>
        <v/>
      </c>
      <c r="H39" s="66" t="str">
        <f>IF(J39&lt;&gt;"OK","",INDEX(mat_price,MATCH(B39,mat_ref,0)))</f>
        <v/>
      </c>
      <c r="I39" s="66" t="str">
        <f>IF(J39&lt;&gt;"OK","",E39*(1+G39)*H39)</f>
        <v/>
      </c>
      <c r="J39" s="69" t="str">
        <f>IF(AND(A39="",B39=""),"",IF(A39="","Produit manquant",IF(COUNTIF(prod_ref,A39)=0,"Produit inconnu",IF(B39="","Matière manquante",IF(ISNA(MATCH(B39,mat_ref,0)),"Matière inconnue",IF(INDEX(mat_check,MATCH(B39,mat_ref,0))&lt;&gt;"OK","Matière à corriger",IF(OR(NOT(ISNUMBER(E39)),N(E39)&lt;=0),"Quantité invalide",IF(AND(F39&lt;&gt;"",OR(NOT(ISNUMBER(F39)),N(F39)&lt;0,N(F39)&gt;=1)),"Perte entre 0 et 99 %",IF(COUNTIFS(bom_prod,A39,bom_mat,B39)&gt;1,"Matière en double","OK")))))))))</f>
        <v/>
      </c>
      <c r="K39" s="71" t="str">
        <f>IF(AND(fiche_sel&lt;&gt;"",A39=fiche_sel),COUNTIF(A$6:A39,fiche_sel),"")</f>
        <v/>
      </c>
    </row>
    <row r="40">
      <c r="A40" s="60" t="n"/>
      <c r="B40" s="60" t="n"/>
      <c r="C40" s="71" t="str">
        <f>IF(B40="","",IFERROR(INDEX(mat_des,MATCH(B40,mat_ref,0))&amp;"","Matière inconnue"))</f>
        <v/>
      </c>
      <c r="D40" s="69" t="str">
        <f>IF(B40="","",IFERROR(INDEX(mat_unit,MATCH(B40,mat_ref,0))&amp;"",""))</f>
        <v/>
      </c>
      <c r="E40" s="72" t="n"/>
      <c r="F40" s="65" t="n"/>
      <c r="G40" s="68" t="str">
        <f>IF(J40&lt;&gt;"OK","",IF(F40="",N(INDEX(mat_loss,MATCH(B40,mat_ref,0))),F40))</f>
        <v/>
      </c>
      <c r="H40" s="66" t="str">
        <f>IF(J40&lt;&gt;"OK","",INDEX(mat_price,MATCH(B40,mat_ref,0)))</f>
        <v/>
      </c>
      <c r="I40" s="66" t="str">
        <f>IF(J40&lt;&gt;"OK","",E40*(1+G40)*H40)</f>
        <v/>
      </c>
      <c r="J40" s="69" t="str">
        <f>IF(AND(A40="",B40=""),"",IF(A40="","Produit manquant",IF(COUNTIF(prod_ref,A40)=0,"Produit inconnu",IF(B40="","Matière manquante",IF(ISNA(MATCH(B40,mat_ref,0)),"Matière inconnue",IF(INDEX(mat_check,MATCH(B40,mat_ref,0))&lt;&gt;"OK","Matière à corriger",IF(OR(NOT(ISNUMBER(E40)),N(E40)&lt;=0),"Quantité invalide",IF(AND(F40&lt;&gt;"",OR(NOT(ISNUMBER(F40)),N(F40)&lt;0,N(F40)&gt;=1)),"Perte entre 0 et 99 %",IF(COUNTIFS(bom_prod,A40,bom_mat,B40)&gt;1,"Matière en double","OK")))))))))</f>
        <v/>
      </c>
      <c r="K40" s="71" t="str">
        <f>IF(AND(fiche_sel&lt;&gt;"",A40=fiche_sel),COUNTIF(A$6:A40,fiche_sel),"")</f>
        <v/>
      </c>
    </row>
    <row r="41">
      <c r="A41" s="60" t="n"/>
      <c r="B41" s="60" t="n"/>
      <c r="C41" s="71" t="str">
        <f>IF(B41="","",IFERROR(INDEX(mat_des,MATCH(B41,mat_ref,0))&amp;"","Matière inconnue"))</f>
        <v/>
      </c>
      <c r="D41" s="69" t="str">
        <f>IF(B41="","",IFERROR(INDEX(mat_unit,MATCH(B41,mat_ref,0))&amp;"",""))</f>
        <v/>
      </c>
      <c r="E41" s="72" t="n"/>
      <c r="F41" s="65" t="n"/>
      <c r="G41" s="68" t="str">
        <f>IF(J41&lt;&gt;"OK","",IF(F41="",N(INDEX(mat_loss,MATCH(B41,mat_ref,0))),F41))</f>
        <v/>
      </c>
      <c r="H41" s="66" t="str">
        <f>IF(J41&lt;&gt;"OK","",INDEX(mat_price,MATCH(B41,mat_ref,0)))</f>
        <v/>
      </c>
      <c r="I41" s="66" t="str">
        <f>IF(J41&lt;&gt;"OK","",E41*(1+G41)*H41)</f>
        <v/>
      </c>
      <c r="J41" s="69" t="str">
        <f>IF(AND(A41="",B41=""),"",IF(A41="","Produit manquant",IF(COUNTIF(prod_ref,A41)=0,"Produit inconnu",IF(B41="","Matière manquante",IF(ISNA(MATCH(B41,mat_ref,0)),"Matière inconnue",IF(INDEX(mat_check,MATCH(B41,mat_ref,0))&lt;&gt;"OK","Matière à corriger",IF(OR(NOT(ISNUMBER(E41)),N(E41)&lt;=0),"Quantité invalide",IF(AND(F41&lt;&gt;"",OR(NOT(ISNUMBER(F41)),N(F41)&lt;0,N(F41)&gt;=1)),"Perte entre 0 et 99 %",IF(COUNTIFS(bom_prod,A41,bom_mat,B41)&gt;1,"Matière en double","OK")))))))))</f>
        <v/>
      </c>
      <c r="K41" s="71" t="str">
        <f>IF(AND(fiche_sel&lt;&gt;"",A41=fiche_sel),COUNTIF(A$6:A41,fiche_sel),"")</f>
        <v/>
      </c>
    </row>
    <row r="42">
      <c r="A42" s="60" t="n"/>
      <c r="B42" s="60" t="n"/>
      <c r="C42" s="71" t="str">
        <f>IF(B42="","",IFERROR(INDEX(mat_des,MATCH(B42,mat_ref,0))&amp;"","Matière inconnue"))</f>
        <v/>
      </c>
      <c r="D42" s="69" t="str">
        <f>IF(B42="","",IFERROR(INDEX(mat_unit,MATCH(B42,mat_ref,0))&amp;"",""))</f>
        <v/>
      </c>
      <c r="E42" s="72" t="n"/>
      <c r="F42" s="65" t="n"/>
      <c r="G42" s="68" t="str">
        <f>IF(J42&lt;&gt;"OK","",IF(F42="",N(INDEX(mat_loss,MATCH(B42,mat_ref,0))),F42))</f>
        <v/>
      </c>
      <c r="H42" s="66" t="str">
        <f>IF(J42&lt;&gt;"OK","",INDEX(mat_price,MATCH(B42,mat_ref,0)))</f>
        <v/>
      </c>
      <c r="I42" s="66" t="str">
        <f>IF(J42&lt;&gt;"OK","",E42*(1+G42)*H42)</f>
        <v/>
      </c>
      <c r="J42" s="69" t="str">
        <f>IF(AND(A42="",B42=""),"",IF(A42="","Produit manquant",IF(COUNTIF(prod_ref,A42)=0,"Produit inconnu",IF(B42="","Matière manquante",IF(ISNA(MATCH(B42,mat_ref,0)),"Matière inconnue",IF(INDEX(mat_check,MATCH(B42,mat_ref,0))&lt;&gt;"OK","Matière à corriger",IF(OR(NOT(ISNUMBER(E42)),N(E42)&lt;=0),"Quantité invalide",IF(AND(F42&lt;&gt;"",OR(NOT(ISNUMBER(F42)),N(F42)&lt;0,N(F42)&gt;=1)),"Perte entre 0 et 99 %",IF(COUNTIFS(bom_prod,A42,bom_mat,B42)&gt;1,"Matière en double","OK")))))))))</f>
        <v/>
      </c>
      <c r="K42" s="71" t="str">
        <f>IF(AND(fiche_sel&lt;&gt;"",A42=fiche_sel),COUNTIF(A$6:A42,fiche_sel),"")</f>
        <v/>
      </c>
    </row>
    <row r="43">
      <c r="A43" s="60" t="n"/>
      <c r="B43" s="60" t="n"/>
      <c r="C43" s="71" t="str">
        <f>IF(B43="","",IFERROR(INDEX(mat_des,MATCH(B43,mat_ref,0))&amp;"","Matière inconnue"))</f>
        <v/>
      </c>
      <c r="D43" s="69" t="str">
        <f>IF(B43="","",IFERROR(INDEX(mat_unit,MATCH(B43,mat_ref,0))&amp;"",""))</f>
        <v/>
      </c>
      <c r="E43" s="72" t="n"/>
      <c r="F43" s="65" t="n"/>
      <c r="G43" s="68" t="str">
        <f>IF(J43&lt;&gt;"OK","",IF(F43="",N(INDEX(mat_loss,MATCH(B43,mat_ref,0))),F43))</f>
        <v/>
      </c>
      <c r="H43" s="66" t="str">
        <f>IF(J43&lt;&gt;"OK","",INDEX(mat_price,MATCH(B43,mat_ref,0)))</f>
        <v/>
      </c>
      <c r="I43" s="66" t="str">
        <f>IF(J43&lt;&gt;"OK","",E43*(1+G43)*H43)</f>
        <v/>
      </c>
      <c r="J43" s="69" t="str">
        <f>IF(AND(A43="",B43=""),"",IF(A43="","Produit manquant",IF(COUNTIF(prod_ref,A43)=0,"Produit inconnu",IF(B43="","Matière manquante",IF(ISNA(MATCH(B43,mat_ref,0)),"Matière inconnue",IF(INDEX(mat_check,MATCH(B43,mat_ref,0))&lt;&gt;"OK","Matière à corriger",IF(OR(NOT(ISNUMBER(E43)),N(E43)&lt;=0),"Quantité invalide",IF(AND(F43&lt;&gt;"",OR(NOT(ISNUMBER(F43)),N(F43)&lt;0,N(F43)&gt;=1)),"Perte entre 0 et 99 %",IF(COUNTIFS(bom_prod,A43,bom_mat,B43)&gt;1,"Matière en double","OK")))))))))</f>
        <v/>
      </c>
      <c r="K43" s="71" t="str">
        <f>IF(AND(fiche_sel&lt;&gt;"",A43=fiche_sel),COUNTIF(A$6:A43,fiche_sel),"")</f>
        <v/>
      </c>
    </row>
    <row r="44">
      <c r="A44" s="60" t="n"/>
      <c r="B44" s="60" t="n"/>
      <c r="C44" s="71" t="str">
        <f>IF(B44="","",IFERROR(INDEX(mat_des,MATCH(B44,mat_ref,0))&amp;"","Matière inconnue"))</f>
        <v/>
      </c>
      <c r="D44" s="69" t="str">
        <f>IF(B44="","",IFERROR(INDEX(mat_unit,MATCH(B44,mat_ref,0))&amp;"",""))</f>
        <v/>
      </c>
      <c r="E44" s="72" t="n"/>
      <c r="F44" s="65" t="n"/>
      <c r="G44" s="68" t="str">
        <f>IF(J44&lt;&gt;"OK","",IF(F44="",N(INDEX(mat_loss,MATCH(B44,mat_ref,0))),F44))</f>
        <v/>
      </c>
      <c r="H44" s="66" t="str">
        <f>IF(J44&lt;&gt;"OK","",INDEX(mat_price,MATCH(B44,mat_ref,0)))</f>
        <v/>
      </c>
      <c r="I44" s="66" t="str">
        <f>IF(J44&lt;&gt;"OK","",E44*(1+G44)*H44)</f>
        <v/>
      </c>
      <c r="J44" s="69" t="str">
        <f>IF(AND(A44="",B44=""),"",IF(A44="","Produit manquant",IF(COUNTIF(prod_ref,A44)=0,"Produit inconnu",IF(B44="","Matière manquante",IF(ISNA(MATCH(B44,mat_ref,0)),"Matière inconnue",IF(INDEX(mat_check,MATCH(B44,mat_ref,0))&lt;&gt;"OK","Matière à corriger",IF(OR(NOT(ISNUMBER(E44)),N(E44)&lt;=0),"Quantité invalide",IF(AND(F44&lt;&gt;"",OR(NOT(ISNUMBER(F44)),N(F44)&lt;0,N(F44)&gt;=1)),"Perte entre 0 et 99 %",IF(COUNTIFS(bom_prod,A44,bom_mat,B44)&gt;1,"Matière en double","OK")))))))))</f>
        <v/>
      </c>
      <c r="K44" s="71" t="str">
        <f>IF(AND(fiche_sel&lt;&gt;"",A44=fiche_sel),COUNTIF(A$6:A44,fiche_sel),"")</f>
        <v/>
      </c>
    </row>
    <row r="45">
      <c r="A45" s="60" t="n"/>
      <c r="B45" s="60" t="n"/>
      <c r="C45" s="71" t="str">
        <f>IF(B45="","",IFERROR(INDEX(mat_des,MATCH(B45,mat_ref,0))&amp;"","Matière inconnue"))</f>
        <v/>
      </c>
      <c r="D45" s="69" t="str">
        <f>IF(B45="","",IFERROR(INDEX(mat_unit,MATCH(B45,mat_ref,0))&amp;"",""))</f>
        <v/>
      </c>
      <c r="E45" s="72" t="n"/>
      <c r="F45" s="65" t="n"/>
      <c r="G45" s="68" t="str">
        <f>IF(J45&lt;&gt;"OK","",IF(F45="",N(INDEX(mat_loss,MATCH(B45,mat_ref,0))),F45))</f>
        <v/>
      </c>
      <c r="H45" s="66" t="str">
        <f>IF(J45&lt;&gt;"OK","",INDEX(mat_price,MATCH(B45,mat_ref,0)))</f>
        <v/>
      </c>
      <c r="I45" s="66" t="str">
        <f>IF(J45&lt;&gt;"OK","",E45*(1+G45)*H45)</f>
        <v/>
      </c>
      <c r="J45" s="69" t="str">
        <f>IF(AND(A45="",B45=""),"",IF(A45="","Produit manquant",IF(COUNTIF(prod_ref,A45)=0,"Produit inconnu",IF(B45="","Matière manquante",IF(ISNA(MATCH(B45,mat_ref,0)),"Matière inconnue",IF(INDEX(mat_check,MATCH(B45,mat_ref,0))&lt;&gt;"OK","Matière à corriger",IF(OR(NOT(ISNUMBER(E45)),N(E45)&lt;=0),"Quantité invalide",IF(AND(F45&lt;&gt;"",OR(NOT(ISNUMBER(F45)),N(F45)&lt;0,N(F45)&gt;=1)),"Perte entre 0 et 99 %",IF(COUNTIFS(bom_prod,A45,bom_mat,B45)&gt;1,"Matière en double","OK")))))))))</f>
        <v/>
      </c>
      <c r="K45" s="71" t="str">
        <f>IF(AND(fiche_sel&lt;&gt;"",A45=fiche_sel),COUNTIF(A$6:A45,fiche_sel),"")</f>
        <v/>
      </c>
    </row>
    <row r="46">
      <c r="A46" s="60" t="n"/>
      <c r="B46" s="60" t="n"/>
      <c r="C46" s="71" t="str">
        <f>IF(B46="","",IFERROR(INDEX(mat_des,MATCH(B46,mat_ref,0))&amp;"","Matière inconnue"))</f>
        <v/>
      </c>
      <c r="D46" s="69" t="str">
        <f>IF(B46="","",IFERROR(INDEX(mat_unit,MATCH(B46,mat_ref,0))&amp;"",""))</f>
        <v/>
      </c>
      <c r="E46" s="72" t="n"/>
      <c r="F46" s="65" t="n"/>
      <c r="G46" s="68" t="str">
        <f>IF(J46&lt;&gt;"OK","",IF(F46="",N(INDEX(mat_loss,MATCH(B46,mat_ref,0))),F46))</f>
        <v/>
      </c>
      <c r="H46" s="66" t="str">
        <f>IF(J46&lt;&gt;"OK","",INDEX(mat_price,MATCH(B46,mat_ref,0)))</f>
        <v/>
      </c>
      <c r="I46" s="66" t="str">
        <f>IF(J46&lt;&gt;"OK","",E46*(1+G46)*H46)</f>
        <v/>
      </c>
      <c r="J46" s="69" t="str">
        <f>IF(AND(A46="",B46=""),"",IF(A46="","Produit manquant",IF(COUNTIF(prod_ref,A46)=0,"Produit inconnu",IF(B46="","Matière manquante",IF(ISNA(MATCH(B46,mat_ref,0)),"Matière inconnue",IF(INDEX(mat_check,MATCH(B46,mat_ref,0))&lt;&gt;"OK","Matière à corriger",IF(OR(NOT(ISNUMBER(E46)),N(E46)&lt;=0),"Quantité invalide",IF(AND(F46&lt;&gt;"",OR(NOT(ISNUMBER(F46)),N(F46)&lt;0,N(F46)&gt;=1)),"Perte entre 0 et 99 %",IF(COUNTIFS(bom_prod,A46,bom_mat,B46)&gt;1,"Matière en double","OK")))))))))</f>
        <v/>
      </c>
      <c r="K46" s="71" t="str">
        <f>IF(AND(fiche_sel&lt;&gt;"",A46=fiche_sel),COUNTIF(A$6:A46,fiche_sel),"")</f>
        <v/>
      </c>
    </row>
    <row r="47">
      <c r="A47" s="60" t="n"/>
      <c r="B47" s="60" t="n"/>
      <c r="C47" s="71" t="str">
        <f>IF(B47="","",IFERROR(INDEX(mat_des,MATCH(B47,mat_ref,0))&amp;"","Matière inconnue"))</f>
        <v/>
      </c>
      <c r="D47" s="69" t="str">
        <f>IF(B47="","",IFERROR(INDEX(mat_unit,MATCH(B47,mat_ref,0))&amp;"",""))</f>
        <v/>
      </c>
      <c r="E47" s="72" t="n"/>
      <c r="F47" s="65" t="n"/>
      <c r="G47" s="68" t="str">
        <f>IF(J47&lt;&gt;"OK","",IF(F47="",N(INDEX(mat_loss,MATCH(B47,mat_ref,0))),F47))</f>
        <v/>
      </c>
      <c r="H47" s="66" t="str">
        <f>IF(J47&lt;&gt;"OK","",INDEX(mat_price,MATCH(B47,mat_ref,0)))</f>
        <v/>
      </c>
      <c r="I47" s="66" t="str">
        <f>IF(J47&lt;&gt;"OK","",E47*(1+G47)*H47)</f>
        <v/>
      </c>
      <c r="J47" s="69" t="str">
        <f>IF(AND(A47="",B47=""),"",IF(A47="","Produit manquant",IF(COUNTIF(prod_ref,A47)=0,"Produit inconnu",IF(B47="","Matière manquante",IF(ISNA(MATCH(B47,mat_ref,0)),"Matière inconnue",IF(INDEX(mat_check,MATCH(B47,mat_ref,0))&lt;&gt;"OK","Matière à corriger",IF(OR(NOT(ISNUMBER(E47)),N(E47)&lt;=0),"Quantité invalide",IF(AND(F47&lt;&gt;"",OR(NOT(ISNUMBER(F47)),N(F47)&lt;0,N(F47)&gt;=1)),"Perte entre 0 et 99 %",IF(COUNTIFS(bom_prod,A47,bom_mat,B47)&gt;1,"Matière en double","OK")))))))))</f>
        <v/>
      </c>
      <c r="K47" s="71" t="str">
        <f>IF(AND(fiche_sel&lt;&gt;"",A47=fiche_sel),COUNTIF(A$6:A47,fiche_sel),"")</f>
        <v/>
      </c>
    </row>
    <row r="48">
      <c r="A48" s="60" t="n"/>
      <c r="B48" s="60" t="n"/>
      <c r="C48" s="71" t="str">
        <f>IF(B48="","",IFERROR(INDEX(mat_des,MATCH(B48,mat_ref,0))&amp;"","Matière inconnue"))</f>
        <v/>
      </c>
      <c r="D48" s="69" t="str">
        <f>IF(B48="","",IFERROR(INDEX(mat_unit,MATCH(B48,mat_ref,0))&amp;"",""))</f>
        <v/>
      </c>
      <c r="E48" s="72" t="n"/>
      <c r="F48" s="65" t="n"/>
      <c r="G48" s="68" t="str">
        <f>IF(J48&lt;&gt;"OK","",IF(F48="",N(INDEX(mat_loss,MATCH(B48,mat_ref,0))),F48))</f>
        <v/>
      </c>
      <c r="H48" s="66" t="str">
        <f>IF(J48&lt;&gt;"OK","",INDEX(mat_price,MATCH(B48,mat_ref,0)))</f>
        <v/>
      </c>
      <c r="I48" s="66" t="str">
        <f>IF(J48&lt;&gt;"OK","",E48*(1+G48)*H48)</f>
        <v/>
      </c>
      <c r="J48" s="69" t="str">
        <f>IF(AND(A48="",B48=""),"",IF(A48="","Produit manquant",IF(COUNTIF(prod_ref,A48)=0,"Produit inconnu",IF(B48="","Matière manquante",IF(ISNA(MATCH(B48,mat_ref,0)),"Matière inconnue",IF(INDEX(mat_check,MATCH(B48,mat_ref,0))&lt;&gt;"OK","Matière à corriger",IF(OR(NOT(ISNUMBER(E48)),N(E48)&lt;=0),"Quantité invalide",IF(AND(F48&lt;&gt;"",OR(NOT(ISNUMBER(F48)),N(F48)&lt;0,N(F48)&gt;=1)),"Perte entre 0 et 99 %",IF(COUNTIFS(bom_prod,A48,bom_mat,B48)&gt;1,"Matière en double","OK")))))))))</f>
        <v/>
      </c>
      <c r="K48" s="71" t="str">
        <f>IF(AND(fiche_sel&lt;&gt;"",A48=fiche_sel),COUNTIF(A$6:A48,fiche_sel),"")</f>
        <v/>
      </c>
    </row>
    <row r="49">
      <c r="A49" s="60" t="n"/>
      <c r="B49" s="60" t="n"/>
      <c r="C49" s="71" t="str">
        <f>IF(B49="","",IFERROR(INDEX(mat_des,MATCH(B49,mat_ref,0))&amp;"","Matière inconnue"))</f>
        <v/>
      </c>
      <c r="D49" s="69" t="str">
        <f>IF(B49="","",IFERROR(INDEX(mat_unit,MATCH(B49,mat_ref,0))&amp;"",""))</f>
        <v/>
      </c>
      <c r="E49" s="72" t="n"/>
      <c r="F49" s="65" t="n"/>
      <c r="G49" s="68" t="str">
        <f>IF(J49&lt;&gt;"OK","",IF(F49="",N(INDEX(mat_loss,MATCH(B49,mat_ref,0))),F49))</f>
        <v/>
      </c>
      <c r="H49" s="66" t="str">
        <f>IF(J49&lt;&gt;"OK","",INDEX(mat_price,MATCH(B49,mat_ref,0)))</f>
        <v/>
      </c>
      <c r="I49" s="66" t="str">
        <f>IF(J49&lt;&gt;"OK","",E49*(1+G49)*H49)</f>
        <v/>
      </c>
      <c r="J49" s="69" t="str">
        <f>IF(AND(A49="",B49=""),"",IF(A49="","Produit manquant",IF(COUNTIF(prod_ref,A49)=0,"Produit inconnu",IF(B49="","Matière manquante",IF(ISNA(MATCH(B49,mat_ref,0)),"Matière inconnue",IF(INDEX(mat_check,MATCH(B49,mat_ref,0))&lt;&gt;"OK","Matière à corriger",IF(OR(NOT(ISNUMBER(E49)),N(E49)&lt;=0),"Quantité invalide",IF(AND(F49&lt;&gt;"",OR(NOT(ISNUMBER(F49)),N(F49)&lt;0,N(F49)&gt;=1)),"Perte entre 0 et 99 %",IF(COUNTIFS(bom_prod,A49,bom_mat,B49)&gt;1,"Matière en double","OK")))))))))</f>
        <v/>
      </c>
      <c r="K49" s="71" t="str">
        <f>IF(AND(fiche_sel&lt;&gt;"",A49=fiche_sel),COUNTIF(A$6:A49,fiche_sel),"")</f>
        <v/>
      </c>
    </row>
    <row r="50">
      <c r="A50" s="60" t="n"/>
      <c r="B50" s="60" t="n"/>
      <c r="C50" s="71" t="str">
        <f>IF(B50="","",IFERROR(INDEX(mat_des,MATCH(B50,mat_ref,0))&amp;"","Matière inconnue"))</f>
        <v/>
      </c>
      <c r="D50" s="69" t="str">
        <f>IF(B50="","",IFERROR(INDEX(mat_unit,MATCH(B50,mat_ref,0))&amp;"",""))</f>
        <v/>
      </c>
      <c r="E50" s="72" t="n"/>
      <c r="F50" s="65" t="n"/>
      <c r="G50" s="68" t="str">
        <f>IF(J50&lt;&gt;"OK","",IF(F50="",N(INDEX(mat_loss,MATCH(B50,mat_ref,0))),F50))</f>
        <v/>
      </c>
      <c r="H50" s="66" t="str">
        <f>IF(J50&lt;&gt;"OK","",INDEX(mat_price,MATCH(B50,mat_ref,0)))</f>
        <v/>
      </c>
      <c r="I50" s="66" t="str">
        <f>IF(J50&lt;&gt;"OK","",E50*(1+G50)*H50)</f>
        <v/>
      </c>
      <c r="J50" s="69" t="str">
        <f>IF(AND(A50="",B50=""),"",IF(A50="","Produit manquant",IF(COUNTIF(prod_ref,A50)=0,"Produit inconnu",IF(B50="","Matière manquante",IF(ISNA(MATCH(B50,mat_ref,0)),"Matière inconnue",IF(INDEX(mat_check,MATCH(B50,mat_ref,0))&lt;&gt;"OK","Matière à corriger",IF(OR(NOT(ISNUMBER(E50)),N(E50)&lt;=0),"Quantité invalide",IF(AND(F50&lt;&gt;"",OR(NOT(ISNUMBER(F50)),N(F50)&lt;0,N(F50)&gt;=1)),"Perte entre 0 et 99 %",IF(COUNTIFS(bom_prod,A50,bom_mat,B50)&gt;1,"Matière en double","OK")))))))))</f>
        <v/>
      </c>
      <c r="K50" s="71" t="str">
        <f>IF(AND(fiche_sel&lt;&gt;"",A50=fiche_sel),COUNTIF(A$6:A50,fiche_sel),"")</f>
        <v/>
      </c>
    </row>
    <row r="51">
      <c r="A51" s="60" t="n"/>
      <c r="B51" s="60" t="n"/>
      <c r="C51" s="71" t="str">
        <f>IF(B51="","",IFERROR(INDEX(mat_des,MATCH(B51,mat_ref,0))&amp;"","Matière inconnue"))</f>
        <v/>
      </c>
      <c r="D51" s="69" t="str">
        <f>IF(B51="","",IFERROR(INDEX(mat_unit,MATCH(B51,mat_ref,0))&amp;"",""))</f>
        <v/>
      </c>
      <c r="E51" s="72" t="n"/>
      <c r="F51" s="65" t="n"/>
      <c r="G51" s="68" t="str">
        <f>IF(J51&lt;&gt;"OK","",IF(F51="",N(INDEX(mat_loss,MATCH(B51,mat_ref,0))),F51))</f>
        <v/>
      </c>
      <c r="H51" s="66" t="str">
        <f>IF(J51&lt;&gt;"OK","",INDEX(mat_price,MATCH(B51,mat_ref,0)))</f>
        <v/>
      </c>
      <c r="I51" s="66" t="str">
        <f>IF(J51&lt;&gt;"OK","",E51*(1+G51)*H51)</f>
        <v/>
      </c>
      <c r="J51" s="69" t="str">
        <f>IF(AND(A51="",B51=""),"",IF(A51="","Produit manquant",IF(COUNTIF(prod_ref,A51)=0,"Produit inconnu",IF(B51="","Matière manquante",IF(ISNA(MATCH(B51,mat_ref,0)),"Matière inconnue",IF(INDEX(mat_check,MATCH(B51,mat_ref,0))&lt;&gt;"OK","Matière à corriger",IF(OR(NOT(ISNUMBER(E51)),N(E51)&lt;=0),"Quantité invalide",IF(AND(F51&lt;&gt;"",OR(NOT(ISNUMBER(F51)),N(F51)&lt;0,N(F51)&gt;=1)),"Perte entre 0 et 99 %",IF(COUNTIFS(bom_prod,A51,bom_mat,B51)&gt;1,"Matière en double","OK")))))))))</f>
        <v/>
      </c>
      <c r="K51" s="71" t="str">
        <f>IF(AND(fiche_sel&lt;&gt;"",A51=fiche_sel),COUNTIF(A$6:A51,fiche_sel),"")</f>
        <v/>
      </c>
    </row>
    <row r="52">
      <c r="A52" s="60" t="n"/>
      <c r="B52" s="60" t="n"/>
      <c r="C52" s="71" t="str">
        <f>IF(B52="","",IFERROR(INDEX(mat_des,MATCH(B52,mat_ref,0))&amp;"","Matière inconnue"))</f>
        <v/>
      </c>
      <c r="D52" s="69" t="str">
        <f>IF(B52="","",IFERROR(INDEX(mat_unit,MATCH(B52,mat_ref,0))&amp;"",""))</f>
        <v/>
      </c>
      <c r="E52" s="72" t="n"/>
      <c r="F52" s="65" t="n"/>
      <c r="G52" s="68" t="str">
        <f>IF(J52&lt;&gt;"OK","",IF(F52="",N(INDEX(mat_loss,MATCH(B52,mat_ref,0))),F52))</f>
        <v/>
      </c>
      <c r="H52" s="66" t="str">
        <f>IF(J52&lt;&gt;"OK","",INDEX(mat_price,MATCH(B52,mat_ref,0)))</f>
        <v/>
      </c>
      <c r="I52" s="66" t="str">
        <f>IF(J52&lt;&gt;"OK","",E52*(1+G52)*H52)</f>
        <v/>
      </c>
      <c r="J52" s="69" t="str">
        <f>IF(AND(A52="",B52=""),"",IF(A52="","Produit manquant",IF(COUNTIF(prod_ref,A52)=0,"Produit inconnu",IF(B52="","Matière manquante",IF(ISNA(MATCH(B52,mat_ref,0)),"Matière inconnue",IF(INDEX(mat_check,MATCH(B52,mat_ref,0))&lt;&gt;"OK","Matière à corriger",IF(OR(NOT(ISNUMBER(E52)),N(E52)&lt;=0),"Quantité invalide",IF(AND(F52&lt;&gt;"",OR(NOT(ISNUMBER(F52)),N(F52)&lt;0,N(F52)&gt;=1)),"Perte entre 0 et 99 %",IF(COUNTIFS(bom_prod,A52,bom_mat,B52)&gt;1,"Matière en double","OK")))))))))</f>
        <v/>
      </c>
      <c r="K52" s="71" t="str">
        <f>IF(AND(fiche_sel&lt;&gt;"",A52=fiche_sel),COUNTIF(A$6:A52,fiche_sel),"")</f>
        <v/>
      </c>
    </row>
    <row r="53">
      <c r="A53" s="60" t="n"/>
      <c r="B53" s="60" t="n"/>
      <c r="C53" s="71" t="str">
        <f>IF(B53="","",IFERROR(INDEX(mat_des,MATCH(B53,mat_ref,0))&amp;"","Matière inconnue"))</f>
        <v/>
      </c>
      <c r="D53" s="69" t="str">
        <f>IF(B53="","",IFERROR(INDEX(mat_unit,MATCH(B53,mat_ref,0))&amp;"",""))</f>
        <v/>
      </c>
      <c r="E53" s="72" t="n"/>
      <c r="F53" s="65" t="n"/>
      <c r="G53" s="68" t="str">
        <f>IF(J53&lt;&gt;"OK","",IF(F53="",N(INDEX(mat_loss,MATCH(B53,mat_ref,0))),F53))</f>
        <v/>
      </c>
      <c r="H53" s="66" t="str">
        <f>IF(J53&lt;&gt;"OK","",INDEX(mat_price,MATCH(B53,mat_ref,0)))</f>
        <v/>
      </c>
      <c r="I53" s="66" t="str">
        <f>IF(J53&lt;&gt;"OK","",E53*(1+G53)*H53)</f>
        <v/>
      </c>
      <c r="J53" s="69" t="str">
        <f>IF(AND(A53="",B53=""),"",IF(A53="","Produit manquant",IF(COUNTIF(prod_ref,A53)=0,"Produit inconnu",IF(B53="","Matière manquante",IF(ISNA(MATCH(B53,mat_ref,0)),"Matière inconnue",IF(INDEX(mat_check,MATCH(B53,mat_ref,0))&lt;&gt;"OK","Matière à corriger",IF(OR(NOT(ISNUMBER(E53)),N(E53)&lt;=0),"Quantité invalide",IF(AND(F53&lt;&gt;"",OR(NOT(ISNUMBER(F53)),N(F53)&lt;0,N(F53)&gt;=1)),"Perte entre 0 et 99 %",IF(COUNTIFS(bom_prod,A53,bom_mat,B53)&gt;1,"Matière en double","OK")))))))))</f>
        <v/>
      </c>
      <c r="K53" s="71" t="str">
        <f>IF(AND(fiche_sel&lt;&gt;"",A53=fiche_sel),COUNTIF(A$6:A53,fiche_sel),"")</f>
        <v/>
      </c>
    </row>
    <row r="54">
      <c r="A54" s="60" t="n"/>
      <c r="B54" s="60" t="n"/>
      <c r="C54" s="71" t="str">
        <f>IF(B54="","",IFERROR(INDEX(mat_des,MATCH(B54,mat_ref,0))&amp;"","Matière inconnue"))</f>
        <v/>
      </c>
      <c r="D54" s="69" t="str">
        <f>IF(B54="","",IFERROR(INDEX(mat_unit,MATCH(B54,mat_ref,0))&amp;"",""))</f>
        <v/>
      </c>
      <c r="E54" s="72" t="n"/>
      <c r="F54" s="65" t="n"/>
      <c r="G54" s="68" t="str">
        <f>IF(J54&lt;&gt;"OK","",IF(F54="",N(INDEX(mat_loss,MATCH(B54,mat_ref,0))),F54))</f>
        <v/>
      </c>
      <c r="H54" s="66" t="str">
        <f>IF(J54&lt;&gt;"OK","",INDEX(mat_price,MATCH(B54,mat_ref,0)))</f>
        <v/>
      </c>
      <c r="I54" s="66" t="str">
        <f>IF(J54&lt;&gt;"OK","",E54*(1+G54)*H54)</f>
        <v/>
      </c>
      <c r="J54" s="69" t="str">
        <f>IF(AND(A54="",B54=""),"",IF(A54="","Produit manquant",IF(COUNTIF(prod_ref,A54)=0,"Produit inconnu",IF(B54="","Matière manquante",IF(ISNA(MATCH(B54,mat_ref,0)),"Matière inconnue",IF(INDEX(mat_check,MATCH(B54,mat_ref,0))&lt;&gt;"OK","Matière à corriger",IF(OR(NOT(ISNUMBER(E54)),N(E54)&lt;=0),"Quantité invalide",IF(AND(F54&lt;&gt;"",OR(NOT(ISNUMBER(F54)),N(F54)&lt;0,N(F54)&gt;=1)),"Perte entre 0 et 99 %",IF(COUNTIFS(bom_prod,A54,bom_mat,B54)&gt;1,"Matière en double","OK")))))))))</f>
        <v/>
      </c>
      <c r="K54" s="71" t="str">
        <f>IF(AND(fiche_sel&lt;&gt;"",A54=fiche_sel),COUNTIF(A$6:A54,fiche_sel),"")</f>
        <v/>
      </c>
    </row>
    <row r="55">
      <c r="A55" s="60" t="n"/>
      <c r="B55" s="60" t="n"/>
      <c r="C55" s="71" t="str">
        <f>IF(B55="","",IFERROR(INDEX(mat_des,MATCH(B55,mat_ref,0))&amp;"","Matière inconnue"))</f>
        <v/>
      </c>
      <c r="D55" s="69" t="str">
        <f>IF(B55="","",IFERROR(INDEX(mat_unit,MATCH(B55,mat_ref,0))&amp;"",""))</f>
        <v/>
      </c>
      <c r="E55" s="72" t="n"/>
      <c r="F55" s="65" t="n"/>
      <c r="G55" s="68" t="str">
        <f>IF(J55&lt;&gt;"OK","",IF(F55="",N(INDEX(mat_loss,MATCH(B55,mat_ref,0))),F55))</f>
        <v/>
      </c>
      <c r="H55" s="66" t="str">
        <f>IF(J55&lt;&gt;"OK","",INDEX(mat_price,MATCH(B55,mat_ref,0)))</f>
        <v/>
      </c>
      <c r="I55" s="66" t="str">
        <f>IF(J55&lt;&gt;"OK","",E55*(1+G55)*H55)</f>
        <v/>
      </c>
      <c r="J55" s="69" t="str">
        <f>IF(AND(A55="",B55=""),"",IF(A55="","Produit manquant",IF(COUNTIF(prod_ref,A55)=0,"Produit inconnu",IF(B55="","Matière manquante",IF(ISNA(MATCH(B55,mat_ref,0)),"Matière inconnue",IF(INDEX(mat_check,MATCH(B55,mat_ref,0))&lt;&gt;"OK","Matière à corriger",IF(OR(NOT(ISNUMBER(E55)),N(E55)&lt;=0),"Quantité invalide",IF(AND(F55&lt;&gt;"",OR(NOT(ISNUMBER(F55)),N(F55)&lt;0,N(F55)&gt;=1)),"Perte entre 0 et 99 %",IF(COUNTIFS(bom_prod,A55,bom_mat,B55)&gt;1,"Matière en double","OK")))))))))</f>
        <v/>
      </c>
      <c r="K55" s="71" t="str">
        <f>IF(AND(fiche_sel&lt;&gt;"",A55=fiche_sel),COUNTIF(A$6:A55,fiche_sel),"")</f>
        <v/>
      </c>
    </row>
    <row r="56">
      <c r="A56" s="60" t="n"/>
      <c r="B56" s="60" t="n"/>
      <c r="C56" s="71" t="str">
        <f>IF(B56="","",IFERROR(INDEX(mat_des,MATCH(B56,mat_ref,0))&amp;"","Matière inconnue"))</f>
        <v/>
      </c>
      <c r="D56" s="69" t="str">
        <f>IF(B56="","",IFERROR(INDEX(mat_unit,MATCH(B56,mat_ref,0))&amp;"",""))</f>
        <v/>
      </c>
      <c r="E56" s="72" t="n"/>
      <c r="F56" s="65" t="n"/>
      <c r="G56" s="68" t="str">
        <f>IF(J56&lt;&gt;"OK","",IF(F56="",N(INDEX(mat_loss,MATCH(B56,mat_ref,0))),F56))</f>
        <v/>
      </c>
      <c r="H56" s="66" t="str">
        <f>IF(J56&lt;&gt;"OK","",INDEX(mat_price,MATCH(B56,mat_ref,0)))</f>
        <v/>
      </c>
      <c r="I56" s="66" t="str">
        <f>IF(J56&lt;&gt;"OK","",E56*(1+G56)*H56)</f>
        <v/>
      </c>
      <c r="J56" s="69" t="str">
        <f>IF(AND(A56="",B56=""),"",IF(A56="","Produit manquant",IF(COUNTIF(prod_ref,A56)=0,"Produit inconnu",IF(B56="","Matière manquante",IF(ISNA(MATCH(B56,mat_ref,0)),"Matière inconnue",IF(INDEX(mat_check,MATCH(B56,mat_ref,0))&lt;&gt;"OK","Matière à corriger",IF(OR(NOT(ISNUMBER(E56)),N(E56)&lt;=0),"Quantité invalide",IF(AND(F56&lt;&gt;"",OR(NOT(ISNUMBER(F56)),N(F56)&lt;0,N(F56)&gt;=1)),"Perte entre 0 et 99 %",IF(COUNTIFS(bom_prod,A56,bom_mat,B56)&gt;1,"Matière en double","OK")))))))))</f>
        <v/>
      </c>
      <c r="K56" s="71" t="str">
        <f>IF(AND(fiche_sel&lt;&gt;"",A56=fiche_sel),COUNTIF(A$6:A56,fiche_sel),"")</f>
        <v/>
      </c>
    </row>
    <row r="57">
      <c r="A57" s="60" t="n"/>
      <c r="B57" s="60" t="n"/>
      <c r="C57" s="71" t="str">
        <f>IF(B57="","",IFERROR(INDEX(mat_des,MATCH(B57,mat_ref,0))&amp;"","Matière inconnue"))</f>
        <v/>
      </c>
      <c r="D57" s="69" t="str">
        <f>IF(B57="","",IFERROR(INDEX(mat_unit,MATCH(B57,mat_ref,0))&amp;"",""))</f>
        <v/>
      </c>
      <c r="E57" s="72" t="n"/>
      <c r="F57" s="65" t="n"/>
      <c r="G57" s="68" t="str">
        <f>IF(J57&lt;&gt;"OK","",IF(F57="",N(INDEX(mat_loss,MATCH(B57,mat_ref,0))),F57))</f>
        <v/>
      </c>
      <c r="H57" s="66" t="str">
        <f>IF(J57&lt;&gt;"OK","",INDEX(mat_price,MATCH(B57,mat_ref,0)))</f>
        <v/>
      </c>
      <c r="I57" s="66" t="str">
        <f>IF(J57&lt;&gt;"OK","",E57*(1+G57)*H57)</f>
        <v/>
      </c>
      <c r="J57" s="69" t="str">
        <f>IF(AND(A57="",B57=""),"",IF(A57="","Produit manquant",IF(COUNTIF(prod_ref,A57)=0,"Produit inconnu",IF(B57="","Matière manquante",IF(ISNA(MATCH(B57,mat_ref,0)),"Matière inconnue",IF(INDEX(mat_check,MATCH(B57,mat_ref,0))&lt;&gt;"OK","Matière à corriger",IF(OR(NOT(ISNUMBER(E57)),N(E57)&lt;=0),"Quantité invalide",IF(AND(F57&lt;&gt;"",OR(NOT(ISNUMBER(F57)),N(F57)&lt;0,N(F57)&gt;=1)),"Perte entre 0 et 99 %",IF(COUNTIFS(bom_prod,A57,bom_mat,B57)&gt;1,"Matière en double","OK")))))))))</f>
        <v/>
      </c>
      <c r="K57" s="71" t="str">
        <f>IF(AND(fiche_sel&lt;&gt;"",A57=fiche_sel),COUNTIF(A$6:A57,fiche_sel),"")</f>
        <v/>
      </c>
    </row>
    <row r="58">
      <c r="A58" s="60" t="n"/>
      <c r="B58" s="60" t="n"/>
      <c r="C58" s="71" t="str">
        <f>IF(B58="","",IFERROR(INDEX(mat_des,MATCH(B58,mat_ref,0))&amp;"","Matière inconnue"))</f>
        <v/>
      </c>
      <c r="D58" s="69" t="str">
        <f>IF(B58="","",IFERROR(INDEX(mat_unit,MATCH(B58,mat_ref,0))&amp;"",""))</f>
        <v/>
      </c>
      <c r="E58" s="72" t="n"/>
      <c r="F58" s="65" t="n"/>
      <c r="G58" s="68" t="str">
        <f>IF(J58&lt;&gt;"OK","",IF(F58="",N(INDEX(mat_loss,MATCH(B58,mat_ref,0))),F58))</f>
        <v/>
      </c>
      <c r="H58" s="66" t="str">
        <f>IF(J58&lt;&gt;"OK","",INDEX(mat_price,MATCH(B58,mat_ref,0)))</f>
        <v/>
      </c>
      <c r="I58" s="66" t="str">
        <f>IF(J58&lt;&gt;"OK","",E58*(1+G58)*H58)</f>
        <v/>
      </c>
      <c r="J58" s="69" t="str">
        <f>IF(AND(A58="",B58=""),"",IF(A58="","Produit manquant",IF(COUNTIF(prod_ref,A58)=0,"Produit inconnu",IF(B58="","Matière manquante",IF(ISNA(MATCH(B58,mat_ref,0)),"Matière inconnue",IF(INDEX(mat_check,MATCH(B58,mat_ref,0))&lt;&gt;"OK","Matière à corriger",IF(OR(NOT(ISNUMBER(E58)),N(E58)&lt;=0),"Quantité invalide",IF(AND(F58&lt;&gt;"",OR(NOT(ISNUMBER(F58)),N(F58)&lt;0,N(F58)&gt;=1)),"Perte entre 0 et 99 %",IF(COUNTIFS(bom_prod,A58,bom_mat,B58)&gt;1,"Matière en double","OK")))))))))</f>
        <v/>
      </c>
      <c r="K58" s="71" t="str">
        <f>IF(AND(fiche_sel&lt;&gt;"",A58=fiche_sel),COUNTIF(A$6:A58,fiche_sel),"")</f>
        <v/>
      </c>
    </row>
    <row r="59">
      <c r="A59" s="60" t="n"/>
      <c r="B59" s="60" t="n"/>
      <c r="C59" s="71" t="str">
        <f>IF(B59="","",IFERROR(INDEX(mat_des,MATCH(B59,mat_ref,0))&amp;"","Matière inconnue"))</f>
        <v/>
      </c>
      <c r="D59" s="69" t="str">
        <f>IF(B59="","",IFERROR(INDEX(mat_unit,MATCH(B59,mat_ref,0))&amp;"",""))</f>
        <v/>
      </c>
      <c r="E59" s="72" t="n"/>
      <c r="F59" s="65" t="n"/>
      <c r="G59" s="68" t="str">
        <f>IF(J59&lt;&gt;"OK","",IF(F59="",N(INDEX(mat_loss,MATCH(B59,mat_ref,0))),F59))</f>
        <v/>
      </c>
      <c r="H59" s="66" t="str">
        <f>IF(J59&lt;&gt;"OK","",INDEX(mat_price,MATCH(B59,mat_ref,0)))</f>
        <v/>
      </c>
      <c r="I59" s="66" t="str">
        <f>IF(J59&lt;&gt;"OK","",E59*(1+G59)*H59)</f>
        <v/>
      </c>
      <c r="J59" s="69" t="str">
        <f>IF(AND(A59="",B59=""),"",IF(A59="","Produit manquant",IF(COUNTIF(prod_ref,A59)=0,"Produit inconnu",IF(B59="","Matière manquante",IF(ISNA(MATCH(B59,mat_ref,0)),"Matière inconnue",IF(INDEX(mat_check,MATCH(B59,mat_ref,0))&lt;&gt;"OK","Matière à corriger",IF(OR(NOT(ISNUMBER(E59)),N(E59)&lt;=0),"Quantité invalide",IF(AND(F59&lt;&gt;"",OR(NOT(ISNUMBER(F59)),N(F59)&lt;0,N(F59)&gt;=1)),"Perte entre 0 et 99 %",IF(COUNTIFS(bom_prod,A59,bom_mat,B59)&gt;1,"Matière en double","OK")))))))))</f>
        <v/>
      </c>
      <c r="K59" s="71" t="str">
        <f>IF(AND(fiche_sel&lt;&gt;"",A59=fiche_sel),COUNTIF(A$6:A59,fiche_sel),"")</f>
        <v/>
      </c>
    </row>
    <row r="60">
      <c r="A60" s="60" t="n"/>
      <c r="B60" s="60" t="n"/>
      <c r="C60" s="71" t="str">
        <f>IF(B60="","",IFERROR(INDEX(mat_des,MATCH(B60,mat_ref,0))&amp;"","Matière inconnue"))</f>
        <v/>
      </c>
      <c r="D60" s="69" t="str">
        <f>IF(B60="","",IFERROR(INDEX(mat_unit,MATCH(B60,mat_ref,0))&amp;"",""))</f>
        <v/>
      </c>
      <c r="E60" s="72" t="n"/>
      <c r="F60" s="65" t="n"/>
      <c r="G60" s="68" t="str">
        <f>IF(J60&lt;&gt;"OK","",IF(F60="",N(INDEX(mat_loss,MATCH(B60,mat_ref,0))),F60))</f>
        <v/>
      </c>
      <c r="H60" s="66" t="str">
        <f>IF(J60&lt;&gt;"OK","",INDEX(mat_price,MATCH(B60,mat_ref,0)))</f>
        <v/>
      </c>
      <c r="I60" s="66" t="str">
        <f>IF(J60&lt;&gt;"OK","",E60*(1+G60)*H60)</f>
        <v/>
      </c>
      <c r="J60" s="69" t="str">
        <f>IF(AND(A60="",B60=""),"",IF(A60="","Produit manquant",IF(COUNTIF(prod_ref,A60)=0,"Produit inconnu",IF(B60="","Matière manquante",IF(ISNA(MATCH(B60,mat_ref,0)),"Matière inconnue",IF(INDEX(mat_check,MATCH(B60,mat_ref,0))&lt;&gt;"OK","Matière à corriger",IF(OR(NOT(ISNUMBER(E60)),N(E60)&lt;=0),"Quantité invalide",IF(AND(F60&lt;&gt;"",OR(NOT(ISNUMBER(F60)),N(F60)&lt;0,N(F60)&gt;=1)),"Perte entre 0 et 99 %",IF(COUNTIFS(bom_prod,A60,bom_mat,B60)&gt;1,"Matière en double","OK")))))))))</f>
        <v/>
      </c>
      <c r="K60" s="71" t="str">
        <f>IF(AND(fiche_sel&lt;&gt;"",A60=fiche_sel),COUNTIF(A$6:A60,fiche_sel),"")</f>
        <v/>
      </c>
    </row>
    <row r="61">
      <c r="A61" s="60" t="n"/>
      <c r="B61" s="60" t="n"/>
      <c r="C61" s="71" t="str">
        <f>IF(B61="","",IFERROR(INDEX(mat_des,MATCH(B61,mat_ref,0))&amp;"","Matière inconnue"))</f>
        <v/>
      </c>
      <c r="D61" s="69" t="str">
        <f>IF(B61="","",IFERROR(INDEX(mat_unit,MATCH(B61,mat_ref,0))&amp;"",""))</f>
        <v/>
      </c>
      <c r="E61" s="72" t="n"/>
      <c r="F61" s="65" t="n"/>
      <c r="G61" s="68" t="str">
        <f>IF(J61&lt;&gt;"OK","",IF(F61="",N(INDEX(mat_loss,MATCH(B61,mat_ref,0))),F61))</f>
        <v/>
      </c>
      <c r="H61" s="66" t="str">
        <f>IF(J61&lt;&gt;"OK","",INDEX(mat_price,MATCH(B61,mat_ref,0)))</f>
        <v/>
      </c>
      <c r="I61" s="66" t="str">
        <f>IF(J61&lt;&gt;"OK","",E61*(1+G61)*H61)</f>
        <v/>
      </c>
      <c r="J61" s="69" t="str">
        <f>IF(AND(A61="",B61=""),"",IF(A61="","Produit manquant",IF(COUNTIF(prod_ref,A61)=0,"Produit inconnu",IF(B61="","Matière manquante",IF(ISNA(MATCH(B61,mat_ref,0)),"Matière inconnue",IF(INDEX(mat_check,MATCH(B61,mat_ref,0))&lt;&gt;"OK","Matière à corriger",IF(OR(NOT(ISNUMBER(E61)),N(E61)&lt;=0),"Quantité invalide",IF(AND(F61&lt;&gt;"",OR(NOT(ISNUMBER(F61)),N(F61)&lt;0,N(F61)&gt;=1)),"Perte entre 0 et 99 %",IF(COUNTIFS(bom_prod,A61,bom_mat,B61)&gt;1,"Matière en double","OK")))))))))</f>
        <v/>
      </c>
      <c r="K61" s="71" t="str">
        <f>IF(AND(fiche_sel&lt;&gt;"",A61=fiche_sel),COUNTIF(A$6:A61,fiche_sel),"")</f>
        <v/>
      </c>
    </row>
    <row r="62">
      <c r="A62" s="60" t="n"/>
      <c r="B62" s="60" t="n"/>
      <c r="C62" s="71" t="str">
        <f>IF(B62="","",IFERROR(INDEX(mat_des,MATCH(B62,mat_ref,0))&amp;"","Matière inconnue"))</f>
        <v/>
      </c>
      <c r="D62" s="69" t="str">
        <f>IF(B62="","",IFERROR(INDEX(mat_unit,MATCH(B62,mat_ref,0))&amp;"",""))</f>
        <v/>
      </c>
      <c r="E62" s="72" t="n"/>
      <c r="F62" s="65" t="n"/>
      <c r="G62" s="68" t="str">
        <f>IF(J62&lt;&gt;"OK","",IF(F62="",N(INDEX(mat_loss,MATCH(B62,mat_ref,0))),F62))</f>
        <v/>
      </c>
      <c r="H62" s="66" t="str">
        <f>IF(J62&lt;&gt;"OK","",INDEX(mat_price,MATCH(B62,mat_ref,0)))</f>
        <v/>
      </c>
      <c r="I62" s="66" t="str">
        <f>IF(J62&lt;&gt;"OK","",E62*(1+G62)*H62)</f>
        <v/>
      </c>
      <c r="J62" s="69" t="str">
        <f>IF(AND(A62="",B62=""),"",IF(A62="","Produit manquant",IF(COUNTIF(prod_ref,A62)=0,"Produit inconnu",IF(B62="","Matière manquante",IF(ISNA(MATCH(B62,mat_ref,0)),"Matière inconnue",IF(INDEX(mat_check,MATCH(B62,mat_ref,0))&lt;&gt;"OK","Matière à corriger",IF(OR(NOT(ISNUMBER(E62)),N(E62)&lt;=0),"Quantité invalide",IF(AND(F62&lt;&gt;"",OR(NOT(ISNUMBER(F62)),N(F62)&lt;0,N(F62)&gt;=1)),"Perte entre 0 et 99 %",IF(COUNTIFS(bom_prod,A62,bom_mat,B62)&gt;1,"Matière en double","OK")))))))))</f>
        <v/>
      </c>
      <c r="K62" s="71" t="str">
        <f>IF(AND(fiche_sel&lt;&gt;"",A62=fiche_sel),COUNTIF(A$6:A62,fiche_sel),"")</f>
        <v/>
      </c>
    </row>
    <row r="63">
      <c r="A63" s="60" t="n"/>
      <c r="B63" s="60" t="n"/>
      <c r="C63" s="71" t="str">
        <f>IF(B63="","",IFERROR(INDEX(mat_des,MATCH(B63,mat_ref,0))&amp;"","Matière inconnue"))</f>
        <v/>
      </c>
      <c r="D63" s="69" t="str">
        <f>IF(B63="","",IFERROR(INDEX(mat_unit,MATCH(B63,mat_ref,0))&amp;"",""))</f>
        <v/>
      </c>
      <c r="E63" s="72" t="n"/>
      <c r="F63" s="65" t="n"/>
      <c r="G63" s="68" t="str">
        <f>IF(J63&lt;&gt;"OK","",IF(F63="",N(INDEX(mat_loss,MATCH(B63,mat_ref,0))),F63))</f>
        <v/>
      </c>
      <c r="H63" s="66" t="str">
        <f>IF(J63&lt;&gt;"OK","",INDEX(mat_price,MATCH(B63,mat_ref,0)))</f>
        <v/>
      </c>
      <c r="I63" s="66" t="str">
        <f>IF(J63&lt;&gt;"OK","",E63*(1+G63)*H63)</f>
        <v/>
      </c>
      <c r="J63" s="69" t="str">
        <f>IF(AND(A63="",B63=""),"",IF(A63="","Produit manquant",IF(COUNTIF(prod_ref,A63)=0,"Produit inconnu",IF(B63="","Matière manquante",IF(ISNA(MATCH(B63,mat_ref,0)),"Matière inconnue",IF(INDEX(mat_check,MATCH(B63,mat_ref,0))&lt;&gt;"OK","Matière à corriger",IF(OR(NOT(ISNUMBER(E63)),N(E63)&lt;=0),"Quantité invalide",IF(AND(F63&lt;&gt;"",OR(NOT(ISNUMBER(F63)),N(F63)&lt;0,N(F63)&gt;=1)),"Perte entre 0 et 99 %",IF(COUNTIFS(bom_prod,A63,bom_mat,B63)&gt;1,"Matière en double","OK")))))))))</f>
        <v/>
      </c>
      <c r="K63" s="71" t="str">
        <f>IF(AND(fiche_sel&lt;&gt;"",A63=fiche_sel),COUNTIF(A$6:A63,fiche_sel),"")</f>
        <v/>
      </c>
    </row>
    <row r="64">
      <c r="A64" s="60" t="n"/>
      <c r="B64" s="60" t="n"/>
      <c r="C64" s="71" t="str">
        <f>IF(B64="","",IFERROR(INDEX(mat_des,MATCH(B64,mat_ref,0))&amp;"","Matière inconnue"))</f>
        <v/>
      </c>
      <c r="D64" s="69" t="str">
        <f>IF(B64="","",IFERROR(INDEX(mat_unit,MATCH(B64,mat_ref,0))&amp;"",""))</f>
        <v/>
      </c>
      <c r="E64" s="72" t="n"/>
      <c r="F64" s="65" t="n"/>
      <c r="G64" s="68" t="str">
        <f>IF(J64&lt;&gt;"OK","",IF(F64="",N(INDEX(mat_loss,MATCH(B64,mat_ref,0))),F64))</f>
        <v/>
      </c>
      <c r="H64" s="66" t="str">
        <f>IF(J64&lt;&gt;"OK","",INDEX(mat_price,MATCH(B64,mat_ref,0)))</f>
        <v/>
      </c>
      <c r="I64" s="66" t="str">
        <f>IF(J64&lt;&gt;"OK","",E64*(1+G64)*H64)</f>
        <v/>
      </c>
      <c r="J64" s="69" t="str">
        <f>IF(AND(A64="",B64=""),"",IF(A64="","Produit manquant",IF(COUNTIF(prod_ref,A64)=0,"Produit inconnu",IF(B64="","Matière manquante",IF(ISNA(MATCH(B64,mat_ref,0)),"Matière inconnue",IF(INDEX(mat_check,MATCH(B64,mat_ref,0))&lt;&gt;"OK","Matière à corriger",IF(OR(NOT(ISNUMBER(E64)),N(E64)&lt;=0),"Quantité invalide",IF(AND(F64&lt;&gt;"",OR(NOT(ISNUMBER(F64)),N(F64)&lt;0,N(F64)&gt;=1)),"Perte entre 0 et 99 %",IF(COUNTIFS(bom_prod,A64,bom_mat,B64)&gt;1,"Matière en double","OK")))))))))</f>
        <v/>
      </c>
      <c r="K64" s="71" t="str">
        <f>IF(AND(fiche_sel&lt;&gt;"",A64=fiche_sel),COUNTIF(A$6:A64,fiche_sel),"")</f>
        <v/>
      </c>
    </row>
    <row r="65">
      <c r="A65" s="60" t="n"/>
      <c r="B65" s="60" t="n"/>
      <c r="C65" s="71" t="str">
        <f>IF(B65="","",IFERROR(INDEX(mat_des,MATCH(B65,mat_ref,0))&amp;"","Matière inconnue"))</f>
        <v/>
      </c>
      <c r="D65" s="69" t="str">
        <f>IF(B65="","",IFERROR(INDEX(mat_unit,MATCH(B65,mat_ref,0))&amp;"",""))</f>
        <v/>
      </c>
      <c r="E65" s="72" t="n"/>
      <c r="F65" s="65" t="n"/>
      <c r="G65" s="68" t="str">
        <f>IF(J65&lt;&gt;"OK","",IF(F65="",N(INDEX(mat_loss,MATCH(B65,mat_ref,0))),F65))</f>
        <v/>
      </c>
      <c r="H65" s="66" t="str">
        <f>IF(J65&lt;&gt;"OK","",INDEX(mat_price,MATCH(B65,mat_ref,0)))</f>
        <v/>
      </c>
      <c r="I65" s="66" t="str">
        <f>IF(J65&lt;&gt;"OK","",E65*(1+G65)*H65)</f>
        <v/>
      </c>
      <c r="J65" s="69" t="str">
        <f>IF(AND(A65="",B65=""),"",IF(A65="","Produit manquant",IF(COUNTIF(prod_ref,A65)=0,"Produit inconnu",IF(B65="","Matière manquante",IF(ISNA(MATCH(B65,mat_ref,0)),"Matière inconnue",IF(INDEX(mat_check,MATCH(B65,mat_ref,0))&lt;&gt;"OK","Matière à corriger",IF(OR(NOT(ISNUMBER(E65)),N(E65)&lt;=0),"Quantité invalide",IF(AND(F65&lt;&gt;"",OR(NOT(ISNUMBER(F65)),N(F65)&lt;0,N(F65)&gt;=1)),"Perte entre 0 et 99 %",IF(COUNTIFS(bom_prod,A65,bom_mat,B65)&gt;1,"Matière en double","OK")))))))))</f>
        <v/>
      </c>
      <c r="K65" s="71" t="str">
        <f>IF(AND(fiche_sel&lt;&gt;"",A65=fiche_sel),COUNTIF(A$6:A65,fiche_sel),"")</f>
        <v/>
      </c>
    </row>
    <row r="66">
      <c r="A66" s="60" t="n"/>
      <c r="B66" s="60" t="n"/>
      <c r="C66" s="71" t="str">
        <f>IF(B66="","",IFERROR(INDEX(mat_des,MATCH(B66,mat_ref,0))&amp;"","Matière inconnue"))</f>
        <v/>
      </c>
      <c r="D66" s="69" t="str">
        <f>IF(B66="","",IFERROR(INDEX(mat_unit,MATCH(B66,mat_ref,0))&amp;"",""))</f>
        <v/>
      </c>
      <c r="E66" s="72" t="n"/>
      <c r="F66" s="65" t="n"/>
      <c r="G66" s="68" t="str">
        <f>IF(J66&lt;&gt;"OK","",IF(F66="",N(INDEX(mat_loss,MATCH(B66,mat_ref,0))),F66))</f>
        <v/>
      </c>
      <c r="H66" s="66" t="str">
        <f>IF(J66&lt;&gt;"OK","",INDEX(mat_price,MATCH(B66,mat_ref,0)))</f>
        <v/>
      </c>
      <c r="I66" s="66" t="str">
        <f>IF(J66&lt;&gt;"OK","",E66*(1+G66)*H66)</f>
        <v/>
      </c>
      <c r="J66" s="69" t="str">
        <f>IF(AND(A66="",B66=""),"",IF(A66="","Produit manquant",IF(COUNTIF(prod_ref,A66)=0,"Produit inconnu",IF(B66="","Matière manquante",IF(ISNA(MATCH(B66,mat_ref,0)),"Matière inconnue",IF(INDEX(mat_check,MATCH(B66,mat_ref,0))&lt;&gt;"OK","Matière à corriger",IF(OR(NOT(ISNUMBER(E66)),N(E66)&lt;=0),"Quantité invalide",IF(AND(F66&lt;&gt;"",OR(NOT(ISNUMBER(F66)),N(F66)&lt;0,N(F66)&gt;=1)),"Perte entre 0 et 99 %",IF(COUNTIFS(bom_prod,A66,bom_mat,B66)&gt;1,"Matière en double","OK")))))))))</f>
        <v/>
      </c>
      <c r="K66" s="71" t="str">
        <f>IF(AND(fiche_sel&lt;&gt;"",A66=fiche_sel),COUNTIF(A$6:A66,fiche_sel),"")</f>
        <v/>
      </c>
    </row>
    <row r="67">
      <c r="A67" s="60" t="n"/>
      <c r="B67" s="60" t="n"/>
      <c r="C67" s="71" t="str">
        <f>IF(B67="","",IFERROR(INDEX(mat_des,MATCH(B67,mat_ref,0))&amp;"","Matière inconnue"))</f>
        <v/>
      </c>
      <c r="D67" s="69" t="str">
        <f>IF(B67="","",IFERROR(INDEX(mat_unit,MATCH(B67,mat_ref,0))&amp;"",""))</f>
        <v/>
      </c>
      <c r="E67" s="72" t="n"/>
      <c r="F67" s="65" t="n"/>
      <c r="G67" s="68" t="str">
        <f>IF(J67&lt;&gt;"OK","",IF(F67="",N(INDEX(mat_loss,MATCH(B67,mat_ref,0))),F67))</f>
        <v/>
      </c>
      <c r="H67" s="66" t="str">
        <f>IF(J67&lt;&gt;"OK","",INDEX(mat_price,MATCH(B67,mat_ref,0)))</f>
        <v/>
      </c>
      <c r="I67" s="66" t="str">
        <f>IF(J67&lt;&gt;"OK","",E67*(1+G67)*H67)</f>
        <v/>
      </c>
      <c r="J67" s="69" t="str">
        <f>IF(AND(A67="",B67=""),"",IF(A67="","Produit manquant",IF(COUNTIF(prod_ref,A67)=0,"Produit inconnu",IF(B67="","Matière manquante",IF(ISNA(MATCH(B67,mat_ref,0)),"Matière inconnue",IF(INDEX(mat_check,MATCH(B67,mat_ref,0))&lt;&gt;"OK","Matière à corriger",IF(OR(NOT(ISNUMBER(E67)),N(E67)&lt;=0),"Quantité invalide",IF(AND(F67&lt;&gt;"",OR(NOT(ISNUMBER(F67)),N(F67)&lt;0,N(F67)&gt;=1)),"Perte entre 0 et 99 %",IF(COUNTIFS(bom_prod,A67,bom_mat,B67)&gt;1,"Matière en double","OK")))))))))</f>
        <v/>
      </c>
      <c r="K67" s="71" t="str">
        <f>IF(AND(fiche_sel&lt;&gt;"",A67=fiche_sel),COUNTIF(A$6:A67,fiche_sel),"")</f>
        <v/>
      </c>
    </row>
    <row r="68">
      <c r="A68" s="60" t="n"/>
      <c r="B68" s="60" t="n"/>
      <c r="C68" s="71" t="str">
        <f>IF(B68="","",IFERROR(INDEX(mat_des,MATCH(B68,mat_ref,0))&amp;"","Matière inconnue"))</f>
        <v/>
      </c>
      <c r="D68" s="69" t="str">
        <f>IF(B68="","",IFERROR(INDEX(mat_unit,MATCH(B68,mat_ref,0))&amp;"",""))</f>
        <v/>
      </c>
      <c r="E68" s="72" t="n"/>
      <c r="F68" s="65" t="n"/>
      <c r="G68" s="68" t="str">
        <f>IF(J68&lt;&gt;"OK","",IF(F68="",N(INDEX(mat_loss,MATCH(B68,mat_ref,0))),F68))</f>
        <v/>
      </c>
      <c r="H68" s="66" t="str">
        <f>IF(J68&lt;&gt;"OK","",INDEX(mat_price,MATCH(B68,mat_ref,0)))</f>
        <v/>
      </c>
      <c r="I68" s="66" t="str">
        <f>IF(J68&lt;&gt;"OK","",E68*(1+G68)*H68)</f>
        <v/>
      </c>
      <c r="J68" s="69" t="str">
        <f>IF(AND(A68="",B68=""),"",IF(A68="","Produit manquant",IF(COUNTIF(prod_ref,A68)=0,"Produit inconnu",IF(B68="","Matière manquante",IF(ISNA(MATCH(B68,mat_ref,0)),"Matière inconnue",IF(INDEX(mat_check,MATCH(B68,mat_ref,0))&lt;&gt;"OK","Matière à corriger",IF(OR(NOT(ISNUMBER(E68)),N(E68)&lt;=0),"Quantité invalide",IF(AND(F68&lt;&gt;"",OR(NOT(ISNUMBER(F68)),N(F68)&lt;0,N(F68)&gt;=1)),"Perte entre 0 et 99 %",IF(COUNTIFS(bom_prod,A68,bom_mat,B68)&gt;1,"Matière en double","OK")))))))))</f>
        <v/>
      </c>
      <c r="K68" s="71" t="str">
        <f>IF(AND(fiche_sel&lt;&gt;"",A68=fiche_sel),COUNTIF(A$6:A68,fiche_sel),"")</f>
        <v/>
      </c>
    </row>
    <row r="69">
      <c r="A69" s="60" t="n"/>
      <c r="B69" s="60" t="n"/>
      <c r="C69" s="71" t="str">
        <f>IF(B69="","",IFERROR(INDEX(mat_des,MATCH(B69,mat_ref,0))&amp;"","Matière inconnue"))</f>
        <v/>
      </c>
      <c r="D69" s="69" t="str">
        <f>IF(B69="","",IFERROR(INDEX(mat_unit,MATCH(B69,mat_ref,0))&amp;"",""))</f>
        <v/>
      </c>
      <c r="E69" s="72" t="n"/>
      <c r="F69" s="65" t="n"/>
      <c r="G69" s="68" t="str">
        <f>IF(J69&lt;&gt;"OK","",IF(F69="",N(INDEX(mat_loss,MATCH(B69,mat_ref,0))),F69))</f>
        <v/>
      </c>
      <c r="H69" s="66" t="str">
        <f>IF(J69&lt;&gt;"OK","",INDEX(mat_price,MATCH(B69,mat_ref,0)))</f>
        <v/>
      </c>
      <c r="I69" s="66" t="str">
        <f>IF(J69&lt;&gt;"OK","",E69*(1+G69)*H69)</f>
        <v/>
      </c>
      <c r="J69" s="69" t="str">
        <f>IF(AND(A69="",B69=""),"",IF(A69="","Produit manquant",IF(COUNTIF(prod_ref,A69)=0,"Produit inconnu",IF(B69="","Matière manquante",IF(ISNA(MATCH(B69,mat_ref,0)),"Matière inconnue",IF(INDEX(mat_check,MATCH(B69,mat_ref,0))&lt;&gt;"OK","Matière à corriger",IF(OR(NOT(ISNUMBER(E69)),N(E69)&lt;=0),"Quantité invalide",IF(AND(F69&lt;&gt;"",OR(NOT(ISNUMBER(F69)),N(F69)&lt;0,N(F69)&gt;=1)),"Perte entre 0 et 99 %",IF(COUNTIFS(bom_prod,A69,bom_mat,B69)&gt;1,"Matière en double","OK")))))))))</f>
        <v/>
      </c>
      <c r="K69" s="71" t="str">
        <f>IF(AND(fiche_sel&lt;&gt;"",A69=fiche_sel),COUNTIF(A$6:A69,fiche_sel),"")</f>
        <v/>
      </c>
    </row>
    <row r="70">
      <c r="A70" s="60" t="n"/>
      <c r="B70" s="60" t="n"/>
      <c r="C70" s="71" t="str">
        <f>IF(B70="","",IFERROR(INDEX(mat_des,MATCH(B70,mat_ref,0))&amp;"","Matière inconnue"))</f>
        <v/>
      </c>
      <c r="D70" s="69" t="str">
        <f>IF(B70="","",IFERROR(INDEX(mat_unit,MATCH(B70,mat_ref,0))&amp;"",""))</f>
        <v/>
      </c>
      <c r="E70" s="72" t="n"/>
      <c r="F70" s="65" t="n"/>
      <c r="G70" s="68" t="str">
        <f>IF(J70&lt;&gt;"OK","",IF(F70="",N(INDEX(mat_loss,MATCH(B70,mat_ref,0))),F70))</f>
        <v/>
      </c>
      <c r="H70" s="66" t="str">
        <f>IF(J70&lt;&gt;"OK","",INDEX(mat_price,MATCH(B70,mat_ref,0)))</f>
        <v/>
      </c>
      <c r="I70" s="66" t="str">
        <f>IF(J70&lt;&gt;"OK","",E70*(1+G70)*H70)</f>
        <v/>
      </c>
      <c r="J70" s="69" t="str">
        <f>IF(AND(A70="",B70=""),"",IF(A70="","Produit manquant",IF(COUNTIF(prod_ref,A70)=0,"Produit inconnu",IF(B70="","Matière manquante",IF(ISNA(MATCH(B70,mat_ref,0)),"Matière inconnue",IF(INDEX(mat_check,MATCH(B70,mat_ref,0))&lt;&gt;"OK","Matière à corriger",IF(OR(NOT(ISNUMBER(E70)),N(E70)&lt;=0),"Quantité invalide",IF(AND(F70&lt;&gt;"",OR(NOT(ISNUMBER(F70)),N(F70)&lt;0,N(F70)&gt;=1)),"Perte entre 0 et 99 %",IF(COUNTIFS(bom_prod,A70,bom_mat,B70)&gt;1,"Matière en double","OK")))))))))</f>
        <v/>
      </c>
      <c r="K70" s="71" t="str">
        <f>IF(AND(fiche_sel&lt;&gt;"",A70=fiche_sel),COUNTIF(A$6:A70,fiche_sel),"")</f>
        <v/>
      </c>
    </row>
    <row r="71">
      <c r="A71" s="60" t="n"/>
      <c r="B71" s="60" t="n"/>
      <c r="C71" s="71" t="str">
        <f>IF(B71="","",IFERROR(INDEX(mat_des,MATCH(B71,mat_ref,0))&amp;"","Matière inconnue"))</f>
        <v/>
      </c>
      <c r="D71" s="69" t="str">
        <f>IF(B71="","",IFERROR(INDEX(mat_unit,MATCH(B71,mat_ref,0))&amp;"",""))</f>
        <v/>
      </c>
      <c r="E71" s="72" t="n"/>
      <c r="F71" s="65" t="n"/>
      <c r="G71" s="68" t="str">
        <f>IF(J71&lt;&gt;"OK","",IF(F71="",N(INDEX(mat_loss,MATCH(B71,mat_ref,0))),F71))</f>
        <v/>
      </c>
      <c r="H71" s="66" t="str">
        <f>IF(J71&lt;&gt;"OK","",INDEX(mat_price,MATCH(B71,mat_ref,0)))</f>
        <v/>
      </c>
      <c r="I71" s="66" t="str">
        <f>IF(J71&lt;&gt;"OK","",E71*(1+G71)*H71)</f>
        <v/>
      </c>
      <c r="J71" s="69" t="str">
        <f>IF(AND(A71="",B71=""),"",IF(A71="","Produit manquant",IF(COUNTIF(prod_ref,A71)=0,"Produit inconnu",IF(B71="","Matière manquante",IF(ISNA(MATCH(B71,mat_ref,0)),"Matière inconnue",IF(INDEX(mat_check,MATCH(B71,mat_ref,0))&lt;&gt;"OK","Matière à corriger",IF(OR(NOT(ISNUMBER(E71)),N(E71)&lt;=0),"Quantité invalide",IF(AND(F71&lt;&gt;"",OR(NOT(ISNUMBER(F71)),N(F71)&lt;0,N(F71)&gt;=1)),"Perte entre 0 et 99 %",IF(COUNTIFS(bom_prod,A71,bom_mat,B71)&gt;1,"Matière en double","OK")))))))))</f>
        <v/>
      </c>
      <c r="K71" s="71" t="str">
        <f>IF(AND(fiche_sel&lt;&gt;"",A71=fiche_sel),COUNTIF(A$6:A71,fiche_sel),"")</f>
        <v/>
      </c>
    </row>
    <row r="72">
      <c r="A72" s="60" t="n"/>
      <c r="B72" s="60" t="n"/>
      <c r="C72" s="71" t="str">
        <f>IF(B72="","",IFERROR(INDEX(mat_des,MATCH(B72,mat_ref,0))&amp;"","Matière inconnue"))</f>
        <v/>
      </c>
      <c r="D72" s="69" t="str">
        <f>IF(B72="","",IFERROR(INDEX(mat_unit,MATCH(B72,mat_ref,0))&amp;"",""))</f>
        <v/>
      </c>
      <c r="E72" s="72" t="n"/>
      <c r="F72" s="65" t="n"/>
      <c r="G72" s="68" t="str">
        <f>IF(J72&lt;&gt;"OK","",IF(F72="",N(INDEX(mat_loss,MATCH(B72,mat_ref,0))),F72))</f>
        <v/>
      </c>
      <c r="H72" s="66" t="str">
        <f>IF(J72&lt;&gt;"OK","",INDEX(mat_price,MATCH(B72,mat_ref,0)))</f>
        <v/>
      </c>
      <c r="I72" s="66" t="str">
        <f>IF(J72&lt;&gt;"OK","",E72*(1+G72)*H72)</f>
        <v/>
      </c>
      <c r="J72" s="69" t="str">
        <f>IF(AND(A72="",B72=""),"",IF(A72="","Produit manquant",IF(COUNTIF(prod_ref,A72)=0,"Produit inconnu",IF(B72="","Matière manquante",IF(ISNA(MATCH(B72,mat_ref,0)),"Matière inconnue",IF(INDEX(mat_check,MATCH(B72,mat_ref,0))&lt;&gt;"OK","Matière à corriger",IF(OR(NOT(ISNUMBER(E72)),N(E72)&lt;=0),"Quantité invalide",IF(AND(F72&lt;&gt;"",OR(NOT(ISNUMBER(F72)),N(F72)&lt;0,N(F72)&gt;=1)),"Perte entre 0 et 99 %",IF(COUNTIFS(bom_prod,A72,bom_mat,B72)&gt;1,"Matière en double","OK")))))))))</f>
        <v/>
      </c>
      <c r="K72" s="71" t="str">
        <f>IF(AND(fiche_sel&lt;&gt;"",A72=fiche_sel),COUNTIF(A$6:A72,fiche_sel),"")</f>
        <v/>
      </c>
    </row>
    <row r="73">
      <c r="A73" s="60" t="n"/>
      <c r="B73" s="60" t="n"/>
      <c r="C73" s="71" t="str">
        <f>IF(B73="","",IFERROR(INDEX(mat_des,MATCH(B73,mat_ref,0))&amp;"","Matière inconnue"))</f>
        <v/>
      </c>
      <c r="D73" s="69" t="str">
        <f>IF(B73="","",IFERROR(INDEX(mat_unit,MATCH(B73,mat_ref,0))&amp;"",""))</f>
        <v/>
      </c>
      <c r="E73" s="72" t="n"/>
      <c r="F73" s="65" t="n"/>
      <c r="G73" s="68" t="str">
        <f>IF(J73&lt;&gt;"OK","",IF(F73="",N(INDEX(mat_loss,MATCH(B73,mat_ref,0))),F73))</f>
        <v/>
      </c>
      <c r="H73" s="66" t="str">
        <f>IF(J73&lt;&gt;"OK","",INDEX(mat_price,MATCH(B73,mat_ref,0)))</f>
        <v/>
      </c>
      <c r="I73" s="66" t="str">
        <f>IF(J73&lt;&gt;"OK","",E73*(1+G73)*H73)</f>
        <v/>
      </c>
      <c r="J73" s="69" t="str">
        <f>IF(AND(A73="",B73=""),"",IF(A73="","Produit manquant",IF(COUNTIF(prod_ref,A73)=0,"Produit inconnu",IF(B73="","Matière manquante",IF(ISNA(MATCH(B73,mat_ref,0)),"Matière inconnue",IF(INDEX(mat_check,MATCH(B73,mat_ref,0))&lt;&gt;"OK","Matière à corriger",IF(OR(NOT(ISNUMBER(E73)),N(E73)&lt;=0),"Quantité invalide",IF(AND(F73&lt;&gt;"",OR(NOT(ISNUMBER(F73)),N(F73)&lt;0,N(F73)&gt;=1)),"Perte entre 0 et 99 %",IF(COUNTIFS(bom_prod,A73,bom_mat,B73)&gt;1,"Matière en double","OK")))))))))</f>
        <v/>
      </c>
      <c r="K73" s="71" t="str">
        <f>IF(AND(fiche_sel&lt;&gt;"",A73=fiche_sel),COUNTIF(A$6:A73,fiche_sel),"")</f>
        <v/>
      </c>
    </row>
    <row r="74">
      <c r="A74" s="60" t="n"/>
      <c r="B74" s="60" t="n"/>
      <c r="C74" s="71" t="str">
        <f>IF(B74="","",IFERROR(INDEX(mat_des,MATCH(B74,mat_ref,0))&amp;"","Matière inconnue"))</f>
        <v/>
      </c>
      <c r="D74" s="69" t="str">
        <f>IF(B74="","",IFERROR(INDEX(mat_unit,MATCH(B74,mat_ref,0))&amp;"",""))</f>
        <v/>
      </c>
      <c r="E74" s="72" t="n"/>
      <c r="F74" s="65" t="n"/>
      <c r="G74" s="68" t="str">
        <f>IF(J74&lt;&gt;"OK","",IF(F74="",N(INDEX(mat_loss,MATCH(B74,mat_ref,0))),F74))</f>
        <v/>
      </c>
      <c r="H74" s="66" t="str">
        <f>IF(J74&lt;&gt;"OK","",INDEX(mat_price,MATCH(B74,mat_ref,0)))</f>
        <v/>
      </c>
      <c r="I74" s="66" t="str">
        <f>IF(J74&lt;&gt;"OK","",E74*(1+G74)*H74)</f>
        <v/>
      </c>
      <c r="J74" s="69" t="str">
        <f>IF(AND(A74="",B74=""),"",IF(A74="","Produit manquant",IF(COUNTIF(prod_ref,A74)=0,"Produit inconnu",IF(B74="","Matière manquante",IF(ISNA(MATCH(B74,mat_ref,0)),"Matière inconnue",IF(INDEX(mat_check,MATCH(B74,mat_ref,0))&lt;&gt;"OK","Matière à corriger",IF(OR(NOT(ISNUMBER(E74)),N(E74)&lt;=0),"Quantité invalide",IF(AND(F74&lt;&gt;"",OR(NOT(ISNUMBER(F74)),N(F74)&lt;0,N(F74)&gt;=1)),"Perte entre 0 et 99 %",IF(COUNTIFS(bom_prod,A74,bom_mat,B74)&gt;1,"Matière en double","OK")))))))))</f>
        <v/>
      </c>
      <c r="K74" s="71" t="str">
        <f>IF(AND(fiche_sel&lt;&gt;"",A74=fiche_sel),COUNTIF(A$6:A74,fiche_sel),"")</f>
        <v/>
      </c>
    </row>
    <row r="75">
      <c r="A75" s="60" t="n"/>
      <c r="B75" s="60" t="n"/>
      <c r="C75" s="71" t="str">
        <f>IF(B75="","",IFERROR(INDEX(mat_des,MATCH(B75,mat_ref,0))&amp;"","Matière inconnue"))</f>
        <v/>
      </c>
      <c r="D75" s="69" t="str">
        <f>IF(B75="","",IFERROR(INDEX(mat_unit,MATCH(B75,mat_ref,0))&amp;"",""))</f>
        <v/>
      </c>
      <c r="E75" s="72" t="n"/>
      <c r="F75" s="65" t="n"/>
      <c r="G75" s="68" t="str">
        <f>IF(J75&lt;&gt;"OK","",IF(F75="",N(INDEX(mat_loss,MATCH(B75,mat_ref,0))),F75))</f>
        <v/>
      </c>
      <c r="H75" s="66" t="str">
        <f>IF(J75&lt;&gt;"OK","",INDEX(mat_price,MATCH(B75,mat_ref,0)))</f>
        <v/>
      </c>
      <c r="I75" s="66" t="str">
        <f>IF(J75&lt;&gt;"OK","",E75*(1+G75)*H75)</f>
        <v/>
      </c>
      <c r="J75" s="69" t="str">
        <f>IF(AND(A75="",B75=""),"",IF(A75="","Produit manquant",IF(COUNTIF(prod_ref,A75)=0,"Produit inconnu",IF(B75="","Matière manquante",IF(ISNA(MATCH(B75,mat_ref,0)),"Matière inconnue",IF(INDEX(mat_check,MATCH(B75,mat_ref,0))&lt;&gt;"OK","Matière à corriger",IF(OR(NOT(ISNUMBER(E75)),N(E75)&lt;=0),"Quantité invalide",IF(AND(F75&lt;&gt;"",OR(NOT(ISNUMBER(F75)),N(F75)&lt;0,N(F75)&gt;=1)),"Perte entre 0 et 99 %",IF(COUNTIFS(bom_prod,A75,bom_mat,B75)&gt;1,"Matière en double","OK")))))))))</f>
        <v/>
      </c>
      <c r="K75" s="71" t="str">
        <f>IF(AND(fiche_sel&lt;&gt;"",A75=fiche_sel),COUNTIF(A$6:A75,fiche_sel),"")</f>
        <v/>
      </c>
    </row>
    <row r="76">
      <c r="A76" s="60" t="n"/>
      <c r="B76" s="60" t="n"/>
      <c r="C76" s="71" t="str">
        <f>IF(B76="","",IFERROR(INDEX(mat_des,MATCH(B76,mat_ref,0))&amp;"","Matière inconnue"))</f>
        <v/>
      </c>
      <c r="D76" s="69" t="str">
        <f>IF(B76="","",IFERROR(INDEX(mat_unit,MATCH(B76,mat_ref,0))&amp;"",""))</f>
        <v/>
      </c>
      <c r="E76" s="72" t="n"/>
      <c r="F76" s="65" t="n"/>
      <c r="G76" s="68" t="str">
        <f>IF(J76&lt;&gt;"OK","",IF(F76="",N(INDEX(mat_loss,MATCH(B76,mat_ref,0))),F76))</f>
        <v/>
      </c>
      <c r="H76" s="66" t="str">
        <f>IF(J76&lt;&gt;"OK","",INDEX(mat_price,MATCH(B76,mat_ref,0)))</f>
        <v/>
      </c>
      <c r="I76" s="66" t="str">
        <f>IF(J76&lt;&gt;"OK","",E76*(1+G76)*H76)</f>
        <v/>
      </c>
      <c r="J76" s="69" t="str">
        <f>IF(AND(A76="",B76=""),"",IF(A76="","Produit manquant",IF(COUNTIF(prod_ref,A76)=0,"Produit inconnu",IF(B76="","Matière manquante",IF(ISNA(MATCH(B76,mat_ref,0)),"Matière inconnue",IF(INDEX(mat_check,MATCH(B76,mat_ref,0))&lt;&gt;"OK","Matière à corriger",IF(OR(NOT(ISNUMBER(E76)),N(E76)&lt;=0),"Quantité invalide",IF(AND(F76&lt;&gt;"",OR(NOT(ISNUMBER(F76)),N(F76)&lt;0,N(F76)&gt;=1)),"Perte entre 0 et 99 %",IF(COUNTIFS(bom_prod,A76,bom_mat,B76)&gt;1,"Matière en double","OK")))))))))</f>
        <v/>
      </c>
      <c r="K76" s="71" t="str">
        <f>IF(AND(fiche_sel&lt;&gt;"",A76=fiche_sel),COUNTIF(A$6:A76,fiche_sel),"")</f>
        <v/>
      </c>
    </row>
    <row r="77">
      <c r="A77" s="60" t="n"/>
      <c r="B77" s="60" t="n"/>
      <c r="C77" s="71" t="str">
        <f>IF(B77="","",IFERROR(INDEX(mat_des,MATCH(B77,mat_ref,0))&amp;"","Matière inconnue"))</f>
        <v/>
      </c>
      <c r="D77" s="69" t="str">
        <f>IF(B77="","",IFERROR(INDEX(mat_unit,MATCH(B77,mat_ref,0))&amp;"",""))</f>
        <v/>
      </c>
      <c r="E77" s="72" t="n"/>
      <c r="F77" s="65" t="n"/>
      <c r="G77" s="68" t="str">
        <f>IF(J77&lt;&gt;"OK","",IF(F77="",N(INDEX(mat_loss,MATCH(B77,mat_ref,0))),F77))</f>
        <v/>
      </c>
      <c r="H77" s="66" t="str">
        <f>IF(J77&lt;&gt;"OK","",INDEX(mat_price,MATCH(B77,mat_ref,0)))</f>
        <v/>
      </c>
      <c r="I77" s="66" t="str">
        <f>IF(J77&lt;&gt;"OK","",E77*(1+G77)*H77)</f>
        <v/>
      </c>
      <c r="J77" s="69" t="str">
        <f>IF(AND(A77="",B77=""),"",IF(A77="","Produit manquant",IF(COUNTIF(prod_ref,A77)=0,"Produit inconnu",IF(B77="","Matière manquante",IF(ISNA(MATCH(B77,mat_ref,0)),"Matière inconnue",IF(INDEX(mat_check,MATCH(B77,mat_ref,0))&lt;&gt;"OK","Matière à corriger",IF(OR(NOT(ISNUMBER(E77)),N(E77)&lt;=0),"Quantité invalide",IF(AND(F77&lt;&gt;"",OR(NOT(ISNUMBER(F77)),N(F77)&lt;0,N(F77)&gt;=1)),"Perte entre 0 et 99 %",IF(COUNTIFS(bom_prod,A77,bom_mat,B77)&gt;1,"Matière en double","OK")))))))))</f>
        <v/>
      </c>
      <c r="K77" s="71" t="str">
        <f>IF(AND(fiche_sel&lt;&gt;"",A77=fiche_sel),COUNTIF(A$6:A77,fiche_sel),"")</f>
        <v/>
      </c>
    </row>
    <row r="78">
      <c r="A78" s="60" t="n"/>
      <c r="B78" s="60" t="n"/>
      <c r="C78" s="71" t="str">
        <f>IF(B78="","",IFERROR(INDEX(mat_des,MATCH(B78,mat_ref,0))&amp;"","Matière inconnue"))</f>
        <v/>
      </c>
      <c r="D78" s="69" t="str">
        <f>IF(B78="","",IFERROR(INDEX(mat_unit,MATCH(B78,mat_ref,0))&amp;"",""))</f>
        <v/>
      </c>
      <c r="E78" s="72" t="n"/>
      <c r="F78" s="65" t="n"/>
      <c r="G78" s="68" t="str">
        <f>IF(J78&lt;&gt;"OK","",IF(F78="",N(INDEX(mat_loss,MATCH(B78,mat_ref,0))),F78))</f>
        <v/>
      </c>
      <c r="H78" s="66" t="str">
        <f>IF(J78&lt;&gt;"OK","",INDEX(mat_price,MATCH(B78,mat_ref,0)))</f>
        <v/>
      </c>
      <c r="I78" s="66" t="str">
        <f>IF(J78&lt;&gt;"OK","",E78*(1+G78)*H78)</f>
        <v/>
      </c>
      <c r="J78" s="69" t="str">
        <f>IF(AND(A78="",B78=""),"",IF(A78="","Produit manquant",IF(COUNTIF(prod_ref,A78)=0,"Produit inconnu",IF(B78="","Matière manquante",IF(ISNA(MATCH(B78,mat_ref,0)),"Matière inconnue",IF(INDEX(mat_check,MATCH(B78,mat_ref,0))&lt;&gt;"OK","Matière à corriger",IF(OR(NOT(ISNUMBER(E78)),N(E78)&lt;=0),"Quantité invalide",IF(AND(F78&lt;&gt;"",OR(NOT(ISNUMBER(F78)),N(F78)&lt;0,N(F78)&gt;=1)),"Perte entre 0 et 99 %",IF(COUNTIFS(bom_prod,A78,bom_mat,B78)&gt;1,"Matière en double","OK")))))))))</f>
        <v/>
      </c>
      <c r="K78" s="71" t="str">
        <f>IF(AND(fiche_sel&lt;&gt;"",A78=fiche_sel),COUNTIF(A$6:A78,fiche_sel),"")</f>
        <v/>
      </c>
    </row>
    <row r="79">
      <c r="A79" s="60" t="n"/>
      <c r="B79" s="60" t="n"/>
      <c r="C79" s="71" t="str">
        <f>IF(B79="","",IFERROR(INDEX(mat_des,MATCH(B79,mat_ref,0))&amp;"","Matière inconnue"))</f>
        <v/>
      </c>
      <c r="D79" s="69" t="str">
        <f>IF(B79="","",IFERROR(INDEX(mat_unit,MATCH(B79,mat_ref,0))&amp;"",""))</f>
        <v/>
      </c>
      <c r="E79" s="72" t="n"/>
      <c r="F79" s="65" t="n"/>
      <c r="G79" s="68" t="str">
        <f>IF(J79&lt;&gt;"OK","",IF(F79="",N(INDEX(mat_loss,MATCH(B79,mat_ref,0))),F79))</f>
        <v/>
      </c>
      <c r="H79" s="66" t="str">
        <f>IF(J79&lt;&gt;"OK","",INDEX(mat_price,MATCH(B79,mat_ref,0)))</f>
        <v/>
      </c>
      <c r="I79" s="66" t="str">
        <f>IF(J79&lt;&gt;"OK","",E79*(1+G79)*H79)</f>
        <v/>
      </c>
      <c r="J79" s="69" t="str">
        <f>IF(AND(A79="",B79=""),"",IF(A79="","Produit manquant",IF(COUNTIF(prod_ref,A79)=0,"Produit inconnu",IF(B79="","Matière manquante",IF(ISNA(MATCH(B79,mat_ref,0)),"Matière inconnue",IF(INDEX(mat_check,MATCH(B79,mat_ref,0))&lt;&gt;"OK","Matière à corriger",IF(OR(NOT(ISNUMBER(E79)),N(E79)&lt;=0),"Quantité invalide",IF(AND(F79&lt;&gt;"",OR(NOT(ISNUMBER(F79)),N(F79)&lt;0,N(F79)&gt;=1)),"Perte entre 0 et 99 %",IF(COUNTIFS(bom_prod,A79,bom_mat,B79)&gt;1,"Matière en double","OK")))))))))</f>
        <v/>
      </c>
      <c r="K79" s="71" t="str">
        <f>IF(AND(fiche_sel&lt;&gt;"",A79=fiche_sel),COUNTIF(A$6:A79,fiche_sel),"")</f>
        <v/>
      </c>
    </row>
    <row r="80">
      <c r="A80" s="60" t="n"/>
      <c r="B80" s="60" t="n"/>
      <c r="C80" s="71" t="str">
        <f>IF(B80="","",IFERROR(INDEX(mat_des,MATCH(B80,mat_ref,0))&amp;"","Matière inconnue"))</f>
        <v/>
      </c>
      <c r="D80" s="69" t="str">
        <f>IF(B80="","",IFERROR(INDEX(mat_unit,MATCH(B80,mat_ref,0))&amp;"",""))</f>
        <v/>
      </c>
      <c r="E80" s="72" t="n"/>
      <c r="F80" s="65" t="n"/>
      <c r="G80" s="68" t="str">
        <f>IF(J80&lt;&gt;"OK","",IF(F80="",N(INDEX(mat_loss,MATCH(B80,mat_ref,0))),F80))</f>
        <v/>
      </c>
      <c r="H80" s="66" t="str">
        <f>IF(J80&lt;&gt;"OK","",INDEX(mat_price,MATCH(B80,mat_ref,0)))</f>
        <v/>
      </c>
      <c r="I80" s="66" t="str">
        <f>IF(J80&lt;&gt;"OK","",E80*(1+G80)*H80)</f>
        <v/>
      </c>
      <c r="J80" s="69" t="str">
        <f>IF(AND(A80="",B80=""),"",IF(A80="","Produit manquant",IF(COUNTIF(prod_ref,A80)=0,"Produit inconnu",IF(B80="","Matière manquante",IF(ISNA(MATCH(B80,mat_ref,0)),"Matière inconnue",IF(INDEX(mat_check,MATCH(B80,mat_ref,0))&lt;&gt;"OK","Matière à corriger",IF(OR(NOT(ISNUMBER(E80)),N(E80)&lt;=0),"Quantité invalide",IF(AND(F80&lt;&gt;"",OR(NOT(ISNUMBER(F80)),N(F80)&lt;0,N(F80)&gt;=1)),"Perte entre 0 et 99 %",IF(COUNTIFS(bom_prod,A80,bom_mat,B80)&gt;1,"Matière en double","OK")))))))))</f>
        <v/>
      </c>
      <c r="K80" s="71" t="str">
        <f>IF(AND(fiche_sel&lt;&gt;"",A80=fiche_sel),COUNTIF(A$6:A80,fiche_sel),"")</f>
        <v/>
      </c>
    </row>
    <row r="81">
      <c r="A81" s="60" t="n"/>
      <c r="B81" s="60" t="n"/>
      <c r="C81" s="71" t="str">
        <f>IF(B81="","",IFERROR(INDEX(mat_des,MATCH(B81,mat_ref,0))&amp;"","Matière inconnue"))</f>
        <v/>
      </c>
      <c r="D81" s="69" t="str">
        <f>IF(B81="","",IFERROR(INDEX(mat_unit,MATCH(B81,mat_ref,0))&amp;"",""))</f>
        <v/>
      </c>
      <c r="E81" s="72" t="n"/>
      <c r="F81" s="65" t="n"/>
      <c r="G81" s="68" t="str">
        <f>IF(J81&lt;&gt;"OK","",IF(F81="",N(INDEX(mat_loss,MATCH(B81,mat_ref,0))),F81))</f>
        <v/>
      </c>
      <c r="H81" s="66" t="str">
        <f>IF(J81&lt;&gt;"OK","",INDEX(mat_price,MATCH(B81,mat_ref,0)))</f>
        <v/>
      </c>
      <c r="I81" s="66" t="str">
        <f>IF(J81&lt;&gt;"OK","",E81*(1+G81)*H81)</f>
        <v/>
      </c>
      <c r="J81" s="69" t="str">
        <f>IF(AND(A81="",B81=""),"",IF(A81="","Produit manquant",IF(COUNTIF(prod_ref,A81)=0,"Produit inconnu",IF(B81="","Matière manquante",IF(ISNA(MATCH(B81,mat_ref,0)),"Matière inconnue",IF(INDEX(mat_check,MATCH(B81,mat_ref,0))&lt;&gt;"OK","Matière à corriger",IF(OR(NOT(ISNUMBER(E81)),N(E81)&lt;=0),"Quantité invalide",IF(AND(F81&lt;&gt;"",OR(NOT(ISNUMBER(F81)),N(F81)&lt;0,N(F81)&gt;=1)),"Perte entre 0 et 99 %",IF(COUNTIFS(bom_prod,A81,bom_mat,B81)&gt;1,"Matière en double","OK")))))))))</f>
        <v/>
      </c>
      <c r="K81" s="71" t="str">
        <f>IF(AND(fiche_sel&lt;&gt;"",A81=fiche_sel),COUNTIF(A$6:A81,fiche_sel),"")</f>
        <v/>
      </c>
    </row>
    <row r="82">
      <c r="A82" s="60" t="n"/>
      <c r="B82" s="60" t="n"/>
      <c r="C82" s="71" t="str">
        <f>IF(B82="","",IFERROR(INDEX(mat_des,MATCH(B82,mat_ref,0))&amp;"","Matière inconnue"))</f>
        <v/>
      </c>
      <c r="D82" s="69" t="str">
        <f>IF(B82="","",IFERROR(INDEX(mat_unit,MATCH(B82,mat_ref,0))&amp;"",""))</f>
        <v/>
      </c>
      <c r="E82" s="72" t="n"/>
      <c r="F82" s="65" t="n"/>
      <c r="G82" s="68" t="str">
        <f>IF(J82&lt;&gt;"OK","",IF(F82="",N(INDEX(mat_loss,MATCH(B82,mat_ref,0))),F82))</f>
        <v/>
      </c>
      <c r="H82" s="66" t="str">
        <f>IF(J82&lt;&gt;"OK","",INDEX(mat_price,MATCH(B82,mat_ref,0)))</f>
        <v/>
      </c>
      <c r="I82" s="66" t="str">
        <f>IF(J82&lt;&gt;"OK","",E82*(1+G82)*H82)</f>
        <v/>
      </c>
      <c r="J82" s="69" t="str">
        <f>IF(AND(A82="",B82=""),"",IF(A82="","Produit manquant",IF(COUNTIF(prod_ref,A82)=0,"Produit inconnu",IF(B82="","Matière manquante",IF(ISNA(MATCH(B82,mat_ref,0)),"Matière inconnue",IF(INDEX(mat_check,MATCH(B82,mat_ref,0))&lt;&gt;"OK","Matière à corriger",IF(OR(NOT(ISNUMBER(E82)),N(E82)&lt;=0),"Quantité invalide",IF(AND(F82&lt;&gt;"",OR(NOT(ISNUMBER(F82)),N(F82)&lt;0,N(F82)&gt;=1)),"Perte entre 0 et 99 %",IF(COUNTIFS(bom_prod,A82,bom_mat,B82)&gt;1,"Matière en double","OK")))))))))</f>
        <v/>
      </c>
      <c r="K82" s="71" t="str">
        <f>IF(AND(fiche_sel&lt;&gt;"",A82=fiche_sel),COUNTIF(A$6:A82,fiche_sel),"")</f>
        <v/>
      </c>
    </row>
    <row r="83">
      <c r="A83" s="60" t="n"/>
      <c r="B83" s="60" t="n"/>
      <c r="C83" s="71" t="str">
        <f>IF(B83="","",IFERROR(INDEX(mat_des,MATCH(B83,mat_ref,0))&amp;"","Matière inconnue"))</f>
        <v/>
      </c>
      <c r="D83" s="69" t="str">
        <f>IF(B83="","",IFERROR(INDEX(mat_unit,MATCH(B83,mat_ref,0))&amp;"",""))</f>
        <v/>
      </c>
      <c r="E83" s="72" t="n"/>
      <c r="F83" s="65" t="n"/>
      <c r="G83" s="68" t="str">
        <f>IF(J83&lt;&gt;"OK","",IF(F83="",N(INDEX(mat_loss,MATCH(B83,mat_ref,0))),F83))</f>
        <v/>
      </c>
      <c r="H83" s="66" t="str">
        <f>IF(J83&lt;&gt;"OK","",INDEX(mat_price,MATCH(B83,mat_ref,0)))</f>
        <v/>
      </c>
      <c r="I83" s="66" t="str">
        <f>IF(J83&lt;&gt;"OK","",E83*(1+G83)*H83)</f>
        <v/>
      </c>
      <c r="J83" s="69" t="str">
        <f>IF(AND(A83="",B83=""),"",IF(A83="","Produit manquant",IF(COUNTIF(prod_ref,A83)=0,"Produit inconnu",IF(B83="","Matière manquante",IF(ISNA(MATCH(B83,mat_ref,0)),"Matière inconnue",IF(INDEX(mat_check,MATCH(B83,mat_ref,0))&lt;&gt;"OK","Matière à corriger",IF(OR(NOT(ISNUMBER(E83)),N(E83)&lt;=0),"Quantité invalide",IF(AND(F83&lt;&gt;"",OR(NOT(ISNUMBER(F83)),N(F83)&lt;0,N(F83)&gt;=1)),"Perte entre 0 et 99 %",IF(COUNTIFS(bom_prod,A83,bom_mat,B83)&gt;1,"Matière en double","OK")))))))))</f>
        <v/>
      </c>
      <c r="K83" s="71" t="str">
        <f>IF(AND(fiche_sel&lt;&gt;"",A83=fiche_sel),COUNTIF(A$6:A83,fiche_sel),"")</f>
        <v/>
      </c>
    </row>
    <row r="84">
      <c r="A84" s="60" t="n"/>
      <c r="B84" s="60" t="n"/>
      <c r="C84" s="71" t="str">
        <f>IF(B84="","",IFERROR(INDEX(mat_des,MATCH(B84,mat_ref,0))&amp;"","Matière inconnue"))</f>
        <v/>
      </c>
      <c r="D84" s="69" t="str">
        <f>IF(B84="","",IFERROR(INDEX(mat_unit,MATCH(B84,mat_ref,0))&amp;"",""))</f>
        <v/>
      </c>
      <c r="E84" s="72" t="n"/>
      <c r="F84" s="65" t="n"/>
      <c r="G84" s="68" t="str">
        <f>IF(J84&lt;&gt;"OK","",IF(F84="",N(INDEX(mat_loss,MATCH(B84,mat_ref,0))),F84))</f>
        <v/>
      </c>
      <c r="H84" s="66" t="str">
        <f>IF(J84&lt;&gt;"OK","",INDEX(mat_price,MATCH(B84,mat_ref,0)))</f>
        <v/>
      </c>
      <c r="I84" s="66" t="str">
        <f>IF(J84&lt;&gt;"OK","",E84*(1+G84)*H84)</f>
        <v/>
      </c>
      <c r="J84" s="69" t="str">
        <f>IF(AND(A84="",B84=""),"",IF(A84="","Produit manquant",IF(COUNTIF(prod_ref,A84)=0,"Produit inconnu",IF(B84="","Matière manquante",IF(ISNA(MATCH(B84,mat_ref,0)),"Matière inconnue",IF(INDEX(mat_check,MATCH(B84,mat_ref,0))&lt;&gt;"OK","Matière à corriger",IF(OR(NOT(ISNUMBER(E84)),N(E84)&lt;=0),"Quantité invalide",IF(AND(F84&lt;&gt;"",OR(NOT(ISNUMBER(F84)),N(F84)&lt;0,N(F84)&gt;=1)),"Perte entre 0 et 99 %",IF(COUNTIFS(bom_prod,A84,bom_mat,B84)&gt;1,"Matière en double","OK")))))))))</f>
        <v/>
      </c>
      <c r="K84" s="71" t="str">
        <f>IF(AND(fiche_sel&lt;&gt;"",A84=fiche_sel),COUNTIF(A$6:A84,fiche_sel),"")</f>
        <v/>
      </c>
    </row>
    <row r="85">
      <c r="A85" s="60" t="n"/>
      <c r="B85" s="60" t="n"/>
      <c r="C85" s="71" t="str">
        <f>IF(B85="","",IFERROR(INDEX(mat_des,MATCH(B85,mat_ref,0))&amp;"","Matière inconnue"))</f>
        <v/>
      </c>
      <c r="D85" s="69" t="str">
        <f>IF(B85="","",IFERROR(INDEX(mat_unit,MATCH(B85,mat_ref,0))&amp;"",""))</f>
        <v/>
      </c>
      <c r="E85" s="72" t="n"/>
      <c r="F85" s="65" t="n"/>
      <c r="G85" s="68" t="str">
        <f>IF(J85&lt;&gt;"OK","",IF(F85="",N(INDEX(mat_loss,MATCH(B85,mat_ref,0))),F85))</f>
        <v/>
      </c>
      <c r="H85" s="66" t="str">
        <f>IF(J85&lt;&gt;"OK","",INDEX(mat_price,MATCH(B85,mat_ref,0)))</f>
        <v/>
      </c>
      <c r="I85" s="66" t="str">
        <f>IF(J85&lt;&gt;"OK","",E85*(1+G85)*H85)</f>
        <v/>
      </c>
      <c r="J85" s="69" t="str">
        <f>IF(AND(A85="",B85=""),"",IF(A85="","Produit manquant",IF(COUNTIF(prod_ref,A85)=0,"Produit inconnu",IF(B85="","Matière manquante",IF(ISNA(MATCH(B85,mat_ref,0)),"Matière inconnue",IF(INDEX(mat_check,MATCH(B85,mat_ref,0))&lt;&gt;"OK","Matière à corriger",IF(OR(NOT(ISNUMBER(E85)),N(E85)&lt;=0),"Quantité invalide",IF(AND(F85&lt;&gt;"",OR(NOT(ISNUMBER(F85)),N(F85)&lt;0,N(F85)&gt;=1)),"Perte entre 0 et 99 %",IF(COUNTIFS(bom_prod,A85,bom_mat,B85)&gt;1,"Matière en double","OK")))))))))</f>
        <v/>
      </c>
      <c r="K85" s="71" t="str">
        <f>IF(AND(fiche_sel&lt;&gt;"",A85=fiche_sel),COUNTIF(A$6:A85,fiche_sel),"")</f>
        <v/>
      </c>
    </row>
    <row r="86">
      <c r="A86" s="60" t="n"/>
      <c r="B86" s="60" t="n"/>
      <c r="C86" s="71" t="str">
        <f>IF(B86="","",IFERROR(INDEX(mat_des,MATCH(B86,mat_ref,0))&amp;"","Matière inconnue"))</f>
        <v/>
      </c>
      <c r="D86" s="69" t="str">
        <f>IF(B86="","",IFERROR(INDEX(mat_unit,MATCH(B86,mat_ref,0))&amp;"",""))</f>
        <v/>
      </c>
      <c r="E86" s="72" t="n"/>
      <c r="F86" s="65" t="n"/>
      <c r="G86" s="68" t="str">
        <f>IF(J86&lt;&gt;"OK","",IF(F86="",N(INDEX(mat_loss,MATCH(B86,mat_ref,0))),F86))</f>
        <v/>
      </c>
      <c r="H86" s="66" t="str">
        <f>IF(J86&lt;&gt;"OK","",INDEX(mat_price,MATCH(B86,mat_ref,0)))</f>
        <v/>
      </c>
      <c r="I86" s="66" t="str">
        <f>IF(J86&lt;&gt;"OK","",E86*(1+G86)*H86)</f>
        <v/>
      </c>
      <c r="J86" s="69" t="str">
        <f>IF(AND(A86="",B86=""),"",IF(A86="","Produit manquant",IF(COUNTIF(prod_ref,A86)=0,"Produit inconnu",IF(B86="","Matière manquante",IF(ISNA(MATCH(B86,mat_ref,0)),"Matière inconnue",IF(INDEX(mat_check,MATCH(B86,mat_ref,0))&lt;&gt;"OK","Matière à corriger",IF(OR(NOT(ISNUMBER(E86)),N(E86)&lt;=0),"Quantité invalide",IF(AND(F86&lt;&gt;"",OR(NOT(ISNUMBER(F86)),N(F86)&lt;0,N(F86)&gt;=1)),"Perte entre 0 et 99 %",IF(COUNTIFS(bom_prod,A86,bom_mat,B86)&gt;1,"Matière en double","OK")))))))))</f>
        <v/>
      </c>
      <c r="K86" s="71" t="str">
        <f>IF(AND(fiche_sel&lt;&gt;"",A86=fiche_sel),COUNTIF(A$6:A86,fiche_sel),"")</f>
        <v/>
      </c>
    </row>
    <row r="87">
      <c r="A87" s="60" t="n"/>
      <c r="B87" s="60" t="n"/>
      <c r="C87" s="71" t="str">
        <f>IF(B87="","",IFERROR(INDEX(mat_des,MATCH(B87,mat_ref,0))&amp;"","Matière inconnue"))</f>
        <v/>
      </c>
      <c r="D87" s="69" t="str">
        <f>IF(B87="","",IFERROR(INDEX(mat_unit,MATCH(B87,mat_ref,0))&amp;"",""))</f>
        <v/>
      </c>
      <c r="E87" s="72" t="n"/>
      <c r="F87" s="65" t="n"/>
      <c r="G87" s="68" t="str">
        <f>IF(J87&lt;&gt;"OK","",IF(F87="",N(INDEX(mat_loss,MATCH(B87,mat_ref,0))),F87))</f>
        <v/>
      </c>
      <c r="H87" s="66" t="str">
        <f>IF(J87&lt;&gt;"OK","",INDEX(mat_price,MATCH(B87,mat_ref,0)))</f>
        <v/>
      </c>
      <c r="I87" s="66" t="str">
        <f>IF(J87&lt;&gt;"OK","",E87*(1+G87)*H87)</f>
        <v/>
      </c>
      <c r="J87" s="69" t="str">
        <f>IF(AND(A87="",B87=""),"",IF(A87="","Produit manquant",IF(COUNTIF(prod_ref,A87)=0,"Produit inconnu",IF(B87="","Matière manquante",IF(ISNA(MATCH(B87,mat_ref,0)),"Matière inconnue",IF(INDEX(mat_check,MATCH(B87,mat_ref,0))&lt;&gt;"OK","Matière à corriger",IF(OR(NOT(ISNUMBER(E87)),N(E87)&lt;=0),"Quantité invalide",IF(AND(F87&lt;&gt;"",OR(NOT(ISNUMBER(F87)),N(F87)&lt;0,N(F87)&gt;=1)),"Perte entre 0 et 99 %",IF(COUNTIFS(bom_prod,A87,bom_mat,B87)&gt;1,"Matière en double","OK")))))))))</f>
        <v/>
      </c>
      <c r="K87" s="71" t="str">
        <f>IF(AND(fiche_sel&lt;&gt;"",A87=fiche_sel),COUNTIF(A$6:A87,fiche_sel),"")</f>
        <v/>
      </c>
    </row>
    <row r="88">
      <c r="A88" s="60" t="n"/>
      <c r="B88" s="60" t="n"/>
      <c r="C88" s="71" t="str">
        <f>IF(B88="","",IFERROR(INDEX(mat_des,MATCH(B88,mat_ref,0))&amp;"","Matière inconnue"))</f>
        <v/>
      </c>
      <c r="D88" s="69" t="str">
        <f>IF(B88="","",IFERROR(INDEX(mat_unit,MATCH(B88,mat_ref,0))&amp;"",""))</f>
        <v/>
      </c>
      <c r="E88" s="72" t="n"/>
      <c r="F88" s="65" t="n"/>
      <c r="G88" s="68" t="str">
        <f>IF(J88&lt;&gt;"OK","",IF(F88="",N(INDEX(mat_loss,MATCH(B88,mat_ref,0))),F88))</f>
        <v/>
      </c>
      <c r="H88" s="66" t="str">
        <f>IF(J88&lt;&gt;"OK","",INDEX(mat_price,MATCH(B88,mat_ref,0)))</f>
        <v/>
      </c>
      <c r="I88" s="66" t="str">
        <f>IF(J88&lt;&gt;"OK","",E88*(1+G88)*H88)</f>
        <v/>
      </c>
      <c r="J88" s="69" t="str">
        <f>IF(AND(A88="",B88=""),"",IF(A88="","Produit manquant",IF(COUNTIF(prod_ref,A88)=0,"Produit inconnu",IF(B88="","Matière manquante",IF(ISNA(MATCH(B88,mat_ref,0)),"Matière inconnue",IF(INDEX(mat_check,MATCH(B88,mat_ref,0))&lt;&gt;"OK","Matière à corriger",IF(OR(NOT(ISNUMBER(E88)),N(E88)&lt;=0),"Quantité invalide",IF(AND(F88&lt;&gt;"",OR(NOT(ISNUMBER(F88)),N(F88)&lt;0,N(F88)&gt;=1)),"Perte entre 0 et 99 %",IF(COUNTIFS(bom_prod,A88,bom_mat,B88)&gt;1,"Matière en double","OK")))))))))</f>
        <v/>
      </c>
      <c r="K88" s="71" t="str">
        <f>IF(AND(fiche_sel&lt;&gt;"",A88=fiche_sel),COUNTIF(A$6:A88,fiche_sel),"")</f>
        <v/>
      </c>
    </row>
    <row r="89">
      <c r="A89" s="60" t="n"/>
      <c r="B89" s="60" t="n"/>
      <c r="C89" s="71" t="str">
        <f>IF(B89="","",IFERROR(INDEX(mat_des,MATCH(B89,mat_ref,0))&amp;"","Matière inconnue"))</f>
        <v/>
      </c>
      <c r="D89" s="69" t="str">
        <f>IF(B89="","",IFERROR(INDEX(mat_unit,MATCH(B89,mat_ref,0))&amp;"",""))</f>
        <v/>
      </c>
      <c r="E89" s="72" t="n"/>
      <c r="F89" s="65" t="n"/>
      <c r="G89" s="68" t="str">
        <f>IF(J89&lt;&gt;"OK","",IF(F89="",N(INDEX(mat_loss,MATCH(B89,mat_ref,0))),F89))</f>
        <v/>
      </c>
      <c r="H89" s="66" t="str">
        <f>IF(J89&lt;&gt;"OK","",INDEX(mat_price,MATCH(B89,mat_ref,0)))</f>
        <v/>
      </c>
      <c r="I89" s="66" t="str">
        <f>IF(J89&lt;&gt;"OK","",E89*(1+G89)*H89)</f>
        <v/>
      </c>
      <c r="J89" s="69" t="str">
        <f>IF(AND(A89="",B89=""),"",IF(A89="","Produit manquant",IF(COUNTIF(prod_ref,A89)=0,"Produit inconnu",IF(B89="","Matière manquante",IF(ISNA(MATCH(B89,mat_ref,0)),"Matière inconnue",IF(INDEX(mat_check,MATCH(B89,mat_ref,0))&lt;&gt;"OK","Matière à corriger",IF(OR(NOT(ISNUMBER(E89)),N(E89)&lt;=0),"Quantité invalide",IF(AND(F89&lt;&gt;"",OR(NOT(ISNUMBER(F89)),N(F89)&lt;0,N(F89)&gt;=1)),"Perte entre 0 et 99 %",IF(COUNTIFS(bom_prod,A89,bom_mat,B89)&gt;1,"Matière en double","OK")))))))))</f>
        <v/>
      </c>
      <c r="K89" s="71" t="str">
        <f>IF(AND(fiche_sel&lt;&gt;"",A89=fiche_sel),COUNTIF(A$6:A89,fiche_sel),"")</f>
        <v/>
      </c>
    </row>
    <row r="90">
      <c r="A90" s="60" t="n"/>
      <c r="B90" s="60" t="n"/>
      <c r="C90" s="71" t="str">
        <f>IF(B90="","",IFERROR(INDEX(mat_des,MATCH(B90,mat_ref,0))&amp;"","Matière inconnue"))</f>
        <v/>
      </c>
      <c r="D90" s="69" t="str">
        <f>IF(B90="","",IFERROR(INDEX(mat_unit,MATCH(B90,mat_ref,0))&amp;"",""))</f>
        <v/>
      </c>
      <c r="E90" s="72" t="n"/>
      <c r="F90" s="65" t="n"/>
      <c r="G90" s="68" t="str">
        <f>IF(J90&lt;&gt;"OK","",IF(F90="",N(INDEX(mat_loss,MATCH(B90,mat_ref,0))),F90))</f>
        <v/>
      </c>
      <c r="H90" s="66" t="str">
        <f>IF(J90&lt;&gt;"OK","",INDEX(mat_price,MATCH(B90,mat_ref,0)))</f>
        <v/>
      </c>
      <c r="I90" s="66" t="str">
        <f>IF(J90&lt;&gt;"OK","",E90*(1+G90)*H90)</f>
        <v/>
      </c>
      <c r="J90" s="69" t="str">
        <f>IF(AND(A90="",B90=""),"",IF(A90="","Produit manquant",IF(COUNTIF(prod_ref,A90)=0,"Produit inconnu",IF(B90="","Matière manquante",IF(ISNA(MATCH(B90,mat_ref,0)),"Matière inconnue",IF(INDEX(mat_check,MATCH(B90,mat_ref,0))&lt;&gt;"OK","Matière à corriger",IF(OR(NOT(ISNUMBER(E90)),N(E90)&lt;=0),"Quantité invalide",IF(AND(F90&lt;&gt;"",OR(NOT(ISNUMBER(F90)),N(F90)&lt;0,N(F90)&gt;=1)),"Perte entre 0 et 99 %",IF(COUNTIFS(bom_prod,A90,bom_mat,B90)&gt;1,"Matière en double","OK")))))))))</f>
        <v/>
      </c>
      <c r="K90" s="71" t="str">
        <f>IF(AND(fiche_sel&lt;&gt;"",A90=fiche_sel),COUNTIF(A$6:A90,fiche_sel),"")</f>
        <v/>
      </c>
    </row>
    <row r="91">
      <c r="A91" s="60" t="n"/>
      <c r="B91" s="60" t="n"/>
      <c r="C91" s="71" t="str">
        <f>IF(B91="","",IFERROR(INDEX(mat_des,MATCH(B91,mat_ref,0))&amp;"","Matière inconnue"))</f>
        <v/>
      </c>
      <c r="D91" s="69" t="str">
        <f>IF(B91="","",IFERROR(INDEX(mat_unit,MATCH(B91,mat_ref,0))&amp;"",""))</f>
        <v/>
      </c>
      <c r="E91" s="72" t="n"/>
      <c r="F91" s="65" t="n"/>
      <c r="G91" s="68" t="str">
        <f>IF(J91&lt;&gt;"OK","",IF(F91="",N(INDEX(mat_loss,MATCH(B91,mat_ref,0))),F91))</f>
        <v/>
      </c>
      <c r="H91" s="66" t="str">
        <f>IF(J91&lt;&gt;"OK","",INDEX(mat_price,MATCH(B91,mat_ref,0)))</f>
        <v/>
      </c>
      <c r="I91" s="66" t="str">
        <f>IF(J91&lt;&gt;"OK","",E91*(1+G91)*H91)</f>
        <v/>
      </c>
      <c r="J91" s="69" t="str">
        <f>IF(AND(A91="",B91=""),"",IF(A91="","Produit manquant",IF(COUNTIF(prod_ref,A91)=0,"Produit inconnu",IF(B91="","Matière manquante",IF(ISNA(MATCH(B91,mat_ref,0)),"Matière inconnue",IF(INDEX(mat_check,MATCH(B91,mat_ref,0))&lt;&gt;"OK","Matière à corriger",IF(OR(NOT(ISNUMBER(E91)),N(E91)&lt;=0),"Quantité invalide",IF(AND(F91&lt;&gt;"",OR(NOT(ISNUMBER(F91)),N(F91)&lt;0,N(F91)&gt;=1)),"Perte entre 0 et 99 %",IF(COUNTIFS(bom_prod,A91,bom_mat,B91)&gt;1,"Matière en double","OK")))))))))</f>
        <v/>
      </c>
      <c r="K91" s="71" t="str">
        <f>IF(AND(fiche_sel&lt;&gt;"",A91=fiche_sel),COUNTIF(A$6:A91,fiche_sel),"")</f>
        <v/>
      </c>
    </row>
    <row r="92">
      <c r="A92" s="60" t="n"/>
      <c r="B92" s="60" t="n"/>
      <c r="C92" s="71" t="str">
        <f>IF(B92="","",IFERROR(INDEX(mat_des,MATCH(B92,mat_ref,0))&amp;"","Matière inconnue"))</f>
        <v/>
      </c>
      <c r="D92" s="69" t="str">
        <f>IF(B92="","",IFERROR(INDEX(mat_unit,MATCH(B92,mat_ref,0))&amp;"",""))</f>
        <v/>
      </c>
      <c r="E92" s="72" t="n"/>
      <c r="F92" s="65" t="n"/>
      <c r="G92" s="68" t="str">
        <f>IF(J92&lt;&gt;"OK","",IF(F92="",N(INDEX(mat_loss,MATCH(B92,mat_ref,0))),F92))</f>
        <v/>
      </c>
      <c r="H92" s="66" t="str">
        <f>IF(J92&lt;&gt;"OK","",INDEX(mat_price,MATCH(B92,mat_ref,0)))</f>
        <v/>
      </c>
      <c r="I92" s="66" t="str">
        <f>IF(J92&lt;&gt;"OK","",E92*(1+G92)*H92)</f>
        <v/>
      </c>
      <c r="J92" s="69" t="str">
        <f>IF(AND(A92="",B92=""),"",IF(A92="","Produit manquant",IF(COUNTIF(prod_ref,A92)=0,"Produit inconnu",IF(B92="","Matière manquante",IF(ISNA(MATCH(B92,mat_ref,0)),"Matière inconnue",IF(INDEX(mat_check,MATCH(B92,mat_ref,0))&lt;&gt;"OK","Matière à corriger",IF(OR(NOT(ISNUMBER(E92)),N(E92)&lt;=0),"Quantité invalide",IF(AND(F92&lt;&gt;"",OR(NOT(ISNUMBER(F92)),N(F92)&lt;0,N(F92)&gt;=1)),"Perte entre 0 et 99 %",IF(COUNTIFS(bom_prod,A92,bom_mat,B92)&gt;1,"Matière en double","OK")))))))))</f>
        <v/>
      </c>
      <c r="K92" s="71" t="str">
        <f>IF(AND(fiche_sel&lt;&gt;"",A92=fiche_sel),COUNTIF(A$6:A92,fiche_sel),"")</f>
        <v/>
      </c>
    </row>
    <row r="93">
      <c r="A93" s="60" t="n"/>
      <c r="B93" s="60" t="n"/>
      <c r="C93" s="71" t="str">
        <f>IF(B93="","",IFERROR(INDEX(mat_des,MATCH(B93,mat_ref,0))&amp;"","Matière inconnue"))</f>
        <v/>
      </c>
      <c r="D93" s="69" t="str">
        <f>IF(B93="","",IFERROR(INDEX(mat_unit,MATCH(B93,mat_ref,0))&amp;"",""))</f>
        <v/>
      </c>
      <c r="E93" s="72" t="n"/>
      <c r="F93" s="65" t="n"/>
      <c r="G93" s="68" t="str">
        <f>IF(J93&lt;&gt;"OK","",IF(F93="",N(INDEX(mat_loss,MATCH(B93,mat_ref,0))),F93))</f>
        <v/>
      </c>
      <c r="H93" s="66" t="str">
        <f>IF(J93&lt;&gt;"OK","",INDEX(mat_price,MATCH(B93,mat_ref,0)))</f>
        <v/>
      </c>
      <c r="I93" s="66" t="str">
        <f>IF(J93&lt;&gt;"OK","",E93*(1+G93)*H93)</f>
        <v/>
      </c>
      <c r="J93" s="69" t="str">
        <f>IF(AND(A93="",B93=""),"",IF(A93="","Produit manquant",IF(COUNTIF(prod_ref,A93)=0,"Produit inconnu",IF(B93="","Matière manquante",IF(ISNA(MATCH(B93,mat_ref,0)),"Matière inconnue",IF(INDEX(mat_check,MATCH(B93,mat_ref,0))&lt;&gt;"OK","Matière à corriger",IF(OR(NOT(ISNUMBER(E93)),N(E93)&lt;=0),"Quantité invalide",IF(AND(F93&lt;&gt;"",OR(NOT(ISNUMBER(F93)),N(F93)&lt;0,N(F93)&gt;=1)),"Perte entre 0 et 99 %",IF(COUNTIFS(bom_prod,A93,bom_mat,B93)&gt;1,"Matière en double","OK")))))))))</f>
        <v/>
      </c>
      <c r="K93" s="71" t="str">
        <f>IF(AND(fiche_sel&lt;&gt;"",A93=fiche_sel),COUNTIF(A$6:A93,fiche_sel),"")</f>
        <v/>
      </c>
    </row>
    <row r="94">
      <c r="A94" s="60" t="n"/>
      <c r="B94" s="60" t="n"/>
      <c r="C94" s="71" t="str">
        <f>IF(B94="","",IFERROR(INDEX(mat_des,MATCH(B94,mat_ref,0))&amp;"","Matière inconnue"))</f>
        <v/>
      </c>
      <c r="D94" s="69" t="str">
        <f>IF(B94="","",IFERROR(INDEX(mat_unit,MATCH(B94,mat_ref,0))&amp;"",""))</f>
        <v/>
      </c>
      <c r="E94" s="72" t="n"/>
      <c r="F94" s="65" t="n"/>
      <c r="G94" s="68" t="str">
        <f>IF(J94&lt;&gt;"OK","",IF(F94="",N(INDEX(mat_loss,MATCH(B94,mat_ref,0))),F94))</f>
        <v/>
      </c>
      <c r="H94" s="66" t="str">
        <f>IF(J94&lt;&gt;"OK","",INDEX(mat_price,MATCH(B94,mat_ref,0)))</f>
        <v/>
      </c>
      <c r="I94" s="66" t="str">
        <f>IF(J94&lt;&gt;"OK","",E94*(1+G94)*H94)</f>
        <v/>
      </c>
      <c r="J94" s="69" t="str">
        <f>IF(AND(A94="",B94=""),"",IF(A94="","Produit manquant",IF(COUNTIF(prod_ref,A94)=0,"Produit inconnu",IF(B94="","Matière manquante",IF(ISNA(MATCH(B94,mat_ref,0)),"Matière inconnue",IF(INDEX(mat_check,MATCH(B94,mat_ref,0))&lt;&gt;"OK","Matière à corriger",IF(OR(NOT(ISNUMBER(E94)),N(E94)&lt;=0),"Quantité invalide",IF(AND(F94&lt;&gt;"",OR(NOT(ISNUMBER(F94)),N(F94)&lt;0,N(F94)&gt;=1)),"Perte entre 0 et 99 %",IF(COUNTIFS(bom_prod,A94,bom_mat,B94)&gt;1,"Matière en double","OK")))))))))</f>
        <v/>
      </c>
      <c r="K94" s="71" t="str">
        <f>IF(AND(fiche_sel&lt;&gt;"",A94=fiche_sel),COUNTIF(A$6:A94,fiche_sel),"")</f>
        <v/>
      </c>
    </row>
    <row r="95">
      <c r="A95" s="60" t="n"/>
      <c r="B95" s="60" t="n"/>
      <c r="C95" s="71" t="str">
        <f>IF(B95="","",IFERROR(INDEX(mat_des,MATCH(B95,mat_ref,0))&amp;"","Matière inconnue"))</f>
        <v/>
      </c>
      <c r="D95" s="69" t="str">
        <f>IF(B95="","",IFERROR(INDEX(mat_unit,MATCH(B95,mat_ref,0))&amp;"",""))</f>
        <v/>
      </c>
      <c r="E95" s="72" t="n"/>
      <c r="F95" s="65" t="n"/>
      <c r="G95" s="68" t="str">
        <f>IF(J95&lt;&gt;"OK","",IF(F95="",N(INDEX(mat_loss,MATCH(B95,mat_ref,0))),F95))</f>
        <v/>
      </c>
      <c r="H95" s="66" t="str">
        <f>IF(J95&lt;&gt;"OK","",INDEX(mat_price,MATCH(B95,mat_ref,0)))</f>
        <v/>
      </c>
      <c r="I95" s="66" t="str">
        <f>IF(J95&lt;&gt;"OK","",E95*(1+G95)*H95)</f>
        <v/>
      </c>
      <c r="J95" s="69" t="str">
        <f>IF(AND(A95="",B95=""),"",IF(A95="","Produit manquant",IF(COUNTIF(prod_ref,A95)=0,"Produit inconnu",IF(B95="","Matière manquante",IF(ISNA(MATCH(B95,mat_ref,0)),"Matière inconnue",IF(INDEX(mat_check,MATCH(B95,mat_ref,0))&lt;&gt;"OK","Matière à corriger",IF(OR(NOT(ISNUMBER(E95)),N(E95)&lt;=0),"Quantité invalide",IF(AND(F95&lt;&gt;"",OR(NOT(ISNUMBER(F95)),N(F95)&lt;0,N(F95)&gt;=1)),"Perte entre 0 et 99 %",IF(COUNTIFS(bom_prod,A95,bom_mat,B95)&gt;1,"Matière en double","OK")))))))))</f>
        <v/>
      </c>
      <c r="K95" s="71" t="str">
        <f>IF(AND(fiche_sel&lt;&gt;"",A95=fiche_sel),COUNTIF(A$6:A95,fiche_sel),"")</f>
        <v/>
      </c>
    </row>
    <row r="96">
      <c r="A96" s="60" t="n"/>
      <c r="B96" s="60" t="n"/>
      <c r="C96" s="71" t="str">
        <f>IF(B96="","",IFERROR(INDEX(mat_des,MATCH(B96,mat_ref,0))&amp;"","Matière inconnue"))</f>
        <v/>
      </c>
      <c r="D96" s="69" t="str">
        <f>IF(B96="","",IFERROR(INDEX(mat_unit,MATCH(B96,mat_ref,0))&amp;"",""))</f>
        <v/>
      </c>
      <c r="E96" s="72" t="n"/>
      <c r="F96" s="65" t="n"/>
      <c r="G96" s="68" t="str">
        <f>IF(J96&lt;&gt;"OK","",IF(F96="",N(INDEX(mat_loss,MATCH(B96,mat_ref,0))),F96))</f>
        <v/>
      </c>
      <c r="H96" s="66" t="str">
        <f>IF(J96&lt;&gt;"OK","",INDEX(mat_price,MATCH(B96,mat_ref,0)))</f>
        <v/>
      </c>
      <c r="I96" s="66" t="str">
        <f>IF(J96&lt;&gt;"OK","",E96*(1+G96)*H96)</f>
        <v/>
      </c>
      <c r="J96" s="69" t="str">
        <f>IF(AND(A96="",B96=""),"",IF(A96="","Produit manquant",IF(COUNTIF(prod_ref,A96)=0,"Produit inconnu",IF(B96="","Matière manquante",IF(ISNA(MATCH(B96,mat_ref,0)),"Matière inconnue",IF(INDEX(mat_check,MATCH(B96,mat_ref,0))&lt;&gt;"OK","Matière à corriger",IF(OR(NOT(ISNUMBER(E96)),N(E96)&lt;=0),"Quantité invalide",IF(AND(F96&lt;&gt;"",OR(NOT(ISNUMBER(F96)),N(F96)&lt;0,N(F96)&gt;=1)),"Perte entre 0 et 99 %",IF(COUNTIFS(bom_prod,A96,bom_mat,B96)&gt;1,"Matière en double","OK")))))))))</f>
        <v/>
      </c>
      <c r="K96" s="71" t="str">
        <f>IF(AND(fiche_sel&lt;&gt;"",A96=fiche_sel),COUNTIF(A$6:A96,fiche_sel),"")</f>
        <v/>
      </c>
    </row>
    <row r="97">
      <c r="A97" s="60" t="n"/>
      <c r="B97" s="60" t="n"/>
      <c r="C97" s="71" t="str">
        <f>IF(B97="","",IFERROR(INDEX(mat_des,MATCH(B97,mat_ref,0))&amp;"","Matière inconnue"))</f>
        <v/>
      </c>
      <c r="D97" s="69" t="str">
        <f>IF(B97="","",IFERROR(INDEX(mat_unit,MATCH(B97,mat_ref,0))&amp;"",""))</f>
        <v/>
      </c>
      <c r="E97" s="72" t="n"/>
      <c r="F97" s="65" t="n"/>
      <c r="G97" s="68" t="str">
        <f>IF(J97&lt;&gt;"OK","",IF(F97="",N(INDEX(mat_loss,MATCH(B97,mat_ref,0))),F97))</f>
        <v/>
      </c>
      <c r="H97" s="66" t="str">
        <f>IF(J97&lt;&gt;"OK","",INDEX(mat_price,MATCH(B97,mat_ref,0)))</f>
        <v/>
      </c>
      <c r="I97" s="66" t="str">
        <f>IF(J97&lt;&gt;"OK","",E97*(1+G97)*H97)</f>
        <v/>
      </c>
      <c r="J97" s="69" t="str">
        <f>IF(AND(A97="",B97=""),"",IF(A97="","Produit manquant",IF(COUNTIF(prod_ref,A97)=0,"Produit inconnu",IF(B97="","Matière manquante",IF(ISNA(MATCH(B97,mat_ref,0)),"Matière inconnue",IF(INDEX(mat_check,MATCH(B97,mat_ref,0))&lt;&gt;"OK","Matière à corriger",IF(OR(NOT(ISNUMBER(E97)),N(E97)&lt;=0),"Quantité invalide",IF(AND(F97&lt;&gt;"",OR(NOT(ISNUMBER(F97)),N(F97)&lt;0,N(F97)&gt;=1)),"Perte entre 0 et 99 %",IF(COUNTIFS(bom_prod,A97,bom_mat,B97)&gt;1,"Matière en double","OK")))))))))</f>
        <v/>
      </c>
      <c r="K97" s="71" t="str">
        <f>IF(AND(fiche_sel&lt;&gt;"",A97=fiche_sel),COUNTIF(A$6:A97,fiche_sel),"")</f>
        <v/>
      </c>
    </row>
    <row r="98">
      <c r="A98" s="60" t="n"/>
      <c r="B98" s="60" t="n"/>
      <c r="C98" s="71" t="str">
        <f>IF(B98="","",IFERROR(INDEX(mat_des,MATCH(B98,mat_ref,0))&amp;"","Matière inconnue"))</f>
        <v/>
      </c>
      <c r="D98" s="69" t="str">
        <f>IF(B98="","",IFERROR(INDEX(mat_unit,MATCH(B98,mat_ref,0))&amp;"",""))</f>
        <v/>
      </c>
      <c r="E98" s="72" t="n"/>
      <c r="F98" s="65" t="n"/>
      <c r="G98" s="68" t="str">
        <f>IF(J98&lt;&gt;"OK","",IF(F98="",N(INDEX(mat_loss,MATCH(B98,mat_ref,0))),F98))</f>
        <v/>
      </c>
      <c r="H98" s="66" t="str">
        <f>IF(J98&lt;&gt;"OK","",INDEX(mat_price,MATCH(B98,mat_ref,0)))</f>
        <v/>
      </c>
      <c r="I98" s="66" t="str">
        <f>IF(J98&lt;&gt;"OK","",E98*(1+G98)*H98)</f>
        <v/>
      </c>
      <c r="J98" s="69" t="str">
        <f>IF(AND(A98="",B98=""),"",IF(A98="","Produit manquant",IF(COUNTIF(prod_ref,A98)=0,"Produit inconnu",IF(B98="","Matière manquante",IF(ISNA(MATCH(B98,mat_ref,0)),"Matière inconnue",IF(INDEX(mat_check,MATCH(B98,mat_ref,0))&lt;&gt;"OK","Matière à corriger",IF(OR(NOT(ISNUMBER(E98)),N(E98)&lt;=0),"Quantité invalide",IF(AND(F98&lt;&gt;"",OR(NOT(ISNUMBER(F98)),N(F98)&lt;0,N(F98)&gt;=1)),"Perte entre 0 et 99 %",IF(COUNTIFS(bom_prod,A98,bom_mat,B98)&gt;1,"Matière en double","OK")))))))))</f>
        <v/>
      </c>
      <c r="K98" s="71" t="str">
        <f>IF(AND(fiche_sel&lt;&gt;"",A98=fiche_sel),COUNTIF(A$6:A98,fiche_sel),"")</f>
        <v/>
      </c>
    </row>
    <row r="99">
      <c r="A99" s="60" t="n"/>
      <c r="B99" s="60" t="n"/>
      <c r="C99" s="71" t="str">
        <f>IF(B99="","",IFERROR(INDEX(mat_des,MATCH(B99,mat_ref,0))&amp;"","Matière inconnue"))</f>
        <v/>
      </c>
      <c r="D99" s="69" t="str">
        <f>IF(B99="","",IFERROR(INDEX(mat_unit,MATCH(B99,mat_ref,0))&amp;"",""))</f>
        <v/>
      </c>
      <c r="E99" s="72" t="n"/>
      <c r="F99" s="65" t="n"/>
      <c r="G99" s="68" t="str">
        <f>IF(J99&lt;&gt;"OK","",IF(F99="",N(INDEX(mat_loss,MATCH(B99,mat_ref,0))),F99))</f>
        <v/>
      </c>
      <c r="H99" s="66" t="str">
        <f>IF(J99&lt;&gt;"OK","",INDEX(mat_price,MATCH(B99,mat_ref,0)))</f>
        <v/>
      </c>
      <c r="I99" s="66" t="str">
        <f>IF(J99&lt;&gt;"OK","",E99*(1+G99)*H99)</f>
        <v/>
      </c>
      <c r="J99" s="69" t="str">
        <f>IF(AND(A99="",B99=""),"",IF(A99="","Produit manquant",IF(COUNTIF(prod_ref,A99)=0,"Produit inconnu",IF(B99="","Matière manquante",IF(ISNA(MATCH(B99,mat_ref,0)),"Matière inconnue",IF(INDEX(mat_check,MATCH(B99,mat_ref,0))&lt;&gt;"OK","Matière à corriger",IF(OR(NOT(ISNUMBER(E99)),N(E99)&lt;=0),"Quantité invalide",IF(AND(F99&lt;&gt;"",OR(NOT(ISNUMBER(F99)),N(F99)&lt;0,N(F99)&gt;=1)),"Perte entre 0 et 99 %",IF(COUNTIFS(bom_prod,A99,bom_mat,B99)&gt;1,"Matière en double","OK")))))))))</f>
        <v/>
      </c>
      <c r="K99" s="71" t="str">
        <f>IF(AND(fiche_sel&lt;&gt;"",A99=fiche_sel),COUNTIF(A$6:A99,fiche_sel),"")</f>
        <v/>
      </c>
    </row>
    <row r="100">
      <c r="A100" s="60" t="n"/>
      <c r="B100" s="60" t="n"/>
      <c r="C100" s="71" t="str">
        <f>IF(B100="","",IFERROR(INDEX(mat_des,MATCH(B100,mat_ref,0))&amp;"","Matière inconnue"))</f>
        <v/>
      </c>
      <c r="D100" s="69" t="str">
        <f>IF(B100="","",IFERROR(INDEX(mat_unit,MATCH(B100,mat_ref,0))&amp;"",""))</f>
        <v/>
      </c>
      <c r="E100" s="72" t="n"/>
      <c r="F100" s="65" t="n"/>
      <c r="G100" s="68" t="str">
        <f>IF(J100&lt;&gt;"OK","",IF(F100="",N(INDEX(mat_loss,MATCH(B100,mat_ref,0))),F100))</f>
        <v/>
      </c>
      <c r="H100" s="66" t="str">
        <f>IF(J100&lt;&gt;"OK","",INDEX(mat_price,MATCH(B100,mat_ref,0)))</f>
        <v/>
      </c>
      <c r="I100" s="66" t="str">
        <f>IF(J100&lt;&gt;"OK","",E100*(1+G100)*H100)</f>
        <v/>
      </c>
      <c r="J100" s="69" t="str">
        <f>IF(AND(A100="",B100=""),"",IF(A100="","Produit manquant",IF(COUNTIF(prod_ref,A100)=0,"Produit inconnu",IF(B100="","Matière manquante",IF(ISNA(MATCH(B100,mat_ref,0)),"Matière inconnue",IF(INDEX(mat_check,MATCH(B100,mat_ref,0))&lt;&gt;"OK","Matière à corriger",IF(OR(NOT(ISNUMBER(E100)),N(E100)&lt;=0),"Quantité invalide",IF(AND(F100&lt;&gt;"",OR(NOT(ISNUMBER(F100)),N(F100)&lt;0,N(F100)&gt;=1)),"Perte entre 0 et 99 %",IF(COUNTIFS(bom_prod,A100,bom_mat,B100)&gt;1,"Matière en double","OK")))))))))</f>
        <v/>
      </c>
      <c r="K100" s="71" t="str">
        <f>IF(AND(fiche_sel&lt;&gt;"",A100=fiche_sel),COUNTIF(A$6:A100,fiche_sel),"")</f>
        <v/>
      </c>
    </row>
    <row r="101">
      <c r="A101" s="60" t="n"/>
      <c r="B101" s="60" t="n"/>
      <c r="C101" s="71" t="str">
        <f>IF(B101="","",IFERROR(INDEX(mat_des,MATCH(B101,mat_ref,0))&amp;"","Matière inconnue"))</f>
        <v/>
      </c>
      <c r="D101" s="69" t="str">
        <f>IF(B101="","",IFERROR(INDEX(mat_unit,MATCH(B101,mat_ref,0))&amp;"",""))</f>
        <v/>
      </c>
      <c r="E101" s="72" t="n"/>
      <c r="F101" s="65" t="n"/>
      <c r="G101" s="68" t="str">
        <f>IF(J101&lt;&gt;"OK","",IF(F101="",N(INDEX(mat_loss,MATCH(B101,mat_ref,0))),F101))</f>
        <v/>
      </c>
      <c r="H101" s="66" t="str">
        <f>IF(J101&lt;&gt;"OK","",INDEX(mat_price,MATCH(B101,mat_ref,0)))</f>
        <v/>
      </c>
      <c r="I101" s="66" t="str">
        <f>IF(J101&lt;&gt;"OK","",E101*(1+G101)*H101)</f>
        <v/>
      </c>
      <c r="J101" s="69" t="str">
        <f>IF(AND(A101="",B101=""),"",IF(A101="","Produit manquant",IF(COUNTIF(prod_ref,A101)=0,"Produit inconnu",IF(B101="","Matière manquante",IF(ISNA(MATCH(B101,mat_ref,0)),"Matière inconnue",IF(INDEX(mat_check,MATCH(B101,mat_ref,0))&lt;&gt;"OK","Matière à corriger",IF(OR(NOT(ISNUMBER(E101)),N(E101)&lt;=0),"Quantité invalide",IF(AND(F101&lt;&gt;"",OR(NOT(ISNUMBER(F101)),N(F101)&lt;0,N(F101)&gt;=1)),"Perte entre 0 et 99 %",IF(COUNTIFS(bom_prod,A101,bom_mat,B101)&gt;1,"Matière en double","OK")))))))))</f>
        <v/>
      </c>
      <c r="K101" s="71" t="str">
        <f>IF(AND(fiche_sel&lt;&gt;"",A101=fiche_sel),COUNTIF(A$6:A101,fiche_sel),"")</f>
        <v/>
      </c>
    </row>
    <row r="102">
      <c r="A102" s="60" t="n"/>
      <c r="B102" s="60" t="n"/>
      <c r="C102" s="71" t="str">
        <f>IF(B102="","",IFERROR(INDEX(mat_des,MATCH(B102,mat_ref,0))&amp;"","Matière inconnue"))</f>
        <v/>
      </c>
      <c r="D102" s="69" t="str">
        <f>IF(B102="","",IFERROR(INDEX(mat_unit,MATCH(B102,mat_ref,0))&amp;"",""))</f>
        <v/>
      </c>
      <c r="E102" s="72" t="n"/>
      <c r="F102" s="65" t="n"/>
      <c r="G102" s="68" t="str">
        <f>IF(J102&lt;&gt;"OK","",IF(F102="",N(INDEX(mat_loss,MATCH(B102,mat_ref,0))),F102))</f>
        <v/>
      </c>
      <c r="H102" s="66" t="str">
        <f>IF(J102&lt;&gt;"OK","",INDEX(mat_price,MATCH(B102,mat_ref,0)))</f>
        <v/>
      </c>
      <c r="I102" s="66" t="str">
        <f>IF(J102&lt;&gt;"OK","",E102*(1+G102)*H102)</f>
        <v/>
      </c>
      <c r="J102" s="69" t="str">
        <f>IF(AND(A102="",B102=""),"",IF(A102="","Produit manquant",IF(COUNTIF(prod_ref,A102)=0,"Produit inconnu",IF(B102="","Matière manquante",IF(ISNA(MATCH(B102,mat_ref,0)),"Matière inconnue",IF(INDEX(mat_check,MATCH(B102,mat_ref,0))&lt;&gt;"OK","Matière à corriger",IF(OR(NOT(ISNUMBER(E102)),N(E102)&lt;=0),"Quantité invalide",IF(AND(F102&lt;&gt;"",OR(NOT(ISNUMBER(F102)),N(F102)&lt;0,N(F102)&gt;=1)),"Perte entre 0 et 99 %",IF(COUNTIFS(bom_prod,A102,bom_mat,B102)&gt;1,"Matière en double","OK")))))))))</f>
        <v/>
      </c>
      <c r="K102" s="71" t="str">
        <f>IF(AND(fiche_sel&lt;&gt;"",A102=fiche_sel),COUNTIF(A$6:A102,fiche_sel),"")</f>
        <v/>
      </c>
    </row>
    <row r="103">
      <c r="A103" s="60" t="n"/>
      <c r="B103" s="60" t="n"/>
      <c r="C103" s="71" t="str">
        <f>IF(B103="","",IFERROR(INDEX(mat_des,MATCH(B103,mat_ref,0))&amp;"","Matière inconnue"))</f>
        <v/>
      </c>
      <c r="D103" s="69" t="str">
        <f>IF(B103="","",IFERROR(INDEX(mat_unit,MATCH(B103,mat_ref,0))&amp;"",""))</f>
        <v/>
      </c>
      <c r="E103" s="72" t="n"/>
      <c r="F103" s="65" t="n"/>
      <c r="G103" s="68" t="str">
        <f>IF(J103&lt;&gt;"OK","",IF(F103="",N(INDEX(mat_loss,MATCH(B103,mat_ref,0))),F103))</f>
        <v/>
      </c>
      <c r="H103" s="66" t="str">
        <f>IF(J103&lt;&gt;"OK","",INDEX(mat_price,MATCH(B103,mat_ref,0)))</f>
        <v/>
      </c>
      <c r="I103" s="66" t="str">
        <f>IF(J103&lt;&gt;"OK","",E103*(1+G103)*H103)</f>
        <v/>
      </c>
      <c r="J103" s="69" t="str">
        <f>IF(AND(A103="",B103=""),"",IF(A103="","Produit manquant",IF(COUNTIF(prod_ref,A103)=0,"Produit inconnu",IF(B103="","Matière manquante",IF(ISNA(MATCH(B103,mat_ref,0)),"Matière inconnue",IF(INDEX(mat_check,MATCH(B103,mat_ref,0))&lt;&gt;"OK","Matière à corriger",IF(OR(NOT(ISNUMBER(E103)),N(E103)&lt;=0),"Quantité invalide",IF(AND(F103&lt;&gt;"",OR(NOT(ISNUMBER(F103)),N(F103)&lt;0,N(F103)&gt;=1)),"Perte entre 0 et 99 %",IF(COUNTIFS(bom_prod,A103,bom_mat,B103)&gt;1,"Matière en double","OK")))))))))</f>
        <v/>
      </c>
      <c r="K103" s="71" t="str">
        <f>IF(AND(fiche_sel&lt;&gt;"",A103=fiche_sel),COUNTIF(A$6:A103,fiche_sel),"")</f>
        <v/>
      </c>
    </row>
    <row r="104">
      <c r="A104" s="60" t="n"/>
      <c r="B104" s="60" t="n"/>
      <c r="C104" s="71" t="str">
        <f>IF(B104="","",IFERROR(INDEX(mat_des,MATCH(B104,mat_ref,0))&amp;"","Matière inconnue"))</f>
        <v/>
      </c>
      <c r="D104" s="69" t="str">
        <f>IF(B104="","",IFERROR(INDEX(mat_unit,MATCH(B104,mat_ref,0))&amp;"",""))</f>
        <v/>
      </c>
      <c r="E104" s="72" t="n"/>
      <c r="F104" s="65" t="n"/>
      <c r="G104" s="68" t="str">
        <f>IF(J104&lt;&gt;"OK","",IF(F104="",N(INDEX(mat_loss,MATCH(B104,mat_ref,0))),F104))</f>
        <v/>
      </c>
      <c r="H104" s="66" t="str">
        <f>IF(J104&lt;&gt;"OK","",INDEX(mat_price,MATCH(B104,mat_ref,0)))</f>
        <v/>
      </c>
      <c r="I104" s="66" t="str">
        <f>IF(J104&lt;&gt;"OK","",E104*(1+G104)*H104)</f>
        <v/>
      </c>
      <c r="J104" s="69" t="str">
        <f>IF(AND(A104="",B104=""),"",IF(A104="","Produit manquant",IF(COUNTIF(prod_ref,A104)=0,"Produit inconnu",IF(B104="","Matière manquante",IF(ISNA(MATCH(B104,mat_ref,0)),"Matière inconnue",IF(INDEX(mat_check,MATCH(B104,mat_ref,0))&lt;&gt;"OK","Matière à corriger",IF(OR(NOT(ISNUMBER(E104)),N(E104)&lt;=0),"Quantité invalide",IF(AND(F104&lt;&gt;"",OR(NOT(ISNUMBER(F104)),N(F104)&lt;0,N(F104)&gt;=1)),"Perte entre 0 et 99 %",IF(COUNTIFS(bom_prod,A104,bom_mat,B104)&gt;1,"Matière en double","OK")))))))))</f>
        <v/>
      </c>
      <c r="K104" s="71" t="str">
        <f>IF(AND(fiche_sel&lt;&gt;"",A104=fiche_sel),COUNTIF(A$6:A104,fiche_sel),"")</f>
        <v/>
      </c>
    </row>
    <row r="105">
      <c r="A105" s="60" t="n"/>
      <c r="B105" s="60" t="n"/>
      <c r="C105" s="71" t="str">
        <f>IF(B105="","",IFERROR(INDEX(mat_des,MATCH(B105,mat_ref,0))&amp;"","Matière inconnue"))</f>
        <v/>
      </c>
      <c r="D105" s="69" t="str">
        <f>IF(B105="","",IFERROR(INDEX(mat_unit,MATCH(B105,mat_ref,0))&amp;"",""))</f>
        <v/>
      </c>
      <c r="E105" s="72" t="n"/>
      <c r="F105" s="65" t="n"/>
      <c r="G105" s="68" t="str">
        <f>IF(J105&lt;&gt;"OK","",IF(F105="",N(INDEX(mat_loss,MATCH(B105,mat_ref,0))),F105))</f>
        <v/>
      </c>
      <c r="H105" s="66" t="str">
        <f>IF(J105&lt;&gt;"OK","",INDEX(mat_price,MATCH(B105,mat_ref,0)))</f>
        <v/>
      </c>
      <c r="I105" s="66" t="str">
        <f>IF(J105&lt;&gt;"OK","",E105*(1+G105)*H105)</f>
        <v/>
      </c>
      <c r="J105" s="69" t="str">
        <f>IF(AND(A105="",B105=""),"",IF(A105="","Produit manquant",IF(COUNTIF(prod_ref,A105)=0,"Produit inconnu",IF(B105="","Matière manquante",IF(ISNA(MATCH(B105,mat_ref,0)),"Matière inconnue",IF(INDEX(mat_check,MATCH(B105,mat_ref,0))&lt;&gt;"OK","Matière à corriger",IF(OR(NOT(ISNUMBER(E105)),N(E105)&lt;=0),"Quantité invalide",IF(AND(F105&lt;&gt;"",OR(NOT(ISNUMBER(F105)),N(F105)&lt;0,N(F105)&gt;=1)),"Perte entre 0 et 99 %",IF(COUNTIFS(bom_prod,A105,bom_mat,B105)&gt;1,"Matière en double","OK")))))))))</f>
        <v/>
      </c>
      <c r="K105" s="71" t="str">
        <f>IF(AND(fiche_sel&lt;&gt;"",A105=fiche_sel),COUNTIF(A$6:A105,fiche_sel),"")</f>
        <v/>
      </c>
    </row>
    <row r="106">
      <c r="A106" s="60" t="n"/>
      <c r="B106" s="60" t="n"/>
      <c r="C106" s="71" t="str">
        <f>IF(B106="","",IFERROR(INDEX(mat_des,MATCH(B106,mat_ref,0))&amp;"","Matière inconnue"))</f>
        <v/>
      </c>
      <c r="D106" s="69" t="str">
        <f>IF(B106="","",IFERROR(INDEX(mat_unit,MATCH(B106,mat_ref,0))&amp;"",""))</f>
        <v/>
      </c>
      <c r="E106" s="72" t="n"/>
      <c r="F106" s="65" t="n"/>
      <c r="G106" s="68" t="str">
        <f>IF(J106&lt;&gt;"OK","",IF(F106="",N(INDEX(mat_loss,MATCH(B106,mat_ref,0))),F106))</f>
        <v/>
      </c>
      <c r="H106" s="66" t="str">
        <f>IF(J106&lt;&gt;"OK","",INDEX(mat_price,MATCH(B106,mat_ref,0)))</f>
        <v/>
      </c>
      <c r="I106" s="66" t="str">
        <f>IF(J106&lt;&gt;"OK","",E106*(1+G106)*H106)</f>
        <v/>
      </c>
      <c r="J106" s="69" t="str">
        <f>IF(AND(A106="",B106=""),"",IF(A106="","Produit manquant",IF(COUNTIF(prod_ref,A106)=0,"Produit inconnu",IF(B106="","Matière manquante",IF(ISNA(MATCH(B106,mat_ref,0)),"Matière inconnue",IF(INDEX(mat_check,MATCH(B106,mat_ref,0))&lt;&gt;"OK","Matière à corriger",IF(OR(NOT(ISNUMBER(E106)),N(E106)&lt;=0),"Quantité invalide",IF(AND(F106&lt;&gt;"",OR(NOT(ISNUMBER(F106)),N(F106)&lt;0,N(F106)&gt;=1)),"Perte entre 0 et 99 %",IF(COUNTIFS(bom_prod,A106,bom_mat,B106)&gt;1,"Matière en double","OK")))))))))</f>
        <v/>
      </c>
      <c r="K106" s="71" t="str">
        <f>IF(AND(fiche_sel&lt;&gt;"",A106=fiche_sel),COUNTIF(A$6:A106,fiche_sel),"")</f>
        <v/>
      </c>
    </row>
    <row r="107">
      <c r="A107" s="60" t="n"/>
      <c r="B107" s="60" t="n"/>
      <c r="C107" s="71" t="str">
        <f>IF(B107="","",IFERROR(INDEX(mat_des,MATCH(B107,mat_ref,0))&amp;"","Matière inconnue"))</f>
        <v/>
      </c>
      <c r="D107" s="69" t="str">
        <f>IF(B107="","",IFERROR(INDEX(mat_unit,MATCH(B107,mat_ref,0))&amp;"",""))</f>
        <v/>
      </c>
      <c r="E107" s="72" t="n"/>
      <c r="F107" s="65" t="n"/>
      <c r="G107" s="68" t="str">
        <f>IF(J107&lt;&gt;"OK","",IF(F107="",N(INDEX(mat_loss,MATCH(B107,mat_ref,0))),F107))</f>
        <v/>
      </c>
      <c r="H107" s="66" t="str">
        <f>IF(J107&lt;&gt;"OK","",INDEX(mat_price,MATCH(B107,mat_ref,0)))</f>
        <v/>
      </c>
      <c r="I107" s="66" t="str">
        <f>IF(J107&lt;&gt;"OK","",E107*(1+G107)*H107)</f>
        <v/>
      </c>
      <c r="J107" s="69" t="str">
        <f>IF(AND(A107="",B107=""),"",IF(A107="","Produit manquant",IF(COUNTIF(prod_ref,A107)=0,"Produit inconnu",IF(B107="","Matière manquante",IF(ISNA(MATCH(B107,mat_ref,0)),"Matière inconnue",IF(INDEX(mat_check,MATCH(B107,mat_ref,0))&lt;&gt;"OK","Matière à corriger",IF(OR(NOT(ISNUMBER(E107)),N(E107)&lt;=0),"Quantité invalide",IF(AND(F107&lt;&gt;"",OR(NOT(ISNUMBER(F107)),N(F107)&lt;0,N(F107)&gt;=1)),"Perte entre 0 et 99 %",IF(COUNTIFS(bom_prod,A107,bom_mat,B107)&gt;1,"Matière en double","OK")))))))))</f>
        <v/>
      </c>
      <c r="K107" s="71" t="str">
        <f>IF(AND(fiche_sel&lt;&gt;"",A107=fiche_sel),COUNTIF(A$6:A107,fiche_sel),"")</f>
        <v/>
      </c>
    </row>
    <row r="108">
      <c r="A108" s="60" t="n"/>
      <c r="B108" s="60" t="n"/>
      <c r="C108" s="71" t="str">
        <f>IF(B108="","",IFERROR(INDEX(mat_des,MATCH(B108,mat_ref,0))&amp;"","Matière inconnue"))</f>
        <v/>
      </c>
      <c r="D108" s="69" t="str">
        <f>IF(B108="","",IFERROR(INDEX(mat_unit,MATCH(B108,mat_ref,0))&amp;"",""))</f>
        <v/>
      </c>
      <c r="E108" s="72" t="n"/>
      <c r="F108" s="65" t="n"/>
      <c r="G108" s="68" t="str">
        <f>IF(J108&lt;&gt;"OK","",IF(F108="",N(INDEX(mat_loss,MATCH(B108,mat_ref,0))),F108))</f>
        <v/>
      </c>
      <c r="H108" s="66" t="str">
        <f>IF(J108&lt;&gt;"OK","",INDEX(mat_price,MATCH(B108,mat_ref,0)))</f>
        <v/>
      </c>
      <c r="I108" s="66" t="str">
        <f>IF(J108&lt;&gt;"OK","",E108*(1+G108)*H108)</f>
        <v/>
      </c>
      <c r="J108" s="69" t="str">
        <f>IF(AND(A108="",B108=""),"",IF(A108="","Produit manquant",IF(COUNTIF(prod_ref,A108)=0,"Produit inconnu",IF(B108="","Matière manquante",IF(ISNA(MATCH(B108,mat_ref,0)),"Matière inconnue",IF(INDEX(mat_check,MATCH(B108,mat_ref,0))&lt;&gt;"OK","Matière à corriger",IF(OR(NOT(ISNUMBER(E108)),N(E108)&lt;=0),"Quantité invalide",IF(AND(F108&lt;&gt;"",OR(NOT(ISNUMBER(F108)),N(F108)&lt;0,N(F108)&gt;=1)),"Perte entre 0 et 99 %",IF(COUNTIFS(bom_prod,A108,bom_mat,B108)&gt;1,"Matière en double","OK")))))))))</f>
        <v/>
      </c>
      <c r="K108" s="71" t="str">
        <f>IF(AND(fiche_sel&lt;&gt;"",A108=fiche_sel),COUNTIF(A$6:A108,fiche_sel),"")</f>
        <v/>
      </c>
    </row>
    <row r="109">
      <c r="A109" s="60" t="n"/>
      <c r="B109" s="60" t="n"/>
      <c r="C109" s="71" t="str">
        <f>IF(B109="","",IFERROR(INDEX(mat_des,MATCH(B109,mat_ref,0))&amp;"","Matière inconnue"))</f>
        <v/>
      </c>
      <c r="D109" s="69" t="str">
        <f>IF(B109="","",IFERROR(INDEX(mat_unit,MATCH(B109,mat_ref,0))&amp;"",""))</f>
        <v/>
      </c>
      <c r="E109" s="72" t="n"/>
      <c r="F109" s="65" t="n"/>
      <c r="G109" s="68" t="str">
        <f>IF(J109&lt;&gt;"OK","",IF(F109="",N(INDEX(mat_loss,MATCH(B109,mat_ref,0))),F109))</f>
        <v/>
      </c>
      <c r="H109" s="66" t="str">
        <f>IF(J109&lt;&gt;"OK","",INDEX(mat_price,MATCH(B109,mat_ref,0)))</f>
        <v/>
      </c>
      <c r="I109" s="66" t="str">
        <f>IF(J109&lt;&gt;"OK","",E109*(1+G109)*H109)</f>
        <v/>
      </c>
      <c r="J109" s="69" t="str">
        <f>IF(AND(A109="",B109=""),"",IF(A109="","Produit manquant",IF(COUNTIF(prod_ref,A109)=0,"Produit inconnu",IF(B109="","Matière manquante",IF(ISNA(MATCH(B109,mat_ref,0)),"Matière inconnue",IF(INDEX(mat_check,MATCH(B109,mat_ref,0))&lt;&gt;"OK","Matière à corriger",IF(OR(NOT(ISNUMBER(E109)),N(E109)&lt;=0),"Quantité invalide",IF(AND(F109&lt;&gt;"",OR(NOT(ISNUMBER(F109)),N(F109)&lt;0,N(F109)&gt;=1)),"Perte entre 0 et 99 %",IF(COUNTIFS(bom_prod,A109,bom_mat,B109)&gt;1,"Matière en double","OK")))))))))</f>
        <v/>
      </c>
      <c r="K109" s="71" t="str">
        <f>IF(AND(fiche_sel&lt;&gt;"",A109=fiche_sel),COUNTIF(A$6:A109,fiche_sel),"")</f>
        <v/>
      </c>
    </row>
    <row r="110">
      <c r="A110" s="60" t="n"/>
      <c r="B110" s="60" t="n"/>
      <c r="C110" s="71" t="str">
        <f>IF(B110="","",IFERROR(INDEX(mat_des,MATCH(B110,mat_ref,0))&amp;"","Matière inconnue"))</f>
        <v/>
      </c>
      <c r="D110" s="69" t="str">
        <f>IF(B110="","",IFERROR(INDEX(mat_unit,MATCH(B110,mat_ref,0))&amp;"",""))</f>
        <v/>
      </c>
      <c r="E110" s="72" t="n"/>
      <c r="F110" s="65" t="n"/>
      <c r="G110" s="68" t="str">
        <f>IF(J110&lt;&gt;"OK","",IF(F110="",N(INDEX(mat_loss,MATCH(B110,mat_ref,0))),F110))</f>
        <v/>
      </c>
      <c r="H110" s="66" t="str">
        <f>IF(J110&lt;&gt;"OK","",INDEX(mat_price,MATCH(B110,mat_ref,0)))</f>
        <v/>
      </c>
      <c r="I110" s="66" t="str">
        <f>IF(J110&lt;&gt;"OK","",E110*(1+G110)*H110)</f>
        <v/>
      </c>
      <c r="J110" s="69" t="str">
        <f>IF(AND(A110="",B110=""),"",IF(A110="","Produit manquant",IF(COUNTIF(prod_ref,A110)=0,"Produit inconnu",IF(B110="","Matière manquante",IF(ISNA(MATCH(B110,mat_ref,0)),"Matière inconnue",IF(INDEX(mat_check,MATCH(B110,mat_ref,0))&lt;&gt;"OK","Matière à corriger",IF(OR(NOT(ISNUMBER(E110)),N(E110)&lt;=0),"Quantité invalide",IF(AND(F110&lt;&gt;"",OR(NOT(ISNUMBER(F110)),N(F110)&lt;0,N(F110)&gt;=1)),"Perte entre 0 et 99 %",IF(COUNTIFS(bom_prod,A110,bom_mat,B110)&gt;1,"Matière en double","OK")))))))))</f>
        <v/>
      </c>
      <c r="K110" s="71" t="str">
        <f>IF(AND(fiche_sel&lt;&gt;"",A110=fiche_sel),COUNTIF(A$6:A110,fiche_sel),"")</f>
        <v/>
      </c>
    </row>
    <row r="111">
      <c r="A111" s="60" t="n"/>
      <c r="B111" s="60" t="n"/>
      <c r="C111" s="71" t="str">
        <f>IF(B111="","",IFERROR(INDEX(mat_des,MATCH(B111,mat_ref,0))&amp;"","Matière inconnue"))</f>
        <v/>
      </c>
      <c r="D111" s="69" t="str">
        <f>IF(B111="","",IFERROR(INDEX(mat_unit,MATCH(B111,mat_ref,0))&amp;"",""))</f>
        <v/>
      </c>
      <c r="E111" s="72" t="n"/>
      <c r="F111" s="65" t="n"/>
      <c r="G111" s="68" t="str">
        <f>IF(J111&lt;&gt;"OK","",IF(F111="",N(INDEX(mat_loss,MATCH(B111,mat_ref,0))),F111))</f>
        <v/>
      </c>
      <c r="H111" s="66" t="str">
        <f>IF(J111&lt;&gt;"OK","",INDEX(mat_price,MATCH(B111,mat_ref,0)))</f>
        <v/>
      </c>
      <c r="I111" s="66" t="str">
        <f>IF(J111&lt;&gt;"OK","",E111*(1+G111)*H111)</f>
        <v/>
      </c>
      <c r="J111" s="69" t="str">
        <f>IF(AND(A111="",B111=""),"",IF(A111="","Produit manquant",IF(COUNTIF(prod_ref,A111)=0,"Produit inconnu",IF(B111="","Matière manquante",IF(ISNA(MATCH(B111,mat_ref,0)),"Matière inconnue",IF(INDEX(mat_check,MATCH(B111,mat_ref,0))&lt;&gt;"OK","Matière à corriger",IF(OR(NOT(ISNUMBER(E111)),N(E111)&lt;=0),"Quantité invalide",IF(AND(F111&lt;&gt;"",OR(NOT(ISNUMBER(F111)),N(F111)&lt;0,N(F111)&gt;=1)),"Perte entre 0 et 99 %",IF(COUNTIFS(bom_prod,A111,bom_mat,B111)&gt;1,"Matière en double","OK")))))))))</f>
        <v/>
      </c>
      <c r="K111" s="71" t="str">
        <f>IF(AND(fiche_sel&lt;&gt;"",A111=fiche_sel),COUNTIF(A$6:A111,fiche_sel),"")</f>
        <v/>
      </c>
    </row>
    <row r="112">
      <c r="A112" s="60" t="n"/>
      <c r="B112" s="60" t="n"/>
      <c r="C112" s="71" t="str">
        <f>IF(B112="","",IFERROR(INDEX(mat_des,MATCH(B112,mat_ref,0))&amp;"","Matière inconnue"))</f>
        <v/>
      </c>
      <c r="D112" s="69" t="str">
        <f>IF(B112="","",IFERROR(INDEX(mat_unit,MATCH(B112,mat_ref,0))&amp;"",""))</f>
        <v/>
      </c>
      <c r="E112" s="72" t="n"/>
      <c r="F112" s="65" t="n"/>
      <c r="G112" s="68" t="str">
        <f>IF(J112&lt;&gt;"OK","",IF(F112="",N(INDEX(mat_loss,MATCH(B112,mat_ref,0))),F112))</f>
        <v/>
      </c>
      <c r="H112" s="66" t="str">
        <f>IF(J112&lt;&gt;"OK","",INDEX(mat_price,MATCH(B112,mat_ref,0)))</f>
        <v/>
      </c>
      <c r="I112" s="66" t="str">
        <f>IF(J112&lt;&gt;"OK","",E112*(1+G112)*H112)</f>
        <v/>
      </c>
      <c r="J112" s="69" t="str">
        <f>IF(AND(A112="",B112=""),"",IF(A112="","Produit manquant",IF(COUNTIF(prod_ref,A112)=0,"Produit inconnu",IF(B112="","Matière manquante",IF(ISNA(MATCH(B112,mat_ref,0)),"Matière inconnue",IF(INDEX(mat_check,MATCH(B112,mat_ref,0))&lt;&gt;"OK","Matière à corriger",IF(OR(NOT(ISNUMBER(E112)),N(E112)&lt;=0),"Quantité invalide",IF(AND(F112&lt;&gt;"",OR(NOT(ISNUMBER(F112)),N(F112)&lt;0,N(F112)&gt;=1)),"Perte entre 0 et 99 %",IF(COUNTIFS(bom_prod,A112,bom_mat,B112)&gt;1,"Matière en double","OK")))))))))</f>
        <v/>
      </c>
      <c r="K112" s="71" t="str">
        <f>IF(AND(fiche_sel&lt;&gt;"",A112=fiche_sel),COUNTIF(A$6:A112,fiche_sel),"")</f>
        <v/>
      </c>
    </row>
    <row r="113">
      <c r="A113" s="60" t="n"/>
      <c r="B113" s="60" t="n"/>
      <c r="C113" s="71" t="str">
        <f>IF(B113="","",IFERROR(INDEX(mat_des,MATCH(B113,mat_ref,0))&amp;"","Matière inconnue"))</f>
        <v/>
      </c>
      <c r="D113" s="69" t="str">
        <f>IF(B113="","",IFERROR(INDEX(mat_unit,MATCH(B113,mat_ref,0))&amp;"",""))</f>
        <v/>
      </c>
      <c r="E113" s="72" t="n"/>
      <c r="F113" s="65" t="n"/>
      <c r="G113" s="68" t="str">
        <f>IF(J113&lt;&gt;"OK","",IF(F113="",N(INDEX(mat_loss,MATCH(B113,mat_ref,0))),F113))</f>
        <v/>
      </c>
      <c r="H113" s="66" t="str">
        <f>IF(J113&lt;&gt;"OK","",INDEX(mat_price,MATCH(B113,mat_ref,0)))</f>
        <v/>
      </c>
      <c r="I113" s="66" t="str">
        <f>IF(J113&lt;&gt;"OK","",E113*(1+G113)*H113)</f>
        <v/>
      </c>
      <c r="J113" s="69" t="str">
        <f>IF(AND(A113="",B113=""),"",IF(A113="","Produit manquant",IF(COUNTIF(prod_ref,A113)=0,"Produit inconnu",IF(B113="","Matière manquante",IF(ISNA(MATCH(B113,mat_ref,0)),"Matière inconnue",IF(INDEX(mat_check,MATCH(B113,mat_ref,0))&lt;&gt;"OK","Matière à corriger",IF(OR(NOT(ISNUMBER(E113)),N(E113)&lt;=0),"Quantité invalide",IF(AND(F113&lt;&gt;"",OR(NOT(ISNUMBER(F113)),N(F113)&lt;0,N(F113)&gt;=1)),"Perte entre 0 et 99 %",IF(COUNTIFS(bom_prod,A113,bom_mat,B113)&gt;1,"Matière en double","OK")))))))))</f>
        <v/>
      </c>
      <c r="K113" s="71" t="str">
        <f>IF(AND(fiche_sel&lt;&gt;"",A113=fiche_sel),COUNTIF(A$6:A113,fiche_sel),"")</f>
        <v/>
      </c>
    </row>
    <row r="114">
      <c r="A114" s="60" t="n"/>
      <c r="B114" s="60" t="n"/>
      <c r="C114" s="71" t="str">
        <f>IF(B114="","",IFERROR(INDEX(mat_des,MATCH(B114,mat_ref,0))&amp;"","Matière inconnue"))</f>
        <v/>
      </c>
      <c r="D114" s="69" t="str">
        <f>IF(B114="","",IFERROR(INDEX(mat_unit,MATCH(B114,mat_ref,0))&amp;"",""))</f>
        <v/>
      </c>
      <c r="E114" s="72" t="n"/>
      <c r="F114" s="65" t="n"/>
      <c r="G114" s="68" t="str">
        <f>IF(J114&lt;&gt;"OK","",IF(F114="",N(INDEX(mat_loss,MATCH(B114,mat_ref,0))),F114))</f>
        <v/>
      </c>
      <c r="H114" s="66" t="str">
        <f>IF(J114&lt;&gt;"OK","",INDEX(mat_price,MATCH(B114,mat_ref,0)))</f>
        <v/>
      </c>
      <c r="I114" s="66" t="str">
        <f>IF(J114&lt;&gt;"OK","",E114*(1+G114)*H114)</f>
        <v/>
      </c>
      <c r="J114" s="69" t="str">
        <f>IF(AND(A114="",B114=""),"",IF(A114="","Produit manquant",IF(COUNTIF(prod_ref,A114)=0,"Produit inconnu",IF(B114="","Matière manquante",IF(ISNA(MATCH(B114,mat_ref,0)),"Matière inconnue",IF(INDEX(mat_check,MATCH(B114,mat_ref,0))&lt;&gt;"OK","Matière à corriger",IF(OR(NOT(ISNUMBER(E114)),N(E114)&lt;=0),"Quantité invalide",IF(AND(F114&lt;&gt;"",OR(NOT(ISNUMBER(F114)),N(F114)&lt;0,N(F114)&gt;=1)),"Perte entre 0 et 99 %",IF(COUNTIFS(bom_prod,A114,bom_mat,B114)&gt;1,"Matière en double","OK")))))))))</f>
        <v/>
      </c>
      <c r="K114" s="71" t="str">
        <f>IF(AND(fiche_sel&lt;&gt;"",A114=fiche_sel),COUNTIF(A$6:A114,fiche_sel),"")</f>
        <v/>
      </c>
    </row>
    <row r="115">
      <c r="A115" s="60" t="n"/>
      <c r="B115" s="60" t="n"/>
      <c r="C115" s="71" t="str">
        <f>IF(B115="","",IFERROR(INDEX(mat_des,MATCH(B115,mat_ref,0))&amp;"","Matière inconnue"))</f>
        <v/>
      </c>
      <c r="D115" s="69" t="str">
        <f>IF(B115="","",IFERROR(INDEX(mat_unit,MATCH(B115,mat_ref,0))&amp;"",""))</f>
        <v/>
      </c>
      <c r="E115" s="72" t="n"/>
      <c r="F115" s="65" t="n"/>
      <c r="G115" s="68" t="str">
        <f>IF(J115&lt;&gt;"OK","",IF(F115="",N(INDEX(mat_loss,MATCH(B115,mat_ref,0))),F115))</f>
        <v/>
      </c>
      <c r="H115" s="66" t="str">
        <f>IF(J115&lt;&gt;"OK","",INDEX(mat_price,MATCH(B115,mat_ref,0)))</f>
        <v/>
      </c>
      <c r="I115" s="66" t="str">
        <f>IF(J115&lt;&gt;"OK","",E115*(1+G115)*H115)</f>
        <v/>
      </c>
      <c r="J115" s="69" t="str">
        <f>IF(AND(A115="",B115=""),"",IF(A115="","Produit manquant",IF(COUNTIF(prod_ref,A115)=0,"Produit inconnu",IF(B115="","Matière manquante",IF(ISNA(MATCH(B115,mat_ref,0)),"Matière inconnue",IF(INDEX(mat_check,MATCH(B115,mat_ref,0))&lt;&gt;"OK","Matière à corriger",IF(OR(NOT(ISNUMBER(E115)),N(E115)&lt;=0),"Quantité invalide",IF(AND(F115&lt;&gt;"",OR(NOT(ISNUMBER(F115)),N(F115)&lt;0,N(F115)&gt;=1)),"Perte entre 0 et 99 %",IF(COUNTIFS(bom_prod,A115,bom_mat,B115)&gt;1,"Matière en double","OK")))))))))</f>
        <v/>
      </c>
      <c r="K115" s="71" t="str">
        <f>IF(AND(fiche_sel&lt;&gt;"",A115=fiche_sel),COUNTIF(A$6:A115,fiche_sel),"")</f>
        <v/>
      </c>
    </row>
    <row r="116">
      <c r="A116" s="60" t="n"/>
      <c r="B116" s="60" t="n"/>
      <c r="C116" s="71" t="str">
        <f>IF(B116="","",IFERROR(INDEX(mat_des,MATCH(B116,mat_ref,0))&amp;"","Matière inconnue"))</f>
        <v/>
      </c>
      <c r="D116" s="69" t="str">
        <f>IF(B116="","",IFERROR(INDEX(mat_unit,MATCH(B116,mat_ref,0))&amp;"",""))</f>
        <v/>
      </c>
      <c r="E116" s="72" t="n"/>
      <c r="F116" s="65" t="n"/>
      <c r="G116" s="68" t="str">
        <f>IF(J116&lt;&gt;"OK","",IF(F116="",N(INDEX(mat_loss,MATCH(B116,mat_ref,0))),F116))</f>
        <v/>
      </c>
      <c r="H116" s="66" t="str">
        <f>IF(J116&lt;&gt;"OK","",INDEX(mat_price,MATCH(B116,mat_ref,0)))</f>
        <v/>
      </c>
      <c r="I116" s="66" t="str">
        <f>IF(J116&lt;&gt;"OK","",E116*(1+G116)*H116)</f>
        <v/>
      </c>
      <c r="J116" s="69" t="str">
        <f>IF(AND(A116="",B116=""),"",IF(A116="","Produit manquant",IF(COUNTIF(prod_ref,A116)=0,"Produit inconnu",IF(B116="","Matière manquante",IF(ISNA(MATCH(B116,mat_ref,0)),"Matière inconnue",IF(INDEX(mat_check,MATCH(B116,mat_ref,0))&lt;&gt;"OK","Matière à corriger",IF(OR(NOT(ISNUMBER(E116)),N(E116)&lt;=0),"Quantité invalide",IF(AND(F116&lt;&gt;"",OR(NOT(ISNUMBER(F116)),N(F116)&lt;0,N(F116)&gt;=1)),"Perte entre 0 et 99 %",IF(COUNTIFS(bom_prod,A116,bom_mat,B116)&gt;1,"Matière en double","OK")))))))))</f>
        <v/>
      </c>
      <c r="K116" s="71" t="str">
        <f>IF(AND(fiche_sel&lt;&gt;"",A116=fiche_sel),COUNTIF(A$6:A116,fiche_sel),"")</f>
        <v/>
      </c>
    </row>
    <row r="117">
      <c r="A117" s="60" t="n"/>
      <c r="B117" s="60" t="n"/>
      <c r="C117" s="71" t="str">
        <f>IF(B117="","",IFERROR(INDEX(mat_des,MATCH(B117,mat_ref,0))&amp;"","Matière inconnue"))</f>
        <v/>
      </c>
      <c r="D117" s="69" t="str">
        <f>IF(B117="","",IFERROR(INDEX(mat_unit,MATCH(B117,mat_ref,0))&amp;"",""))</f>
        <v/>
      </c>
      <c r="E117" s="72" t="n"/>
      <c r="F117" s="65" t="n"/>
      <c r="G117" s="68" t="str">
        <f>IF(J117&lt;&gt;"OK","",IF(F117="",N(INDEX(mat_loss,MATCH(B117,mat_ref,0))),F117))</f>
        <v/>
      </c>
      <c r="H117" s="66" t="str">
        <f>IF(J117&lt;&gt;"OK","",INDEX(mat_price,MATCH(B117,mat_ref,0)))</f>
        <v/>
      </c>
      <c r="I117" s="66" t="str">
        <f>IF(J117&lt;&gt;"OK","",E117*(1+G117)*H117)</f>
        <v/>
      </c>
      <c r="J117" s="69" t="str">
        <f>IF(AND(A117="",B117=""),"",IF(A117="","Produit manquant",IF(COUNTIF(prod_ref,A117)=0,"Produit inconnu",IF(B117="","Matière manquante",IF(ISNA(MATCH(B117,mat_ref,0)),"Matière inconnue",IF(INDEX(mat_check,MATCH(B117,mat_ref,0))&lt;&gt;"OK","Matière à corriger",IF(OR(NOT(ISNUMBER(E117)),N(E117)&lt;=0),"Quantité invalide",IF(AND(F117&lt;&gt;"",OR(NOT(ISNUMBER(F117)),N(F117)&lt;0,N(F117)&gt;=1)),"Perte entre 0 et 99 %",IF(COUNTIFS(bom_prod,A117,bom_mat,B117)&gt;1,"Matière en double","OK")))))))))</f>
        <v/>
      </c>
      <c r="K117" s="71" t="str">
        <f>IF(AND(fiche_sel&lt;&gt;"",A117=fiche_sel),COUNTIF(A$6:A117,fiche_sel),"")</f>
        <v/>
      </c>
    </row>
    <row r="118">
      <c r="A118" s="60" t="n"/>
      <c r="B118" s="60" t="n"/>
      <c r="C118" s="71" t="str">
        <f>IF(B118="","",IFERROR(INDEX(mat_des,MATCH(B118,mat_ref,0))&amp;"","Matière inconnue"))</f>
        <v/>
      </c>
      <c r="D118" s="69" t="str">
        <f>IF(B118="","",IFERROR(INDEX(mat_unit,MATCH(B118,mat_ref,0))&amp;"",""))</f>
        <v/>
      </c>
      <c r="E118" s="72" t="n"/>
      <c r="F118" s="65" t="n"/>
      <c r="G118" s="68" t="str">
        <f>IF(J118&lt;&gt;"OK","",IF(F118="",N(INDEX(mat_loss,MATCH(B118,mat_ref,0))),F118))</f>
        <v/>
      </c>
      <c r="H118" s="66" t="str">
        <f>IF(J118&lt;&gt;"OK","",INDEX(mat_price,MATCH(B118,mat_ref,0)))</f>
        <v/>
      </c>
      <c r="I118" s="66" t="str">
        <f>IF(J118&lt;&gt;"OK","",E118*(1+G118)*H118)</f>
        <v/>
      </c>
      <c r="J118" s="69" t="str">
        <f>IF(AND(A118="",B118=""),"",IF(A118="","Produit manquant",IF(COUNTIF(prod_ref,A118)=0,"Produit inconnu",IF(B118="","Matière manquante",IF(ISNA(MATCH(B118,mat_ref,0)),"Matière inconnue",IF(INDEX(mat_check,MATCH(B118,mat_ref,0))&lt;&gt;"OK","Matière à corriger",IF(OR(NOT(ISNUMBER(E118)),N(E118)&lt;=0),"Quantité invalide",IF(AND(F118&lt;&gt;"",OR(NOT(ISNUMBER(F118)),N(F118)&lt;0,N(F118)&gt;=1)),"Perte entre 0 et 99 %",IF(COUNTIFS(bom_prod,A118,bom_mat,B118)&gt;1,"Matière en double","OK")))))))))</f>
        <v/>
      </c>
      <c r="K118" s="71" t="str">
        <f>IF(AND(fiche_sel&lt;&gt;"",A118=fiche_sel),COUNTIF(A$6:A118,fiche_sel),"")</f>
        <v/>
      </c>
    </row>
    <row r="119">
      <c r="A119" s="60" t="n"/>
      <c r="B119" s="60" t="n"/>
      <c r="C119" s="71" t="str">
        <f>IF(B119="","",IFERROR(INDEX(mat_des,MATCH(B119,mat_ref,0))&amp;"","Matière inconnue"))</f>
        <v/>
      </c>
      <c r="D119" s="69" t="str">
        <f>IF(B119="","",IFERROR(INDEX(mat_unit,MATCH(B119,mat_ref,0))&amp;"",""))</f>
        <v/>
      </c>
      <c r="E119" s="72" t="n"/>
      <c r="F119" s="65" t="n"/>
      <c r="G119" s="68" t="str">
        <f>IF(J119&lt;&gt;"OK","",IF(F119="",N(INDEX(mat_loss,MATCH(B119,mat_ref,0))),F119))</f>
        <v/>
      </c>
      <c r="H119" s="66" t="str">
        <f>IF(J119&lt;&gt;"OK","",INDEX(mat_price,MATCH(B119,mat_ref,0)))</f>
        <v/>
      </c>
      <c r="I119" s="66" t="str">
        <f>IF(J119&lt;&gt;"OK","",E119*(1+G119)*H119)</f>
        <v/>
      </c>
      <c r="J119" s="69" t="str">
        <f>IF(AND(A119="",B119=""),"",IF(A119="","Produit manquant",IF(COUNTIF(prod_ref,A119)=0,"Produit inconnu",IF(B119="","Matière manquante",IF(ISNA(MATCH(B119,mat_ref,0)),"Matière inconnue",IF(INDEX(mat_check,MATCH(B119,mat_ref,0))&lt;&gt;"OK","Matière à corriger",IF(OR(NOT(ISNUMBER(E119)),N(E119)&lt;=0),"Quantité invalide",IF(AND(F119&lt;&gt;"",OR(NOT(ISNUMBER(F119)),N(F119)&lt;0,N(F119)&gt;=1)),"Perte entre 0 et 99 %",IF(COUNTIFS(bom_prod,A119,bom_mat,B119)&gt;1,"Matière en double","OK")))))))))</f>
        <v/>
      </c>
      <c r="K119" s="71" t="str">
        <f>IF(AND(fiche_sel&lt;&gt;"",A119=fiche_sel),COUNTIF(A$6:A119,fiche_sel),"")</f>
        <v/>
      </c>
    </row>
    <row r="120">
      <c r="A120" s="60" t="n"/>
      <c r="B120" s="60" t="n"/>
      <c r="C120" s="71" t="str">
        <f>IF(B120="","",IFERROR(INDEX(mat_des,MATCH(B120,mat_ref,0))&amp;"","Matière inconnue"))</f>
        <v/>
      </c>
      <c r="D120" s="69" t="str">
        <f>IF(B120="","",IFERROR(INDEX(mat_unit,MATCH(B120,mat_ref,0))&amp;"",""))</f>
        <v/>
      </c>
      <c r="E120" s="72" t="n"/>
      <c r="F120" s="65" t="n"/>
      <c r="G120" s="68" t="str">
        <f>IF(J120&lt;&gt;"OK","",IF(F120="",N(INDEX(mat_loss,MATCH(B120,mat_ref,0))),F120))</f>
        <v/>
      </c>
      <c r="H120" s="66" t="str">
        <f>IF(J120&lt;&gt;"OK","",INDEX(mat_price,MATCH(B120,mat_ref,0)))</f>
        <v/>
      </c>
      <c r="I120" s="66" t="str">
        <f>IF(J120&lt;&gt;"OK","",E120*(1+G120)*H120)</f>
        <v/>
      </c>
      <c r="J120" s="69" t="str">
        <f>IF(AND(A120="",B120=""),"",IF(A120="","Produit manquant",IF(COUNTIF(prod_ref,A120)=0,"Produit inconnu",IF(B120="","Matière manquante",IF(ISNA(MATCH(B120,mat_ref,0)),"Matière inconnue",IF(INDEX(mat_check,MATCH(B120,mat_ref,0))&lt;&gt;"OK","Matière à corriger",IF(OR(NOT(ISNUMBER(E120)),N(E120)&lt;=0),"Quantité invalide",IF(AND(F120&lt;&gt;"",OR(NOT(ISNUMBER(F120)),N(F120)&lt;0,N(F120)&gt;=1)),"Perte entre 0 et 99 %",IF(COUNTIFS(bom_prod,A120,bom_mat,B120)&gt;1,"Matière en double","OK")))))))))</f>
        <v/>
      </c>
      <c r="K120" s="71" t="str">
        <f>IF(AND(fiche_sel&lt;&gt;"",A120=fiche_sel),COUNTIF(A$6:A120,fiche_sel),"")</f>
        <v/>
      </c>
    </row>
    <row r="121">
      <c r="A121" s="60" t="n"/>
      <c r="B121" s="60" t="n"/>
      <c r="C121" s="71" t="str">
        <f>IF(B121="","",IFERROR(INDEX(mat_des,MATCH(B121,mat_ref,0))&amp;"","Matière inconnue"))</f>
        <v/>
      </c>
      <c r="D121" s="69" t="str">
        <f>IF(B121="","",IFERROR(INDEX(mat_unit,MATCH(B121,mat_ref,0))&amp;"",""))</f>
        <v/>
      </c>
      <c r="E121" s="72" t="n"/>
      <c r="F121" s="65" t="n"/>
      <c r="G121" s="68" t="str">
        <f>IF(J121&lt;&gt;"OK","",IF(F121="",N(INDEX(mat_loss,MATCH(B121,mat_ref,0))),F121))</f>
        <v/>
      </c>
      <c r="H121" s="66" t="str">
        <f>IF(J121&lt;&gt;"OK","",INDEX(mat_price,MATCH(B121,mat_ref,0)))</f>
        <v/>
      </c>
      <c r="I121" s="66" t="str">
        <f>IF(J121&lt;&gt;"OK","",E121*(1+G121)*H121)</f>
        <v/>
      </c>
      <c r="J121" s="69" t="str">
        <f>IF(AND(A121="",B121=""),"",IF(A121="","Produit manquant",IF(COUNTIF(prod_ref,A121)=0,"Produit inconnu",IF(B121="","Matière manquante",IF(ISNA(MATCH(B121,mat_ref,0)),"Matière inconnue",IF(INDEX(mat_check,MATCH(B121,mat_ref,0))&lt;&gt;"OK","Matière à corriger",IF(OR(NOT(ISNUMBER(E121)),N(E121)&lt;=0),"Quantité invalide",IF(AND(F121&lt;&gt;"",OR(NOT(ISNUMBER(F121)),N(F121)&lt;0,N(F121)&gt;=1)),"Perte entre 0 et 99 %",IF(COUNTIFS(bom_prod,A121,bom_mat,B121)&gt;1,"Matière en double","OK")))))))))</f>
        <v/>
      </c>
      <c r="K121" s="71" t="str">
        <f>IF(AND(fiche_sel&lt;&gt;"",A121=fiche_sel),COUNTIF(A$6:A121,fiche_sel),"")</f>
        <v/>
      </c>
    </row>
    <row r="122">
      <c r="A122" s="60" t="n"/>
      <c r="B122" s="60" t="n"/>
      <c r="C122" s="71" t="str">
        <f>IF(B122="","",IFERROR(INDEX(mat_des,MATCH(B122,mat_ref,0))&amp;"","Matière inconnue"))</f>
        <v/>
      </c>
      <c r="D122" s="69" t="str">
        <f>IF(B122="","",IFERROR(INDEX(mat_unit,MATCH(B122,mat_ref,0))&amp;"",""))</f>
        <v/>
      </c>
      <c r="E122" s="72" t="n"/>
      <c r="F122" s="65" t="n"/>
      <c r="G122" s="68" t="str">
        <f>IF(J122&lt;&gt;"OK","",IF(F122="",N(INDEX(mat_loss,MATCH(B122,mat_ref,0))),F122))</f>
        <v/>
      </c>
      <c r="H122" s="66" t="str">
        <f>IF(J122&lt;&gt;"OK","",INDEX(mat_price,MATCH(B122,mat_ref,0)))</f>
        <v/>
      </c>
      <c r="I122" s="66" t="str">
        <f>IF(J122&lt;&gt;"OK","",E122*(1+G122)*H122)</f>
        <v/>
      </c>
      <c r="J122" s="69" t="str">
        <f>IF(AND(A122="",B122=""),"",IF(A122="","Produit manquant",IF(COUNTIF(prod_ref,A122)=0,"Produit inconnu",IF(B122="","Matière manquante",IF(ISNA(MATCH(B122,mat_ref,0)),"Matière inconnue",IF(INDEX(mat_check,MATCH(B122,mat_ref,0))&lt;&gt;"OK","Matière à corriger",IF(OR(NOT(ISNUMBER(E122)),N(E122)&lt;=0),"Quantité invalide",IF(AND(F122&lt;&gt;"",OR(NOT(ISNUMBER(F122)),N(F122)&lt;0,N(F122)&gt;=1)),"Perte entre 0 et 99 %",IF(COUNTIFS(bom_prod,A122,bom_mat,B122)&gt;1,"Matière en double","OK")))))))))</f>
        <v/>
      </c>
      <c r="K122" s="71" t="str">
        <f>IF(AND(fiche_sel&lt;&gt;"",A122=fiche_sel),COUNTIF(A$6:A122,fiche_sel),"")</f>
        <v/>
      </c>
    </row>
    <row r="123">
      <c r="A123" s="60" t="n"/>
      <c r="B123" s="60" t="n"/>
      <c r="C123" s="71" t="str">
        <f>IF(B123="","",IFERROR(INDEX(mat_des,MATCH(B123,mat_ref,0))&amp;"","Matière inconnue"))</f>
        <v/>
      </c>
      <c r="D123" s="69" t="str">
        <f>IF(B123="","",IFERROR(INDEX(mat_unit,MATCH(B123,mat_ref,0))&amp;"",""))</f>
        <v/>
      </c>
      <c r="E123" s="72" t="n"/>
      <c r="F123" s="65" t="n"/>
      <c r="G123" s="68" t="str">
        <f>IF(J123&lt;&gt;"OK","",IF(F123="",N(INDEX(mat_loss,MATCH(B123,mat_ref,0))),F123))</f>
        <v/>
      </c>
      <c r="H123" s="66" t="str">
        <f>IF(J123&lt;&gt;"OK","",INDEX(mat_price,MATCH(B123,mat_ref,0)))</f>
        <v/>
      </c>
      <c r="I123" s="66" t="str">
        <f>IF(J123&lt;&gt;"OK","",E123*(1+G123)*H123)</f>
        <v/>
      </c>
      <c r="J123" s="69" t="str">
        <f>IF(AND(A123="",B123=""),"",IF(A123="","Produit manquant",IF(COUNTIF(prod_ref,A123)=0,"Produit inconnu",IF(B123="","Matière manquante",IF(ISNA(MATCH(B123,mat_ref,0)),"Matière inconnue",IF(INDEX(mat_check,MATCH(B123,mat_ref,0))&lt;&gt;"OK","Matière à corriger",IF(OR(NOT(ISNUMBER(E123)),N(E123)&lt;=0),"Quantité invalide",IF(AND(F123&lt;&gt;"",OR(NOT(ISNUMBER(F123)),N(F123)&lt;0,N(F123)&gt;=1)),"Perte entre 0 et 99 %",IF(COUNTIFS(bom_prod,A123,bom_mat,B123)&gt;1,"Matière en double","OK")))))))))</f>
        <v/>
      </c>
      <c r="K123" s="71" t="str">
        <f>IF(AND(fiche_sel&lt;&gt;"",A123=fiche_sel),COUNTIF(A$6:A123,fiche_sel),"")</f>
        <v/>
      </c>
    </row>
    <row r="124">
      <c r="A124" s="60" t="n"/>
      <c r="B124" s="60" t="n"/>
      <c r="C124" s="71" t="str">
        <f>IF(B124="","",IFERROR(INDEX(mat_des,MATCH(B124,mat_ref,0))&amp;"","Matière inconnue"))</f>
        <v/>
      </c>
      <c r="D124" s="69" t="str">
        <f>IF(B124="","",IFERROR(INDEX(mat_unit,MATCH(B124,mat_ref,0))&amp;"",""))</f>
        <v/>
      </c>
      <c r="E124" s="72" t="n"/>
      <c r="F124" s="65" t="n"/>
      <c r="G124" s="68" t="str">
        <f>IF(J124&lt;&gt;"OK","",IF(F124="",N(INDEX(mat_loss,MATCH(B124,mat_ref,0))),F124))</f>
        <v/>
      </c>
      <c r="H124" s="66" t="str">
        <f>IF(J124&lt;&gt;"OK","",INDEX(mat_price,MATCH(B124,mat_ref,0)))</f>
        <v/>
      </c>
      <c r="I124" s="66" t="str">
        <f>IF(J124&lt;&gt;"OK","",E124*(1+G124)*H124)</f>
        <v/>
      </c>
      <c r="J124" s="69" t="str">
        <f>IF(AND(A124="",B124=""),"",IF(A124="","Produit manquant",IF(COUNTIF(prod_ref,A124)=0,"Produit inconnu",IF(B124="","Matière manquante",IF(ISNA(MATCH(B124,mat_ref,0)),"Matière inconnue",IF(INDEX(mat_check,MATCH(B124,mat_ref,0))&lt;&gt;"OK","Matière à corriger",IF(OR(NOT(ISNUMBER(E124)),N(E124)&lt;=0),"Quantité invalide",IF(AND(F124&lt;&gt;"",OR(NOT(ISNUMBER(F124)),N(F124)&lt;0,N(F124)&gt;=1)),"Perte entre 0 et 99 %",IF(COUNTIFS(bom_prod,A124,bom_mat,B124)&gt;1,"Matière en double","OK")))))))))</f>
        <v/>
      </c>
      <c r="K124" s="71" t="str">
        <f>IF(AND(fiche_sel&lt;&gt;"",A124=fiche_sel),COUNTIF(A$6:A124,fiche_sel),"")</f>
        <v/>
      </c>
    </row>
    <row r="125">
      <c r="A125" s="60" t="n"/>
      <c r="B125" s="60" t="n"/>
      <c r="C125" s="71" t="str">
        <f>IF(B125="","",IFERROR(INDEX(mat_des,MATCH(B125,mat_ref,0))&amp;"","Matière inconnue"))</f>
        <v/>
      </c>
      <c r="D125" s="69" t="str">
        <f>IF(B125="","",IFERROR(INDEX(mat_unit,MATCH(B125,mat_ref,0))&amp;"",""))</f>
        <v/>
      </c>
      <c r="E125" s="72" t="n"/>
      <c r="F125" s="65" t="n"/>
      <c r="G125" s="68" t="str">
        <f>IF(J125&lt;&gt;"OK","",IF(F125="",N(INDEX(mat_loss,MATCH(B125,mat_ref,0))),F125))</f>
        <v/>
      </c>
      <c r="H125" s="66" t="str">
        <f>IF(J125&lt;&gt;"OK","",INDEX(mat_price,MATCH(B125,mat_ref,0)))</f>
        <v/>
      </c>
      <c r="I125" s="66" t="str">
        <f>IF(J125&lt;&gt;"OK","",E125*(1+G125)*H125)</f>
        <v/>
      </c>
      <c r="J125" s="69" t="str">
        <f>IF(AND(A125="",B125=""),"",IF(A125="","Produit manquant",IF(COUNTIF(prod_ref,A125)=0,"Produit inconnu",IF(B125="","Matière manquante",IF(ISNA(MATCH(B125,mat_ref,0)),"Matière inconnue",IF(INDEX(mat_check,MATCH(B125,mat_ref,0))&lt;&gt;"OK","Matière à corriger",IF(OR(NOT(ISNUMBER(E125)),N(E125)&lt;=0),"Quantité invalide",IF(AND(F125&lt;&gt;"",OR(NOT(ISNUMBER(F125)),N(F125)&lt;0,N(F125)&gt;=1)),"Perte entre 0 et 99 %",IF(COUNTIFS(bom_prod,A125,bom_mat,B125)&gt;1,"Matière en double","OK")))))))))</f>
        <v/>
      </c>
      <c r="K125" s="71" t="str">
        <f>IF(AND(fiche_sel&lt;&gt;"",A125=fiche_sel),COUNTIF(A$6:A125,fiche_sel),"")</f>
        <v/>
      </c>
    </row>
    <row r="126">
      <c r="A126" s="60" t="n"/>
      <c r="B126" s="60" t="n"/>
      <c r="C126" s="71" t="str">
        <f>IF(B126="","",IFERROR(INDEX(mat_des,MATCH(B126,mat_ref,0))&amp;"","Matière inconnue"))</f>
        <v/>
      </c>
      <c r="D126" s="69" t="str">
        <f>IF(B126="","",IFERROR(INDEX(mat_unit,MATCH(B126,mat_ref,0))&amp;"",""))</f>
        <v/>
      </c>
      <c r="E126" s="72" t="n"/>
      <c r="F126" s="65" t="n"/>
      <c r="G126" s="68" t="str">
        <f>IF(J126&lt;&gt;"OK","",IF(F126="",N(INDEX(mat_loss,MATCH(B126,mat_ref,0))),F126))</f>
        <v/>
      </c>
      <c r="H126" s="66" t="str">
        <f>IF(J126&lt;&gt;"OK","",INDEX(mat_price,MATCH(B126,mat_ref,0)))</f>
        <v/>
      </c>
      <c r="I126" s="66" t="str">
        <f>IF(J126&lt;&gt;"OK","",E126*(1+G126)*H126)</f>
        <v/>
      </c>
      <c r="J126" s="69" t="str">
        <f>IF(AND(A126="",B126=""),"",IF(A126="","Produit manquant",IF(COUNTIF(prod_ref,A126)=0,"Produit inconnu",IF(B126="","Matière manquante",IF(ISNA(MATCH(B126,mat_ref,0)),"Matière inconnue",IF(INDEX(mat_check,MATCH(B126,mat_ref,0))&lt;&gt;"OK","Matière à corriger",IF(OR(NOT(ISNUMBER(E126)),N(E126)&lt;=0),"Quantité invalide",IF(AND(F126&lt;&gt;"",OR(NOT(ISNUMBER(F126)),N(F126)&lt;0,N(F126)&gt;=1)),"Perte entre 0 et 99 %",IF(COUNTIFS(bom_prod,A126,bom_mat,B126)&gt;1,"Matière en double","OK")))))))))</f>
        <v/>
      </c>
      <c r="K126" s="71" t="str">
        <f>IF(AND(fiche_sel&lt;&gt;"",A126=fiche_sel),COUNTIF(A$6:A126,fiche_sel),"")</f>
        <v/>
      </c>
    </row>
    <row r="127">
      <c r="A127" s="60" t="n"/>
      <c r="B127" s="60" t="n"/>
      <c r="C127" s="71" t="str">
        <f>IF(B127="","",IFERROR(INDEX(mat_des,MATCH(B127,mat_ref,0))&amp;"","Matière inconnue"))</f>
        <v/>
      </c>
      <c r="D127" s="69" t="str">
        <f>IF(B127="","",IFERROR(INDEX(mat_unit,MATCH(B127,mat_ref,0))&amp;"",""))</f>
        <v/>
      </c>
      <c r="E127" s="72" t="n"/>
      <c r="F127" s="65" t="n"/>
      <c r="G127" s="68" t="str">
        <f>IF(J127&lt;&gt;"OK","",IF(F127="",N(INDEX(mat_loss,MATCH(B127,mat_ref,0))),F127))</f>
        <v/>
      </c>
      <c r="H127" s="66" t="str">
        <f>IF(J127&lt;&gt;"OK","",INDEX(mat_price,MATCH(B127,mat_ref,0)))</f>
        <v/>
      </c>
      <c r="I127" s="66" t="str">
        <f>IF(J127&lt;&gt;"OK","",E127*(1+G127)*H127)</f>
        <v/>
      </c>
      <c r="J127" s="69" t="str">
        <f>IF(AND(A127="",B127=""),"",IF(A127="","Produit manquant",IF(COUNTIF(prod_ref,A127)=0,"Produit inconnu",IF(B127="","Matière manquante",IF(ISNA(MATCH(B127,mat_ref,0)),"Matière inconnue",IF(INDEX(mat_check,MATCH(B127,mat_ref,0))&lt;&gt;"OK","Matière à corriger",IF(OR(NOT(ISNUMBER(E127)),N(E127)&lt;=0),"Quantité invalide",IF(AND(F127&lt;&gt;"",OR(NOT(ISNUMBER(F127)),N(F127)&lt;0,N(F127)&gt;=1)),"Perte entre 0 et 99 %",IF(COUNTIFS(bom_prod,A127,bom_mat,B127)&gt;1,"Matière en double","OK")))))))))</f>
        <v/>
      </c>
      <c r="K127" s="71" t="str">
        <f>IF(AND(fiche_sel&lt;&gt;"",A127=fiche_sel),COUNTIF(A$6:A127,fiche_sel),"")</f>
        <v/>
      </c>
    </row>
    <row r="128">
      <c r="A128" s="60" t="n"/>
      <c r="B128" s="60" t="n"/>
      <c r="C128" s="71" t="str">
        <f>IF(B128="","",IFERROR(INDEX(mat_des,MATCH(B128,mat_ref,0))&amp;"","Matière inconnue"))</f>
        <v/>
      </c>
      <c r="D128" s="69" t="str">
        <f>IF(B128="","",IFERROR(INDEX(mat_unit,MATCH(B128,mat_ref,0))&amp;"",""))</f>
        <v/>
      </c>
      <c r="E128" s="72" t="n"/>
      <c r="F128" s="65" t="n"/>
      <c r="G128" s="68" t="str">
        <f>IF(J128&lt;&gt;"OK","",IF(F128="",N(INDEX(mat_loss,MATCH(B128,mat_ref,0))),F128))</f>
        <v/>
      </c>
      <c r="H128" s="66" t="str">
        <f>IF(J128&lt;&gt;"OK","",INDEX(mat_price,MATCH(B128,mat_ref,0)))</f>
        <v/>
      </c>
      <c r="I128" s="66" t="str">
        <f>IF(J128&lt;&gt;"OK","",E128*(1+G128)*H128)</f>
        <v/>
      </c>
      <c r="J128" s="69" t="str">
        <f>IF(AND(A128="",B128=""),"",IF(A128="","Produit manquant",IF(COUNTIF(prod_ref,A128)=0,"Produit inconnu",IF(B128="","Matière manquante",IF(ISNA(MATCH(B128,mat_ref,0)),"Matière inconnue",IF(INDEX(mat_check,MATCH(B128,mat_ref,0))&lt;&gt;"OK","Matière à corriger",IF(OR(NOT(ISNUMBER(E128)),N(E128)&lt;=0),"Quantité invalide",IF(AND(F128&lt;&gt;"",OR(NOT(ISNUMBER(F128)),N(F128)&lt;0,N(F128)&gt;=1)),"Perte entre 0 et 99 %",IF(COUNTIFS(bom_prod,A128,bom_mat,B128)&gt;1,"Matière en double","OK")))))))))</f>
        <v/>
      </c>
      <c r="K128" s="71" t="str">
        <f>IF(AND(fiche_sel&lt;&gt;"",A128=fiche_sel),COUNTIF(A$6:A128,fiche_sel),"")</f>
        <v/>
      </c>
    </row>
    <row r="129">
      <c r="A129" s="60" t="n"/>
      <c r="B129" s="60" t="n"/>
      <c r="C129" s="71" t="str">
        <f>IF(B129="","",IFERROR(INDEX(mat_des,MATCH(B129,mat_ref,0))&amp;"","Matière inconnue"))</f>
        <v/>
      </c>
      <c r="D129" s="69" t="str">
        <f>IF(B129="","",IFERROR(INDEX(mat_unit,MATCH(B129,mat_ref,0))&amp;"",""))</f>
        <v/>
      </c>
      <c r="E129" s="72" t="n"/>
      <c r="F129" s="65" t="n"/>
      <c r="G129" s="68" t="str">
        <f>IF(J129&lt;&gt;"OK","",IF(F129="",N(INDEX(mat_loss,MATCH(B129,mat_ref,0))),F129))</f>
        <v/>
      </c>
      <c r="H129" s="66" t="str">
        <f>IF(J129&lt;&gt;"OK","",INDEX(mat_price,MATCH(B129,mat_ref,0)))</f>
        <v/>
      </c>
      <c r="I129" s="66" t="str">
        <f>IF(J129&lt;&gt;"OK","",E129*(1+G129)*H129)</f>
        <v/>
      </c>
      <c r="J129" s="69" t="str">
        <f>IF(AND(A129="",B129=""),"",IF(A129="","Produit manquant",IF(COUNTIF(prod_ref,A129)=0,"Produit inconnu",IF(B129="","Matière manquante",IF(ISNA(MATCH(B129,mat_ref,0)),"Matière inconnue",IF(INDEX(mat_check,MATCH(B129,mat_ref,0))&lt;&gt;"OK","Matière à corriger",IF(OR(NOT(ISNUMBER(E129)),N(E129)&lt;=0),"Quantité invalide",IF(AND(F129&lt;&gt;"",OR(NOT(ISNUMBER(F129)),N(F129)&lt;0,N(F129)&gt;=1)),"Perte entre 0 et 99 %",IF(COUNTIFS(bom_prod,A129,bom_mat,B129)&gt;1,"Matière en double","OK")))))))))</f>
        <v/>
      </c>
      <c r="K129" s="71" t="str">
        <f>IF(AND(fiche_sel&lt;&gt;"",A129=fiche_sel),COUNTIF(A$6:A129,fiche_sel),"")</f>
        <v/>
      </c>
    </row>
    <row r="130">
      <c r="A130" s="60" t="n"/>
      <c r="B130" s="60" t="n"/>
      <c r="C130" s="71" t="str">
        <f>IF(B130="","",IFERROR(INDEX(mat_des,MATCH(B130,mat_ref,0))&amp;"","Matière inconnue"))</f>
        <v/>
      </c>
      <c r="D130" s="69" t="str">
        <f>IF(B130="","",IFERROR(INDEX(mat_unit,MATCH(B130,mat_ref,0))&amp;"",""))</f>
        <v/>
      </c>
      <c r="E130" s="72" t="n"/>
      <c r="F130" s="65" t="n"/>
      <c r="G130" s="68" t="str">
        <f>IF(J130&lt;&gt;"OK","",IF(F130="",N(INDEX(mat_loss,MATCH(B130,mat_ref,0))),F130))</f>
        <v/>
      </c>
      <c r="H130" s="66" t="str">
        <f>IF(J130&lt;&gt;"OK","",INDEX(mat_price,MATCH(B130,mat_ref,0)))</f>
        <v/>
      </c>
      <c r="I130" s="66" t="str">
        <f>IF(J130&lt;&gt;"OK","",E130*(1+G130)*H130)</f>
        <v/>
      </c>
      <c r="J130" s="69" t="str">
        <f>IF(AND(A130="",B130=""),"",IF(A130="","Produit manquant",IF(COUNTIF(prod_ref,A130)=0,"Produit inconnu",IF(B130="","Matière manquante",IF(ISNA(MATCH(B130,mat_ref,0)),"Matière inconnue",IF(INDEX(mat_check,MATCH(B130,mat_ref,0))&lt;&gt;"OK","Matière à corriger",IF(OR(NOT(ISNUMBER(E130)),N(E130)&lt;=0),"Quantité invalide",IF(AND(F130&lt;&gt;"",OR(NOT(ISNUMBER(F130)),N(F130)&lt;0,N(F130)&gt;=1)),"Perte entre 0 et 99 %",IF(COUNTIFS(bom_prod,A130,bom_mat,B130)&gt;1,"Matière en double","OK")))))))))</f>
        <v/>
      </c>
      <c r="K130" s="71" t="str">
        <f>IF(AND(fiche_sel&lt;&gt;"",A130=fiche_sel),COUNTIF(A$6:A130,fiche_sel),"")</f>
        <v/>
      </c>
    </row>
    <row r="131">
      <c r="A131" s="60" t="n"/>
      <c r="B131" s="60" t="n"/>
      <c r="C131" s="71" t="str">
        <f>IF(B131="","",IFERROR(INDEX(mat_des,MATCH(B131,mat_ref,0))&amp;"","Matière inconnue"))</f>
        <v/>
      </c>
      <c r="D131" s="69" t="str">
        <f>IF(B131="","",IFERROR(INDEX(mat_unit,MATCH(B131,mat_ref,0))&amp;"",""))</f>
        <v/>
      </c>
      <c r="E131" s="72" t="n"/>
      <c r="F131" s="65" t="n"/>
      <c r="G131" s="68" t="str">
        <f>IF(J131&lt;&gt;"OK","",IF(F131="",N(INDEX(mat_loss,MATCH(B131,mat_ref,0))),F131))</f>
        <v/>
      </c>
      <c r="H131" s="66" t="str">
        <f>IF(J131&lt;&gt;"OK","",INDEX(mat_price,MATCH(B131,mat_ref,0)))</f>
        <v/>
      </c>
      <c r="I131" s="66" t="str">
        <f>IF(J131&lt;&gt;"OK","",E131*(1+G131)*H131)</f>
        <v/>
      </c>
      <c r="J131" s="69" t="str">
        <f>IF(AND(A131="",B131=""),"",IF(A131="","Produit manquant",IF(COUNTIF(prod_ref,A131)=0,"Produit inconnu",IF(B131="","Matière manquante",IF(ISNA(MATCH(B131,mat_ref,0)),"Matière inconnue",IF(INDEX(mat_check,MATCH(B131,mat_ref,0))&lt;&gt;"OK","Matière à corriger",IF(OR(NOT(ISNUMBER(E131)),N(E131)&lt;=0),"Quantité invalide",IF(AND(F131&lt;&gt;"",OR(NOT(ISNUMBER(F131)),N(F131)&lt;0,N(F131)&gt;=1)),"Perte entre 0 et 99 %",IF(COUNTIFS(bom_prod,A131,bom_mat,B131)&gt;1,"Matière en double","OK")))))))))</f>
        <v/>
      </c>
      <c r="K131" s="71" t="str">
        <f>IF(AND(fiche_sel&lt;&gt;"",A131=fiche_sel),COUNTIF(A$6:A131,fiche_sel),"")</f>
        <v/>
      </c>
    </row>
    <row r="132">
      <c r="A132" s="60" t="n"/>
      <c r="B132" s="60" t="n"/>
      <c r="C132" s="71" t="str">
        <f>IF(B132="","",IFERROR(INDEX(mat_des,MATCH(B132,mat_ref,0))&amp;"","Matière inconnue"))</f>
        <v/>
      </c>
      <c r="D132" s="69" t="str">
        <f>IF(B132="","",IFERROR(INDEX(mat_unit,MATCH(B132,mat_ref,0))&amp;"",""))</f>
        <v/>
      </c>
      <c r="E132" s="72" t="n"/>
      <c r="F132" s="65" t="n"/>
      <c r="G132" s="68" t="str">
        <f>IF(J132&lt;&gt;"OK","",IF(F132="",N(INDEX(mat_loss,MATCH(B132,mat_ref,0))),F132))</f>
        <v/>
      </c>
      <c r="H132" s="66" t="str">
        <f>IF(J132&lt;&gt;"OK","",INDEX(mat_price,MATCH(B132,mat_ref,0)))</f>
        <v/>
      </c>
      <c r="I132" s="66" t="str">
        <f>IF(J132&lt;&gt;"OK","",E132*(1+G132)*H132)</f>
        <v/>
      </c>
      <c r="J132" s="69" t="str">
        <f>IF(AND(A132="",B132=""),"",IF(A132="","Produit manquant",IF(COUNTIF(prod_ref,A132)=0,"Produit inconnu",IF(B132="","Matière manquante",IF(ISNA(MATCH(B132,mat_ref,0)),"Matière inconnue",IF(INDEX(mat_check,MATCH(B132,mat_ref,0))&lt;&gt;"OK","Matière à corriger",IF(OR(NOT(ISNUMBER(E132)),N(E132)&lt;=0),"Quantité invalide",IF(AND(F132&lt;&gt;"",OR(NOT(ISNUMBER(F132)),N(F132)&lt;0,N(F132)&gt;=1)),"Perte entre 0 et 99 %",IF(COUNTIFS(bom_prod,A132,bom_mat,B132)&gt;1,"Matière en double","OK")))))))))</f>
        <v/>
      </c>
      <c r="K132" s="71" t="str">
        <f>IF(AND(fiche_sel&lt;&gt;"",A132=fiche_sel),COUNTIF(A$6:A132,fiche_sel),"")</f>
        <v/>
      </c>
    </row>
    <row r="133">
      <c r="A133" s="60" t="n"/>
      <c r="B133" s="60" t="n"/>
      <c r="C133" s="71" t="str">
        <f>IF(B133="","",IFERROR(INDEX(mat_des,MATCH(B133,mat_ref,0))&amp;"","Matière inconnue"))</f>
        <v/>
      </c>
      <c r="D133" s="69" t="str">
        <f>IF(B133="","",IFERROR(INDEX(mat_unit,MATCH(B133,mat_ref,0))&amp;"",""))</f>
        <v/>
      </c>
      <c r="E133" s="72" t="n"/>
      <c r="F133" s="65" t="n"/>
      <c r="G133" s="68" t="str">
        <f>IF(J133&lt;&gt;"OK","",IF(F133="",N(INDEX(mat_loss,MATCH(B133,mat_ref,0))),F133))</f>
        <v/>
      </c>
      <c r="H133" s="66" t="str">
        <f>IF(J133&lt;&gt;"OK","",INDEX(mat_price,MATCH(B133,mat_ref,0)))</f>
        <v/>
      </c>
      <c r="I133" s="66" t="str">
        <f>IF(J133&lt;&gt;"OK","",E133*(1+G133)*H133)</f>
        <v/>
      </c>
      <c r="J133" s="69" t="str">
        <f>IF(AND(A133="",B133=""),"",IF(A133="","Produit manquant",IF(COUNTIF(prod_ref,A133)=0,"Produit inconnu",IF(B133="","Matière manquante",IF(ISNA(MATCH(B133,mat_ref,0)),"Matière inconnue",IF(INDEX(mat_check,MATCH(B133,mat_ref,0))&lt;&gt;"OK","Matière à corriger",IF(OR(NOT(ISNUMBER(E133)),N(E133)&lt;=0),"Quantité invalide",IF(AND(F133&lt;&gt;"",OR(NOT(ISNUMBER(F133)),N(F133)&lt;0,N(F133)&gt;=1)),"Perte entre 0 et 99 %",IF(COUNTIFS(bom_prod,A133,bom_mat,B133)&gt;1,"Matière en double","OK")))))))))</f>
        <v/>
      </c>
      <c r="K133" s="71" t="str">
        <f>IF(AND(fiche_sel&lt;&gt;"",A133=fiche_sel),COUNTIF(A$6:A133,fiche_sel),"")</f>
        <v/>
      </c>
    </row>
    <row r="134">
      <c r="A134" s="60" t="n"/>
      <c r="B134" s="60" t="n"/>
      <c r="C134" s="71" t="str">
        <f>IF(B134="","",IFERROR(INDEX(mat_des,MATCH(B134,mat_ref,0))&amp;"","Matière inconnue"))</f>
        <v/>
      </c>
      <c r="D134" s="69" t="str">
        <f>IF(B134="","",IFERROR(INDEX(mat_unit,MATCH(B134,mat_ref,0))&amp;"",""))</f>
        <v/>
      </c>
      <c r="E134" s="72" t="n"/>
      <c r="F134" s="65" t="n"/>
      <c r="G134" s="68" t="str">
        <f>IF(J134&lt;&gt;"OK","",IF(F134="",N(INDEX(mat_loss,MATCH(B134,mat_ref,0))),F134))</f>
        <v/>
      </c>
      <c r="H134" s="66" t="str">
        <f>IF(J134&lt;&gt;"OK","",INDEX(mat_price,MATCH(B134,mat_ref,0)))</f>
        <v/>
      </c>
      <c r="I134" s="66" t="str">
        <f>IF(J134&lt;&gt;"OK","",E134*(1+G134)*H134)</f>
        <v/>
      </c>
      <c r="J134" s="69" t="str">
        <f>IF(AND(A134="",B134=""),"",IF(A134="","Produit manquant",IF(COUNTIF(prod_ref,A134)=0,"Produit inconnu",IF(B134="","Matière manquante",IF(ISNA(MATCH(B134,mat_ref,0)),"Matière inconnue",IF(INDEX(mat_check,MATCH(B134,mat_ref,0))&lt;&gt;"OK","Matière à corriger",IF(OR(NOT(ISNUMBER(E134)),N(E134)&lt;=0),"Quantité invalide",IF(AND(F134&lt;&gt;"",OR(NOT(ISNUMBER(F134)),N(F134)&lt;0,N(F134)&gt;=1)),"Perte entre 0 et 99 %",IF(COUNTIFS(bom_prod,A134,bom_mat,B134)&gt;1,"Matière en double","OK")))))))))</f>
        <v/>
      </c>
      <c r="K134" s="71" t="str">
        <f>IF(AND(fiche_sel&lt;&gt;"",A134=fiche_sel),COUNTIF(A$6:A134,fiche_sel),"")</f>
        <v/>
      </c>
    </row>
    <row r="135">
      <c r="A135" s="60" t="n"/>
      <c r="B135" s="60" t="n"/>
      <c r="C135" s="71" t="str">
        <f>IF(B135="","",IFERROR(INDEX(mat_des,MATCH(B135,mat_ref,0))&amp;"","Matière inconnue"))</f>
        <v/>
      </c>
      <c r="D135" s="69" t="str">
        <f>IF(B135="","",IFERROR(INDEX(mat_unit,MATCH(B135,mat_ref,0))&amp;"",""))</f>
        <v/>
      </c>
      <c r="E135" s="72" t="n"/>
      <c r="F135" s="65" t="n"/>
      <c r="G135" s="68" t="str">
        <f>IF(J135&lt;&gt;"OK","",IF(F135="",N(INDEX(mat_loss,MATCH(B135,mat_ref,0))),F135))</f>
        <v/>
      </c>
      <c r="H135" s="66" t="str">
        <f>IF(J135&lt;&gt;"OK","",INDEX(mat_price,MATCH(B135,mat_ref,0)))</f>
        <v/>
      </c>
      <c r="I135" s="66" t="str">
        <f>IF(J135&lt;&gt;"OK","",E135*(1+G135)*H135)</f>
        <v/>
      </c>
      <c r="J135" s="69" t="str">
        <f>IF(AND(A135="",B135=""),"",IF(A135="","Produit manquant",IF(COUNTIF(prod_ref,A135)=0,"Produit inconnu",IF(B135="","Matière manquante",IF(ISNA(MATCH(B135,mat_ref,0)),"Matière inconnue",IF(INDEX(mat_check,MATCH(B135,mat_ref,0))&lt;&gt;"OK","Matière à corriger",IF(OR(NOT(ISNUMBER(E135)),N(E135)&lt;=0),"Quantité invalide",IF(AND(F135&lt;&gt;"",OR(NOT(ISNUMBER(F135)),N(F135)&lt;0,N(F135)&gt;=1)),"Perte entre 0 et 99 %",IF(COUNTIFS(bom_prod,A135,bom_mat,B135)&gt;1,"Matière en double","OK")))))))))</f>
        <v/>
      </c>
      <c r="K135" s="71" t="str">
        <f>IF(AND(fiche_sel&lt;&gt;"",A135=fiche_sel),COUNTIF(A$6:A135,fiche_sel),"")</f>
        <v/>
      </c>
    </row>
    <row r="136">
      <c r="A136" s="60" t="n"/>
      <c r="B136" s="60" t="n"/>
      <c r="C136" s="71" t="str">
        <f>IF(B136="","",IFERROR(INDEX(mat_des,MATCH(B136,mat_ref,0))&amp;"","Matière inconnue"))</f>
        <v/>
      </c>
      <c r="D136" s="69" t="str">
        <f>IF(B136="","",IFERROR(INDEX(mat_unit,MATCH(B136,mat_ref,0))&amp;"",""))</f>
        <v/>
      </c>
      <c r="E136" s="72" t="n"/>
      <c r="F136" s="65" t="n"/>
      <c r="G136" s="68" t="str">
        <f>IF(J136&lt;&gt;"OK","",IF(F136="",N(INDEX(mat_loss,MATCH(B136,mat_ref,0))),F136))</f>
        <v/>
      </c>
      <c r="H136" s="66" t="str">
        <f>IF(J136&lt;&gt;"OK","",INDEX(mat_price,MATCH(B136,mat_ref,0)))</f>
        <v/>
      </c>
      <c r="I136" s="66" t="str">
        <f>IF(J136&lt;&gt;"OK","",E136*(1+G136)*H136)</f>
        <v/>
      </c>
      <c r="J136" s="69" t="str">
        <f>IF(AND(A136="",B136=""),"",IF(A136="","Produit manquant",IF(COUNTIF(prod_ref,A136)=0,"Produit inconnu",IF(B136="","Matière manquante",IF(ISNA(MATCH(B136,mat_ref,0)),"Matière inconnue",IF(INDEX(mat_check,MATCH(B136,mat_ref,0))&lt;&gt;"OK","Matière à corriger",IF(OR(NOT(ISNUMBER(E136)),N(E136)&lt;=0),"Quantité invalide",IF(AND(F136&lt;&gt;"",OR(NOT(ISNUMBER(F136)),N(F136)&lt;0,N(F136)&gt;=1)),"Perte entre 0 et 99 %",IF(COUNTIFS(bom_prod,A136,bom_mat,B136)&gt;1,"Matière en double","OK")))))))))</f>
        <v/>
      </c>
      <c r="K136" s="71" t="str">
        <f>IF(AND(fiche_sel&lt;&gt;"",A136=fiche_sel),COUNTIF(A$6:A136,fiche_sel),"")</f>
        <v/>
      </c>
    </row>
    <row r="137">
      <c r="A137" s="60" t="n"/>
      <c r="B137" s="60" t="n"/>
      <c r="C137" s="71" t="str">
        <f>IF(B137="","",IFERROR(INDEX(mat_des,MATCH(B137,mat_ref,0))&amp;"","Matière inconnue"))</f>
        <v/>
      </c>
      <c r="D137" s="69" t="str">
        <f>IF(B137="","",IFERROR(INDEX(mat_unit,MATCH(B137,mat_ref,0))&amp;"",""))</f>
        <v/>
      </c>
      <c r="E137" s="72" t="n"/>
      <c r="F137" s="65" t="n"/>
      <c r="G137" s="68" t="str">
        <f>IF(J137&lt;&gt;"OK","",IF(F137="",N(INDEX(mat_loss,MATCH(B137,mat_ref,0))),F137))</f>
        <v/>
      </c>
      <c r="H137" s="66" t="str">
        <f>IF(J137&lt;&gt;"OK","",INDEX(mat_price,MATCH(B137,mat_ref,0)))</f>
        <v/>
      </c>
      <c r="I137" s="66" t="str">
        <f>IF(J137&lt;&gt;"OK","",E137*(1+G137)*H137)</f>
        <v/>
      </c>
      <c r="J137" s="69" t="str">
        <f>IF(AND(A137="",B137=""),"",IF(A137="","Produit manquant",IF(COUNTIF(prod_ref,A137)=0,"Produit inconnu",IF(B137="","Matière manquante",IF(ISNA(MATCH(B137,mat_ref,0)),"Matière inconnue",IF(INDEX(mat_check,MATCH(B137,mat_ref,0))&lt;&gt;"OK","Matière à corriger",IF(OR(NOT(ISNUMBER(E137)),N(E137)&lt;=0),"Quantité invalide",IF(AND(F137&lt;&gt;"",OR(NOT(ISNUMBER(F137)),N(F137)&lt;0,N(F137)&gt;=1)),"Perte entre 0 et 99 %",IF(COUNTIFS(bom_prod,A137,bom_mat,B137)&gt;1,"Matière en double","OK")))))))))</f>
        <v/>
      </c>
      <c r="K137" s="71" t="str">
        <f>IF(AND(fiche_sel&lt;&gt;"",A137=fiche_sel),COUNTIF(A$6:A137,fiche_sel),"")</f>
        <v/>
      </c>
    </row>
    <row r="138">
      <c r="A138" s="60" t="n"/>
      <c r="B138" s="60" t="n"/>
      <c r="C138" s="71" t="str">
        <f>IF(B138="","",IFERROR(INDEX(mat_des,MATCH(B138,mat_ref,0))&amp;"","Matière inconnue"))</f>
        <v/>
      </c>
      <c r="D138" s="69" t="str">
        <f>IF(B138="","",IFERROR(INDEX(mat_unit,MATCH(B138,mat_ref,0))&amp;"",""))</f>
        <v/>
      </c>
      <c r="E138" s="72" t="n"/>
      <c r="F138" s="65" t="n"/>
      <c r="G138" s="68" t="str">
        <f>IF(J138&lt;&gt;"OK","",IF(F138="",N(INDEX(mat_loss,MATCH(B138,mat_ref,0))),F138))</f>
        <v/>
      </c>
      <c r="H138" s="66" t="str">
        <f>IF(J138&lt;&gt;"OK","",INDEX(mat_price,MATCH(B138,mat_ref,0)))</f>
        <v/>
      </c>
      <c r="I138" s="66" t="str">
        <f>IF(J138&lt;&gt;"OK","",E138*(1+G138)*H138)</f>
        <v/>
      </c>
      <c r="J138" s="69" t="str">
        <f>IF(AND(A138="",B138=""),"",IF(A138="","Produit manquant",IF(COUNTIF(prod_ref,A138)=0,"Produit inconnu",IF(B138="","Matière manquante",IF(ISNA(MATCH(B138,mat_ref,0)),"Matière inconnue",IF(INDEX(mat_check,MATCH(B138,mat_ref,0))&lt;&gt;"OK","Matière à corriger",IF(OR(NOT(ISNUMBER(E138)),N(E138)&lt;=0),"Quantité invalide",IF(AND(F138&lt;&gt;"",OR(NOT(ISNUMBER(F138)),N(F138)&lt;0,N(F138)&gt;=1)),"Perte entre 0 et 99 %",IF(COUNTIFS(bom_prod,A138,bom_mat,B138)&gt;1,"Matière en double","OK")))))))))</f>
        <v/>
      </c>
      <c r="K138" s="71" t="str">
        <f>IF(AND(fiche_sel&lt;&gt;"",A138=fiche_sel),COUNTIF(A$6:A138,fiche_sel),"")</f>
        <v/>
      </c>
    </row>
    <row r="139">
      <c r="A139" s="60" t="n"/>
      <c r="B139" s="60" t="n"/>
      <c r="C139" s="71" t="str">
        <f>IF(B139="","",IFERROR(INDEX(mat_des,MATCH(B139,mat_ref,0))&amp;"","Matière inconnue"))</f>
        <v/>
      </c>
      <c r="D139" s="69" t="str">
        <f>IF(B139="","",IFERROR(INDEX(mat_unit,MATCH(B139,mat_ref,0))&amp;"",""))</f>
        <v/>
      </c>
      <c r="E139" s="72" t="n"/>
      <c r="F139" s="65" t="n"/>
      <c r="G139" s="68" t="str">
        <f>IF(J139&lt;&gt;"OK","",IF(F139="",N(INDEX(mat_loss,MATCH(B139,mat_ref,0))),F139))</f>
        <v/>
      </c>
      <c r="H139" s="66" t="str">
        <f>IF(J139&lt;&gt;"OK","",INDEX(mat_price,MATCH(B139,mat_ref,0)))</f>
        <v/>
      </c>
      <c r="I139" s="66" t="str">
        <f>IF(J139&lt;&gt;"OK","",E139*(1+G139)*H139)</f>
        <v/>
      </c>
      <c r="J139" s="69" t="str">
        <f>IF(AND(A139="",B139=""),"",IF(A139="","Produit manquant",IF(COUNTIF(prod_ref,A139)=0,"Produit inconnu",IF(B139="","Matière manquante",IF(ISNA(MATCH(B139,mat_ref,0)),"Matière inconnue",IF(INDEX(mat_check,MATCH(B139,mat_ref,0))&lt;&gt;"OK","Matière à corriger",IF(OR(NOT(ISNUMBER(E139)),N(E139)&lt;=0),"Quantité invalide",IF(AND(F139&lt;&gt;"",OR(NOT(ISNUMBER(F139)),N(F139)&lt;0,N(F139)&gt;=1)),"Perte entre 0 et 99 %",IF(COUNTIFS(bom_prod,A139,bom_mat,B139)&gt;1,"Matière en double","OK")))))))))</f>
        <v/>
      </c>
      <c r="K139" s="71" t="str">
        <f>IF(AND(fiche_sel&lt;&gt;"",A139=fiche_sel),COUNTIF(A$6:A139,fiche_sel),"")</f>
        <v/>
      </c>
    </row>
    <row r="140">
      <c r="A140" s="60" t="n"/>
      <c r="B140" s="60" t="n"/>
      <c r="C140" s="71" t="str">
        <f>IF(B140="","",IFERROR(INDEX(mat_des,MATCH(B140,mat_ref,0))&amp;"","Matière inconnue"))</f>
        <v/>
      </c>
      <c r="D140" s="69" t="str">
        <f>IF(B140="","",IFERROR(INDEX(mat_unit,MATCH(B140,mat_ref,0))&amp;"",""))</f>
        <v/>
      </c>
      <c r="E140" s="72" t="n"/>
      <c r="F140" s="65" t="n"/>
      <c r="G140" s="68" t="str">
        <f>IF(J140&lt;&gt;"OK","",IF(F140="",N(INDEX(mat_loss,MATCH(B140,mat_ref,0))),F140))</f>
        <v/>
      </c>
      <c r="H140" s="66" t="str">
        <f>IF(J140&lt;&gt;"OK","",INDEX(mat_price,MATCH(B140,mat_ref,0)))</f>
        <v/>
      </c>
      <c r="I140" s="66" t="str">
        <f>IF(J140&lt;&gt;"OK","",E140*(1+G140)*H140)</f>
        <v/>
      </c>
      <c r="J140" s="69" t="str">
        <f>IF(AND(A140="",B140=""),"",IF(A140="","Produit manquant",IF(COUNTIF(prod_ref,A140)=0,"Produit inconnu",IF(B140="","Matière manquante",IF(ISNA(MATCH(B140,mat_ref,0)),"Matière inconnue",IF(INDEX(mat_check,MATCH(B140,mat_ref,0))&lt;&gt;"OK","Matière à corriger",IF(OR(NOT(ISNUMBER(E140)),N(E140)&lt;=0),"Quantité invalide",IF(AND(F140&lt;&gt;"",OR(NOT(ISNUMBER(F140)),N(F140)&lt;0,N(F140)&gt;=1)),"Perte entre 0 et 99 %",IF(COUNTIFS(bom_prod,A140,bom_mat,B140)&gt;1,"Matière en double","OK")))))))))</f>
        <v/>
      </c>
      <c r="K140" s="71" t="str">
        <f>IF(AND(fiche_sel&lt;&gt;"",A140=fiche_sel),COUNTIF(A$6:A140,fiche_sel),"")</f>
        <v/>
      </c>
    </row>
    <row r="141">
      <c r="A141" s="60" t="n"/>
      <c r="B141" s="60" t="n"/>
      <c r="C141" s="71" t="str">
        <f>IF(B141="","",IFERROR(INDEX(mat_des,MATCH(B141,mat_ref,0))&amp;"","Matière inconnue"))</f>
        <v/>
      </c>
      <c r="D141" s="69" t="str">
        <f>IF(B141="","",IFERROR(INDEX(mat_unit,MATCH(B141,mat_ref,0))&amp;"",""))</f>
        <v/>
      </c>
      <c r="E141" s="72" t="n"/>
      <c r="F141" s="65" t="n"/>
      <c r="G141" s="68" t="str">
        <f>IF(J141&lt;&gt;"OK","",IF(F141="",N(INDEX(mat_loss,MATCH(B141,mat_ref,0))),F141))</f>
        <v/>
      </c>
      <c r="H141" s="66" t="str">
        <f>IF(J141&lt;&gt;"OK","",INDEX(mat_price,MATCH(B141,mat_ref,0)))</f>
        <v/>
      </c>
      <c r="I141" s="66" t="str">
        <f>IF(J141&lt;&gt;"OK","",E141*(1+G141)*H141)</f>
        <v/>
      </c>
      <c r="J141" s="69" t="str">
        <f>IF(AND(A141="",B141=""),"",IF(A141="","Produit manquant",IF(COUNTIF(prod_ref,A141)=0,"Produit inconnu",IF(B141="","Matière manquante",IF(ISNA(MATCH(B141,mat_ref,0)),"Matière inconnue",IF(INDEX(mat_check,MATCH(B141,mat_ref,0))&lt;&gt;"OK","Matière à corriger",IF(OR(NOT(ISNUMBER(E141)),N(E141)&lt;=0),"Quantité invalide",IF(AND(F141&lt;&gt;"",OR(NOT(ISNUMBER(F141)),N(F141)&lt;0,N(F141)&gt;=1)),"Perte entre 0 et 99 %",IF(COUNTIFS(bom_prod,A141,bom_mat,B141)&gt;1,"Matière en double","OK")))))))))</f>
        <v/>
      </c>
      <c r="K141" s="71" t="str">
        <f>IF(AND(fiche_sel&lt;&gt;"",A141=fiche_sel),COUNTIF(A$6:A141,fiche_sel),"")</f>
        <v/>
      </c>
    </row>
    <row r="142">
      <c r="A142" s="60" t="n"/>
      <c r="B142" s="60" t="n"/>
      <c r="C142" s="71" t="str">
        <f>IF(B142="","",IFERROR(INDEX(mat_des,MATCH(B142,mat_ref,0))&amp;"","Matière inconnue"))</f>
        <v/>
      </c>
      <c r="D142" s="69" t="str">
        <f>IF(B142="","",IFERROR(INDEX(mat_unit,MATCH(B142,mat_ref,0))&amp;"",""))</f>
        <v/>
      </c>
      <c r="E142" s="72" t="n"/>
      <c r="F142" s="65" t="n"/>
      <c r="G142" s="68" t="str">
        <f>IF(J142&lt;&gt;"OK","",IF(F142="",N(INDEX(mat_loss,MATCH(B142,mat_ref,0))),F142))</f>
        <v/>
      </c>
      <c r="H142" s="66" t="str">
        <f>IF(J142&lt;&gt;"OK","",INDEX(mat_price,MATCH(B142,mat_ref,0)))</f>
        <v/>
      </c>
      <c r="I142" s="66" t="str">
        <f>IF(J142&lt;&gt;"OK","",E142*(1+G142)*H142)</f>
        <v/>
      </c>
      <c r="J142" s="69" t="str">
        <f>IF(AND(A142="",B142=""),"",IF(A142="","Produit manquant",IF(COUNTIF(prod_ref,A142)=0,"Produit inconnu",IF(B142="","Matière manquante",IF(ISNA(MATCH(B142,mat_ref,0)),"Matière inconnue",IF(INDEX(mat_check,MATCH(B142,mat_ref,0))&lt;&gt;"OK","Matière à corriger",IF(OR(NOT(ISNUMBER(E142)),N(E142)&lt;=0),"Quantité invalide",IF(AND(F142&lt;&gt;"",OR(NOT(ISNUMBER(F142)),N(F142)&lt;0,N(F142)&gt;=1)),"Perte entre 0 et 99 %",IF(COUNTIFS(bom_prod,A142,bom_mat,B142)&gt;1,"Matière en double","OK")))))))))</f>
        <v/>
      </c>
      <c r="K142" s="71" t="str">
        <f>IF(AND(fiche_sel&lt;&gt;"",A142=fiche_sel),COUNTIF(A$6:A142,fiche_sel),"")</f>
        <v/>
      </c>
    </row>
    <row r="143">
      <c r="A143" s="60" t="n"/>
      <c r="B143" s="60" t="n"/>
      <c r="C143" s="71" t="str">
        <f>IF(B143="","",IFERROR(INDEX(mat_des,MATCH(B143,mat_ref,0))&amp;"","Matière inconnue"))</f>
        <v/>
      </c>
      <c r="D143" s="69" t="str">
        <f>IF(B143="","",IFERROR(INDEX(mat_unit,MATCH(B143,mat_ref,0))&amp;"",""))</f>
        <v/>
      </c>
      <c r="E143" s="72" t="n"/>
      <c r="F143" s="65" t="n"/>
      <c r="G143" s="68" t="str">
        <f>IF(J143&lt;&gt;"OK","",IF(F143="",N(INDEX(mat_loss,MATCH(B143,mat_ref,0))),F143))</f>
        <v/>
      </c>
      <c r="H143" s="66" t="str">
        <f>IF(J143&lt;&gt;"OK","",INDEX(mat_price,MATCH(B143,mat_ref,0)))</f>
        <v/>
      </c>
      <c r="I143" s="66" t="str">
        <f>IF(J143&lt;&gt;"OK","",E143*(1+G143)*H143)</f>
        <v/>
      </c>
      <c r="J143" s="69" t="str">
        <f>IF(AND(A143="",B143=""),"",IF(A143="","Produit manquant",IF(COUNTIF(prod_ref,A143)=0,"Produit inconnu",IF(B143="","Matière manquante",IF(ISNA(MATCH(B143,mat_ref,0)),"Matière inconnue",IF(INDEX(mat_check,MATCH(B143,mat_ref,0))&lt;&gt;"OK","Matière à corriger",IF(OR(NOT(ISNUMBER(E143)),N(E143)&lt;=0),"Quantité invalide",IF(AND(F143&lt;&gt;"",OR(NOT(ISNUMBER(F143)),N(F143)&lt;0,N(F143)&gt;=1)),"Perte entre 0 et 99 %",IF(COUNTIFS(bom_prod,A143,bom_mat,B143)&gt;1,"Matière en double","OK")))))))))</f>
        <v/>
      </c>
      <c r="K143" s="71" t="str">
        <f>IF(AND(fiche_sel&lt;&gt;"",A143=fiche_sel),COUNTIF(A$6:A143,fiche_sel),"")</f>
        <v/>
      </c>
    </row>
    <row r="144">
      <c r="A144" s="60" t="n"/>
      <c r="B144" s="60" t="n"/>
      <c r="C144" s="71" t="str">
        <f>IF(B144="","",IFERROR(INDEX(mat_des,MATCH(B144,mat_ref,0))&amp;"","Matière inconnue"))</f>
        <v/>
      </c>
      <c r="D144" s="69" t="str">
        <f>IF(B144="","",IFERROR(INDEX(mat_unit,MATCH(B144,mat_ref,0))&amp;"",""))</f>
        <v/>
      </c>
      <c r="E144" s="72" t="n"/>
      <c r="F144" s="65" t="n"/>
      <c r="G144" s="68" t="str">
        <f>IF(J144&lt;&gt;"OK","",IF(F144="",N(INDEX(mat_loss,MATCH(B144,mat_ref,0))),F144))</f>
        <v/>
      </c>
      <c r="H144" s="66" t="str">
        <f>IF(J144&lt;&gt;"OK","",INDEX(mat_price,MATCH(B144,mat_ref,0)))</f>
        <v/>
      </c>
      <c r="I144" s="66" t="str">
        <f>IF(J144&lt;&gt;"OK","",E144*(1+G144)*H144)</f>
        <v/>
      </c>
      <c r="J144" s="69" t="str">
        <f>IF(AND(A144="",B144=""),"",IF(A144="","Produit manquant",IF(COUNTIF(prod_ref,A144)=0,"Produit inconnu",IF(B144="","Matière manquante",IF(ISNA(MATCH(B144,mat_ref,0)),"Matière inconnue",IF(INDEX(mat_check,MATCH(B144,mat_ref,0))&lt;&gt;"OK","Matière à corriger",IF(OR(NOT(ISNUMBER(E144)),N(E144)&lt;=0),"Quantité invalide",IF(AND(F144&lt;&gt;"",OR(NOT(ISNUMBER(F144)),N(F144)&lt;0,N(F144)&gt;=1)),"Perte entre 0 et 99 %",IF(COUNTIFS(bom_prod,A144,bom_mat,B144)&gt;1,"Matière en double","OK")))))))))</f>
        <v/>
      </c>
      <c r="K144" s="71" t="str">
        <f>IF(AND(fiche_sel&lt;&gt;"",A144=fiche_sel),COUNTIF(A$6:A144,fiche_sel),"")</f>
        <v/>
      </c>
    </row>
    <row r="145">
      <c r="A145" s="60" t="n"/>
      <c r="B145" s="60" t="n"/>
      <c r="C145" s="71" t="str">
        <f>IF(B145="","",IFERROR(INDEX(mat_des,MATCH(B145,mat_ref,0))&amp;"","Matière inconnue"))</f>
        <v/>
      </c>
      <c r="D145" s="69" t="str">
        <f>IF(B145="","",IFERROR(INDEX(mat_unit,MATCH(B145,mat_ref,0))&amp;"",""))</f>
        <v/>
      </c>
      <c r="E145" s="72" t="n"/>
      <c r="F145" s="65" t="n"/>
      <c r="G145" s="68" t="str">
        <f>IF(J145&lt;&gt;"OK","",IF(F145="",N(INDEX(mat_loss,MATCH(B145,mat_ref,0))),F145))</f>
        <v/>
      </c>
      <c r="H145" s="66" t="str">
        <f>IF(J145&lt;&gt;"OK","",INDEX(mat_price,MATCH(B145,mat_ref,0)))</f>
        <v/>
      </c>
      <c r="I145" s="66" t="str">
        <f>IF(J145&lt;&gt;"OK","",E145*(1+G145)*H145)</f>
        <v/>
      </c>
      <c r="J145" s="69" t="str">
        <f>IF(AND(A145="",B145=""),"",IF(A145="","Produit manquant",IF(COUNTIF(prod_ref,A145)=0,"Produit inconnu",IF(B145="","Matière manquante",IF(ISNA(MATCH(B145,mat_ref,0)),"Matière inconnue",IF(INDEX(mat_check,MATCH(B145,mat_ref,0))&lt;&gt;"OK","Matière à corriger",IF(OR(NOT(ISNUMBER(E145)),N(E145)&lt;=0),"Quantité invalide",IF(AND(F145&lt;&gt;"",OR(NOT(ISNUMBER(F145)),N(F145)&lt;0,N(F145)&gt;=1)),"Perte entre 0 et 99 %",IF(COUNTIFS(bom_prod,A145,bom_mat,B145)&gt;1,"Matière en double","OK")))))))))</f>
        <v/>
      </c>
      <c r="K145" s="71" t="str">
        <f>IF(AND(fiche_sel&lt;&gt;"",A145=fiche_sel),COUNTIF(A$6:A145,fiche_sel),"")</f>
        <v/>
      </c>
    </row>
    <row r="146">
      <c r="A146" s="60" t="n"/>
      <c r="B146" s="60" t="n"/>
      <c r="C146" s="71" t="str">
        <f>IF(B146="","",IFERROR(INDEX(mat_des,MATCH(B146,mat_ref,0))&amp;"","Matière inconnue"))</f>
        <v/>
      </c>
      <c r="D146" s="69" t="str">
        <f>IF(B146="","",IFERROR(INDEX(mat_unit,MATCH(B146,mat_ref,0))&amp;"",""))</f>
        <v/>
      </c>
      <c r="E146" s="72" t="n"/>
      <c r="F146" s="65" t="n"/>
      <c r="G146" s="68" t="str">
        <f>IF(J146&lt;&gt;"OK","",IF(F146="",N(INDEX(mat_loss,MATCH(B146,mat_ref,0))),F146))</f>
        <v/>
      </c>
      <c r="H146" s="66" t="str">
        <f>IF(J146&lt;&gt;"OK","",INDEX(mat_price,MATCH(B146,mat_ref,0)))</f>
        <v/>
      </c>
      <c r="I146" s="66" t="str">
        <f>IF(J146&lt;&gt;"OK","",E146*(1+G146)*H146)</f>
        <v/>
      </c>
      <c r="J146" s="69" t="str">
        <f>IF(AND(A146="",B146=""),"",IF(A146="","Produit manquant",IF(COUNTIF(prod_ref,A146)=0,"Produit inconnu",IF(B146="","Matière manquante",IF(ISNA(MATCH(B146,mat_ref,0)),"Matière inconnue",IF(INDEX(mat_check,MATCH(B146,mat_ref,0))&lt;&gt;"OK","Matière à corriger",IF(OR(NOT(ISNUMBER(E146)),N(E146)&lt;=0),"Quantité invalide",IF(AND(F146&lt;&gt;"",OR(NOT(ISNUMBER(F146)),N(F146)&lt;0,N(F146)&gt;=1)),"Perte entre 0 et 99 %",IF(COUNTIFS(bom_prod,A146,bom_mat,B146)&gt;1,"Matière en double","OK")))))))))</f>
        <v/>
      </c>
      <c r="K146" s="71" t="str">
        <f>IF(AND(fiche_sel&lt;&gt;"",A146=fiche_sel),COUNTIF(A$6:A146,fiche_sel),"")</f>
        <v/>
      </c>
    </row>
    <row r="147">
      <c r="A147" s="60" t="n"/>
      <c r="B147" s="60" t="n"/>
      <c r="C147" s="71" t="str">
        <f>IF(B147="","",IFERROR(INDEX(mat_des,MATCH(B147,mat_ref,0))&amp;"","Matière inconnue"))</f>
        <v/>
      </c>
      <c r="D147" s="69" t="str">
        <f>IF(B147="","",IFERROR(INDEX(mat_unit,MATCH(B147,mat_ref,0))&amp;"",""))</f>
        <v/>
      </c>
      <c r="E147" s="72" t="n"/>
      <c r="F147" s="65" t="n"/>
      <c r="G147" s="68" t="str">
        <f>IF(J147&lt;&gt;"OK","",IF(F147="",N(INDEX(mat_loss,MATCH(B147,mat_ref,0))),F147))</f>
        <v/>
      </c>
      <c r="H147" s="66" t="str">
        <f>IF(J147&lt;&gt;"OK","",INDEX(mat_price,MATCH(B147,mat_ref,0)))</f>
        <v/>
      </c>
      <c r="I147" s="66" t="str">
        <f>IF(J147&lt;&gt;"OK","",E147*(1+G147)*H147)</f>
        <v/>
      </c>
      <c r="J147" s="69" t="str">
        <f>IF(AND(A147="",B147=""),"",IF(A147="","Produit manquant",IF(COUNTIF(prod_ref,A147)=0,"Produit inconnu",IF(B147="","Matière manquante",IF(ISNA(MATCH(B147,mat_ref,0)),"Matière inconnue",IF(INDEX(mat_check,MATCH(B147,mat_ref,0))&lt;&gt;"OK","Matière à corriger",IF(OR(NOT(ISNUMBER(E147)),N(E147)&lt;=0),"Quantité invalide",IF(AND(F147&lt;&gt;"",OR(NOT(ISNUMBER(F147)),N(F147)&lt;0,N(F147)&gt;=1)),"Perte entre 0 et 99 %",IF(COUNTIFS(bom_prod,A147,bom_mat,B147)&gt;1,"Matière en double","OK")))))))))</f>
        <v/>
      </c>
      <c r="K147" s="71" t="str">
        <f>IF(AND(fiche_sel&lt;&gt;"",A147=fiche_sel),COUNTIF(A$6:A147,fiche_sel),"")</f>
        <v/>
      </c>
    </row>
    <row r="148">
      <c r="A148" s="60" t="n"/>
      <c r="B148" s="60" t="n"/>
      <c r="C148" s="71" t="str">
        <f>IF(B148="","",IFERROR(INDEX(mat_des,MATCH(B148,mat_ref,0))&amp;"","Matière inconnue"))</f>
        <v/>
      </c>
      <c r="D148" s="69" t="str">
        <f>IF(B148="","",IFERROR(INDEX(mat_unit,MATCH(B148,mat_ref,0))&amp;"",""))</f>
        <v/>
      </c>
      <c r="E148" s="72" t="n"/>
      <c r="F148" s="65" t="n"/>
      <c r="G148" s="68" t="str">
        <f>IF(J148&lt;&gt;"OK","",IF(F148="",N(INDEX(mat_loss,MATCH(B148,mat_ref,0))),F148))</f>
        <v/>
      </c>
      <c r="H148" s="66" t="str">
        <f>IF(J148&lt;&gt;"OK","",INDEX(mat_price,MATCH(B148,mat_ref,0)))</f>
        <v/>
      </c>
      <c r="I148" s="66" t="str">
        <f>IF(J148&lt;&gt;"OK","",E148*(1+G148)*H148)</f>
        <v/>
      </c>
      <c r="J148" s="69" t="str">
        <f>IF(AND(A148="",B148=""),"",IF(A148="","Produit manquant",IF(COUNTIF(prod_ref,A148)=0,"Produit inconnu",IF(B148="","Matière manquante",IF(ISNA(MATCH(B148,mat_ref,0)),"Matière inconnue",IF(INDEX(mat_check,MATCH(B148,mat_ref,0))&lt;&gt;"OK","Matière à corriger",IF(OR(NOT(ISNUMBER(E148)),N(E148)&lt;=0),"Quantité invalide",IF(AND(F148&lt;&gt;"",OR(NOT(ISNUMBER(F148)),N(F148)&lt;0,N(F148)&gt;=1)),"Perte entre 0 et 99 %",IF(COUNTIFS(bom_prod,A148,bom_mat,B148)&gt;1,"Matière en double","OK")))))))))</f>
        <v/>
      </c>
      <c r="K148" s="71" t="str">
        <f>IF(AND(fiche_sel&lt;&gt;"",A148=fiche_sel),COUNTIF(A$6:A148,fiche_sel),"")</f>
        <v/>
      </c>
    </row>
    <row r="149">
      <c r="A149" s="60" t="n"/>
      <c r="B149" s="60" t="n"/>
      <c r="C149" s="71" t="str">
        <f>IF(B149="","",IFERROR(INDEX(mat_des,MATCH(B149,mat_ref,0))&amp;"","Matière inconnue"))</f>
        <v/>
      </c>
      <c r="D149" s="69" t="str">
        <f>IF(B149="","",IFERROR(INDEX(mat_unit,MATCH(B149,mat_ref,0))&amp;"",""))</f>
        <v/>
      </c>
      <c r="E149" s="72" t="n"/>
      <c r="F149" s="65" t="n"/>
      <c r="G149" s="68" t="str">
        <f>IF(J149&lt;&gt;"OK","",IF(F149="",N(INDEX(mat_loss,MATCH(B149,mat_ref,0))),F149))</f>
        <v/>
      </c>
      <c r="H149" s="66" t="str">
        <f>IF(J149&lt;&gt;"OK","",INDEX(mat_price,MATCH(B149,mat_ref,0)))</f>
        <v/>
      </c>
      <c r="I149" s="66" t="str">
        <f>IF(J149&lt;&gt;"OK","",E149*(1+G149)*H149)</f>
        <v/>
      </c>
      <c r="J149" s="69" t="str">
        <f>IF(AND(A149="",B149=""),"",IF(A149="","Produit manquant",IF(COUNTIF(prod_ref,A149)=0,"Produit inconnu",IF(B149="","Matière manquante",IF(ISNA(MATCH(B149,mat_ref,0)),"Matière inconnue",IF(INDEX(mat_check,MATCH(B149,mat_ref,0))&lt;&gt;"OK","Matière à corriger",IF(OR(NOT(ISNUMBER(E149)),N(E149)&lt;=0),"Quantité invalide",IF(AND(F149&lt;&gt;"",OR(NOT(ISNUMBER(F149)),N(F149)&lt;0,N(F149)&gt;=1)),"Perte entre 0 et 99 %",IF(COUNTIFS(bom_prod,A149,bom_mat,B149)&gt;1,"Matière en double","OK")))))))))</f>
        <v/>
      </c>
      <c r="K149" s="71" t="str">
        <f>IF(AND(fiche_sel&lt;&gt;"",A149=fiche_sel),COUNTIF(A$6:A149,fiche_sel),"")</f>
        <v/>
      </c>
    </row>
    <row r="150">
      <c r="A150" s="60" t="n"/>
      <c r="B150" s="60" t="n"/>
      <c r="C150" s="71" t="str">
        <f>IF(B150="","",IFERROR(INDEX(mat_des,MATCH(B150,mat_ref,0))&amp;"","Matière inconnue"))</f>
        <v/>
      </c>
      <c r="D150" s="69" t="str">
        <f>IF(B150="","",IFERROR(INDEX(mat_unit,MATCH(B150,mat_ref,0))&amp;"",""))</f>
        <v/>
      </c>
      <c r="E150" s="72" t="n"/>
      <c r="F150" s="65" t="n"/>
      <c r="G150" s="68" t="str">
        <f>IF(J150&lt;&gt;"OK","",IF(F150="",N(INDEX(mat_loss,MATCH(B150,mat_ref,0))),F150))</f>
        <v/>
      </c>
      <c r="H150" s="66" t="str">
        <f>IF(J150&lt;&gt;"OK","",INDEX(mat_price,MATCH(B150,mat_ref,0)))</f>
        <v/>
      </c>
      <c r="I150" s="66" t="str">
        <f>IF(J150&lt;&gt;"OK","",E150*(1+G150)*H150)</f>
        <v/>
      </c>
      <c r="J150" s="69" t="str">
        <f>IF(AND(A150="",B150=""),"",IF(A150="","Produit manquant",IF(COUNTIF(prod_ref,A150)=0,"Produit inconnu",IF(B150="","Matière manquante",IF(ISNA(MATCH(B150,mat_ref,0)),"Matière inconnue",IF(INDEX(mat_check,MATCH(B150,mat_ref,0))&lt;&gt;"OK","Matière à corriger",IF(OR(NOT(ISNUMBER(E150)),N(E150)&lt;=0),"Quantité invalide",IF(AND(F150&lt;&gt;"",OR(NOT(ISNUMBER(F150)),N(F150)&lt;0,N(F150)&gt;=1)),"Perte entre 0 et 99 %",IF(COUNTIFS(bom_prod,A150,bom_mat,B150)&gt;1,"Matière en double","OK")))))))))</f>
        <v/>
      </c>
      <c r="K150" s="71" t="str">
        <f>IF(AND(fiche_sel&lt;&gt;"",A150=fiche_sel),COUNTIF(A$6:A150,fiche_sel),"")</f>
        <v/>
      </c>
    </row>
    <row r="151">
      <c r="A151" s="60" t="n"/>
      <c r="B151" s="60" t="n"/>
      <c r="C151" s="71" t="str">
        <f>IF(B151="","",IFERROR(INDEX(mat_des,MATCH(B151,mat_ref,0))&amp;"","Matière inconnue"))</f>
        <v/>
      </c>
      <c r="D151" s="69" t="str">
        <f>IF(B151="","",IFERROR(INDEX(mat_unit,MATCH(B151,mat_ref,0))&amp;"",""))</f>
        <v/>
      </c>
      <c r="E151" s="72" t="n"/>
      <c r="F151" s="65" t="n"/>
      <c r="G151" s="68" t="str">
        <f>IF(J151&lt;&gt;"OK","",IF(F151="",N(INDEX(mat_loss,MATCH(B151,mat_ref,0))),F151))</f>
        <v/>
      </c>
      <c r="H151" s="66" t="str">
        <f>IF(J151&lt;&gt;"OK","",INDEX(mat_price,MATCH(B151,mat_ref,0)))</f>
        <v/>
      </c>
      <c r="I151" s="66" t="str">
        <f>IF(J151&lt;&gt;"OK","",E151*(1+G151)*H151)</f>
        <v/>
      </c>
      <c r="J151" s="69" t="str">
        <f>IF(AND(A151="",B151=""),"",IF(A151="","Produit manquant",IF(COUNTIF(prod_ref,A151)=0,"Produit inconnu",IF(B151="","Matière manquante",IF(ISNA(MATCH(B151,mat_ref,0)),"Matière inconnue",IF(INDEX(mat_check,MATCH(B151,mat_ref,0))&lt;&gt;"OK","Matière à corriger",IF(OR(NOT(ISNUMBER(E151)),N(E151)&lt;=0),"Quantité invalide",IF(AND(F151&lt;&gt;"",OR(NOT(ISNUMBER(F151)),N(F151)&lt;0,N(F151)&gt;=1)),"Perte entre 0 et 99 %",IF(COUNTIFS(bom_prod,A151,bom_mat,B151)&gt;1,"Matière en double","OK")))))))))</f>
        <v/>
      </c>
      <c r="K151" s="71" t="str">
        <f>IF(AND(fiche_sel&lt;&gt;"",A151=fiche_sel),COUNTIF(A$6:A151,fiche_sel),"")</f>
        <v/>
      </c>
    </row>
    <row r="152">
      <c r="A152" s="60" t="n"/>
      <c r="B152" s="60" t="n"/>
      <c r="C152" s="71" t="str">
        <f>IF(B152="","",IFERROR(INDEX(mat_des,MATCH(B152,mat_ref,0))&amp;"","Matière inconnue"))</f>
        <v/>
      </c>
      <c r="D152" s="69" t="str">
        <f>IF(B152="","",IFERROR(INDEX(mat_unit,MATCH(B152,mat_ref,0))&amp;"",""))</f>
        <v/>
      </c>
      <c r="E152" s="72" t="n"/>
      <c r="F152" s="65" t="n"/>
      <c r="G152" s="68" t="str">
        <f>IF(J152&lt;&gt;"OK","",IF(F152="",N(INDEX(mat_loss,MATCH(B152,mat_ref,0))),F152))</f>
        <v/>
      </c>
      <c r="H152" s="66" t="str">
        <f>IF(J152&lt;&gt;"OK","",INDEX(mat_price,MATCH(B152,mat_ref,0)))</f>
        <v/>
      </c>
      <c r="I152" s="66" t="str">
        <f>IF(J152&lt;&gt;"OK","",E152*(1+G152)*H152)</f>
        <v/>
      </c>
      <c r="J152" s="69" t="str">
        <f>IF(AND(A152="",B152=""),"",IF(A152="","Produit manquant",IF(COUNTIF(prod_ref,A152)=0,"Produit inconnu",IF(B152="","Matière manquante",IF(ISNA(MATCH(B152,mat_ref,0)),"Matière inconnue",IF(INDEX(mat_check,MATCH(B152,mat_ref,0))&lt;&gt;"OK","Matière à corriger",IF(OR(NOT(ISNUMBER(E152)),N(E152)&lt;=0),"Quantité invalide",IF(AND(F152&lt;&gt;"",OR(NOT(ISNUMBER(F152)),N(F152)&lt;0,N(F152)&gt;=1)),"Perte entre 0 et 99 %",IF(COUNTIFS(bom_prod,A152,bom_mat,B152)&gt;1,"Matière en double","OK")))))))))</f>
        <v/>
      </c>
      <c r="K152" s="71" t="str">
        <f>IF(AND(fiche_sel&lt;&gt;"",A152=fiche_sel),COUNTIF(A$6:A152,fiche_sel),"")</f>
        <v/>
      </c>
    </row>
    <row r="153">
      <c r="A153" s="60" t="n"/>
      <c r="B153" s="60" t="n"/>
      <c r="C153" s="71" t="str">
        <f>IF(B153="","",IFERROR(INDEX(mat_des,MATCH(B153,mat_ref,0))&amp;"","Matière inconnue"))</f>
        <v/>
      </c>
      <c r="D153" s="69" t="str">
        <f>IF(B153="","",IFERROR(INDEX(mat_unit,MATCH(B153,mat_ref,0))&amp;"",""))</f>
        <v/>
      </c>
      <c r="E153" s="72" t="n"/>
      <c r="F153" s="65" t="n"/>
      <c r="G153" s="68" t="str">
        <f>IF(J153&lt;&gt;"OK","",IF(F153="",N(INDEX(mat_loss,MATCH(B153,mat_ref,0))),F153))</f>
        <v/>
      </c>
      <c r="H153" s="66" t="str">
        <f>IF(J153&lt;&gt;"OK","",INDEX(mat_price,MATCH(B153,mat_ref,0)))</f>
        <v/>
      </c>
      <c r="I153" s="66" t="str">
        <f>IF(J153&lt;&gt;"OK","",E153*(1+G153)*H153)</f>
        <v/>
      </c>
      <c r="J153" s="69" t="str">
        <f>IF(AND(A153="",B153=""),"",IF(A153="","Produit manquant",IF(COUNTIF(prod_ref,A153)=0,"Produit inconnu",IF(B153="","Matière manquante",IF(ISNA(MATCH(B153,mat_ref,0)),"Matière inconnue",IF(INDEX(mat_check,MATCH(B153,mat_ref,0))&lt;&gt;"OK","Matière à corriger",IF(OR(NOT(ISNUMBER(E153)),N(E153)&lt;=0),"Quantité invalide",IF(AND(F153&lt;&gt;"",OR(NOT(ISNUMBER(F153)),N(F153)&lt;0,N(F153)&gt;=1)),"Perte entre 0 et 99 %",IF(COUNTIFS(bom_prod,A153,bom_mat,B153)&gt;1,"Matière en double","OK")))))))))</f>
        <v/>
      </c>
      <c r="K153" s="71" t="str">
        <f>IF(AND(fiche_sel&lt;&gt;"",A153=fiche_sel),COUNTIF(A$6:A153,fiche_sel),"")</f>
        <v/>
      </c>
    </row>
    <row r="154">
      <c r="A154" s="60" t="n"/>
      <c r="B154" s="60" t="n"/>
      <c r="C154" s="71" t="str">
        <f>IF(B154="","",IFERROR(INDEX(mat_des,MATCH(B154,mat_ref,0))&amp;"","Matière inconnue"))</f>
        <v/>
      </c>
      <c r="D154" s="69" t="str">
        <f>IF(B154="","",IFERROR(INDEX(mat_unit,MATCH(B154,mat_ref,0))&amp;"",""))</f>
        <v/>
      </c>
      <c r="E154" s="72" t="n"/>
      <c r="F154" s="65" t="n"/>
      <c r="G154" s="68" t="str">
        <f>IF(J154&lt;&gt;"OK","",IF(F154="",N(INDEX(mat_loss,MATCH(B154,mat_ref,0))),F154))</f>
        <v/>
      </c>
      <c r="H154" s="66" t="str">
        <f>IF(J154&lt;&gt;"OK","",INDEX(mat_price,MATCH(B154,mat_ref,0)))</f>
        <v/>
      </c>
      <c r="I154" s="66" t="str">
        <f>IF(J154&lt;&gt;"OK","",E154*(1+G154)*H154)</f>
        <v/>
      </c>
      <c r="J154" s="69" t="str">
        <f>IF(AND(A154="",B154=""),"",IF(A154="","Produit manquant",IF(COUNTIF(prod_ref,A154)=0,"Produit inconnu",IF(B154="","Matière manquante",IF(ISNA(MATCH(B154,mat_ref,0)),"Matière inconnue",IF(INDEX(mat_check,MATCH(B154,mat_ref,0))&lt;&gt;"OK","Matière à corriger",IF(OR(NOT(ISNUMBER(E154)),N(E154)&lt;=0),"Quantité invalide",IF(AND(F154&lt;&gt;"",OR(NOT(ISNUMBER(F154)),N(F154)&lt;0,N(F154)&gt;=1)),"Perte entre 0 et 99 %",IF(COUNTIFS(bom_prod,A154,bom_mat,B154)&gt;1,"Matière en double","OK")))))))))</f>
        <v/>
      </c>
      <c r="K154" s="71" t="str">
        <f>IF(AND(fiche_sel&lt;&gt;"",A154=fiche_sel),COUNTIF(A$6:A154,fiche_sel),"")</f>
        <v/>
      </c>
    </row>
    <row r="155">
      <c r="A155" s="60" t="n"/>
      <c r="B155" s="60" t="n"/>
      <c r="C155" s="71" t="str">
        <f>IF(B155="","",IFERROR(INDEX(mat_des,MATCH(B155,mat_ref,0))&amp;"","Matière inconnue"))</f>
        <v/>
      </c>
      <c r="D155" s="69" t="str">
        <f>IF(B155="","",IFERROR(INDEX(mat_unit,MATCH(B155,mat_ref,0))&amp;"",""))</f>
        <v/>
      </c>
      <c r="E155" s="72" t="n"/>
      <c r="F155" s="65" t="n"/>
      <c r="G155" s="68" t="str">
        <f>IF(J155&lt;&gt;"OK","",IF(F155="",N(INDEX(mat_loss,MATCH(B155,mat_ref,0))),F155))</f>
        <v/>
      </c>
      <c r="H155" s="66" t="str">
        <f>IF(J155&lt;&gt;"OK","",INDEX(mat_price,MATCH(B155,mat_ref,0)))</f>
        <v/>
      </c>
      <c r="I155" s="66" t="str">
        <f>IF(J155&lt;&gt;"OK","",E155*(1+G155)*H155)</f>
        <v/>
      </c>
      <c r="J155" s="69" t="str">
        <f>IF(AND(A155="",B155=""),"",IF(A155="","Produit manquant",IF(COUNTIF(prod_ref,A155)=0,"Produit inconnu",IF(B155="","Matière manquante",IF(ISNA(MATCH(B155,mat_ref,0)),"Matière inconnue",IF(INDEX(mat_check,MATCH(B155,mat_ref,0))&lt;&gt;"OK","Matière à corriger",IF(OR(NOT(ISNUMBER(E155)),N(E155)&lt;=0),"Quantité invalide",IF(AND(F155&lt;&gt;"",OR(NOT(ISNUMBER(F155)),N(F155)&lt;0,N(F155)&gt;=1)),"Perte entre 0 et 99 %",IF(COUNTIFS(bom_prod,A155,bom_mat,B155)&gt;1,"Matière en double","OK")))))))))</f>
        <v/>
      </c>
      <c r="K155" s="71" t="str">
        <f>IF(AND(fiche_sel&lt;&gt;"",A155=fiche_sel),COUNTIF(A$6:A155,fiche_sel),"")</f>
        <v/>
      </c>
    </row>
    <row r="156">
      <c r="A156" s="60" t="n"/>
      <c r="B156" s="60" t="n"/>
      <c r="C156" s="71" t="str">
        <f>IF(B156="","",IFERROR(INDEX(mat_des,MATCH(B156,mat_ref,0))&amp;"","Matière inconnue"))</f>
        <v/>
      </c>
      <c r="D156" s="69" t="str">
        <f>IF(B156="","",IFERROR(INDEX(mat_unit,MATCH(B156,mat_ref,0))&amp;"",""))</f>
        <v/>
      </c>
      <c r="E156" s="72" t="n"/>
      <c r="F156" s="65" t="n"/>
      <c r="G156" s="68" t="str">
        <f>IF(J156&lt;&gt;"OK","",IF(F156="",N(INDEX(mat_loss,MATCH(B156,mat_ref,0))),F156))</f>
        <v/>
      </c>
      <c r="H156" s="66" t="str">
        <f>IF(J156&lt;&gt;"OK","",INDEX(mat_price,MATCH(B156,mat_ref,0)))</f>
        <v/>
      </c>
      <c r="I156" s="66" t="str">
        <f>IF(J156&lt;&gt;"OK","",E156*(1+G156)*H156)</f>
        <v/>
      </c>
      <c r="J156" s="69" t="str">
        <f>IF(AND(A156="",B156=""),"",IF(A156="","Produit manquant",IF(COUNTIF(prod_ref,A156)=0,"Produit inconnu",IF(B156="","Matière manquante",IF(ISNA(MATCH(B156,mat_ref,0)),"Matière inconnue",IF(INDEX(mat_check,MATCH(B156,mat_ref,0))&lt;&gt;"OK","Matière à corriger",IF(OR(NOT(ISNUMBER(E156)),N(E156)&lt;=0),"Quantité invalide",IF(AND(F156&lt;&gt;"",OR(NOT(ISNUMBER(F156)),N(F156)&lt;0,N(F156)&gt;=1)),"Perte entre 0 et 99 %",IF(COUNTIFS(bom_prod,A156,bom_mat,B156)&gt;1,"Matière en double","OK")))))))))</f>
        <v/>
      </c>
      <c r="K156" s="71" t="str">
        <f>IF(AND(fiche_sel&lt;&gt;"",A156=fiche_sel),COUNTIF(A$6:A156,fiche_sel),"")</f>
        <v/>
      </c>
    </row>
    <row r="157">
      <c r="A157" s="60" t="n"/>
      <c r="B157" s="60" t="n"/>
      <c r="C157" s="71" t="str">
        <f>IF(B157="","",IFERROR(INDEX(mat_des,MATCH(B157,mat_ref,0))&amp;"","Matière inconnue"))</f>
        <v/>
      </c>
      <c r="D157" s="69" t="str">
        <f>IF(B157="","",IFERROR(INDEX(mat_unit,MATCH(B157,mat_ref,0))&amp;"",""))</f>
        <v/>
      </c>
      <c r="E157" s="72" t="n"/>
      <c r="F157" s="65" t="n"/>
      <c r="G157" s="68" t="str">
        <f>IF(J157&lt;&gt;"OK","",IF(F157="",N(INDEX(mat_loss,MATCH(B157,mat_ref,0))),F157))</f>
        <v/>
      </c>
      <c r="H157" s="66" t="str">
        <f>IF(J157&lt;&gt;"OK","",INDEX(mat_price,MATCH(B157,mat_ref,0)))</f>
        <v/>
      </c>
      <c r="I157" s="66" t="str">
        <f>IF(J157&lt;&gt;"OK","",E157*(1+G157)*H157)</f>
        <v/>
      </c>
      <c r="J157" s="69" t="str">
        <f>IF(AND(A157="",B157=""),"",IF(A157="","Produit manquant",IF(COUNTIF(prod_ref,A157)=0,"Produit inconnu",IF(B157="","Matière manquante",IF(ISNA(MATCH(B157,mat_ref,0)),"Matière inconnue",IF(INDEX(mat_check,MATCH(B157,mat_ref,0))&lt;&gt;"OK","Matière à corriger",IF(OR(NOT(ISNUMBER(E157)),N(E157)&lt;=0),"Quantité invalide",IF(AND(F157&lt;&gt;"",OR(NOT(ISNUMBER(F157)),N(F157)&lt;0,N(F157)&gt;=1)),"Perte entre 0 et 99 %",IF(COUNTIFS(bom_prod,A157,bom_mat,B157)&gt;1,"Matière en double","OK")))))))))</f>
        <v/>
      </c>
      <c r="K157" s="71" t="str">
        <f>IF(AND(fiche_sel&lt;&gt;"",A157=fiche_sel),COUNTIF(A$6:A157,fiche_sel),"")</f>
        <v/>
      </c>
    </row>
    <row r="158">
      <c r="A158" s="60" t="n"/>
      <c r="B158" s="60" t="n"/>
      <c r="C158" s="71" t="str">
        <f>IF(B158="","",IFERROR(INDEX(mat_des,MATCH(B158,mat_ref,0))&amp;"","Matière inconnue"))</f>
        <v/>
      </c>
      <c r="D158" s="69" t="str">
        <f>IF(B158="","",IFERROR(INDEX(mat_unit,MATCH(B158,mat_ref,0))&amp;"",""))</f>
        <v/>
      </c>
      <c r="E158" s="72" t="n"/>
      <c r="F158" s="65" t="n"/>
      <c r="G158" s="68" t="str">
        <f>IF(J158&lt;&gt;"OK","",IF(F158="",N(INDEX(mat_loss,MATCH(B158,mat_ref,0))),F158))</f>
        <v/>
      </c>
      <c r="H158" s="66" t="str">
        <f>IF(J158&lt;&gt;"OK","",INDEX(mat_price,MATCH(B158,mat_ref,0)))</f>
        <v/>
      </c>
      <c r="I158" s="66" t="str">
        <f>IF(J158&lt;&gt;"OK","",E158*(1+G158)*H158)</f>
        <v/>
      </c>
      <c r="J158" s="69" t="str">
        <f>IF(AND(A158="",B158=""),"",IF(A158="","Produit manquant",IF(COUNTIF(prod_ref,A158)=0,"Produit inconnu",IF(B158="","Matière manquante",IF(ISNA(MATCH(B158,mat_ref,0)),"Matière inconnue",IF(INDEX(mat_check,MATCH(B158,mat_ref,0))&lt;&gt;"OK","Matière à corriger",IF(OR(NOT(ISNUMBER(E158)),N(E158)&lt;=0),"Quantité invalide",IF(AND(F158&lt;&gt;"",OR(NOT(ISNUMBER(F158)),N(F158)&lt;0,N(F158)&gt;=1)),"Perte entre 0 et 99 %",IF(COUNTIFS(bom_prod,A158,bom_mat,B158)&gt;1,"Matière en double","OK")))))))))</f>
        <v/>
      </c>
      <c r="K158" s="71" t="str">
        <f>IF(AND(fiche_sel&lt;&gt;"",A158=fiche_sel),COUNTIF(A$6:A158,fiche_sel),"")</f>
        <v/>
      </c>
    </row>
    <row r="159">
      <c r="A159" s="60" t="n"/>
      <c r="B159" s="60" t="n"/>
      <c r="C159" s="71" t="str">
        <f>IF(B159="","",IFERROR(INDEX(mat_des,MATCH(B159,mat_ref,0))&amp;"","Matière inconnue"))</f>
        <v/>
      </c>
      <c r="D159" s="69" t="str">
        <f>IF(B159="","",IFERROR(INDEX(mat_unit,MATCH(B159,mat_ref,0))&amp;"",""))</f>
        <v/>
      </c>
      <c r="E159" s="72" t="n"/>
      <c r="F159" s="65" t="n"/>
      <c r="G159" s="68" t="str">
        <f>IF(J159&lt;&gt;"OK","",IF(F159="",N(INDEX(mat_loss,MATCH(B159,mat_ref,0))),F159))</f>
        <v/>
      </c>
      <c r="H159" s="66" t="str">
        <f>IF(J159&lt;&gt;"OK","",INDEX(mat_price,MATCH(B159,mat_ref,0)))</f>
        <v/>
      </c>
      <c r="I159" s="66" t="str">
        <f>IF(J159&lt;&gt;"OK","",E159*(1+G159)*H159)</f>
        <v/>
      </c>
      <c r="J159" s="69" t="str">
        <f>IF(AND(A159="",B159=""),"",IF(A159="","Produit manquant",IF(COUNTIF(prod_ref,A159)=0,"Produit inconnu",IF(B159="","Matière manquante",IF(ISNA(MATCH(B159,mat_ref,0)),"Matière inconnue",IF(INDEX(mat_check,MATCH(B159,mat_ref,0))&lt;&gt;"OK","Matière à corriger",IF(OR(NOT(ISNUMBER(E159)),N(E159)&lt;=0),"Quantité invalide",IF(AND(F159&lt;&gt;"",OR(NOT(ISNUMBER(F159)),N(F159)&lt;0,N(F159)&gt;=1)),"Perte entre 0 et 99 %",IF(COUNTIFS(bom_prod,A159,bom_mat,B159)&gt;1,"Matière en double","OK")))))))))</f>
        <v/>
      </c>
      <c r="K159" s="71" t="str">
        <f>IF(AND(fiche_sel&lt;&gt;"",A159=fiche_sel),COUNTIF(A$6:A159,fiche_sel),"")</f>
        <v/>
      </c>
    </row>
    <row r="160">
      <c r="A160" s="60" t="n"/>
      <c r="B160" s="60" t="n"/>
      <c r="C160" s="71" t="str">
        <f>IF(B160="","",IFERROR(INDEX(mat_des,MATCH(B160,mat_ref,0))&amp;"","Matière inconnue"))</f>
        <v/>
      </c>
      <c r="D160" s="69" t="str">
        <f>IF(B160="","",IFERROR(INDEX(mat_unit,MATCH(B160,mat_ref,0))&amp;"",""))</f>
        <v/>
      </c>
      <c r="E160" s="72" t="n"/>
      <c r="F160" s="65" t="n"/>
      <c r="G160" s="68" t="str">
        <f>IF(J160&lt;&gt;"OK","",IF(F160="",N(INDEX(mat_loss,MATCH(B160,mat_ref,0))),F160))</f>
        <v/>
      </c>
      <c r="H160" s="66" t="str">
        <f>IF(J160&lt;&gt;"OK","",INDEX(mat_price,MATCH(B160,mat_ref,0)))</f>
        <v/>
      </c>
      <c r="I160" s="66" t="str">
        <f>IF(J160&lt;&gt;"OK","",E160*(1+G160)*H160)</f>
        <v/>
      </c>
      <c r="J160" s="69" t="str">
        <f>IF(AND(A160="",B160=""),"",IF(A160="","Produit manquant",IF(COUNTIF(prod_ref,A160)=0,"Produit inconnu",IF(B160="","Matière manquante",IF(ISNA(MATCH(B160,mat_ref,0)),"Matière inconnue",IF(INDEX(mat_check,MATCH(B160,mat_ref,0))&lt;&gt;"OK","Matière à corriger",IF(OR(NOT(ISNUMBER(E160)),N(E160)&lt;=0),"Quantité invalide",IF(AND(F160&lt;&gt;"",OR(NOT(ISNUMBER(F160)),N(F160)&lt;0,N(F160)&gt;=1)),"Perte entre 0 et 99 %",IF(COUNTIFS(bom_prod,A160,bom_mat,B160)&gt;1,"Matière en double","OK")))))))))</f>
        <v/>
      </c>
      <c r="K160" s="71" t="str">
        <f>IF(AND(fiche_sel&lt;&gt;"",A160=fiche_sel),COUNTIF(A$6:A160,fiche_sel),"")</f>
        <v/>
      </c>
    </row>
    <row r="161">
      <c r="A161" s="60" t="n"/>
      <c r="B161" s="60" t="n"/>
      <c r="C161" s="71" t="str">
        <f>IF(B161="","",IFERROR(INDEX(mat_des,MATCH(B161,mat_ref,0))&amp;"","Matière inconnue"))</f>
        <v/>
      </c>
      <c r="D161" s="69" t="str">
        <f>IF(B161="","",IFERROR(INDEX(mat_unit,MATCH(B161,mat_ref,0))&amp;"",""))</f>
        <v/>
      </c>
      <c r="E161" s="72" t="n"/>
      <c r="F161" s="65" t="n"/>
      <c r="G161" s="68" t="str">
        <f>IF(J161&lt;&gt;"OK","",IF(F161="",N(INDEX(mat_loss,MATCH(B161,mat_ref,0))),F161))</f>
        <v/>
      </c>
      <c r="H161" s="66" t="str">
        <f>IF(J161&lt;&gt;"OK","",INDEX(mat_price,MATCH(B161,mat_ref,0)))</f>
        <v/>
      </c>
      <c r="I161" s="66" t="str">
        <f>IF(J161&lt;&gt;"OK","",E161*(1+G161)*H161)</f>
        <v/>
      </c>
      <c r="J161" s="69" t="str">
        <f>IF(AND(A161="",B161=""),"",IF(A161="","Produit manquant",IF(COUNTIF(prod_ref,A161)=0,"Produit inconnu",IF(B161="","Matière manquante",IF(ISNA(MATCH(B161,mat_ref,0)),"Matière inconnue",IF(INDEX(mat_check,MATCH(B161,mat_ref,0))&lt;&gt;"OK","Matière à corriger",IF(OR(NOT(ISNUMBER(E161)),N(E161)&lt;=0),"Quantité invalide",IF(AND(F161&lt;&gt;"",OR(NOT(ISNUMBER(F161)),N(F161)&lt;0,N(F161)&gt;=1)),"Perte entre 0 et 99 %",IF(COUNTIFS(bom_prod,A161,bom_mat,B161)&gt;1,"Matière en double","OK")))))))))</f>
        <v/>
      </c>
      <c r="K161" s="71" t="str">
        <f>IF(AND(fiche_sel&lt;&gt;"",A161=fiche_sel),COUNTIF(A$6:A161,fiche_sel),"")</f>
        <v/>
      </c>
    </row>
    <row r="162">
      <c r="A162" s="60" t="n"/>
      <c r="B162" s="60" t="n"/>
      <c r="C162" s="71" t="str">
        <f>IF(B162="","",IFERROR(INDEX(mat_des,MATCH(B162,mat_ref,0))&amp;"","Matière inconnue"))</f>
        <v/>
      </c>
      <c r="D162" s="69" t="str">
        <f>IF(B162="","",IFERROR(INDEX(mat_unit,MATCH(B162,mat_ref,0))&amp;"",""))</f>
        <v/>
      </c>
      <c r="E162" s="72" t="n"/>
      <c r="F162" s="65" t="n"/>
      <c r="G162" s="68" t="str">
        <f>IF(J162&lt;&gt;"OK","",IF(F162="",N(INDEX(mat_loss,MATCH(B162,mat_ref,0))),F162))</f>
        <v/>
      </c>
      <c r="H162" s="66" t="str">
        <f>IF(J162&lt;&gt;"OK","",INDEX(mat_price,MATCH(B162,mat_ref,0)))</f>
        <v/>
      </c>
      <c r="I162" s="66" t="str">
        <f>IF(J162&lt;&gt;"OK","",E162*(1+G162)*H162)</f>
        <v/>
      </c>
      <c r="J162" s="69" t="str">
        <f>IF(AND(A162="",B162=""),"",IF(A162="","Produit manquant",IF(COUNTIF(prod_ref,A162)=0,"Produit inconnu",IF(B162="","Matière manquante",IF(ISNA(MATCH(B162,mat_ref,0)),"Matière inconnue",IF(INDEX(mat_check,MATCH(B162,mat_ref,0))&lt;&gt;"OK","Matière à corriger",IF(OR(NOT(ISNUMBER(E162)),N(E162)&lt;=0),"Quantité invalide",IF(AND(F162&lt;&gt;"",OR(NOT(ISNUMBER(F162)),N(F162)&lt;0,N(F162)&gt;=1)),"Perte entre 0 et 99 %",IF(COUNTIFS(bom_prod,A162,bom_mat,B162)&gt;1,"Matière en double","OK")))))))))</f>
        <v/>
      </c>
      <c r="K162" s="71" t="str">
        <f>IF(AND(fiche_sel&lt;&gt;"",A162=fiche_sel),COUNTIF(A$6:A162,fiche_sel),"")</f>
        <v/>
      </c>
    </row>
    <row r="163">
      <c r="A163" s="60" t="n"/>
      <c r="B163" s="60" t="n"/>
      <c r="C163" s="71" t="str">
        <f>IF(B163="","",IFERROR(INDEX(mat_des,MATCH(B163,mat_ref,0))&amp;"","Matière inconnue"))</f>
        <v/>
      </c>
      <c r="D163" s="69" t="str">
        <f>IF(B163="","",IFERROR(INDEX(mat_unit,MATCH(B163,mat_ref,0))&amp;"",""))</f>
        <v/>
      </c>
      <c r="E163" s="72" t="n"/>
      <c r="F163" s="65" t="n"/>
      <c r="G163" s="68" t="str">
        <f>IF(J163&lt;&gt;"OK","",IF(F163="",N(INDEX(mat_loss,MATCH(B163,mat_ref,0))),F163))</f>
        <v/>
      </c>
      <c r="H163" s="66" t="str">
        <f>IF(J163&lt;&gt;"OK","",INDEX(mat_price,MATCH(B163,mat_ref,0)))</f>
        <v/>
      </c>
      <c r="I163" s="66" t="str">
        <f>IF(J163&lt;&gt;"OK","",E163*(1+G163)*H163)</f>
        <v/>
      </c>
      <c r="J163" s="69" t="str">
        <f>IF(AND(A163="",B163=""),"",IF(A163="","Produit manquant",IF(COUNTIF(prod_ref,A163)=0,"Produit inconnu",IF(B163="","Matière manquante",IF(ISNA(MATCH(B163,mat_ref,0)),"Matière inconnue",IF(INDEX(mat_check,MATCH(B163,mat_ref,0))&lt;&gt;"OK","Matière à corriger",IF(OR(NOT(ISNUMBER(E163)),N(E163)&lt;=0),"Quantité invalide",IF(AND(F163&lt;&gt;"",OR(NOT(ISNUMBER(F163)),N(F163)&lt;0,N(F163)&gt;=1)),"Perte entre 0 et 99 %",IF(COUNTIFS(bom_prod,A163,bom_mat,B163)&gt;1,"Matière en double","OK")))))))))</f>
        <v/>
      </c>
      <c r="K163" s="71" t="str">
        <f>IF(AND(fiche_sel&lt;&gt;"",A163=fiche_sel),COUNTIF(A$6:A163,fiche_sel),"")</f>
        <v/>
      </c>
    </row>
    <row r="164">
      <c r="A164" s="60" t="n"/>
      <c r="B164" s="60" t="n"/>
      <c r="C164" s="71" t="str">
        <f>IF(B164="","",IFERROR(INDEX(mat_des,MATCH(B164,mat_ref,0))&amp;"","Matière inconnue"))</f>
        <v/>
      </c>
      <c r="D164" s="69" t="str">
        <f>IF(B164="","",IFERROR(INDEX(mat_unit,MATCH(B164,mat_ref,0))&amp;"",""))</f>
        <v/>
      </c>
      <c r="E164" s="72" t="n"/>
      <c r="F164" s="65" t="n"/>
      <c r="G164" s="68" t="str">
        <f>IF(J164&lt;&gt;"OK","",IF(F164="",N(INDEX(mat_loss,MATCH(B164,mat_ref,0))),F164))</f>
        <v/>
      </c>
      <c r="H164" s="66" t="str">
        <f>IF(J164&lt;&gt;"OK","",INDEX(mat_price,MATCH(B164,mat_ref,0)))</f>
        <v/>
      </c>
      <c r="I164" s="66" t="str">
        <f>IF(J164&lt;&gt;"OK","",E164*(1+G164)*H164)</f>
        <v/>
      </c>
      <c r="J164" s="69" t="str">
        <f>IF(AND(A164="",B164=""),"",IF(A164="","Produit manquant",IF(COUNTIF(prod_ref,A164)=0,"Produit inconnu",IF(B164="","Matière manquante",IF(ISNA(MATCH(B164,mat_ref,0)),"Matière inconnue",IF(INDEX(mat_check,MATCH(B164,mat_ref,0))&lt;&gt;"OK","Matière à corriger",IF(OR(NOT(ISNUMBER(E164)),N(E164)&lt;=0),"Quantité invalide",IF(AND(F164&lt;&gt;"",OR(NOT(ISNUMBER(F164)),N(F164)&lt;0,N(F164)&gt;=1)),"Perte entre 0 et 99 %",IF(COUNTIFS(bom_prod,A164,bom_mat,B164)&gt;1,"Matière en double","OK")))))))))</f>
        <v/>
      </c>
      <c r="K164" s="71" t="str">
        <f>IF(AND(fiche_sel&lt;&gt;"",A164=fiche_sel),COUNTIF(A$6:A164,fiche_sel),"")</f>
        <v/>
      </c>
    </row>
    <row r="165">
      <c r="A165" s="60" t="n"/>
      <c r="B165" s="60" t="n"/>
      <c r="C165" s="71" t="str">
        <f>IF(B165="","",IFERROR(INDEX(mat_des,MATCH(B165,mat_ref,0))&amp;"","Matière inconnue"))</f>
        <v/>
      </c>
      <c r="D165" s="69" t="str">
        <f>IF(B165="","",IFERROR(INDEX(mat_unit,MATCH(B165,mat_ref,0))&amp;"",""))</f>
        <v/>
      </c>
      <c r="E165" s="72" t="n"/>
      <c r="F165" s="65" t="n"/>
      <c r="G165" s="68" t="str">
        <f>IF(J165&lt;&gt;"OK","",IF(F165="",N(INDEX(mat_loss,MATCH(B165,mat_ref,0))),F165))</f>
        <v/>
      </c>
      <c r="H165" s="66" t="str">
        <f>IF(J165&lt;&gt;"OK","",INDEX(mat_price,MATCH(B165,mat_ref,0)))</f>
        <v/>
      </c>
      <c r="I165" s="66" t="str">
        <f>IF(J165&lt;&gt;"OK","",E165*(1+G165)*H165)</f>
        <v/>
      </c>
      <c r="J165" s="69" t="str">
        <f>IF(AND(A165="",B165=""),"",IF(A165="","Produit manquant",IF(COUNTIF(prod_ref,A165)=0,"Produit inconnu",IF(B165="","Matière manquante",IF(ISNA(MATCH(B165,mat_ref,0)),"Matière inconnue",IF(INDEX(mat_check,MATCH(B165,mat_ref,0))&lt;&gt;"OK","Matière à corriger",IF(OR(NOT(ISNUMBER(E165)),N(E165)&lt;=0),"Quantité invalide",IF(AND(F165&lt;&gt;"",OR(NOT(ISNUMBER(F165)),N(F165)&lt;0,N(F165)&gt;=1)),"Perte entre 0 et 99 %",IF(COUNTIFS(bom_prod,A165,bom_mat,B165)&gt;1,"Matière en double","OK")))))))))</f>
        <v/>
      </c>
      <c r="K165" s="71" t="str">
        <f>IF(AND(fiche_sel&lt;&gt;"",A165=fiche_sel),COUNTIF(A$6:A165,fiche_sel),"")</f>
        <v/>
      </c>
    </row>
    <row r="166">
      <c r="A166" s="60" t="n"/>
      <c r="B166" s="60" t="n"/>
      <c r="C166" s="71" t="str">
        <f>IF(B166="","",IFERROR(INDEX(mat_des,MATCH(B166,mat_ref,0))&amp;"","Matière inconnue"))</f>
        <v/>
      </c>
      <c r="D166" s="69" t="str">
        <f>IF(B166="","",IFERROR(INDEX(mat_unit,MATCH(B166,mat_ref,0))&amp;"",""))</f>
        <v/>
      </c>
      <c r="E166" s="72" t="n"/>
      <c r="F166" s="65" t="n"/>
      <c r="G166" s="68" t="str">
        <f>IF(J166&lt;&gt;"OK","",IF(F166="",N(INDEX(mat_loss,MATCH(B166,mat_ref,0))),F166))</f>
        <v/>
      </c>
      <c r="H166" s="66" t="str">
        <f>IF(J166&lt;&gt;"OK","",INDEX(mat_price,MATCH(B166,mat_ref,0)))</f>
        <v/>
      </c>
      <c r="I166" s="66" t="str">
        <f>IF(J166&lt;&gt;"OK","",E166*(1+G166)*H166)</f>
        <v/>
      </c>
      <c r="J166" s="69" t="str">
        <f>IF(AND(A166="",B166=""),"",IF(A166="","Produit manquant",IF(COUNTIF(prod_ref,A166)=0,"Produit inconnu",IF(B166="","Matière manquante",IF(ISNA(MATCH(B166,mat_ref,0)),"Matière inconnue",IF(INDEX(mat_check,MATCH(B166,mat_ref,0))&lt;&gt;"OK","Matière à corriger",IF(OR(NOT(ISNUMBER(E166)),N(E166)&lt;=0),"Quantité invalide",IF(AND(F166&lt;&gt;"",OR(NOT(ISNUMBER(F166)),N(F166)&lt;0,N(F166)&gt;=1)),"Perte entre 0 et 99 %",IF(COUNTIFS(bom_prod,A166,bom_mat,B166)&gt;1,"Matière en double","OK")))))))))</f>
        <v/>
      </c>
      <c r="K166" s="71" t="str">
        <f>IF(AND(fiche_sel&lt;&gt;"",A166=fiche_sel),COUNTIF(A$6:A166,fiche_sel),"")</f>
        <v/>
      </c>
    </row>
    <row r="167">
      <c r="A167" s="60" t="n"/>
      <c r="B167" s="60" t="n"/>
      <c r="C167" s="71" t="str">
        <f>IF(B167="","",IFERROR(INDEX(mat_des,MATCH(B167,mat_ref,0))&amp;"","Matière inconnue"))</f>
        <v/>
      </c>
      <c r="D167" s="69" t="str">
        <f>IF(B167="","",IFERROR(INDEX(mat_unit,MATCH(B167,mat_ref,0))&amp;"",""))</f>
        <v/>
      </c>
      <c r="E167" s="72" t="n"/>
      <c r="F167" s="65" t="n"/>
      <c r="G167" s="68" t="str">
        <f>IF(J167&lt;&gt;"OK","",IF(F167="",N(INDEX(mat_loss,MATCH(B167,mat_ref,0))),F167))</f>
        <v/>
      </c>
      <c r="H167" s="66" t="str">
        <f>IF(J167&lt;&gt;"OK","",INDEX(mat_price,MATCH(B167,mat_ref,0)))</f>
        <v/>
      </c>
      <c r="I167" s="66" t="str">
        <f>IF(J167&lt;&gt;"OK","",E167*(1+G167)*H167)</f>
        <v/>
      </c>
      <c r="J167" s="69" t="str">
        <f>IF(AND(A167="",B167=""),"",IF(A167="","Produit manquant",IF(COUNTIF(prod_ref,A167)=0,"Produit inconnu",IF(B167="","Matière manquante",IF(ISNA(MATCH(B167,mat_ref,0)),"Matière inconnue",IF(INDEX(mat_check,MATCH(B167,mat_ref,0))&lt;&gt;"OK","Matière à corriger",IF(OR(NOT(ISNUMBER(E167)),N(E167)&lt;=0),"Quantité invalide",IF(AND(F167&lt;&gt;"",OR(NOT(ISNUMBER(F167)),N(F167)&lt;0,N(F167)&gt;=1)),"Perte entre 0 et 99 %",IF(COUNTIFS(bom_prod,A167,bom_mat,B167)&gt;1,"Matière en double","OK")))))))))</f>
        <v/>
      </c>
      <c r="K167" s="71" t="str">
        <f>IF(AND(fiche_sel&lt;&gt;"",A167=fiche_sel),COUNTIF(A$6:A167,fiche_sel),"")</f>
        <v/>
      </c>
    </row>
    <row r="168">
      <c r="A168" s="60" t="n"/>
      <c r="B168" s="60" t="n"/>
      <c r="C168" s="71" t="str">
        <f>IF(B168="","",IFERROR(INDEX(mat_des,MATCH(B168,mat_ref,0))&amp;"","Matière inconnue"))</f>
        <v/>
      </c>
      <c r="D168" s="69" t="str">
        <f>IF(B168="","",IFERROR(INDEX(mat_unit,MATCH(B168,mat_ref,0))&amp;"",""))</f>
        <v/>
      </c>
      <c r="E168" s="72" t="n"/>
      <c r="F168" s="65" t="n"/>
      <c r="G168" s="68" t="str">
        <f>IF(J168&lt;&gt;"OK","",IF(F168="",N(INDEX(mat_loss,MATCH(B168,mat_ref,0))),F168))</f>
        <v/>
      </c>
      <c r="H168" s="66" t="str">
        <f>IF(J168&lt;&gt;"OK","",INDEX(mat_price,MATCH(B168,mat_ref,0)))</f>
        <v/>
      </c>
      <c r="I168" s="66" t="str">
        <f>IF(J168&lt;&gt;"OK","",E168*(1+G168)*H168)</f>
        <v/>
      </c>
      <c r="J168" s="69" t="str">
        <f>IF(AND(A168="",B168=""),"",IF(A168="","Produit manquant",IF(COUNTIF(prod_ref,A168)=0,"Produit inconnu",IF(B168="","Matière manquante",IF(ISNA(MATCH(B168,mat_ref,0)),"Matière inconnue",IF(INDEX(mat_check,MATCH(B168,mat_ref,0))&lt;&gt;"OK","Matière à corriger",IF(OR(NOT(ISNUMBER(E168)),N(E168)&lt;=0),"Quantité invalide",IF(AND(F168&lt;&gt;"",OR(NOT(ISNUMBER(F168)),N(F168)&lt;0,N(F168)&gt;=1)),"Perte entre 0 et 99 %",IF(COUNTIFS(bom_prod,A168,bom_mat,B168)&gt;1,"Matière en double","OK")))))))))</f>
        <v/>
      </c>
      <c r="K168" s="71" t="str">
        <f>IF(AND(fiche_sel&lt;&gt;"",A168=fiche_sel),COUNTIF(A$6:A168,fiche_sel),"")</f>
        <v/>
      </c>
    </row>
    <row r="169">
      <c r="A169" s="60" t="n"/>
      <c r="B169" s="60" t="n"/>
      <c r="C169" s="71" t="str">
        <f>IF(B169="","",IFERROR(INDEX(mat_des,MATCH(B169,mat_ref,0))&amp;"","Matière inconnue"))</f>
        <v/>
      </c>
      <c r="D169" s="69" t="str">
        <f>IF(B169="","",IFERROR(INDEX(mat_unit,MATCH(B169,mat_ref,0))&amp;"",""))</f>
        <v/>
      </c>
      <c r="E169" s="72" t="n"/>
      <c r="F169" s="65" t="n"/>
      <c r="G169" s="68" t="str">
        <f>IF(J169&lt;&gt;"OK","",IF(F169="",N(INDEX(mat_loss,MATCH(B169,mat_ref,0))),F169))</f>
        <v/>
      </c>
      <c r="H169" s="66" t="str">
        <f>IF(J169&lt;&gt;"OK","",INDEX(mat_price,MATCH(B169,mat_ref,0)))</f>
        <v/>
      </c>
      <c r="I169" s="66" t="str">
        <f>IF(J169&lt;&gt;"OK","",E169*(1+G169)*H169)</f>
        <v/>
      </c>
      <c r="J169" s="69" t="str">
        <f>IF(AND(A169="",B169=""),"",IF(A169="","Produit manquant",IF(COUNTIF(prod_ref,A169)=0,"Produit inconnu",IF(B169="","Matière manquante",IF(ISNA(MATCH(B169,mat_ref,0)),"Matière inconnue",IF(INDEX(mat_check,MATCH(B169,mat_ref,0))&lt;&gt;"OK","Matière à corriger",IF(OR(NOT(ISNUMBER(E169)),N(E169)&lt;=0),"Quantité invalide",IF(AND(F169&lt;&gt;"",OR(NOT(ISNUMBER(F169)),N(F169)&lt;0,N(F169)&gt;=1)),"Perte entre 0 et 99 %",IF(COUNTIFS(bom_prod,A169,bom_mat,B169)&gt;1,"Matière en double","OK")))))))))</f>
        <v/>
      </c>
      <c r="K169" s="71" t="str">
        <f>IF(AND(fiche_sel&lt;&gt;"",A169=fiche_sel),COUNTIF(A$6:A169,fiche_sel),"")</f>
        <v/>
      </c>
    </row>
    <row r="170">
      <c r="A170" s="60" t="n"/>
      <c r="B170" s="60" t="n"/>
      <c r="C170" s="71" t="str">
        <f>IF(B170="","",IFERROR(INDEX(mat_des,MATCH(B170,mat_ref,0))&amp;"","Matière inconnue"))</f>
        <v/>
      </c>
      <c r="D170" s="69" t="str">
        <f>IF(B170="","",IFERROR(INDEX(mat_unit,MATCH(B170,mat_ref,0))&amp;"",""))</f>
        <v/>
      </c>
      <c r="E170" s="72" t="n"/>
      <c r="F170" s="65" t="n"/>
      <c r="G170" s="68" t="str">
        <f>IF(J170&lt;&gt;"OK","",IF(F170="",N(INDEX(mat_loss,MATCH(B170,mat_ref,0))),F170))</f>
        <v/>
      </c>
      <c r="H170" s="66" t="str">
        <f>IF(J170&lt;&gt;"OK","",INDEX(mat_price,MATCH(B170,mat_ref,0)))</f>
        <v/>
      </c>
      <c r="I170" s="66" t="str">
        <f>IF(J170&lt;&gt;"OK","",E170*(1+G170)*H170)</f>
        <v/>
      </c>
      <c r="J170" s="69" t="str">
        <f>IF(AND(A170="",B170=""),"",IF(A170="","Produit manquant",IF(COUNTIF(prod_ref,A170)=0,"Produit inconnu",IF(B170="","Matière manquante",IF(ISNA(MATCH(B170,mat_ref,0)),"Matière inconnue",IF(INDEX(mat_check,MATCH(B170,mat_ref,0))&lt;&gt;"OK","Matière à corriger",IF(OR(NOT(ISNUMBER(E170)),N(E170)&lt;=0),"Quantité invalide",IF(AND(F170&lt;&gt;"",OR(NOT(ISNUMBER(F170)),N(F170)&lt;0,N(F170)&gt;=1)),"Perte entre 0 et 99 %",IF(COUNTIFS(bom_prod,A170,bom_mat,B170)&gt;1,"Matière en double","OK")))))))))</f>
        <v/>
      </c>
      <c r="K170" s="71" t="str">
        <f>IF(AND(fiche_sel&lt;&gt;"",A170=fiche_sel),COUNTIF(A$6:A170,fiche_sel),"")</f>
        <v/>
      </c>
    </row>
    <row r="171">
      <c r="A171" s="60" t="n"/>
      <c r="B171" s="60" t="n"/>
      <c r="C171" s="71" t="str">
        <f>IF(B171="","",IFERROR(INDEX(mat_des,MATCH(B171,mat_ref,0))&amp;"","Matière inconnue"))</f>
        <v/>
      </c>
      <c r="D171" s="69" t="str">
        <f>IF(B171="","",IFERROR(INDEX(mat_unit,MATCH(B171,mat_ref,0))&amp;"",""))</f>
        <v/>
      </c>
      <c r="E171" s="72" t="n"/>
      <c r="F171" s="65" t="n"/>
      <c r="G171" s="68" t="str">
        <f>IF(J171&lt;&gt;"OK","",IF(F171="",N(INDEX(mat_loss,MATCH(B171,mat_ref,0))),F171))</f>
        <v/>
      </c>
      <c r="H171" s="66" t="str">
        <f>IF(J171&lt;&gt;"OK","",INDEX(mat_price,MATCH(B171,mat_ref,0)))</f>
        <v/>
      </c>
      <c r="I171" s="66" t="str">
        <f>IF(J171&lt;&gt;"OK","",E171*(1+G171)*H171)</f>
        <v/>
      </c>
      <c r="J171" s="69" t="str">
        <f>IF(AND(A171="",B171=""),"",IF(A171="","Produit manquant",IF(COUNTIF(prod_ref,A171)=0,"Produit inconnu",IF(B171="","Matière manquante",IF(ISNA(MATCH(B171,mat_ref,0)),"Matière inconnue",IF(INDEX(mat_check,MATCH(B171,mat_ref,0))&lt;&gt;"OK","Matière à corriger",IF(OR(NOT(ISNUMBER(E171)),N(E171)&lt;=0),"Quantité invalide",IF(AND(F171&lt;&gt;"",OR(NOT(ISNUMBER(F171)),N(F171)&lt;0,N(F171)&gt;=1)),"Perte entre 0 et 99 %",IF(COUNTIFS(bom_prod,A171,bom_mat,B171)&gt;1,"Matière en double","OK")))))))))</f>
        <v/>
      </c>
      <c r="K171" s="71" t="str">
        <f>IF(AND(fiche_sel&lt;&gt;"",A171=fiche_sel),COUNTIF(A$6:A171,fiche_sel),"")</f>
        <v/>
      </c>
    </row>
    <row r="172">
      <c r="A172" s="60" t="n"/>
      <c r="B172" s="60" t="n"/>
      <c r="C172" s="71" t="str">
        <f>IF(B172="","",IFERROR(INDEX(mat_des,MATCH(B172,mat_ref,0))&amp;"","Matière inconnue"))</f>
        <v/>
      </c>
      <c r="D172" s="69" t="str">
        <f>IF(B172="","",IFERROR(INDEX(mat_unit,MATCH(B172,mat_ref,0))&amp;"",""))</f>
        <v/>
      </c>
      <c r="E172" s="72" t="n"/>
      <c r="F172" s="65" t="n"/>
      <c r="G172" s="68" t="str">
        <f>IF(J172&lt;&gt;"OK","",IF(F172="",N(INDEX(mat_loss,MATCH(B172,mat_ref,0))),F172))</f>
        <v/>
      </c>
      <c r="H172" s="66" t="str">
        <f>IF(J172&lt;&gt;"OK","",INDEX(mat_price,MATCH(B172,mat_ref,0)))</f>
        <v/>
      </c>
      <c r="I172" s="66" t="str">
        <f>IF(J172&lt;&gt;"OK","",E172*(1+G172)*H172)</f>
        <v/>
      </c>
      <c r="J172" s="69" t="str">
        <f>IF(AND(A172="",B172=""),"",IF(A172="","Produit manquant",IF(COUNTIF(prod_ref,A172)=0,"Produit inconnu",IF(B172="","Matière manquante",IF(ISNA(MATCH(B172,mat_ref,0)),"Matière inconnue",IF(INDEX(mat_check,MATCH(B172,mat_ref,0))&lt;&gt;"OK","Matière à corriger",IF(OR(NOT(ISNUMBER(E172)),N(E172)&lt;=0),"Quantité invalide",IF(AND(F172&lt;&gt;"",OR(NOT(ISNUMBER(F172)),N(F172)&lt;0,N(F172)&gt;=1)),"Perte entre 0 et 99 %",IF(COUNTIFS(bom_prod,A172,bom_mat,B172)&gt;1,"Matière en double","OK")))))))))</f>
        <v/>
      </c>
      <c r="K172" s="71" t="str">
        <f>IF(AND(fiche_sel&lt;&gt;"",A172=fiche_sel),COUNTIF(A$6:A172,fiche_sel),"")</f>
        <v/>
      </c>
    </row>
    <row r="173">
      <c r="A173" s="60" t="n"/>
      <c r="B173" s="60" t="n"/>
      <c r="C173" s="71" t="str">
        <f>IF(B173="","",IFERROR(INDEX(mat_des,MATCH(B173,mat_ref,0))&amp;"","Matière inconnue"))</f>
        <v/>
      </c>
      <c r="D173" s="69" t="str">
        <f>IF(B173="","",IFERROR(INDEX(mat_unit,MATCH(B173,mat_ref,0))&amp;"",""))</f>
        <v/>
      </c>
      <c r="E173" s="72" t="n"/>
      <c r="F173" s="65" t="n"/>
      <c r="G173" s="68" t="str">
        <f>IF(J173&lt;&gt;"OK","",IF(F173="",N(INDEX(mat_loss,MATCH(B173,mat_ref,0))),F173))</f>
        <v/>
      </c>
      <c r="H173" s="66" t="str">
        <f>IF(J173&lt;&gt;"OK","",INDEX(mat_price,MATCH(B173,mat_ref,0)))</f>
        <v/>
      </c>
      <c r="I173" s="66" t="str">
        <f>IF(J173&lt;&gt;"OK","",E173*(1+G173)*H173)</f>
        <v/>
      </c>
      <c r="J173" s="69" t="str">
        <f>IF(AND(A173="",B173=""),"",IF(A173="","Produit manquant",IF(COUNTIF(prod_ref,A173)=0,"Produit inconnu",IF(B173="","Matière manquante",IF(ISNA(MATCH(B173,mat_ref,0)),"Matière inconnue",IF(INDEX(mat_check,MATCH(B173,mat_ref,0))&lt;&gt;"OK","Matière à corriger",IF(OR(NOT(ISNUMBER(E173)),N(E173)&lt;=0),"Quantité invalide",IF(AND(F173&lt;&gt;"",OR(NOT(ISNUMBER(F173)),N(F173)&lt;0,N(F173)&gt;=1)),"Perte entre 0 et 99 %",IF(COUNTIFS(bom_prod,A173,bom_mat,B173)&gt;1,"Matière en double","OK")))))))))</f>
        <v/>
      </c>
      <c r="K173" s="71" t="str">
        <f>IF(AND(fiche_sel&lt;&gt;"",A173=fiche_sel),COUNTIF(A$6:A173,fiche_sel),"")</f>
        <v/>
      </c>
    </row>
    <row r="174">
      <c r="A174" s="60" t="n"/>
      <c r="B174" s="60" t="n"/>
      <c r="C174" s="71" t="str">
        <f>IF(B174="","",IFERROR(INDEX(mat_des,MATCH(B174,mat_ref,0))&amp;"","Matière inconnue"))</f>
        <v/>
      </c>
      <c r="D174" s="69" t="str">
        <f>IF(B174="","",IFERROR(INDEX(mat_unit,MATCH(B174,mat_ref,0))&amp;"",""))</f>
        <v/>
      </c>
      <c r="E174" s="72" t="n"/>
      <c r="F174" s="65" t="n"/>
      <c r="G174" s="68" t="str">
        <f>IF(J174&lt;&gt;"OK","",IF(F174="",N(INDEX(mat_loss,MATCH(B174,mat_ref,0))),F174))</f>
        <v/>
      </c>
      <c r="H174" s="66" t="str">
        <f>IF(J174&lt;&gt;"OK","",INDEX(mat_price,MATCH(B174,mat_ref,0)))</f>
        <v/>
      </c>
      <c r="I174" s="66" t="str">
        <f>IF(J174&lt;&gt;"OK","",E174*(1+G174)*H174)</f>
        <v/>
      </c>
      <c r="J174" s="69" t="str">
        <f>IF(AND(A174="",B174=""),"",IF(A174="","Produit manquant",IF(COUNTIF(prod_ref,A174)=0,"Produit inconnu",IF(B174="","Matière manquante",IF(ISNA(MATCH(B174,mat_ref,0)),"Matière inconnue",IF(INDEX(mat_check,MATCH(B174,mat_ref,0))&lt;&gt;"OK","Matière à corriger",IF(OR(NOT(ISNUMBER(E174)),N(E174)&lt;=0),"Quantité invalide",IF(AND(F174&lt;&gt;"",OR(NOT(ISNUMBER(F174)),N(F174)&lt;0,N(F174)&gt;=1)),"Perte entre 0 et 99 %",IF(COUNTIFS(bom_prod,A174,bom_mat,B174)&gt;1,"Matière en double","OK")))))))))</f>
        <v/>
      </c>
      <c r="K174" s="71" t="str">
        <f>IF(AND(fiche_sel&lt;&gt;"",A174=fiche_sel),COUNTIF(A$6:A174,fiche_sel),"")</f>
        <v/>
      </c>
    </row>
    <row r="175">
      <c r="A175" s="60" t="n"/>
      <c r="B175" s="60" t="n"/>
      <c r="C175" s="71" t="str">
        <f>IF(B175="","",IFERROR(INDEX(mat_des,MATCH(B175,mat_ref,0))&amp;"","Matière inconnue"))</f>
        <v/>
      </c>
      <c r="D175" s="69" t="str">
        <f>IF(B175="","",IFERROR(INDEX(mat_unit,MATCH(B175,mat_ref,0))&amp;"",""))</f>
        <v/>
      </c>
      <c r="E175" s="72" t="n"/>
      <c r="F175" s="65" t="n"/>
      <c r="G175" s="68" t="str">
        <f>IF(J175&lt;&gt;"OK","",IF(F175="",N(INDEX(mat_loss,MATCH(B175,mat_ref,0))),F175))</f>
        <v/>
      </c>
      <c r="H175" s="66" t="str">
        <f>IF(J175&lt;&gt;"OK","",INDEX(mat_price,MATCH(B175,mat_ref,0)))</f>
        <v/>
      </c>
      <c r="I175" s="66" t="str">
        <f>IF(J175&lt;&gt;"OK","",E175*(1+G175)*H175)</f>
        <v/>
      </c>
      <c r="J175" s="69" t="str">
        <f>IF(AND(A175="",B175=""),"",IF(A175="","Produit manquant",IF(COUNTIF(prod_ref,A175)=0,"Produit inconnu",IF(B175="","Matière manquante",IF(ISNA(MATCH(B175,mat_ref,0)),"Matière inconnue",IF(INDEX(mat_check,MATCH(B175,mat_ref,0))&lt;&gt;"OK","Matière à corriger",IF(OR(NOT(ISNUMBER(E175)),N(E175)&lt;=0),"Quantité invalide",IF(AND(F175&lt;&gt;"",OR(NOT(ISNUMBER(F175)),N(F175)&lt;0,N(F175)&gt;=1)),"Perte entre 0 et 99 %",IF(COUNTIFS(bom_prod,A175,bom_mat,B175)&gt;1,"Matière en double","OK")))))))))</f>
        <v/>
      </c>
      <c r="K175" s="71" t="str">
        <f>IF(AND(fiche_sel&lt;&gt;"",A175=fiche_sel),COUNTIF(A$6:A175,fiche_sel),"")</f>
        <v/>
      </c>
    </row>
    <row r="176">
      <c r="A176" s="60" t="n"/>
      <c r="B176" s="60" t="n"/>
      <c r="C176" s="71" t="str">
        <f>IF(B176="","",IFERROR(INDEX(mat_des,MATCH(B176,mat_ref,0))&amp;"","Matière inconnue"))</f>
        <v/>
      </c>
      <c r="D176" s="69" t="str">
        <f>IF(B176="","",IFERROR(INDEX(mat_unit,MATCH(B176,mat_ref,0))&amp;"",""))</f>
        <v/>
      </c>
      <c r="E176" s="72" t="n"/>
      <c r="F176" s="65" t="n"/>
      <c r="G176" s="68" t="str">
        <f>IF(J176&lt;&gt;"OK","",IF(F176="",N(INDEX(mat_loss,MATCH(B176,mat_ref,0))),F176))</f>
        <v/>
      </c>
      <c r="H176" s="66" t="str">
        <f>IF(J176&lt;&gt;"OK","",INDEX(mat_price,MATCH(B176,mat_ref,0)))</f>
        <v/>
      </c>
      <c r="I176" s="66" t="str">
        <f>IF(J176&lt;&gt;"OK","",E176*(1+G176)*H176)</f>
        <v/>
      </c>
      <c r="J176" s="69" t="str">
        <f>IF(AND(A176="",B176=""),"",IF(A176="","Produit manquant",IF(COUNTIF(prod_ref,A176)=0,"Produit inconnu",IF(B176="","Matière manquante",IF(ISNA(MATCH(B176,mat_ref,0)),"Matière inconnue",IF(INDEX(mat_check,MATCH(B176,mat_ref,0))&lt;&gt;"OK","Matière à corriger",IF(OR(NOT(ISNUMBER(E176)),N(E176)&lt;=0),"Quantité invalide",IF(AND(F176&lt;&gt;"",OR(NOT(ISNUMBER(F176)),N(F176)&lt;0,N(F176)&gt;=1)),"Perte entre 0 et 99 %",IF(COUNTIFS(bom_prod,A176,bom_mat,B176)&gt;1,"Matière en double","OK")))))))))</f>
        <v/>
      </c>
      <c r="K176" s="71" t="str">
        <f>IF(AND(fiche_sel&lt;&gt;"",A176=fiche_sel),COUNTIF(A$6:A176,fiche_sel),"")</f>
        <v/>
      </c>
    </row>
    <row r="177">
      <c r="A177" s="60" t="n"/>
      <c r="B177" s="60" t="n"/>
      <c r="C177" s="71" t="str">
        <f>IF(B177="","",IFERROR(INDEX(mat_des,MATCH(B177,mat_ref,0))&amp;"","Matière inconnue"))</f>
        <v/>
      </c>
      <c r="D177" s="69" t="str">
        <f>IF(B177="","",IFERROR(INDEX(mat_unit,MATCH(B177,mat_ref,0))&amp;"",""))</f>
        <v/>
      </c>
      <c r="E177" s="72" t="n"/>
      <c r="F177" s="65" t="n"/>
      <c r="G177" s="68" t="str">
        <f>IF(J177&lt;&gt;"OK","",IF(F177="",N(INDEX(mat_loss,MATCH(B177,mat_ref,0))),F177))</f>
        <v/>
      </c>
      <c r="H177" s="66" t="str">
        <f>IF(J177&lt;&gt;"OK","",INDEX(mat_price,MATCH(B177,mat_ref,0)))</f>
        <v/>
      </c>
      <c r="I177" s="66" t="str">
        <f>IF(J177&lt;&gt;"OK","",E177*(1+G177)*H177)</f>
        <v/>
      </c>
      <c r="J177" s="69" t="str">
        <f>IF(AND(A177="",B177=""),"",IF(A177="","Produit manquant",IF(COUNTIF(prod_ref,A177)=0,"Produit inconnu",IF(B177="","Matière manquante",IF(ISNA(MATCH(B177,mat_ref,0)),"Matière inconnue",IF(INDEX(mat_check,MATCH(B177,mat_ref,0))&lt;&gt;"OK","Matière à corriger",IF(OR(NOT(ISNUMBER(E177)),N(E177)&lt;=0),"Quantité invalide",IF(AND(F177&lt;&gt;"",OR(NOT(ISNUMBER(F177)),N(F177)&lt;0,N(F177)&gt;=1)),"Perte entre 0 et 99 %",IF(COUNTIFS(bom_prod,A177,bom_mat,B177)&gt;1,"Matière en double","OK")))))))))</f>
        <v/>
      </c>
      <c r="K177" s="71" t="str">
        <f>IF(AND(fiche_sel&lt;&gt;"",A177=fiche_sel),COUNTIF(A$6:A177,fiche_sel),"")</f>
        <v/>
      </c>
    </row>
    <row r="178">
      <c r="A178" s="60" t="n"/>
      <c r="B178" s="60" t="n"/>
      <c r="C178" s="71" t="str">
        <f>IF(B178="","",IFERROR(INDEX(mat_des,MATCH(B178,mat_ref,0))&amp;"","Matière inconnue"))</f>
        <v/>
      </c>
      <c r="D178" s="69" t="str">
        <f>IF(B178="","",IFERROR(INDEX(mat_unit,MATCH(B178,mat_ref,0))&amp;"",""))</f>
        <v/>
      </c>
      <c r="E178" s="72" t="n"/>
      <c r="F178" s="65" t="n"/>
      <c r="G178" s="68" t="str">
        <f>IF(J178&lt;&gt;"OK","",IF(F178="",N(INDEX(mat_loss,MATCH(B178,mat_ref,0))),F178))</f>
        <v/>
      </c>
      <c r="H178" s="66" t="str">
        <f>IF(J178&lt;&gt;"OK","",INDEX(mat_price,MATCH(B178,mat_ref,0)))</f>
        <v/>
      </c>
      <c r="I178" s="66" t="str">
        <f>IF(J178&lt;&gt;"OK","",E178*(1+G178)*H178)</f>
        <v/>
      </c>
      <c r="J178" s="69" t="str">
        <f>IF(AND(A178="",B178=""),"",IF(A178="","Produit manquant",IF(COUNTIF(prod_ref,A178)=0,"Produit inconnu",IF(B178="","Matière manquante",IF(ISNA(MATCH(B178,mat_ref,0)),"Matière inconnue",IF(INDEX(mat_check,MATCH(B178,mat_ref,0))&lt;&gt;"OK","Matière à corriger",IF(OR(NOT(ISNUMBER(E178)),N(E178)&lt;=0),"Quantité invalide",IF(AND(F178&lt;&gt;"",OR(NOT(ISNUMBER(F178)),N(F178)&lt;0,N(F178)&gt;=1)),"Perte entre 0 et 99 %",IF(COUNTIFS(bom_prod,A178,bom_mat,B178)&gt;1,"Matière en double","OK")))))))))</f>
        <v/>
      </c>
      <c r="K178" s="71" t="str">
        <f>IF(AND(fiche_sel&lt;&gt;"",A178=fiche_sel),COUNTIF(A$6:A178,fiche_sel),"")</f>
        <v/>
      </c>
    </row>
    <row r="179">
      <c r="A179" s="60" t="n"/>
      <c r="B179" s="60" t="n"/>
      <c r="C179" s="71" t="str">
        <f>IF(B179="","",IFERROR(INDEX(mat_des,MATCH(B179,mat_ref,0))&amp;"","Matière inconnue"))</f>
        <v/>
      </c>
      <c r="D179" s="69" t="str">
        <f>IF(B179="","",IFERROR(INDEX(mat_unit,MATCH(B179,mat_ref,0))&amp;"",""))</f>
        <v/>
      </c>
      <c r="E179" s="72" t="n"/>
      <c r="F179" s="65" t="n"/>
      <c r="G179" s="68" t="str">
        <f>IF(J179&lt;&gt;"OK","",IF(F179="",N(INDEX(mat_loss,MATCH(B179,mat_ref,0))),F179))</f>
        <v/>
      </c>
      <c r="H179" s="66" t="str">
        <f>IF(J179&lt;&gt;"OK","",INDEX(mat_price,MATCH(B179,mat_ref,0)))</f>
        <v/>
      </c>
      <c r="I179" s="66" t="str">
        <f>IF(J179&lt;&gt;"OK","",E179*(1+G179)*H179)</f>
        <v/>
      </c>
      <c r="J179" s="69" t="str">
        <f>IF(AND(A179="",B179=""),"",IF(A179="","Produit manquant",IF(COUNTIF(prod_ref,A179)=0,"Produit inconnu",IF(B179="","Matière manquante",IF(ISNA(MATCH(B179,mat_ref,0)),"Matière inconnue",IF(INDEX(mat_check,MATCH(B179,mat_ref,0))&lt;&gt;"OK","Matière à corriger",IF(OR(NOT(ISNUMBER(E179)),N(E179)&lt;=0),"Quantité invalide",IF(AND(F179&lt;&gt;"",OR(NOT(ISNUMBER(F179)),N(F179)&lt;0,N(F179)&gt;=1)),"Perte entre 0 et 99 %",IF(COUNTIFS(bom_prod,A179,bom_mat,B179)&gt;1,"Matière en double","OK")))))))))</f>
        <v/>
      </c>
      <c r="K179" s="71" t="str">
        <f>IF(AND(fiche_sel&lt;&gt;"",A179=fiche_sel),COUNTIF(A$6:A179,fiche_sel),"")</f>
        <v/>
      </c>
    </row>
    <row r="180">
      <c r="A180" s="60" t="n"/>
      <c r="B180" s="60" t="n"/>
      <c r="C180" s="71" t="str">
        <f>IF(B180="","",IFERROR(INDEX(mat_des,MATCH(B180,mat_ref,0))&amp;"","Matière inconnue"))</f>
        <v/>
      </c>
      <c r="D180" s="69" t="str">
        <f>IF(B180="","",IFERROR(INDEX(mat_unit,MATCH(B180,mat_ref,0))&amp;"",""))</f>
        <v/>
      </c>
      <c r="E180" s="72" t="n"/>
      <c r="F180" s="65" t="n"/>
      <c r="G180" s="68" t="str">
        <f>IF(J180&lt;&gt;"OK","",IF(F180="",N(INDEX(mat_loss,MATCH(B180,mat_ref,0))),F180))</f>
        <v/>
      </c>
      <c r="H180" s="66" t="str">
        <f>IF(J180&lt;&gt;"OK","",INDEX(mat_price,MATCH(B180,mat_ref,0)))</f>
        <v/>
      </c>
      <c r="I180" s="66" t="str">
        <f>IF(J180&lt;&gt;"OK","",E180*(1+G180)*H180)</f>
        <v/>
      </c>
      <c r="J180" s="69" t="str">
        <f>IF(AND(A180="",B180=""),"",IF(A180="","Produit manquant",IF(COUNTIF(prod_ref,A180)=0,"Produit inconnu",IF(B180="","Matière manquante",IF(ISNA(MATCH(B180,mat_ref,0)),"Matière inconnue",IF(INDEX(mat_check,MATCH(B180,mat_ref,0))&lt;&gt;"OK","Matière à corriger",IF(OR(NOT(ISNUMBER(E180)),N(E180)&lt;=0),"Quantité invalide",IF(AND(F180&lt;&gt;"",OR(NOT(ISNUMBER(F180)),N(F180)&lt;0,N(F180)&gt;=1)),"Perte entre 0 et 99 %",IF(COUNTIFS(bom_prod,A180,bom_mat,B180)&gt;1,"Matière en double","OK")))))))))</f>
        <v/>
      </c>
      <c r="K180" s="71" t="str">
        <f>IF(AND(fiche_sel&lt;&gt;"",A180=fiche_sel),COUNTIF(A$6:A180,fiche_sel),"")</f>
        <v/>
      </c>
    </row>
    <row r="181">
      <c r="A181" s="60" t="n"/>
      <c r="B181" s="60" t="n"/>
      <c r="C181" s="71" t="str">
        <f>IF(B181="","",IFERROR(INDEX(mat_des,MATCH(B181,mat_ref,0))&amp;"","Matière inconnue"))</f>
        <v/>
      </c>
      <c r="D181" s="69" t="str">
        <f>IF(B181="","",IFERROR(INDEX(mat_unit,MATCH(B181,mat_ref,0))&amp;"",""))</f>
        <v/>
      </c>
      <c r="E181" s="72" t="n"/>
      <c r="F181" s="65" t="n"/>
      <c r="G181" s="68" t="str">
        <f>IF(J181&lt;&gt;"OK","",IF(F181="",N(INDEX(mat_loss,MATCH(B181,mat_ref,0))),F181))</f>
        <v/>
      </c>
      <c r="H181" s="66" t="str">
        <f>IF(J181&lt;&gt;"OK","",INDEX(mat_price,MATCH(B181,mat_ref,0)))</f>
        <v/>
      </c>
      <c r="I181" s="66" t="str">
        <f>IF(J181&lt;&gt;"OK","",E181*(1+G181)*H181)</f>
        <v/>
      </c>
      <c r="J181" s="69" t="str">
        <f>IF(AND(A181="",B181=""),"",IF(A181="","Produit manquant",IF(COUNTIF(prod_ref,A181)=0,"Produit inconnu",IF(B181="","Matière manquante",IF(ISNA(MATCH(B181,mat_ref,0)),"Matière inconnue",IF(INDEX(mat_check,MATCH(B181,mat_ref,0))&lt;&gt;"OK","Matière à corriger",IF(OR(NOT(ISNUMBER(E181)),N(E181)&lt;=0),"Quantité invalide",IF(AND(F181&lt;&gt;"",OR(NOT(ISNUMBER(F181)),N(F181)&lt;0,N(F181)&gt;=1)),"Perte entre 0 et 99 %",IF(COUNTIFS(bom_prod,A181,bom_mat,B181)&gt;1,"Matière en double","OK")))))))))</f>
        <v/>
      </c>
      <c r="K181" s="71" t="str">
        <f>IF(AND(fiche_sel&lt;&gt;"",A181=fiche_sel),COUNTIF(A$6:A181,fiche_sel),"")</f>
        <v/>
      </c>
    </row>
    <row r="182">
      <c r="A182" s="60" t="n"/>
      <c r="B182" s="60" t="n"/>
      <c r="C182" s="71" t="str">
        <f>IF(B182="","",IFERROR(INDEX(mat_des,MATCH(B182,mat_ref,0))&amp;"","Matière inconnue"))</f>
        <v/>
      </c>
      <c r="D182" s="69" t="str">
        <f>IF(B182="","",IFERROR(INDEX(mat_unit,MATCH(B182,mat_ref,0))&amp;"",""))</f>
        <v/>
      </c>
      <c r="E182" s="72" t="n"/>
      <c r="F182" s="65" t="n"/>
      <c r="G182" s="68" t="str">
        <f>IF(J182&lt;&gt;"OK","",IF(F182="",N(INDEX(mat_loss,MATCH(B182,mat_ref,0))),F182))</f>
        <v/>
      </c>
      <c r="H182" s="66" t="str">
        <f>IF(J182&lt;&gt;"OK","",INDEX(mat_price,MATCH(B182,mat_ref,0)))</f>
        <v/>
      </c>
      <c r="I182" s="66" t="str">
        <f>IF(J182&lt;&gt;"OK","",E182*(1+G182)*H182)</f>
        <v/>
      </c>
      <c r="J182" s="69" t="str">
        <f>IF(AND(A182="",B182=""),"",IF(A182="","Produit manquant",IF(COUNTIF(prod_ref,A182)=0,"Produit inconnu",IF(B182="","Matière manquante",IF(ISNA(MATCH(B182,mat_ref,0)),"Matière inconnue",IF(INDEX(mat_check,MATCH(B182,mat_ref,0))&lt;&gt;"OK","Matière à corriger",IF(OR(NOT(ISNUMBER(E182)),N(E182)&lt;=0),"Quantité invalide",IF(AND(F182&lt;&gt;"",OR(NOT(ISNUMBER(F182)),N(F182)&lt;0,N(F182)&gt;=1)),"Perte entre 0 et 99 %",IF(COUNTIFS(bom_prod,A182,bom_mat,B182)&gt;1,"Matière en double","OK")))))))))</f>
        <v/>
      </c>
      <c r="K182" s="71" t="str">
        <f>IF(AND(fiche_sel&lt;&gt;"",A182=fiche_sel),COUNTIF(A$6:A182,fiche_sel),"")</f>
        <v/>
      </c>
    </row>
    <row r="183">
      <c r="A183" s="60" t="n"/>
      <c r="B183" s="60" t="n"/>
      <c r="C183" s="71" t="str">
        <f>IF(B183="","",IFERROR(INDEX(mat_des,MATCH(B183,mat_ref,0))&amp;"","Matière inconnue"))</f>
        <v/>
      </c>
      <c r="D183" s="69" t="str">
        <f>IF(B183="","",IFERROR(INDEX(mat_unit,MATCH(B183,mat_ref,0))&amp;"",""))</f>
        <v/>
      </c>
      <c r="E183" s="72" t="n"/>
      <c r="F183" s="65" t="n"/>
      <c r="G183" s="68" t="str">
        <f>IF(J183&lt;&gt;"OK","",IF(F183="",N(INDEX(mat_loss,MATCH(B183,mat_ref,0))),F183))</f>
        <v/>
      </c>
      <c r="H183" s="66" t="str">
        <f>IF(J183&lt;&gt;"OK","",INDEX(mat_price,MATCH(B183,mat_ref,0)))</f>
        <v/>
      </c>
      <c r="I183" s="66" t="str">
        <f>IF(J183&lt;&gt;"OK","",E183*(1+G183)*H183)</f>
        <v/>
      </c>
      <c r="J183" s="69" t="str">
        <f>IF(AND(A183="",B183=""),"",IF(A183="","Produit manquant",IF(COUNTIF(prod_ref,A183)=0,"Produit inconnu",IF(B183="","Matière manquante",IF(ISNA(MATCH(B183,mat_ref,0)),"Matière inconnue",IF(INDEX(mat_check,MATCH(B183,mat_ref,0))&lt;&gt;"OK","Matière à corriger",IF(OR(NOT(ISNUMBER(E183)),N(E183)&lt;=0),"Quantité invalide",IF(AND(F183&lt;&gt;"",OR(NOT(ISNUMBER(F183)),N(F183)&lt;0,N(F183)&gt;=1)),"Perte entre 0 et 99 %",IF(COUNTIFS(bom_prod,A183,bom_mat,B183)&gt;1,"Matière en double","OK")))))))))</f>
        <v/>
      </c>
      <c r="K183" s="71" t="str">
        <f>IF(AND(fiche_sel&lt;&gt;"",A183=fiche_sel),COUNTIF(A$6:A183,fiche_sel),"")</f>
        <v/>
      </c>
    </row>
    <row r="184">
      <c r="A184" s="60" t="n"/>
      <c r="B184" s="60" t="n"/>
      <c r="C184" s="71" t="str">
        <f>IF(B184="","",IFERROR(INDEX(mat_des,MATCH(B184,mat_ref,0))&amp;"","Matière inconnue"))</f>
        <v/>
      </c>
      <c r="D184" s="69" t="str">
        <f>IF(B184="","",IFERROR(INDEX(mat_unit,MATCH(B184,mat_ref,0))&amp;"",""))</f>
        <v/>
      </c>
      <c r="E184" s="72" t="n"/>
      <c r="F184" s="65" t="n"/>
      <c r="G184" s="68" t="str">
        <f>IF(J184&lt;&gt;"OK","",IF(F184="",N(INDEX(mat_loss,MATCH(B184,mat_ref,0))),F184))</f>
        <v/>
      </c>
      <c r="H184" s="66" t="str">
        <f>IF(J184&lt;&gt;"OK","",INDEX(mat_price,MATCH(B184,mat_ref,0)))</f>
        <v/>
      </c>
      <c r="I184" s="66" t="str">
        <f>IF(J184&lt;&gt;"OK","",E184*(1+G184)*H184)</f>
        <v/>
      </c>
      <c r="J184" s="69" t="str">
        <f>IF(AND(A184="",B184=""),"",IF(A184="","Produit manquant",IF(COUNTIF(prod_ref,A184)=0,"Produit inconnu",IF(B184="","Matière manquante",IF(ISNA(MATCH(B184,mat_ref,0)),"Matière inconnue",IF(INDEX(mat_check,MATCH(B184,mat_ref,0))&lt;&gt;"OK","Matière à corriger",IF(OR(NOT(ISNUMBER(E184)),N(E184)&lt;=0),"Quantité invalide",IF(AND(F184&lt;&gt;"",OR(NOT(ISNUMBER(F184)),N(F184)&lt;0,N(F184)&gt;=1)),"Perte entre 0 et 99 %",IF(COUNTIFS(bom_prod,A184,bom_mat,B184)&gt;1,"Matière en double","OK")))))))))</f>
        <v/>
      </c>
      <c r="K184" s="71" t="str">
        <f>IF(AND(fiche_sel&lt;&gt;"",A184=fiche_sel),COUNTIF(A$6:A184,fiche_sel),"")</f>
        <v/>
      </c>
    </row>
    <row r="185">
      <c r="A185" s="60" t="n"/>
      <c r="B185" s="60" t="n"/>
      <c r="C185" s="71" t="str">
        <f>IF(B185="","",IFERROR(INDEX(mat_des,MATCH(B185,mat_ref,0))&amp;"","Matière inconnue"))</f>
        <v/>
      </c>
      <c r="D185" s="69" t="str">
        <f>IF(B185="","",IFERROR(INDEX(mat_unit,MATCH(B185,mat_ref,0))&amp;"",""))</f>
        <v/>
      </c>
      <c r="E185" s="72" t="n"/>
      <c r="F185" s="65" t="n"/>
      <c r="G185" s="68" t="str">
        <f>IF(J185&lt;&gt;"OK","",IF(F185="",N(INDEX(mat_loss,MATCH(B185,mat_ref,0))),F185))</f>
        <v/>
      </c>
      <c r="H185" s="66" t="str">
        <f>IF(J185&lt;&gt;"OK","",INDEX(mat_price,MATCH(B185,mat_ref,0)))</f>
        <v/>
      </c>
      <c r="I185" s="66" t="str">
        <f>IF(J185&lt;&gt;"OK","",E185*(1+G185)*H185)</f>
        <v/>
      </c>
      <c r="J185" s="69" t="str">
        <f>IF(AND(A185="",B185=""),"",IF(A185="","Produit manquant",IF(COUNTIF(prod_ref,A185)=0,"Produit inconnu",IF(B185="","Matière manquante",IF(ISNA(MATCH(B185,mat_ref,0)),"Matière inconnue",IF(INDEX(mat_check,MATCH(B185,mat_ref,0))&lt;&gt;"OK","Matière à corriger",IF(OR(NOT(ISNUMBER(E185)),N(E185)&lt;=0),"Quantité invalide",IF(AND(F185&lt;&gt;"",OR(NOT(ISNUMBER(F185)),N(F185)&lt;0,N(F185)&gt;=1)),"Perte entre 0 et 99 %",IF(COUNTIFS(bom_prod,A185,bom_mat,B185)&gt;1,"Matière en double","OK")))))))))</f>
        <v/>
      </c>
      <c r="K185" s="71" t="str">
        <f>IF(AND(fiche_sel&lt;&gt;"",A185=fiche_sel),COUNTIF(A$6:A185,fiche_sel),"")</f>
        <v/>
      </c>
    </row>
    <row r="186">
      <c r="A186" s="60" t="n"/>
      <c r="B186" s="60" t="n"/>
      <c r="C186" s="71" t="str">
        <f>IF(B186="","",IFERROR(INDEX(mat_des,MATCH(B186,mat_ref,0))&amp;"","Matière inconnue"))</f>
        <v/>
      </c>
      <c r="D186" s="69" t="str">
        <f>IF(B186="","",IFERROR(INDEX(mat_unit,MATCH(B186,mat_ref,0))&amp;"",""))</f>
        <v/>
      </c>
      <c r="E186" s="72" t="n"/>
      <c r="F186" s="65" t="n"/>
      <c r="G186" s="68" t="str">
        <f>IF(J186&lt;&gt;"OK","",IF(F186="",N(INDEX(mat_loss,MATCH(B186,mat_ref,0))),F186))</f>
        <v/>
      </c>
      <c r="H186" s="66" t="str">
        <f>IF(J186&lt;&gt;"OK","",INDEX(mat_price,MATCH(B186,mat_ref,0)))</f>
        <v/>
      </c>
      <c r="I186" s="66" t="str">
        <f>IF(J186&lt;&gt;"OK","",E186*(1+G186)*H186)</f>
        <v/>
      </c>
      <c r="J186" s="69" t="str">
        <f>IF(AND(A186="",B186=""),"",IF(A186="","Produit manquant",IF(COUNTIF(prod_ref,A186)=0,"Produit inconnu",IF(B186="","Matière manquante",IF(ISNA(MATCH(B186,mat_ref,0)),"Matière inconnue",IF(INDEX(mat_check,MATCH(B186,mat_ref,0))&lt;&gt;"OK","Matière à corriger",IF(OR(NOT(ISNUMBER(E186)),N(E186)&lt;=0),"Quantité invalide",IF(AND(F186&lt;&gt;"",OR(NOT(ISNUMBER(F186)),N(F186)&lt;0,N(F186)&gt;=1)),"Perte entre 0 et 99 %",IF(COUNTIFS(bom_prod,A186,bom_mat,B186)&gt;1,"Matière en double","OK")))))))))</f>
        <v/>
      </c>
      <c r="K186" s="71" t="str">
        <f>IF(AND(fiche_sel&lt;&gt;"",A186=fiche_sel),COUNTIF(A$6:A186,fiche_sel),"")</f>
        <v/>
      </c>
    </row>
    <row r="187">
      <c r="A187" s="60" t="n"/>
      <c r="B187" s="60" t="n"/>
      <c r="C187" s="71" t="str">
        <f>IF(B187="","",IFERROR(INDEX(mat_des,MATCH(B187,mat_ref,0))&amp;"","Matière inconnue"))</f>
        <v/>
      </c>
      <c r="D187" s="69" t="str">
        <f>IF(B187="","",IFERROR(INDEX(mat_unit,MATCH(B187,mat_ref,0))&amp;"",""))</f>
        <v/>
      </c>
      <c r="E187" s="72" t="n"/>
      <c r="F187" s="65" t="n"/>
      <c r="G187" s="68" t="str">
        <f>IF(J187&lt;&gt;"OK","",IF(F187="",N(INDEX(mat_loss,MATCH(B187,mat_ref,0))),F187))</f>
        <v/>
      </c>
      <c r="H187" s="66" t="str">
        <f>IF(J187&lt;&gt;"OK","",INDEX(mat_price,MATCH(B187,mat_ref,0)))</f>
        <v/>
      </c>
      <c r="I187" s="66" t="str">
        <f>IF(J187&lt;&gt;"OK","",E187*(1+G187)*H187)</f>
        <v/>
      </c>
      <c r="J187" s="69" t="str">
        <f>IF(AND(A187="",B187=""),"",IF(A187="","Produit manquant",IF(COUNTIF(prod_ref,A187)=0,"Produit inconnu",IF(B187="","Matière manquante",IF(ISNA(MATCH(B187,mat_ref,0)),"Matière inconnue",IF(INDEX(mat_check,MATCH(B187,mat_ref,0))&lt;&gt;"OK","Matière à corriger",IF(OR(NOT(ISNUMBER(E187)),N(E187)&lt;=0),"Quantité invalide",IF(AND(F187&lt;&gt;"",OR(NOT(ISNUMBER(F187)),N(F187)&lt;0,N(F187)&gt;=1)),"Perte entre 0 et 99 %",IF(COUNTIFS(bom_prod,A187,bom_mat,B187)&gt;1,"Matière en double","OK")))))))))</f>
        <v/>
      </c>
      <c r="K187" s="71" t="str">
        <f>IF(AND(fiche_sel&lt;&gt;"",A187=fiche_sel),COUNTIF(A$6:A187,fiche_sel),"")</f>
        <v/>
      </c>
    </row>
    <row r="188">
      <c r="A188" s="60" t="n"/>
      <c r="B188" s="60" t="n"/>
      <c r="C188" s="71" t="str">
        <f>IF(B188="","",IFERROR(INDEX(mat_des,MATCH(B188,mat_ref,0))&amp;"","Matière inconnue"))</f>
        <v/>
      </c>
      <c r="D188" s="69" t="str">
        <f>IF(B188="","",IFERROR(INDEX(mat_unit,MATCH(B188,mat_ref,0))&amp;"",""))</f>
        <v/>
      </c>
      <c r="E188" s="72" t="n"/>
      <c r="F188" s="65" t="n"/>
      <c r="G188" s="68" t="str">
        <f>IF(J188&lt;&gt;"OK","",IF(F188="",N(INDEX(mat_loss,MATCH(B188,mat_ref,0))),F188))</f>
        <v/>
      </c>
      <c r="H188" s="66" t="str">
        <f>IF(J188&lt;&gt;"OK","",INDEX(mat_price,MATCH(B188,mat_ref,0)))</f>
        <v/>
      </c>
      <c r="I188" s="66" t="str">
        <f>IF(J188&lt;&gt;"OK","",E188*(1+G188)*H188)</f>
        <v/>
      </c>
      <c r="J188" s="69" t="str">
        <f>IF(AND(A188="",B188=""),"",IF(A188="","Produit manquant",IF(COUNTIF(prod_ref,A188)=0,"Produit inconnu",IF(B188="","Matière manquante",IF(ISNA(MATCH(B188,mat_ref,0)),"Matière inconnue",IF(INDEX(mat_check,MATCH(B188,mat_ref,0))&lt;&gt;"OK","Matière à corriger",IF(OR(NOT(ISNUMBER(E188)),N(E188)&lt;=0),"Quantité invalide",IF(AND(F188&lt;&gt;"",OR(NOT(ISNUMBER(F188)),N(F188)&lt;0,N(F188)&gt;=1)),"Perte entre 0 et 99 %",IF(COUNTIFS(bom_prod,A188,bom_mat,B188)&gt;1,"Matière en double","OK")))))))))</f>
        <v/>
      </c>
      <c r="K188" s="71" t="str">
        <f>IF(AND(fiche_sel&lt;&gt;"",A188=fiche_sel),COUNTIF(A$6:A188,fiche_sel),"")</f>
        <v/>
      </c>
    </row>
    <row r="189">
      <c r="A189" s="60" t="n"/>
      <c r="B189" s="60" t="n"/>
      <c r="C189" s="71" t="str">
        <f>IF(B189="","",IFERROR(INDEX(mat_des,MATCH(B189,mat_ref,0))&amp;"","Matière inconnue"))</f>
        <v/>
      </c>
      <c r="D189" s="69" t="str">
        <f>IF(B189="","",IFERROR(INDEX(mat_unit,MATCH(B189,mat_ref,0))&amp;"",""))</f>
        <v/>
      </c>
      <c r="E189" s="72" t="n"/>
      <c r="F189" s="65" t="n"/>
      <c r="G189" s="68" t="str">
        <f>IF(J189&lt;&gt;"OK","",IF(F189="",N(INDEX(mat_loss,MATCH(B189,mat_ref,0))),F189))</f>
        <v/>
      </c>
      <c r="H189" s="66" t="str">
        <f>IF(J189&lt;&gt;"OK","",INDEX(mat_price,MATCH(B189,mat_ref,0)))</f>
        <v/>
      </c>
      <c r="I189" s="66" t="str">
        <f>IF(J189&lt;&gt;"OK","",E189*(1+G189)*H189)</f>
        <v/>
      </c>
      <c r="J189" s="69" t="str">
        <f>IF(AND(A189="",B189=""),"",IF(A189="","Produit manquant",IF(COUNTIF(prod_ref,A189)=0,"Produit inconnu",IF(B189="","Matière manquante",IF(ISNA(MATCH(B189,mat_ref,0)),"Matière inconnue",IF(INDEX(mat_check,MATCH(B189,mat_ref,0))&lt;&gt;"OK","Matière à corriger",IF(OR(NOT(ISNUMBER(E189)),N(E189)&lt;=0),"Quantité invalide",IF(AND(F189&lt;&gt;"",OR(NOT(ISNUMBER(F189)),N(F189)&lt;0,N(F189)&gt;=1)),"Perte entre 0 et 99 %",IF(COUNTIFS(bom_prod,A189,bom_mat,B189)&gt;1,"Matière en double","OK")))))))))</f>
        <v/>
      </c>
      <c r="K189" s="71" t="str">
        <f>IF(AND(fiche_sel&lt;&gt;"",A189=fiche_sel),COUNTIF(A$6:A189,fiche_sel),"")</f>
        <v/>
      </c>
    </row>
    <row r="190">
      <c r="A190" s="60" t="n"/>
      <c r="B190" s="60" t="n"/>
      <c r="C190" s="71" t="str">
        <f>IF(B190="","",IFERROR(INDEX(mat_des,MATCH(B190,mat_ref,0))&amp;"","Matière inconnue"))</f>
        <v/>
      </c>
      <c r="D190" s="69" t="str">
        <f>IF(B190="","",IFERROR(INDEX(mat_unit,MATCH(B190,mat_ref,0))&amp;"",""))</f>
        <v/>
      </c>
      <c r="E190" s="72" t="n"/>
      <c r="F190" s="65" t="n"/>
      <c r="G190" s="68" t="str">
        <f>IF(J190&lt;&gt;"OK","",IF(F190="",N(INDEX(mat_loss,MATCH(B190,mat_ref,0))),F190))</f>
        <v/>
      </c>
      <c r="H190" s="66" t="str">
        <f>IF(J190&lt;&gt;"OK","",INDEX(mat_price,MATCH(B190,mat_ref,0)))</f>
        <v/>
      </c>
      <c r="I190" s="66" t="str">
        <f>IF(J190&lt;&gt;"OK","",E190*(1+G190)*H190)</f>
        <v/>
      </c>
      <c r="J190" s="69" t="str">
        <f>IF(AND(A190="",B190=""),"",IF(A190="","Produit manquant",IF(COUNTIF(prod_ref,A190)=0,"Produit inconnu",IF(B190="","Matière manquante",IF(ISNA(MATCH(B190,mat_ref,0)),"Matière inconnue",IF(INDEX(mat_check,MATCH(B190,mat_ref,0))&lt;&gt;"OK","Matière à corriger",IF(OR(NOT(ISNUMBER(E190)),N(E190)&lt;=0),"Quantité invalide",IF(AND(F190&lt;&gt;"",OR(NOT(ISNUMBER(F190)),N(F190)&lt;0,N(F190)&gt;=1)),"Perte entre 0 et 99 %",IF(COUNTIFS(bom_prod,A190,bom_mat,B190)&gt;1,"Matière en double","OK")))))))))</f>
        <v/>
      </c>
      <c r="K190" s="71" t="str">
        <f>IF(AND(fiche_sel&lt;&gt;"",A190=fiche_sel),COUNTIF(A$6:A190,fiche_sel),"")</f>
        <v/>
      </c>
    </row>
    <row r="191">
      <c r="A191" s="60" t="n"/>
      <c r="B191" s="60" t="n"/>
      <c r="C191" s="71" t="str">
        <f>IF(B191="","",IFERROR(INDEX(mat_des,MATCH(B191,mat_ref,0))&amp;"","Matière inconnue"))</f>
        <v/>
      </c>
      <c r="D191" s="69" t="str">
        <f>IF(B191="","",IFERROR(INDEX(mat_unit,MATCH(B191,mat_ref,0))&amp;"",""))</f>
        <v/>
      </c>
      <c r="E191" s="72" t="n"/>
      <c r="F191" s="65" t="n"/>
      <c r="G191" s="68" t="str">
        <f>IF(J191&lt;&gt;"OK","",IF(F191="",N(INDEX(mat_loss,MATCH(B191,mat_ref,0))),F191))</f>
        <v/>
      </c>
      <c r="H191" s="66" t="str">
        <f>IF(J191&lt;&gt;"OK","",INDEX(mat_price,MATCH(B191,mat_ref,0)))</f>
        <v/>
      </c>
      <c r="I191" s="66" t="str">
        <f>IF(J191&lt;&gt;"OK","",E191*(1+G191)*H191)</f>
        <v/>
      </c>
      <c r="J191" s="69" t="str">
        <f>IF(AND(A191="",B191=""),"",IF(A191="","Produit manquant",IF(COUNTIF(prod_ref,A191)=0,"Produit inconnu",IF(B191="","Matière manquante",IF(ISNA(MATCH(B191,mat_ref,0)),"Matière inconnue",IF(INDEX(mat_check,MATCH(B191,mat_ref,0))&lt;&gt;"OK","Matière à corriger",IF(OR(NOT(ISNUMBER(E191)),N(E191)&lt;=0),"Quantité invalide",IF(AND(F191&lt;&gt;"",OR(NOT(ISNUMBER(F191)),N(F191)&lt;0,N(F191)&gt;=1)),"Perte entre 0 et 99 %",IF(COUNTIFS(bom_prod,A191,bom_mat,B191)&gt;1,"Matière en double","OK")))))))))</f>
        <v/>
      </c>
      <c r="K191" s="71" t="str">
        <f>IF(AND(fiche_sel&lt;&gt;"",A191=fiche_sel),COUNTIF(A$6:A191,fiche_sel),"")</f>
        <v/>
      </c>
    </row>
    <row r="192">
      <c r="A192" s="60" t="n"/>
      <c r="B192" s="60" t="n"/>
      <c r="C192" s="71" t="str">
        <f>IF(B192="","",IFERROR(INDEX(mat_des,MATCH(B192,mat_ref,0))&amp;"","Matière inconnue"))</f>
        <v/>
      </c>
      <c r="D192" s="69" t="str">
        <f>IF(B192="","",IFERROR(INDEX(mat_unit,MATCH(B192,mat_ref,0))&amp;"",""))</f>
        <v/>
      </c>
      <c r="E192" s="72" t="n"/>
      <c r="F192" s="65" t="n"/>
      <c r="G192" s="68" t="str">
        <f>IF(J192&lt;&gt;"OK","",IF(F192="",N(INDEX(mat_loss,MATCH(B192,mat_ref,0))),F192))</f>
        <v/>
      </c>
      <c r="H192" s="66" t="str">
        <f>IF(J192&lt;&gt;"OK","",INDEX(mat_price,MATCH(B192,mat_ref,0)))</f>
        <v/>
      </c>
      <c r="I192" s="66" t="str">
        <f>IF(J192&lt;&gt;"OK","",E192*(1+G192)*H192)</f>
        <v/>
      </c>
      <c r="J192" s="69" t="str">
        <f>IF(AND(A192="",B192=""),"",IF(A192="","Produit manquant",IF(COUNTIF(prod_ref,A192)=0,"Produit inconnu",IF(B192="","Matière manquante",IF(ISNA(MATCH(B192,mat_ref,0)),"Matière inconnue",IF(INDEX(mat_check,MATCH(B192,mat_ref,0))&lt;&gt;"OK","Matière à corriger",IF(OR(NOT(ISNUMBER(E192)),N(E192)&lt;=0),"Quantité invalide",IF(AND(F192&lt;&gt;"",OR(NOT(ISNUMBER(F192)),N(F192)&lt;0,N(F192)&gt;=1)),"Perte entre 0 et 99 %",IF(COUNTIFS(bom_prod,A192,bom_mat,B192)&gt;1,"Matière en double","OK")))))))))</f>
        <v/>
      </c>
      <c r="K192" s="71" t="str">
        <f>IF(AND(fiche_sel&lt;&gt;"",A192=fiche_sel),COUNTIF(A$6:A192,fiche_sel),"")</f>
        <v/>
      </c>
    </row>
    <row r="193">
      <c r="A193" s="60" t="n"/>
      <c r="B193" s="60" t="n"/>
      <c r="C193" s="71" t="str">
        <f>IF(B193="","",IFERROR(INDEX(mat_des,MATCH(B193,mat_ref,0))&amp;"","Matière inconnue"))</f>
        <v/>
      </c>
      <c r="D193" s="69" t="str">
        <f>IF(B193="","",IFERROR(INDEX(mat_unit,MATCH(B193,mat_ref,0))&amp;"",""))</f>
        <v/>
      </c>
      <c r="E193" s="72" t="n"/>
      <c r="F193" s="65" t="n"/>
      <c r="G193" s="68" t="str">
        <f>IF(J193&lt;&gt;"OK","",IF(F193="",N(INDEX(mat_loss,MATCH(B193,mat_ref,0))),F193))</f>
        <v/>
      </c>
      <c r="H193" s="66" t="str">
        <f>IF(J193&lt;&gt;"OK","",INDEX(mat_price,MATCH(B193,mat_ref,0)))</f>
        <v/>
      </c>
      <c r="I193" s="66" t="str">
        <f>IF(J193&lt;&gt;"OK","",E193*(1+G193)*H193)</f>
        <v/>
      </c>
      <c r="J193" s="69" t="str">
        <f>IF(AND(A193="",B193=""),"",IF(A193="","Produit manquant",IF(COUNTIF(prod_ref,A193)=0,"Produit inconnu",IF(B193="","Matière manquante",IF(ISNA(MATCH(B193,mat_ref,0)),"Matière inconnue",IF(INDEX(mat_check,MATCH(B193,mat_ref,0))&lt;&gt;"OK","Matière à corriger",IF(OR(NOT(ISNUMBER(E193)),N(E193)&lt;=0),"Quantité invalide",IF(AND(F193&lt;&gt;"",OR(NOT(ISNUMBER(F193)),N(F193)&lt;0,N(F193)&gt;=1)),"Perte entre 0 et 99 %",IF(COUNTIFS(bom_prod,A193,bom_mat,B193)&gt;1,"Matière en double","OK")))))))))</f>
        <v/>
      </c>
      <c r="K193" s="71" t="str">
        <f>IF(AND(fiche_sel&lt;&gt;"",A193=fiche_sel),COUNTIF(A$6:A193,fiche_sel),"")</f>
        <v/>
      </c>
    </row>
    <row r="194">
      <c r="A194" s="60" t="n"/>
      <c r="B194" s="60" t="n"/>
      <c r="C194" s="71" t="str">
        <f>IF(B194="","",IFERROR(INDEX(mat_des,MATCH(B194,mat_ref,0))&amp;"","Matière inconnue"))</f>
        <v/>
      </c>
      <c r="D194" s="69" t="str">
        <f>IF(B194="","",IFERROR(INDEX(mat_unit,MATCH(B194,mat_ref,0))&amp;"",""))</f>
        <v/>
      </c>
      <c r="E194" s="72" t="n"/>
      <c r="F194" s="65" t="n"/>
      <c r="G194" s="68" t="str">
        <f>IF(J194&lt;&gt;"OK","",IF(F194="",N(INDEX(mat_loss,MATCH(B194,mat_ref,0))),F194))</f>
        <v/>
      </c>
      <c r="H194" s="66" t="str">
        <f>IF(J194&lt;&gt;"OK","",INDEX(mat_price,MATCH(B194,mat_ref,0)))</f>
        <v/>
      </c>
      <c r="I194" s="66" t="str">
        <f>IF(J194&lt;&gt;"OK","",E194*(1+G194)*H194)</f>
        <v/>
      </c>
      <c r="J194" s="69" t="str">
        <f>IF(AND(A194="",B194=""),"",IF(A194="","Produit manquant",IF(COUNTIF(prod_ref,A194)=0,"Produit inconnu",IF(B194="","Matière manquante",IF(ISNA(MATCH(B194,mat_ref,0)),"Matière inconnue",IF(INDEX(mat_check,MATCH(B194,mat_ref,0))&lt;&gt;"OK","Matière à corriger",IF(OR(NOT(ISNUMBER(E194)),N(E194)&lt;=0),"Quantité invalide",IF(AND(F194&lt;&gt;"",OR(NOT(ISNUMBER(F194)),N(F194)&lt;0,N(F194)&gt;=1)),"Perte entre 0 et 99 %",IF(COUNTIFS(bom_prod,A194,bom_mat,B194)&gt;1,"Matière en double","OK")))))))))</f>
        <v/>
      </c>
      <c r="K194" s="71" t="str">
        <f>IF(AND(fiche_sel&lt;&gt;"",A194=fiche_sel),COUNTIF(A$6:A194,fiche_sel),"")</f>
        <v/>
      </c>
    </row>
    <row r="195">
      <c r="A195" s="60" t="n"/>
      <c r="B195" s="60" t="n"/>
      <c r="C195" s="71" t="str">
        <f>IF(B195="","",IFERROR(INDEX(mat_des,MATCH(B195,mat_ref,0))&amp;"","Matière inconnue"))</f>
        <v/>
      </c>
      <c r="D195" s="69" t="str">
        <f>IF(B195="","",IFERROR(INDEX(mat_unit,MATCH(B195,mat_ref,0))&amp;"",""))</f>
        <v/>
      </c>
      <c r="E195" s="72" t="n"/>
      <c r="F195" s="65" t="n"/>
      <c r="G195" s="68" t="str">
        <f>IF(J195&lt;&gt;"OK","",IF(F195="",N(INDEX(mat_loss,MATCH(B195,mat_ref,0))),F195))</f>
        <v/>
      </c>
      <c r="H195" s="66" t="str">
        <f>IF(J195&lt;&gt;"OK","",INDEX(mat_price,MATCH(B195,mat_ref,0)))</f>
        <v/>
      </c>
      <c r="I195" s="66" t="str">
        <f>IF(J195&lt;&gt;"OK","",E195*(1+G195)*H195)</f>
        <v/>
      </c>
      <c r="J195" s="69" t="str">
        <f>IF(AND(A195="",B195=""),"",IF(A195="","Produit manquant",IF(COUNTIF(prod_ref,A195)=0,"Produit inconnu",IF(B195="","Matière manquante",IF(ISNA(MATCH(B195,mat_ref,0)),"Matière inconnue",IF(INDEX(mat_check,MATCH(B195,mat_ref,0))&lt;&gt;"OK","Matière à corriger",IF(OR(NOT(ISNUMBER(E195)),N(E195)&lt;=0),"Quantité invalide",IF(AND(F195&lt;&gt;"",OR(NOT(ISNUMBER(F195)),N(F195)&lt;0,N(F195)&gt;=1)),"Perte entre 0 et 99 %",IF(COUNTIFS(bom_prod,A195,bom_mat,B195)&gt;1,"Matière en double","OK")))))))))</f>
        <v/>
      </c>
      <c r="K195" s="71" t="str">
        <f>IF(AND(fiche_sel&lt;&gt;"",A195=fiche_sel),COUNTIF(A$6:A195,fiche_sel),"")</f>
        <v/>
      </c>
    </row>
    <row r="196">
      <c r="A196" s="60" t="n"/>
      <c r="B196" s="60" t="n"/>
      <c r="C196" s="71" t="str">
        <f>IF(B196="","",IFERROR(INDEX(mat_des,MATCH(B196,mat_ref,0))&amp;"","Matière inconnue"))</f>
        <v/>
      </c>
      <c r="D196" s="69" t="str">
        <f>IF(B196="","",IFERROR(INDEX(mat_unit,MATCH(B196,mat_ref,0))&amp;"",""))</f>
        <v/>
      </c>
      <c r="E196" s="72" t="n"/>
      <c r="F196" s="65" t="n"/>
      <c r="G196" s="68" t="str">
        <f>IF(J196&lt;&gt;"OK","",IF(F196="",N(INDEX(mat_loss,MATCH(B196,mat_ref,0))),F196))</f>
        <v/>
      </c>
      <c r="H196" s="66" t="str">
        <f>IF(J196&lt;&gt;"OK","",INDEX(mat_price,MATCH(B196,mat_ref,0)))</f>
        <v/>
      </c>
      <c r="I196" s="66" t="str">
        <f>IF(J196&lt;&gt;"OK","",E196*(1+G196)*H196)</f>
        <v/>
      </c>
      <c r="J196" s="69" t="str">
        <f>IF(AND(A196="",B196=""),"",IF(A196="","Produit manquant",IF(COUNTIF(prod_ref,A196)=0,"Produit inconnu",IF(B196="","Matière manquante",IF(ISNA(MATCH(B196,mat_ref,0)),"Matière inconnue",IF(INDEX(mat_check,MATCH(B196,mat_ref,0))&lt;&gt;"OK","Matière à corriger",IF(OR(NOT(ISNUMBER(E196)),N(E196)&lt;=0),"Quantité invalide",IF(AND(F196&lt;&gt;"",OR(NOT(ISNUMBER(F196)),N(F196)&lt;0,N(F196)&gt;=1)),"Perte entre 0 et 99 %",IF(COUNTIFS(bom_prod,A196,bom_mat,B196)&gt;1,"Matière en double","OK")))))))))</f>
        <v/>
      </c>
      <c r="K196" s="71" t="str">
        <f>IF(AND(fiche_sel&lt;&gt;"",A196=fiche_sel),COUNTIF(A$6:A196,fiche_sel),"")</f>
        <v/>
      </c>
    </row>
    <row r="197">
      <c r="A197" s="60" t="n"/>
      <c r="B197" s="60" t="n"/>
      <c r="C197" s="71" t="str">
        <f>IF(B197="","",IFERROR(INDEX(mat_des,MATCH(B197,mat_ref,0))&amp;"","Matière inconnue"))</f>
        <v/>
      </c>
      <c r="D197" s="69" t="str">
        <f>IF(B197="","",IFERROR(INDEX(mat_unit,MATCH(B197,mat_ref,0))&amp;"",""))</f>
        <v/>
      </c>
      <c r="E197" s="72" t="n"/>
      <c r="F197" s="65" t="n"/>
      <c r="G197" s="68" t="str">
        <f>IF(J197&lt;&gt;"OK","",IF(F197="",N(INDEX(mat_loss,MATCH(B197,mat_ref,0))),F197))</f>
        <v/>
      </c>
      <c r="H197" s="66" t="str">
        <f>IF(J197&lt;&gt;"OK","",INDEX(mat_price,MATCH(B197,mat_ref,0)))</f>
        <v/>
      </c>
      <c r="I197" s="66" t="str">
        <f>IF(J197&lt;&gt;"OK","",E197*(1+G197)*H197)</f>
        <v/>
      </c>
      <c r="J197" s="69" t="str">
        <f>IF(AND(A197="",B197=""),"",IF(A197="","Produit manquant",IF(COUNTIF(prod_ref,A197)=0,"Produit inconnu",IF(B197="","Matière manquante",IF(ISNA(MATCH(B197,mat_ref,0)),"Matière inconnue",IF(INDEX(mat_check,MATCH(B197,mat_ref,0))&lt;&gt;"OK","Matière à corriger",IF(OR(NOT(ISNUMBER(E197)),N(E197)&lt;=0),"Quantité invalide",IF(AND(F197&lt;&gt;"",OR(NOT(ISNUMBER(F197)),N(F197)&lt;0,N(F197)&gt;=1)),"Perte entre 0 et 99 %",IF(COUNTIFS(bom_prod,A197,bom_mat,B197)&gt;1,"Matière en double","OK")))))))))</f>
        <v/>
      </c>
      <c r="K197" s="71" t="str">
        <f>IF(AND(fiche_sel&lt;&gt;"",A197=fiche_sel),COUNTIF(A$6:A197,fiche_sel),"")</f>
        <v/>
      </c>
    </row>
    <row r="198">
      <c r="A198" s="60" t="n"/>
      <c r="B198" s="60" t="n"/>
      <c r="C198" s="71" t="str">
        <f>IF(B198="","",IFERROR(INDEX(mat_des,MATCH(B198,mat_ref,0))&amp;"","Matière inconnue"))</f>
        <v/>
      </c>
      <c r="D198" s="69" t="str">
        <f>IF(B198="","",IFERROR(INDEX(mat_unit,MATCH(B198,mat_ref,0))&amp;"",""))</f>
        <v/>
      </c>
      <c r="E198" s="72" t="n"/>
      <c r="F198" s="65" t="n"/>
      <c r="G198" s="68" t="str">
        <f>IF(J198&lt;&gt;"OK","",IF(F198="",N(INDEX(mat_loss,MATCH(B198,mat_ref,0))),F198))</f>
        <v/>
      </c>
      <c r="H198" s="66" t="str">
        <f>IF(J198&lt;&gt;"OK","",INDEX(mat_price,MATCH(B198,mat_ref,0)))</f>
        <v/>
      </c>
      <c r="I198" s="66" t="str">
        <f>IF(J198&lt;&gt;"OK","",E198*(1+G198)*H198)</f>
        <v/>
      </c>
      <c r="J198" s="69" t="str">
        <f>IF(AND(A198="",B198=""),"",IF(A198="","Produit manquant",IF(COUNTIF(prod_ref,A198)=0,"Produit inconnu",IF(B198="","Matière manquante",IF(ISNA(MATCH(B198,mat_ref,0)),"Matière inconnue",IF(INDEX(mat_check,MATCH(B198,mat_ref,0))&lt;&gt;"OK","Matière à corriger",IF(OR(NOT(ISNUMBER(E198)),N(E198)&lt;=0),"Quantité invalide",IF(AND(F198&lt;&gt;"",OR(NOT(ISNUMBER(F198)),N(F198)&lt;0,N(F198)&gt;=1)),"Perte entre 0 et 99 %",IF(COUNTIFS(bom_prod,A198,bom_mat,B198)&gt;1,"Matière en double","OK")))))))))</f>
        <v/>
      </c>
      <c r="K198" s="71" t="str">
        <f>IF(AND(fiche_sel&lt;&gt;"",A198=fiche_sel),COUNTIF(A$6:A198,fiche_sel),"")</f>
        <v/>
      </c>
    </row>
    <row r="199">
      <c r="A199" s="60" t="n"/>
      <c r="B199" s="60" t="n"/>
      <c r="C199" s="71" t="str">
        <f>IF(B199="","",IFERROR(INDEX(mat_des,MATCH(B199,mat_ref,0))&amp;"","Matière inconnue"))</f>
        <v/>
      </c>
      <c r="D199" s="69" t="str">
        <f>IF(B199="","",IFERROR(INDEX(mat_unit,MATCH(B199,mat_ref,0))&amp;"",""))</f>
        <v/>
      </c>
      <c r="E199" s="72" t="n"/>
      <c r="F199" s="65" t="n"/>
      <c r="G199" s="68" t="str">
        <f>IF(J199&lt;&gt;"OK","",IF(F199="",N(INDEX(mat_loss,MATCH(B199,mat_ref,0))),F199))</f>
        <v/>
      </c>
      <c r="H199" s="66" t="str">
        <f>IF(J199&lt;&gt;"OK","",INDEX(mat_price,MATCH(B199,mat_ref,0)))</f>
        <v/>
      </c>
      <c r="I199" s="66" t="str">
        <f>IF(J199&lt;&gt;"OK","",E199*(1+G199)*H199)</f>
        <v/>
      </c>
      <c r="J199" s="69" t="str">
        <f>IF(AND(A199="",B199=""),"",IF(A199="","Produit manquant",IF(COUNTIF(prod_ref,A199)=0,"Produit inconnu",IF(B199="","Matière manquante",IF(ISNA(MATCH(B199,mat_ref,0)),"Matière inconnue",IF(INDEX(mat_check,MATCH(B199,mat_ref,0))&lt;&gt;"OK","Matière à corriger",IF(OR(NOT(ISNUMBER(E199)),N(E199)&lt;=0),"Quantité invalide",IF(AND(F199&lt;&gt;"",OR(NOT(ISNUMBER(F199)),N(F199)&lt;0,N(F199)&gt;=1)),"Perte entre 0 et 99 %",IF(COUNTIFS(bom_prod,A199,bom_mat,B199)&gt;1,"Matière en double","OK")))))))))</f>
        <v/>
      </c>
      <c r="K199" s="71" t="str">
        <f>IF(AND(fiche_sel&lt;&gt;"",A199=fiche_sel),COUNTIF(A$6:A199,fiche_sel),"")</f>
        <v/>
      </c>
    </row>
    <row r="200">
      <c r="A200" s="60" t="n"/>
      <c r="B200" s="60" t="n"/>
      <c r="C200" s="71" t="str">
        <f>IF(B200="","",IFERROR(INDEX(mat_des,MATCH(B200,mat_ref,0))&amp;"","Matière inconnue"))</f>
        <v/>
      </c>
      <c r="D200" s="69" t="str">
        <f>IF(B200="","",IFERROR(INDEX(mat_unit,MATCH(B200,mat_ref,0))&amp;"",""))</f>
        <v/>
      </c>
      <c r="E200" s="72" t="n"/>
      <c r="F200" s="65" t="n"/>
      <c r="G200" s="68" t="str">
        <f>IF(J200&lt;&gt;"OK","",IF(F200="",N(INDEX(mat_loss,MATCH(B200,mat_ref,0))),F200))</f>
        <v/>
      </c>
      <c r="H200" s="66" t="str">
        <f>IF(J200&lt;&gt;"OK","",INDEX(mat_price,MATCH(B200,mat_ref,0)))</f>
        <v/>
      </c>
      <c r="I200" s="66" t="str">
        <f>IF(J200&lt;&gt;"OK","",E200*(1+G200)*H200)</f>
        <v/>
      </c>
      <c r="J200" s="69" t="str">
        <f>IF(AND(A200="",B200=""),"",IF(A200="","Produit manquant",IF(COUNTIF(prod_ref,A200)=0,"Produit inconnu",IF(B200="","Matière manquante",IF(ISNA(MATCH(B200,mat_ref,0)),"Matière inconnue",IF(INDEX(mat_check,MATCH(B200,mat_ref,0))&lt;&gt;"OK","Matière à corriger",IF(OR(NOT(ISNUMBER(E200)),N(E200)&lt;=0),"Quantité invalide",IF(AND(F200&lt;&gt;"",OR(NOT(ISNUMBER(F200)),N(F200)&lt;0,N(F200)&gt;=1)),"Perte entre 0 et 99 %",IF(COUNTIFS(bom_prod,A200,bom_mat,B200)&gt;1,"Matière en double","OK")))))))))</f>
        <v/>
      </c>
      <c r="K200" s="71" t="str">
        <f>IF(AND(fiche_sel&lt;&gt;"",A200=fiche_sel),COUNTIF(A$6:A200,fiche_sel),"")</f>
        <v/>
      </c>
    </row>
    <row r="201">
      <c r="A201" s="60" t="n"/>
      <c r="B201" s="60" t="n"/>
      <c r="C201" s="71" t="str">
        <f>IF(B201="","",IFERROR(INDEX(mat_des,MATCH(B201,mat_ref,0))&amp;"","Matière inconnue"))</f>
        <v/>
      </c>
      <c r="D201" s="69" t="str">
        <f>IF(B201="","",IFERROR(INDEX(mat_unit,MATCH(B201,mat_ref,0))&amp;"",""))</f>
        <v/>
      </c>
      <c r="E201" s="72" t="n"/>
      <c r="F201" s="65" t="n"/>
      <c r="G201" s="68" t="str">
        <f>IF(J201&lt;&gt;"OK","",IF(F201="",N(INDEX(mat_loss,MATCH(B201,mat_ref,0))),F201))</f>
        <v/>
      </c>
      <c r="H201" s="66" t="str">
        <f>IF(J201&lt;&gt;"OK","",INDEX(mat_price,MATCH(B201,mat_ref,0)))</f>
        <v/>
      </c>
      <c r="I201" s="66" t="str">
        <f>IF(J201&lt;&gt;"OK","",E201*(1+G201)*H201)</f>
        <v/>
      </c>
      <c r="J201" s="69" t="str">
        <f>IF(AND(A201="",B201=""),"",IF(A201="","Produit manquant",IF(COUNTIF(prod_ref,A201)=0,"Produit inconnu",IF(B201="","Matière manquante",IF(ISNA(MATCH(B201,mat_ref,0)),"Matière inconnue",IF(INDEX(mat_check,MATCH(B201,mat_ref,0))&lt;&gt;"OK","Matière à corriger",IF(OR(NOT(ISNUMBER(E201)),N(E201)&lt;=0),"Quantité invalide",IF(AND(F201&lt;&gt;"",OR(NOT(ISNUMBER(F201)),N(F201)&lt;0,N(F201)&gt;=1)),"Perte entre 0 et 99 %",IF(COUNTIFS(bom_prod,A201,bom_mat,B201)&gt;1,"Matière en double","OK")))))))))</f>
        <v/>
      </c>
      <c r="K201" s="71" t="str">
        <f>IF(AND(fiche_sel&lt;&gt;"",A201=fiche_sel),COUNTIF(A$6:A201,fiche_sel),"")</f>
        <v/>
      </c>
    </row>
    <row r="202">
      <c r="A202" s="60" t="n"/>
      <c r="B202" s="60" t="n"/>
      <c r="C202" s="71" t="str">
        <f>IF(B202="","",IFERROR(INDEX(mat_des,MATCH(B202,mat_ref,0))&amp;"","Matière inconnue"))</f>
        <v/>
      </c>
      <c r="D202" s="69" t="str">
        <f>IF(B202="","",IFERROR(INDEX(mat_unit,MATCH(B202,mat_ref,0))&amp;"",""))</f>
        <v/>
      </c>
      <c r="E202" s="72" t="n"/>
      <c r="F202" s="65" t="n"/>
      <c r="G202" s="68" t="str">
        <f>IF(J202&lt;&gt;"OK","",IF(F202="",N(INDEX(mat_loss,MATCH(B202,mat_ref,0))),F202))</f>
        <v/>
      </c>
      <c r="H202" s="66" t="str">
        <f>IF(J202&lt;&gt;"OK","",INDEX(mat_price,MATCH(B202,mat_ref,0)))</f>
        <v/>
      </c>
      <c r="I202" s="66" t="str">
        <f>IF(J202&lt;&gt;"OK","",E202*(1+G202)*H202)</f>
        <v/>
      </c>
      <c r="J202" s="69" t="str">
        <f>IF(AND(A202="",B202=""),"",IF(A202="","Produit manquant",IF(COUNTIF(prod_ref,A202)=0,"Produit inconnu",IF(B202="","Matière manquante",IF(ISNA(MATCH(B202,mat_ref,0)),"Matière inconnue",IF(INDEX(mat_check,MATCH(B202,mat_ref,0))&lt;&gt;"OK","Matière à corriger",IF(OR(NOT(ISNUMBER(E202)),N(E202)&lt;=0),"Quantité invalide",IF(AND(F202&lt;&gt;"",OR(NOT(ISNUMBER(F202)),N(F202)&lt;0,N(F202)&gt;=1)),"Perte entre 0 et 99 %",IF(COUNTIFS(bom_prod,A202,bom_mat,B202)&gt;1,"Matière en double","OK")))))))))</f>
        <v/>
      </c>
      <c r="K202" s="71" t="str">
        <f>IF(AND(fiche_sel&lt;&gt;"",A202=fiche_sel),COUNTIF(A$6:A202,fiche_sel),"")</f>
        <v/>
      </c>
    </row>
    <row r="203">
      <c r="A203" s="60" t="n"/>
      <c r="B203" s="60" t="n"/>
      <c r="C203" s="71" t="str">
        <f>IF(B203="","",IFERROR(INDEX(mat_des,MATCH(B203,mat_ref,0))&amp;"","Matière inconnue"))</f>
        <v/>
      </c>
      <c r="D203" s="69" t="str">
        <f>IF(B203="","",IFERROR(INDEX(mat_unit,MATCH(B203,mat_ref,0))&amp;"",""))</f>
        <v/>
      </c>
      <c r="E203" s="72" t="n"/>
      <c r="F203" s="65" t="n"/>
      <c r="G203" s="68" t="str">
        <f>IF(J203&lt;&gt;"OK","",IF(F203="",N(INDEX(mat_loss,MATCH(B203,mat_ref,0))),F203))</f>
        <v/>
      </c>
      <c r="H203" s="66" t="str">
        <f>IF(J203&lt;&gt;"OK","",INDEX(mat_price,MATCH(B203,mat_ref,0)))</f>
        <v/>
      </c>
      <c r="I203" s="66" t="str">
        <f>IF(J203&lt;&gt;"OK","",E203*(1+G203)*H203)</f>
        <v/>
      </c>
      <c r="J203" s="69" t="str">
        <f>IF(AND(A203="",B203=""),"",IF(A203="","Produit manquant",IF(COUNTIF(prod_ref,A203)=0,"Produit inconnu",IF(B203="","Matière manquante",IF(ISNA(MATCH(B203,mat_ref,0)),"Matière inconnue",IF(INDEX(mat_check,MATCH(B203,mat_ref,0))&lt;&gt;"OK","Matière à corriger",IF(OR(NOT(ISNUMBER(E203)),N(E203)&lt;=0),"Quantité invalide",IF(AND(F203&lt;&gt;"",OR(NOT(ISNUMBER(F203)),N(F203)&lt;0,N(F203)&gt;=1)),"Perte entre 0 et 99 %",IF(COUNTIFS(bom_prod,A203,bom_mat,B203)&gt;1,"Matière en double","OK")))))))))</f>
        <v/>
      </c>
      <c r="K203" s="71" t="str">
        <f>IF(AND(fiche_sel&lt;&gt;"",A203=fiche_sel),COUNTIF(A$6:A203,fiche_sel),"")</f>
        <v/>
      </c>
    </row>
    <row r="204">
      <c r="A204" s="60" t="n"/>
      <c r="B204" s="60" t="n"/>
      <c r="C204" s="71" t="str">
        <f>IF(B204="","",IFERROR(INDEX(mat_des,MATCH(B204,mat_ref,0))&amp;"","Matière inconnue"))</f>
        <v/>
      </c>
      <c r="D204" s="69" t="str">
        <f>IF(B204="","",IFERROR(INDEX(mat_unit,MATCH(B204,mat_ref,0))&amp;"",""))</f>
        <v/>
      </c>
      <c r="E204" s="72" t="n"/>
      <c r="F204" s="65" t="n"/>
      <c r="G204" s="68" t="str">
        <f>IF(J204&lt;&gt;"OK","",IF(F204="",N(INDEX(mat_loss,MATCH(B204,mat_ref,0))),F204))</f>
        <v/>
      </c>
      <c r="H204" s="66" t="str">
        <f>IF(J204&lt;&gt;"OK","",INDEX(mat_price,MATCH(B204,mat_ref,0)))</f>
        <v/>
      </c>
      <c r="I204" s="66" t="str">
        <f>IF(J204&lt;&gt;"OK","",E204*(1+G204)*H204)</f>
        <v/>
      </c>
      <c r="J204" s="69" t="str">
        <f>IF(AND(A204="",B204=""),"",IF(A204="","Produit manquant",IF(COUNTIF(prod_ref,A204)=0,"Produit inconnu",IF(B204="","Matière manquante",IF(ISNA(MATCH(B204,mat_ref,0)),"Matière inconnue",IF(INDEX(mat_check,MATCH(B204,mat_ref,0))&lt;&gt;"OK","Matière à corriger",IF(OR(NOT(ISNUMBER(E204)),N(E204)&lt;=0),"Quantité invalide",IF(AND(F204&lt;&gt;"",OR(NOT(ISNUMBER(F204)),N(F204)&lt;0,N(F204)&gt;=1)),"Perte entre 0 et 99 %",IF(COUNTIFS(bom_prod,A204,bom_mat,B204)&gt;1,"Matière en double","OK")))))))))</f>
        <v/>
      </c>
      <c r="K204" s="71" t="str">
        <f>IF(AND(fiche_sel&lt;&gt;"",A204=fiche_sel),COUNTIF(A$6:A204,fiche_sel),"")</f>
        <v/>
      </c>
    </row>
    <row r="205">
      <c r="A205" s="60" t="n"/>
      <c r="B205" s="60" t="n"/>
      <c r="C205" s="71" t="str">
        <f>IF(B205="","",IFERROR(INDEX(mat_des,MATCH(B205,mat_ref,0))&amp;"","Matière inconnue"))</f>
        <v/>
      </c>
      <c r="D205" s="69" t="str">
        <f>IF(B205="","",IFERROR(INDEX(mat_unit,MATCH(B205,mat_ref,0))&amp;"",""))</f>
        <v/>
      </c>
      <c r="E205" s="72" t="n"/>
      <c r="F205" s="65" t="n"/>
      <c r="G205" s="68" t="str">
        <f>IF(J205&lt;&gt;"OK","",IF(F205="",N(INDEX(mat_loss,MATCH(B205,mat_ref,0))),F205))</f>
        <v/>
      </c>
      <c r="H205" s="66" t="str">
        <f>IF(J205&lt;&gt;"OK","",INDEX(mat_price,MATCH(B205,mat_ref,0)))</f>
        <v/>
      </c>
      <c r="I205" s="66" t="str">
        <f>IF(J205&lt;&gt;"OK","",E205*(1+G205)*H205)</f>
        <v/>
      </c>
      <c r="J205" s="69" t="str">
        <f>IF(AND(A205="",B205=""),"",IF(A205="","Produit manquant",IF(COUNTIF(prod_ref,A205)=0,"Produit inconnu",IF(B205="","Matière manquante",IF(ISNA(MATCH(B205,mat_ref,0)),"Matière inconnue",IF(INDEX(mat_check,MATCH(B205,mat_ref,0))&lt;&gt;"OK","Matière à corriger",IF(OR(NOT(ISNUMBER(E205)),N(E205)&lt;=0),"Quantité invalide",IF(AND(F205&lt;&gt;"",OR(NOT(ISNUMBER(F205)),N(F205)&lt;0,N(F205)&gt;=1)),"Perte entre 0 et 99 %",IF(COUNTIFS(bom_prod,A205,bom_mat,B205)&gt;1,"Matière en double","OK")))))))))</f>
        <v/>
      </c>
      <c r="K205" s="71" t="str">
        <f>IF(AND(fiche_sel&lt;&gt;"",A205=fiche_sel),COUNTIF(A$6:A205,fiche_sel),"")</f>
        <v/>
      </c>
    </row>
    <row r="206">
      <c r="A206" s="60" t="n"/>
      <c r="B206" s="60" t="n"/>
      <c r="C206" s="71" t="str">
        <f>IF(B206="","",IFERROR(INDEX(mat_des,MATCH(B206,mat_ref,0))&amp;"","Matière inconnue"))</f>
        <v/>
      </c>
      <c r="D206" s="69" t="str">
        <f>IF(B206="","",IFERROR(INDEX(mat_unit,MATCH(B206,mat_ref,0))&amp;"",""))</f>
        <v/>
      </c>
      <c r="E206" s="72" t="n"/>
      <c r="F206" s="65" t="n"/>
      <c r="G206" s="68" t="str">
        <f>IF(J206&lt;&gt;"OK","",IF(F206="",N(INDEX(mat_loss,MATCH(B206,mat_ref,0))),F206))</f>
        <v/>
      </c>
      <c r="H206" s="66" t="str">
        <f>IF(J206&lt;&gt;"OK","",INDEX(mat_price,MATCH(B206,mat_ref,0)))</f>
        <v/>
      </c>
      <c r="I206" s="66" t="str">
        <f>IF(J206&lt;&gt;"OK","",E206*(1+G206)*H206)</f>
        <v/>
      </c>
      <c r="J206" s="69" t="str">
        <f>IF(AND(A206="",B206=""),"",IF(A206="","Produit manquant",IF(COUNTIF(prod_ref,A206)=0,"Produit inconnu",IF(B206="","Matière manquante",IF(ISNA(MATCH(B206,mat_ref,0)),"Matière inconnue",IF(INDEX(mat_check,MATCH(B206,mat_ref,0))&lt;&gt;"OK","Matière à corriger",IF(OR(NOT(ISNUMBER(E206)),N(E206)&lt;=0),"Quantité invalide",IF(AND(F206&lt;&gt;"",OR(NOT(ISNUMBER(F206)),N(F206)&lt;0,N(F206)&gt;=1)),"Perte entre 0 et 99 %",IF(COUNTIFS(bom_prod,A206,bom_mat,B206)&gt;1,"Matière en double","OK")))))))))</f>
        <v/>
      </c>
      <c r="K206" s="71" t="str">
        <f>IF(AND(fiche_sel&lt;&gt;"",A206=fiche_sel),COUNTIF(A$6:A206,fiche_sel),"")</f>
        <v/>
      </c>
    </row>
    <row r="207">
      <c r="A207" s="60" t="n"/>
      <c r="B207" s="60" t="n"/>
      <c r="C207" s="71" t="str">
        <f>IF(B207="","",IFERROR(INDEX(mat_des,MATCH(B207,mat_ref,0))&amp;"","Matière inconnue"))</f>
        <v/>
      </c>
      <c r="D207" s="69" t="str">
        <f>IF(B207="","",IFERROR(INDEX(mat_unit,MATCH(B207,mat_ref,0))&amp;"",""))</f>
        <v/>
      </c>
      <c r="E207" s="72" t="n"/>
      <c r="F207" s="65" t="n"/>
      <c r="G207" s="68" t="str">
        <f>IF(J207&lt;&gt;"OK","",IF(F207="",N(INDEX(mat_loss,MATCH(B207,mat_ref,0))),F207))</f>
        <v/>
      </c>
      <c r="H207" s="66" t="str">
        <f>IF(J207&lt;&gt;"OK","",INDEX(mat_price,MATCH(B207,mat_ref,0)))</f>
        <v/>
      </c>
      <c r="I207" s="66" t="str">
        <f>IF(J207&lt;&gt;"OK","",E207*(1+G207)*H207)</f>
        <v/>
      </c>
      <c r="J207" s="69" t="str">
        <f>IF(AND(A207="",B207=""),"",IF(A207="","Produit manquant",IF(COUNTIF(prod_ref,A207)=0,"Produit inconnu",IF(B207="","Matière manquante",IF(ISNA(MATCH(B207,mat_ref,0)),"Matière inconnue",IF(INDEX(mat_check,MATCH(B207,mat_ref,0))&lt;&gt;"OK","Matière à corriger",IF(OR(NOT(ISNUMBER(E207)),N(E207)&lt;=0),"Quantité invalide",IF(AND(F207&lt;&gt;"",OR(NOT(ISNUMBER(F207)),N(F207)&lt;0,N(F207)&gt;=1)),"Perte entre 0 et 99 %",IF(COUNTIFS(bom_prod,A207,bom_mat,B207)&gt;1,"Matière en double","OK")))))))))</f>
        <v/>
      </c>
      <c r="K207" s="71" t="str">
        <f>IF(AND(fiche_sel&lt;&gt;"",A207=fiche_sel),COUNTIF(A$6:A207,fiche_sel),"")</f>
        <v/>
      </c>
    </row>
    <row r="208">
      <c r="A208" s="60" t="n"/>
      <c r="B208" s="60" t="n"/>
      <c r="C208" s="71" t="str">
        <f>IF(B208="","",IFERROR(INDEX(mat_des,MATCH(B208,mat_ref,0))&amp;"","Matière inconnue"))</f>
        <v/>
      </c>
      <c r="D208" s="69" t="str">
        <f>IF(B208="","",IFERROR(INDEX(mat_unit,MATCH(B208,mat_ref,0))&amp;"",""))</f>
        <v/>
      </c>
      <c r="E208" s="72" t="n"/>
      <c r="F208" s="65" t="n"/>
      <c r="G208" s="68" t="str">
        <f>IF(J208&lt;&gt;"OK","",IF(F208="",N(INDEX(mat_loss,MATCH(B208,mat_ref,0))),F208))</f>
        <v/>
      </c>
      <c r="H208" s="66" t="str">
        <f>IF(J208&lt;&gt;"OK","",INDEX(mat_price,MATCH(B208,mat_ref,0)))</f>
        <v/>
      </c>
      <c r="I208" s="66" t="str">
        <f>IF(J208&lt;&gt;"OK","",E208*(1+G208)*H208)</f>
        <v/>
      </c>
      <c r="J208" s="69" t="str">
        <f>IF(AND(A208="",B208=""),"",IF(A208="","Produit manquant",IF(COUNTIF(prod_ref,A208)=0,"Produit inconnu",IF(B208="","Matière manquante",IF(ISNA(MATCH(B208,mat_ref,0)),"Matière inconnue",IF(INDEX(mat_check,MATCH(B208,mat_ref,0))&lt;&gt;"OK","Matière à corriger",IF(OR(NOT(ISNUMBER(E208)),N(E208)&lt;=0),"Quantité invalide",IF(AND(F208&lt;&gt;"",OR(NOT(ISNUMBER(F208)),N(F208)&lt;0,N(F208)&gt;=1)),"Perte entre 0 et 99 %",IF(COUNTIFS(bom_prod,A208,bom_mat,B208)&gt;1,"Matière en double","OK")))))))))</f>
        <v/>
      </c>
      <c r="K208" s="71" t="str">
        <f>IF(AND(fiche_sel&lt;&gt;"",A208=fiche_sel),COUNTIF(A$6:A208,fiche_sel),"")</f>
        <v/>
      </c>
    </row>
    <row r="209">
      <c r="A209" s="60" t="n"/>
      <c r="B209" s="60" t="n"/>
      <c r="C209" s="71" t="str">
        <f>IF(B209="","",IFERROR(INDEX(mat_des,MATCH(B209,mat_ref,0))&amp;"","Matière inconnue"))</f>
        <v/>
      </c>
      <c r="D209" s="69" t="str">
        <f>IF(B209="","",IFERROR(INDEX(mat_unit,MATCH(B209,mat_ref,0))&amp;"",""))</f>
        <v/>
      </c>
      <c r="E209" s="72" t="n"/>
      <c r="F209" s="65" t="n"/>
      <c r="G209" s="68" t="str">
        <f>IF(J209&lt;&gt;"OK","",IF(F209="",N(INDEX(mat_loss,MATCH(B209,mat_ref,0))),F209))</f>
        <v/>
      </c>
      <c r="H209" s="66" t="str">
        <f>IF(J209&lt;&gt;"OK","",INDEX(mat_price,MATCH(B209,mat_ref,0)))</f>
        <v/>
      </c>
      <c r="I209" s="66" t="str">
        <f>IF(J209&lt;&gt;"OK","",E209*(1+G209)*H209)</f>
        <v/>
      </c>
      <c r="J209" s="69" t="str">
        <f>IF(AND(A209="",B209=""),"",IF(A209="","Produit manquant",IF(COUNTIF(prod_ref,A209)=0,"Produit inconnu",IF(B209="","Matière manquante",IF(ISNA(MATCH(B209,mat_ref,0)),"Matière inconnue",IF(INDEX(mat_check,MATCH(B209,mat_ref,0))&lt;&gt;"OK","Matière à corriger",IF(OR(NOT(ISNUMBER(E209)),N(E209)&lt;=0),"Quantité invalide",IF(AND(F209&lt;&gt;"",OR(NOT(ISNUMBER(F209)),N(F209)&lt;0,N(F209)&gt;=1)),"Perte entre 0 et 99 %",IF(COUNTIFS(bom_prod,A209,bom_mat,B209)&gt;1,"Matière en double","OK")))))))))</f>
        <v/>
      </c>
      <c r="K209" s="71" t="str">
        <f>IF(AND(fiche_sel&lt;&gt;"",A209=fiche_sel),COUNTIF(A$6:A209,fiche_sel),"")</f>
        <v/>
      </c>
    </row>
    <row r="210">
      <c r="A210" s="60" t="n"/>
      <c r="B210" s="60" t="n"/>
      <c r="C210" s="71" t="str">
        <f>IF(B210="","",IFERROR(INDEX(mat_des,MATCH(B210,mat_ref,0))&amp;"","Matière inconnue"))</f>
        <v/>
      </c>
      <c r="D210" s="69" t="str">
        <f>IF(B210="","",IFERROR(INDEX(mat_unit,MATCH(B210,mat_ref,0))&amp;"",""))</f>
        <v/>
      </c>
      <c r="E210" s="72" t="n"/>
      <c r="F210" s="65" t="n"/>
      <c r="G210" s="68" t="str">
        <f>IF(J210&lt;&gt;"OK","",IF(F210="",N(INDEX(mat_loss,MATCH(B210,mat_ref,0))),F210))</f>
        <v/>
      </c>
      <c r="H210" s="66" t="str">
        <f>IF(J210&lt;&gt;"OK","",INDEX(mat_price,MATCH(B210,mat_ref,0)))</f>
        <v/>
      </c>
      <c r="I210" s="66" t="str">
        <f>IF(J210&lt;&gt;"OK","",E210*(1+G210)*H210)</f>
        <v/>
      </c>
      <c r="J210" s="69" t="str">
        <f>IF(AND(A210="",B210=""),"",IF(A210="","Produit manquant",IF(COUNTIF(prod_ref,A210)=0,"Produit inconnu",IF(B210="","Matière manquante",IF(ISNA(MATCH(B210,mat_ref,0)),"Matière inconnue",IF(INDEX(mat_check,MATCH(B210,mat_ref,0))&lt;&gt;"OK","Matière à corriger",IF(OR(NOT(ISNUMBER(E210)),N(E210)&lt;=0),"Quantité invalide",IF(AND(F210&lt;&gt;"",OR(NOT(ISNUMBER(F210)),N(F210)&lt;0,N(F210)&gt;=1)),"Perte entre 0 et 99 %",IF(COUNTIFS(bom_prod,A210,bom_mat,B210)&gt;1,"Matière en double","OK")))))))))</f>
        <v/>
      </c>
      <c r="K210" s="71" t="str">
        <f>IF(AND(fiche_sel&lt;&gt;"",A210=fiche_sel),COUNTIF(A$6:A210,fiche_sel),"")</f>
        <v/>
      </c>
    </row>
    <row r="211">
      <c r="A211" s="60" t="n"/>
      <c r="B211" s="60" t="n"/>
      <c r="C211" s="71" t="str">
        <f>IF(B211="","",IFERROR(INDEX(mat_des,MATCH(B211,mat_ref,0))&amp;"","Matière inconnue"))</f>
        <v/>
      </c>
      <c r="D211" s="69" t="str">
        <f>IF(B211="","",IFERROR(INDEX(mat_unit,MATCH(B211,mat_ref,0))&amp;"",""))</f>
        <v/>
      </c>
      <c r="E211" s="72" t="n"/>
      <c r="F211" s="65" t="n"/>
      <c r="G211" s="68" t="str">
        <f>IF(J211&lt;&gt;"OK","",IF(F211="",N(INDEX(mat_loss,MATCH(B211,mat_ref,0))),F211))</f>
        <v/>
      </c>
      <c r="H211" s="66" t="str">
        <f>IF(J211&lt;&gt;"OK","",INDEX(mat_price,MATCH(B211,mat_ref,0)))</f>
        <v/>
      </c>
      <c r="I211" s="66" t="str">
        <f>IF(J211&lt;&gt;"OK","",E211*(1+G211)*H211)</f>
        <v/>
      </c>
      <c r="J211" s="69" t="str">
        <f>IF(AND(A211="",B211=""),"",IF(A211="","Produit manquant",IF(COUNTIF(prod_ref,A211)=0,"Produit inconnu",IF(B211="","Matière manquante",IF(ISNA(MATCH(B211,mat_ref,0)),"Matière inconnue",IF(INDEX(mat_check,MATCH(B211,mat_ref,0))&lt;&gt;"OK","Matière à corriger",IF(OR(NOT(ISNUMBER(E211)),N(E211)&lt;=0),"Quantité invalide",IF(AND(F211&lt;&gt;"",OR(NOT(ISNUMBER(F211)),N(F211)&lt;0,N(F211)&gt;=1)),"Perte entre 0 et 99 %",IF(COUNTIFS(bom_prod,A211,bom_mat,B211)&gt;1,"Matière en double","OK")))))))))</f>
        <v/>
      </c>
      <c r="K211" s="71" t="str">
        <f>IF(AND(fiche_sel&lt;&gt;"",A211=fiche_sel),COUNTIF(A$6:A211,fiche_sel),"")</f>
        <v/>
      </c>
    </row>
    <row r="212">
      <c r="A212" s="60" t="n"/>
      <c r="B212" s="60" t="n"/>
      <c r="C212" s="71" t="str">
        <f>IF(B212="","",IFERROR(INDEX(mat_des,MATCH(B212,mat_ref,0))&amp;"","Matière inconnue"))</f>
        <v/>
      </c>
      <c r="D212" s="69" t="str">
        <f>IF(B212="","",IFERROR(INDEX(mat_unit,MATCH(B212,mat_ref,0))&amp;"",""))</f>
        <v/>
      </c>
      <c r="E212" s="72" t="n"/>
      <c r="F212" s="65" t="n"/>
      <c r="G212" s="68" t="str">
        <f>IF(J212&lt;&gt;"OK","",IF(F212="",N(INDEX(mat_loss,MATCH(B212,mat_ref,0))),F212))</f>
        <v/>
      </c>
      <c r="H212" s="66" t="str">
        <f>IF(J212&lt;&gt;"OK","",INDEX(mat_price,MATCH(B212,mat_ref,0)))</f>
        <v/>
      </c>
      <c r="I212" s="66" t="str">
        <f>IF(J212&lt;&gt;"OK","",E212*(1+G212)*H212)</f>
        <v/>
      </c>
      <c r="J212" s="69" t="str">
        <f>IF(AND(A212="",B212=""),"",IF(A212="","Produit manquant",IF(COUNTIF(prod_ref,A212)=0,"Produit inconnu",IF(B212="","Matière manquante",IF(ISNA(MATCH(B212,mat_ref,0)),"Matière inconnue",IF(INDEX(mat_check,MATCH(B212,mat_ref,0))&lt;&gt;"OK","Matière à corriger",IF(OR(NOT(ISNUMBER(E212)),N(E212)&lt;=0),"Quantité invalide",IF(AND(F212&lt;&gt;"",OR(NOT(ISNUMBER(F212)),N(F212)&lt;0,N(F212)&gt;=1)),"Perte entre 0 et 99 %",IF(COUNTIFS(bom_prod,A212,bom_mat,B212)&gt;1,"Matière en double","OK")))))))))</f>
        <v/>
      </c>
      <c r="K212" s="71" t="str">
        <f>IF(AND(fiche_sel&lt;&gt;"",A212=fiche_sel),COUNTIF(A$6:A212,fiche_sel),"")</f>
        <v/>
      </c>
    </row>
    <row r="213">
      <c r="A213" s="60" t="n"/>
      <c r="B213" s="60" t="n"/>
      <c r="C213" s="71" t="str">
        <f>IF(B213="","",IFERROR(INDEX(mat_des,MATCH(B213,mat_ref,0))&amp;"","Matière inconnue"))</f>
        <v/>
      </c>
      <c r="D213" s="69" t="str">
        <f>IF(B213="","",IFERROR(INDEX(mat_unit,MATCH(B213,mat_ref,0))&amp;"",""))</f>
        <v/>
      </c>
      <c r="E213" s="72" t="n"/>
      <c r="F213" s="65" t="n"/>
      <c r="G213" s="68" t="str">
        <f>IF(J213&lt;&gt;"OK","",IF(F213="",N(INDEX(mat_loss,MATCH(B213,mat_ref,0))),F213))</f>
        <v/>
      </c>
      <c r="H213" s="66" t="str">
        <f>IF(J213&lt;&gt;"OK","",INDEX(mat_price,MATCH(B213,mat_ref,0)))</f>
        <v/>
      </c>
      <c r="I213" s="66" t="str">
        <f>IF(J213&lt;&gt;"OK","",E213*(1+G213)*H213)</f>
        <v/>
      </c>
      <c r="J213" s="69" t="str">
        <f>IF(AND(A213="",B213=""),"",IF(A213="","Produit manquant",IF(COUNTIF(prod_ref,A213)=0,"Produit inconnu",IF(B213="","Matière manquante",IF(ISNA(MATCH(B213,mat_ref,0)),"Matière inconnue",IF(INDEX(mat_check,MATCH(B213,mat_ref,0))&lt;&gt;"OK","Matière à corriger",IF(OR(NOT(ISNUMBER(E213)),N(E213)&lt;=0),"Quantité invalide",IF(AND(F213&lt;&gt;"",OR(NOT(ISNUMBER(F213)),N(F213)&lt;0,N(F213)&gt;=1)),"Perte entre 0 et 99 %",IF(COUNTIFS(bom_prod,A213,bom_mat,B213)&gt;1,"Matière en double","OK")))))))))</f>
        <v/>
      </c>
      <c r="K213" s="71" t="str">
        <f>IF(AND(fiche_sel&lt;&gt;"",A213=fiche_sel),COUNTIF(A$6:A213,fiche_sel),"")</f>
        <v/>
      </c>
    </row>
    <row r="214">
      <c r="A214" s="60" t="n"/>
      <c r="B214" s="60" t="n"/>
      <c r="C214" s="71" t="str">
        <f>IF(B214="","",IFERROR(INDEX(mat_des,MATCH(B214,mat_ref,0))&amp;"","Matière inconnue"))</f>
        <v/>
      </c>
      <c r="D214" s="69" t="str">
        <f>IF(B214="","",IFERROR(INDEX(mat_unit,MATCH(B214,mat_ref,0))&amp;"",""))</f>
        <v/>
      </c>
      <c r="E214" s="72" t="n"/>
      <c r="F214" s="65" t="n"/>
      <c r="G214" s="68" t="str">
        <f>IF(J214&lt;&gt;"OK","",IF(F214="",N(INDEX(mat_loss,MATCH(B214,mat_ref,0))),F214))</f>
        <v/>
      </c>
      <c r="H214" s="66" t="str">
        <f>IF(J214&lt;&gt;"OK","",INDEX(mat_price,MATCH(B214,mat_ref,0)))</f>
        <v/>
      </c>
      <c r="I214" s="66" t="str">
        <f>IF(J214&lt;&gt;"OK","",E214*(1+G214)*H214)</f>
        <v/>
      </c>
      <c r="J214" s="69" t="str">
        <f>IF(AND(A214="",B214=""),"",IF(A214="","Produit manquant",IF(COUNTIF(prod_ref,A214)=0,"Produit inconnu",IF(B214="","Matière manquante",IF(ISNA(MATCH(B214,mat_ref,0)),"Matière inconnue",IF(INDEX(mat_check,MATCH(B214,mat_ref,0))&lt;&gt;"OK","Matière à corriger",IF(OR(NOT(ISNUMBER(E214)),N(E214)&lt;=0),"Quantité invalide",IF(AND(F214&lt;&gt;"",OR(NOT(ISNUMBER(F214)),N(F214)&lt;0,N(F214)&gt;=1)),"Perte entre 0 et 99 %",IF(COUNTIFS(bom_prod,A214,bom_mat,B214)&gt;1,"Matière en double","OK")))))))))</f>
        <v/>
      </c>
      <c r="K214" s="71" t="str">
        <f>IF(AND(fiche_sel&lt;&gt;"",A214=fiche_sel),COUNTIF(A$6:A214,fiche_sel),"")</f>
        <v/>
      </c>
    </row>
    <row r="215">
      <c r="A215" s="60" t="n"/>
      <c r="B215" s="60" t="n"/>
      <c r="C215" s="71" t="str">
        <f>IF(B215="","",IFERROR(INDEX(mat_des,MATCH(B215,mat_ref,0))&amp;"","Matière inconnue"))</f>
        <v/>
      </c>
      <c r="D215" s="69" t="str">
        <f>IF(B215="","",IFERROR(INDEX(mat_unit,MATCH(B215,mat_ref,0))&amp;"",""))</f>
        <v/>
      </c>
      <c r="E215" s="72" t="n"/>
      <c r="F215" s="65" t="n"/>
      <c r="G215" s="68" t="str">
        <f>IF(J215&lt;&gt;"OK","",IF(F215="",N(INDEX(mat_loss,MATCH(B215,mat_ref,0))),F215))</f>
        <v/>
      </c>
      <c r="H215" s="66" t="str">
        <f>IF(J215&lt;&gt;"OK","",INDEX(mat_price,MATCH(B215,mat_ref,0)))</f>
        <v/>
      </c>
      <c r="I215" s="66" t="str">
        <f>IF(J215&lt;&gt;"OK","",E215*(1+G215)*H215)</f>
        <v/>
      </c>
      <c r="J215" s="69" t="str">
        <f>IF(AND(A215="",B215=""),"",IF(A215="","Produit manquant",IF(COUNTIF(prod_ref,A215)=0,"Produit inconnu",IF(B215="","Matière manquante",IF(ISNA(MATCH(B215,mat_ref,0)),"Matière inconnue",IF(INDEX(mat_check,MATCH(B215,mat_ref,0))&lt;&gt;"OK","Matière à corriger",IF(OR(NOT(ISNUMBER(E215)),N(E215)&lt;=0),"Quantité invalide",IF(AND(F215&lt;&gt;"",OR(NOT(ISNUMBER(F215)),N(F215)&lt;0,N(F215)&gt;=1)),"Perte entre 0 et 99 %",IF(COUNTIFS(bom_prod,A215,bom_mat,B215)&gt;1,"Matière en double","OK")))))))))</f>
        <v/>
      </c>
      <c r="K215" s="71" t="str">
        <f>IF(AND(fiche_sel&lt;&gt;"",A215=fiche_sel),COUNTIF(A$6:A215,fiche_sel),"")</f>
        <v/>
      </c>
    </row>
    <row r="216">
      <c r="A216" s="60" t="n"/>
      <c r="B216" s="60" t="n"/>
      <c r="C216" s="71" t="str">
        <f>IF(B216="","",IFERROR(INDEX(mat_des,MATCH(B216,mat_ref,0))&amp;"","Matière inconnue"))</f>
        <v/>
      </c>
      <c r="D216" s="69" t="str">
        <f>IF(B216="","",IFERROR(INDEX(mat_unit,MATCH(B216,mat_ref,0))&amp;"",""))</f>
        <v/>
      </c>
      <c r="E216" s="72" t="n"/>
      <c r="F216" s="65" t="n"/>
      <c r="G216" s="68" t="str">
        <f>IF(J216&lt;&gt;"OK","",IF(F216="",N(INDEX(mat_loss,MATCH(B216,mat_ref,0))),F216))</f>
        <v/>
      </c>
      <c r="H216" s="66" t="str">
        <f>IF(J216&lt;&gt;"OK","",INDEX(mat_price,MATCH(B216,mat_ref,0)))</f>
        <v/>
      </c>
      <c r="I216" s="66" t="str">
        <f>IF(J216&lt;&gt;"OK","",E216*(1+G216)*H216)</f>
        <v/>
      </c>
      <c r="J216" s="69" t="str">
        <f>IF(AND(A216="",B216=""),"",IF(A216="","Produit manquant",IF(COUNTIF(prod_ref,A216)=0,"Produit inconnu",IF(B216="","Matière manquante",IF(ISNA(MATCH(B216,mat_ref,0)),"Matière inconnue",IF(INDEX(mat_check,MATCH(B216,mat_ref,0))&lt;&gt;"OK","Matière à corriger",IF(OR(NOT(ISNUMBER(E216)),N(E216)&lt;=0),"Quantité invalide",IF(AND(F216&lt;&gt;"",OR(NOT(ISNUMBER(F216)),N(F216)&lt;0,N(F216)&gt;=1)),"Perte entre 0 et 99 %",IF(COUNTIFS(bom_prod,A216,bom_mat,B216)&gt;1,"Matière en double","OK")))))))))</f>
        <v/>
      </c>
      <c r="K216" s="71" t="str">
        <f>IF(AND(fiche_sel&lt;&gt;"",A216=fiche_sel),COUNTIF(A$6:A216,fiche_sel),"")</f>
        <v/>
      </c>
    </row>
    <row r="217">
      <c r="A217" s="60" t="n"/>
      <c r="B217" s="60" t="n"/>
      <c r="C217" s="71" t="str">
        <f>IF(B217="","",IFERROR(INDEX(mat_des,MATCH(B217,mat_ref,0))&amp;"","Matière inconnue"))</f>
        <v/>
      </c>
      <c r="D217" s="69" t="str">
        <f>IF(B217="","",IFERROR(INDEX(mat_unit,MATCH(B217,mat_ref,0))&amp;"",""))</f>
        <v/>
      </c>
      <c r="E217" s="72" t="n"/>
      <c r="F217" s="65" t="n"/>
      <c r="G217" s="68" t="str">
        <f>IF(J217&lt;&gt;"OK","",IF(F217="",N(INDEX(mat_loss,MATCH(B217,mat_ref,0))),F217))</f>
        <v/>
      </c>
      <c r="H217" s="66" t="str">
        <f>IF(J217&lt;&gt;"OK","",INDEX(mat_price,MATCH(B217,mat_ref,0)))</f>
        <v/>
      </c>
      <c r="I217" s="66" t="str">
        <f>IF(J217&lt;&gt;"OK","",E217*(1+G217)*H217)</f>
        <v/>
      </c>
      <c r="J217" s="69" t="str">
        <f>IF(AND(A217="",B217=""),"",IF(A217="","Produit manquant",IF(COUNTIF(prod_ref,A217)=0,"Produit inconnu",IF(B217="","Matière manquante",IF(ISNA(MATCH(B217,mat_ref,0)),"Matière inconnue",IF(INDEX(mat_check,MATCH(B217,mat_ref,0))&lt;&gt;"OK","Matière à corriger",IF(OR(NOT(ISNUMBER(E217)),N(E217)&lt;=0),"Quantité invalide",IF(AND(F217&lt;&gt;"",OR(NOT(ISNUMBER(F217)),N(F217)&lt;0,N(F217)&gt;=1)),"Perte entre 0 et 99 %",IF(COUNTIFS(bom_prod,A217,bom_mat,B217)&gt;1,"Matière en double","OK")))))))))</f>
        <v/>
      </c>
      <c r="K217" s="71" t="str">
        <f>IF(AND(fiche_sel&lt;&gt;"",A217=fiche_sel),COUNTIF(A$6:A217,fiche_sel),"")</f>
        <v/>
      </c>
    </row>
    <row r="218">
      <c r="A218" s="60" t="n"/>
      <c r="B218" s="60" t="n"/>
      <c r="C218" s="71" t="str">
        <f>IF(B218="","",IFERROR(INDEX(mat_des,MATCH(B218,mat_ref,0))&amp;"","Matière inconnue"))</f>
        <v/>
      </c>
      <c r="D218" s="69" t="str">
        <f>IF(B218="","",IFERROR(INDEX(mat_unit,MATCH(B218,mat_ref,0))&amp;"",""))</f>
        <v/>
      </c>
      <c r="E218" s="72" t="n"/>
      <c r="F218" s="65" t="n"/>
      <c r="G218" s="68" t="str">
        <f>IF(J218&lt;&gt;"OK","",IF(F218="",N(INDEX(mat_loss,MATCH(B218,mat_ref,0))),F218))</f>
        <v/>
      </c>
      <c r="H218" s="66" t="str">
        <f>IF(J218&lt;&gt;"OK","",INDEX(mat_price,MATCH(B218,mat_ref,0)))</f>
        <v/>
      </c>
      <c r="I218" s="66" t="str">
        <f>IF(J218&lt;&gt;"OK","",E218*(1+G218)*H218)</f>
        <v/>
      </c>
      <c r="J218" s="69" t="str">
        <f>IF(AND(A218="",B218=""),"",IF(A218="","Produit manquant",IF(COUNTIF(prod_ref,A218)=0,"Produit inconnu",IF(B218="","Matière manquante",IF(ISNA(MATCH(B218,mat_ref,0)),"Matière inconnue",IF(INDEX(mat_check,MATCH(B218,mat_ref,0))&lt;&gt;"OK","Matière à corriger",IF(OR(NOT(ISNUMBER(E218)),N(E218)&lt;=0),"Quantité invalide",IF(AND(F218&lt;&gt;"",OR(NOT(ISNUMBER(F218)),N(F218)&lt;0,N(F218)&gt;=1)),"Perte entre 0 et 99 %",IF(COUNTIFS(bom_prod,A218,bom_mat,B218)&gt;1,"Matière en double","OK")))))))))</f>
        <v/>
      </c>
      <c r="K218" s="71" t="str">
        <f>IF(AND(fiche_sel&lt;&gt;"",A218=fiche_sel),COUNTIF(A$6:A218,fiche_sel),"")</f>
        <v/>
      </c>
    </row>
    <row r="219">
      <c r="A219" s="60" t="n"/>
      <c r="B219" s="60" t="n"/>
      <c r="C219" s="71" t="str">
        <f>IF(B219="","",IFERROR(INDEX(mat_des,MATCH(B219,mat_ref,0))&amp;"","Matière inconnue"))</f>
        <v/>
      </c>
      <c r="D219" s="69" t="str">
        <f>IF(B219="","",IFERROR(INDEX(mat_unit,MATCH(B219,mat_ref,0))&amp;"",""))</f>
        <v/>
      </c>
      <c r="E219" s="72" t="n"/>
      <c r="F219" s="65" t="n"/>
      <c r="G219" s="68" t="str">
        <f>IF(J219&lt;&gt;"OK","",IF(F219="",N(INDEX(mat_loss,MATCH(B219,mat_ref,0))),F219))</f>
        <v/>
      </c>
      <c r="H219" s="66" t="str">
        <f>IF(J219&lt;&gt;"OK","",INDEX(mat_price,MATCH(B219,mat_ref,0)))</f>
        <v/>
      </c>
      <c r="I219" s="66" t="str">
        <f>IF(J219&lt;&gt;"OK","",E219*(1+G219)*H219)</f>
        <v/>
      </c>
      <c r="J219" s="69" t="str">
        <f>IF(AND(A219="",B219=""),"",IF(A219="","Produit manquant",IF(COUNTIF(prod_ref,A219)=0,"Produit inconnu",IF(B219="","Matière manquante",IF(ISNA(MATCH(B219,mat_ref,0)),"Matière inconnue",IF(INDEX(mat_check,MATCH(B219,mat_ref,0))&lt;&gt;"OK","Matière à corriger",IF(OR(NOT(ISNUMBER(E219)),N(E219)&lt;=0),"Quantité invalide",IF(AND(F219&lt;&gt;"",OR(NOT(ISNUMBER(F219)),N(F219)&lt;0,N(F219)&gt;=1)),"Perte entre 0 et 99 %",IF(COUNTIFS(bom_prod,A219,bom_mat,B219)&gt;1,"Matière en double","OK")))))))))</f>
        <v/>
      </c>
      <c r="K219" s="71" t="str">
        <f>IF(AND(fiche_sel&lt;&gt;"",A219=fiche_sel),COUNTIF(A$6:A219,fiche_sel),"")</f>
        <v/>
      </c>
    </row>
    <row r="220">
      <c r="A220" s="60" t="n"/>
      <c r="B220" s="60" t="n"/>
      <c r="C220" s="71" t="str">
        <f>IF(B220="","",IFERROR(INDEX(mat_des,MATCH(B220,mat_ref,0))&amp;"","Matière inconnue"))</f>
        <v/>
      </c>
      <c r="D220" s="69" t="str">
        <f>IF(B220="","",IFERROR(INDEX(mat_unit,MATCH(B220,mat_ref,0))&amp;"",""))</f>
        <v/>
      </c>
      <c r="E220" s="72" t="n"/>
      <c r="F220" s="65" t="n"/>
      <c r="G220" s="68" t="str">
        <f>IF(J220&lt;&gt;"OK","",IF(F220="",N(INDEX(mat_loss,MATCH(B220,mat_ref,0))),F220))</f>
        <v/>
      </c>
      <c r="H220" s="66" t="str">
        <f>IF(J220&lt;&gt;"OK","",INDEX(mat_price,MATCH(B220,mat_ref,0)))</f>
        <v/>
      </c>
      <c r="I220" s="66" t="str">
        <f>IF(J220&lt;&gt;"OK","",E220*(1+G220)*H220)</f>
        <v/>
      </c>
      <c r="J220" s="69" t="str">
        <f>IF(AND(A220="",B220=""),"",IF(A220="","Produit manquant",IF(COUNTIF(prod_ref,A220)=0,"Produit inconnu",IF(B220="","Matière manquante",IF(ISNA(MATCH(B220,mat_ref,0)),"Matière inconnue",IF(INDEX(mat_check,MATCH(B220,mat_ref,0))&lt;&gt;"OK","Matière à corriger",IF(OR(NOT(ISNUMBER(E220)),N(E220)&lt;=0),"Quantité invalide",IF(AND(F220&lt;&gt;"",OR(NOT(ISNUMBER(F220)),N(F220)&lt;0,N(F220)&gt;=1)),"Perte entre 0 et 99 %",IF(COUNTIFS(bom_prod,A220,bom_mat,B220)&gt;1,"Matière en double","OK")))))))))</f>
        <v/>
      </c>
      <c r="K220" s="71" t="str">
        <f>IF(AND(fiche_sel&lt;&gt;"",A220=fiche_sel),COUNTIF(A$6:A220,fiche_sel),"")</f>
        <v/>
      </c>
    </row>
    <row r="221">
      <c r="A221" s="60" t="n"/>
      <c r="B221" s="60" t="n"/>
      <c r="C221" s="71" t="str">
        <f>IF(B221="","",IFERROR(INDEX(mat_des,MATCH(B221,mat_ref,0))&amp;"","Matière inconnue"))</f>
        <v/>
      </c>
      <c r="D221" s="69" t="str">
        <f>IF(B221="","",IFERROR(INDEX(mat_unit,MATCH(B221,mat_ref,0))&amp;"",""))</f>
        <v/>
      </c>
      <c r="E221" s="72" t="n"/>
      <c r="F221" s="65" t="n"/>
      <c r="G221" s="68" t="str">
        <f>IF(J221&lt;&gt;"OK","",IF(F221="",N(INDEX(mat_loss,MATCH(B221,mat_ref,0))),F221))</f>
        <v/>
      </c>
      <c r="H221" s="66" t="str">
        <f>IF(J221&lt;&gt;"OK","",INDEX(mat_price,MATCH(B221,mat_ref,0)))</f>
        <v/>
      </c>
      <c r="I221" s="66" t="str">
        <f>IF(J221&lt;&gt;"OK","",E221*(1+G221)*H221)</f>
        <v/>
      </c>
      <c r="J221" s="69" t="str">
        <f>IF(AND(A221="",B221=""),"",IF(A221="","Produit manquant",IF(COUNTIF(prod_ref,A221)=0,"Produit inconnu",IF(B221="","Matière manquante",IF(ISNA(MATCH(B221,mat_ref,0)),"Matière inconnue",IF(INDEX(mat_check,MATCH(B221,mat_ref,0))&lt;&gt;"OK","Matière à corriger",IF(OR(NOT(ISNUMBER(E221)),N(E221)&lt;=0),"Quantité invalide",IF(AND(F221&lt;&gt;"",OR(NOT(ISNUMBER(F221)),N(F221)&lt;0,N(F221)&gt;=1)),"Perte entre 0 et 99 %",IF(COUNTIFS(bom_prod,A221,bom_mat,B221)&gt;1,"Matière en double","OK")))))))))</f>
        <v/>
      </c>
      <c r="K221" s="71" t="str">
        <f>IF(AND(fiche_sel&lt;&gt;"",A221=fiche_sel),COUNTIF(A$6:A221,fiche_sel),"")</f>
        <v/>
      </c>
    </row>
    <row r="222">
      <c r="A222" s="60" t="n"/>
      <c r="B222" s="60" t="n"/>
      <c r="C222" s="71" t="str">
        <f>IF(B222="","",IFERROR(INDEX(mat_des,MATCH(B222,mat_ref,0))&amp;"","Matière inconnue"))</f>
        <v/>
      </c>
      <c r="D222" s="69" t="str">
        <f>IF(B222="","",IFERROR(INDEX(mat_unit,MATCH(B222,mat_ref,0))&amp;"",""))</f>
        <v/>
      </c>
      <c r="E222" s="72" t="n"/>
      <c r="F222" s="65" t="n"/>
      <c r="G222" s="68" t="str">
        <f>IF(J222&lt;&gt;"OK","",IF(F222="",N(INDEX(mat_loss,MATCH(B222,mat_ref,0))),F222))</f>
        <v/>
      </c>
      <c r="H222" s="66" t="str">
        <f>IF(J222&lt;&gt;"OK","",INDEX(mat_price,MATCH(B222,mat_ref,0)))</f>
        <v/>
      </c>
      <c r="I222" s="66" t="str">
        <f>IF(J222&lt;&gt;"OK","",E222*(1+G222)*H222)</f>
        <v/>
      </c>
      <c r="J222" s="69" t="str">
        <f>IF(AND(A222="",B222=""),"",IF(A222="","Produit manquant",IF(COUNTIF(prod_ref,A222)=0,"Produit inconnu",IF(B222="","Matière manquante",IF(ISNA(MATCH(B222,mat_ref,0)),"Matière inconnue",IF(INDEX(mat_check,MATCH(B222,mat_ref,0))&lt;&gt;"OK","Matière à corriger",IF(OR(NOT(ISNUMBER(E222)),N(E222)&lt;=0),"Quantité invalide",IF(AND(F222&lt;&gt;"",OR(NOT(ISNUMBER(F222)),N(F222)&lt;0,N(F222)&gt;=1)),"Perte entre 0 et 99 %",IF(COUNTIFS(bom_prod,A222,bom_mat,B222)&gt;1,"Matière en double","OK")))))))))</f>
        <v/>
      </c>
      <c r="K222" s="71" t="str">
        <f>IF(AND(fiche_sel&lt;&gt;"",A222=fiche_sel),COUNTIF(A$6:A222,fiche_sel),"")</f>
        <v/>
      </c>
    </row>
    <row r="223">
      <c r="A223" s="60" t="n"/>
      <c r="B223" s="60" t="n"/>
      <c r="C223" s="71" t="str">
        <f>IF(B223="","",IFERROR(INDEX(mat_des,MATCH(B223,mat_ref,0))&amp;"","Matière inconnue"))</f>
        <v/>
      </c>
      <c r="D223" s="69" t="str">
        <f>IF(B223="","",IFERROR(INDEX(mat_unit,MATCH(B223,mat_ref,0))&amp;"",""))</f>
        <v/>
      </c>
      <c r="E223" s="72" t="n"/>
      <c r="F223" s="65" t="n"/>
      <c r="G223" s="68" t="str">
        <f>IF(J223&lt;&gt;"OK","",IF(F223="",N(INDEX(mat_loss,MATCH(B223,mat_ref,0))),F223))</f>
        <v/>
      </c>
      <c r="H223" s="66" t="str">
        <f>IF(J223&lt;&gt;"OK","",INDEX(mat_price,MATCH(B223,mat_ref,0)))</f>
        <v/>
      </c>
      <c r="I223" s="66" t="str">
        <f>IF(J223&lt;&gt;"OK","",E223*(1+G223)*H223)</f>
        <v/>
      </c>
      <c r="J223" s="69" t="str">
        <f>IF(AND(A223="",B223=""),"",IF(A223="","Produit manquant",IF(COUNTIF(prod_ref,A223)=0,"Produit inconnu",IF(B223="","Matière manquante",IF(ISNA(MATCH(B223,mat_ref,0)),"Matière inconnue",IF(INDEX(mat_check,MATCH(B223,mat_ref,0))&lt;&gt;"OK","Matière à corriger",IF(OR(NOT(ISNUMBER(E223)),N(E223)&lt;=0),"Quantité invalide",IF(AND(F223&lt;&gt;"",OR(NOT(ISNUMBER(F223)),N(F223)&lt;0,N(F223)&gt;=1)),"Perte entre 0 et 99 %",IF(COUNTIFS(bom_prod,A223,bom_mat,B223)&gt;1,"Matière en double","OK")))))))))</f>
        <v/>
      </c>
      <c r="K223" s="71" t="str">
        <f>IF(AND(fiche_sel&lt;&gt;"",A223=fiche_sel),COUNTIF(A$6:A223,fiche_sel),"")</f>
        <v/>
      </c>
    </row>
    <row r="224">
      <c r="A224" s="60" t="n"/>
      <c r="B224" s="60" t="n"/>
      <c r="C224" s="71" t="str">
        <f>IF(B224="","",IFERROR(INDEX(mat_des,MATCH(B224,mat_ref,0))&amp;"","Matière inconnue"))</f>
        <v/>
      </c>
      <c r="D224" s="69" t="str">
        <f>IF(B224="","",IFERROR(INDEX(mat_unit,MATCH(B224,mat_ref,0))&amp;"",""))</f>
        <v/>
      </c>
      <c r="E224" s="72" t="n"/>
      <c r="F224" s="65" t="n"/>
      <c r="G224" s="68" t="str">
        <f>IF(J224&lt;&gt;"OK","",IF(F224="",N(INDEX(mat_loss,MATCH(B224,mat_ref,0))),F224))</f>
        <v/>
      </c>
      <c r="H224" s="66" t="str">
        <f>IF(J224&lt;&gt;"OK","",INDEX(mat_price,MATCH(B224,mat_ref,0)))</f>
        <v/>
      </c>
      <c r="I224" s="66" t="str">
        <f>IF(J224&lt;&gt;"OK","",E224*(1+G224)*H224)</f>
        <v/>
      </c>
      <c r="J224" s="69" t="str">
        <f>IF(AND(A224="",B224=""),"",IF(A224="","Produit manquant",IF(COUNTIF(prod_ref,A224)=0,"Produit inconnu",IF(B224="","Matière manquante",IF(ISNA(MATCH(B224,mat_ref,0)),"Matière inconnue",IF(INDEX(mat_check,MATCH(B224,mat_ref,0))&lt;&gt;"OK","Matière à corriger",IF(OR(NOT(ISNUMBER(E224)),N(E224)&lt;=0),"Quantité invalide",IF(AND(F224&lt;&gt;"",OR(NOT(ISNUMBER(F224)),N(F224)&lt;0,N(F224)&gt;=1)),"Perte entre 0 et 99 %",IF(COUNTIFS(bom_prod,A224,bom_mat,B224)&gt;1,"Matière en double","OK")))))))))</f>
        <v/>
      </c>
      <c r="K224" s="71" t="str">
        <f>IF(AND(fiche_sel&lt;&gt;"",A224=fiche_sel),COUNTIF(A$6:A224,fiche_sel),"")</f>
        <v/>
      </c>
    </row>
    <row r="225">
      <c r="A225" s="60" t="n"/>
      <c r="B225" s="60" t="n"/>
      <c r="C225" s="71" t="str">
        <f>IF(B225="","",IFERROR(INDEX(mat_des,MATCH(B225,mat_ref,0))&amp;"","Matière inconnue"))</f>
        <v/>
      </c>
      <c r="D225" s="69" t="str">
        <f>IF(B225="","",IFERROR(INDEX(mat_unit,MATCH(B225,mat_ref,0))&amp;"",""))</f>
        <v/>
      </c>
      <c r="E225" s="72" t="n"/>
      <c r="F225" s="65" t="n"/>
      <c r="G225" s="68" t="str">
        <f>IF(J225&lt;&gt;"OK","",IF(F225="",N(INDEX(mat_loss,MATCH(B225,mat_ref,0))),F225))</f>
        <v/>
      </c>
      <c r="H225" s="66" t="str">
        <f>IF(J225&lt;&gt;"OK","",INDEX(mat_price,MATCH(B225,mat_ref,0)))</f>
        <v/>
      </c>
      <c r="I225" s="66" t="str">
        <f>IF(J225&lt;&gt;"OK","",E225*(1+G225)*H225)</f>
        <v/>
      </c>
      <c r="J225" s="69" t="str">
        <f>IF(AND(A225="",B225=""),"",IF(A225="","Produit manquant",IF(COUNTIF(prod_ref,A225)=0,"Produit inconnu",IF(B225="","Matière manquante",IF(ISNA(MATCH(B225,mat_ref,0)),"Matière inconnue",IF(INDEX(mat_check,MATCH(B225,mat_ref,0))&lt;&gt;"OK","Matière à corriger",IF(OR(NOT(ISNUMBER(E225)),N(E225)&lt;=0),"Quantité invalide",IF(AND(F225&lt;&gt;"",OR(NOT(ISNUMBER(F225)),N(F225)&lt;0,N(F225)&gt;=1)),"Perte entre 0 et 99 %",IF(COUNTIFS(bom_prod,A225,bom_mat,B225)&gt;1,"Matière en double","OK")))))))))</f>
        <v/>
      </c>
      <c r="K225" s="71" t="str">
        <f>IF(AND(fiche_sel&lt;&gt;"",A225=fiche_sel),COUNTIF(A$6:A225,fiche_sel),"")</f>
        <v/>
      </c>
    </row>
    <row r="226">
      <c r="A226" s="60" t="n"/>
      <c r="B226" s="60" t="n"/>
      <c r="C226" s="71" t="str">
        <f>IF(B226="","",IFERROR(INDEX(mat_des,MATCH(B226,mat_ref,0))&amp;"","Matière inconnue"))</f>
        <v/>
      </c>
      <c r="D226" s="69" t="str">
        <f>IF(B226="","",IFERROR(INDEX(mat_unit,MATCH(B226,mat_ref,0))&amp;"",""))</f>
        <v/>
      </c>
      <c r="E226" s="72" t="n"/>
      <c r="F226" s="65" t="n"/>
      <c r="G226" s="68" t="str">
        <f>IF(J226&lt;&gt;"OK","",IF(F226="",N(INDEX(mat_loss,MATCH(B226,mat_ref,0))),F226))</f>
        <v/>
      </c>
      <c r="H226" s="66" t="str">
        <f>IF(J226&lt;&gt;"OK","",INDEX(mat_price,MATCH(B226,mat_ref,0)))</f>
        <v/>
      </c>
      <c r="I226" s="66" t="str">
        <f>IF(J226&lt;&gt;"OK","",E226*(1+G226)*H226)</f>
        <v/>
      </c>
      <c r="J226" s="69" t="str">
        <f>IF(AND(A226="",B226=""),"",IF(A226="","Produit manquant",IF(COUNTIF(prod_ref,A226)=0,"Produit inconnu",IF(B226="","Matière manquante",IF(ISNA(MATCH(B226,mat_ref,0)),"Matière inconnue",IF(INDEX(mat_check,MATCH(B226,mat_ref,0))&lt;&gt;"OK","Matière à corriger",IF(OR(NOT(ISNUMBER(E226)),N(E226)&lt;=0),"Quantité invalide",IF(AND(F226&lt;&gt;"",OR(NOT(ISNUMBER(F226)),N(F226)&lt;0,N(F226)&gt;=1)),"Perte entre 0 et 99 %",IF(COUNTIFS(bom_prod,A226,bom_mat,B226)&gt;1,"Matière en double","OK")))))))))</f>
        <v/>
      </c>
      <c r="K226" s="71" t="str">
        <f>IF(AND(fiche_sel&lt;&gt;"",A226=fiche_sel),COUNTIF(A$6:A226,fiche_sel),"")</f>
        <v/>
      </c>
    </row>
    <row r="227">
      <c r="A227" s="60" t="n"/>
      <c r="B227" s="60" t="n"/>
      <c r="C227" s="71" t="str">
        <f>IF(B227="","",IFERROR(INDEX(mat_des,MATCH(B227,mat_ref,0))&amp;"","Matière inconnue"))</f>
        <v/>
      </c>
      <c r="D227" s="69" t="str">
        <f>IF(B227="","",IFERROR(INDEX(mat_unit,MATCH(B227,mat_ref,0))&amp;"",""))</f>
        <v/>
      </c>
      <c r="E227" s="72" t="n"/>
      <c r="F227" s="65" t="n"/>
      <c r="G227" s="68" t="str">
        <f>IF(J227&lt;&gt;"OK","",IF(F227="",N(INDEX(mat_loss,MATCH(B227,mat_ref,0))),F227))</f>
        <v/>
      </c>
      <c r="H227" s="66" t="str">
        <f>IF(J227&lt;&gt;"OK","",INDEX(mat_price,MATCH(B227,mat_ref,0)))</f>
        <v/>
      </c>
      <c r="I227" s="66" t="str">
        <f>IF(J227&lt;&gt;"OK","",E227*(1+G227)*H227)</f>
        <v/>
      </c>
      <c r="J227" s="69" t="str">
        <f>IF(AND(A227="",B227=""),"",IF(A227="","Produit manquant",IF(COUNTIF(prod_ref,A227)=0,"Produit inconnu",IF(B227="","Matière manquante",IF(ISNA(MATCH(B227,mat_ref,0)),"Matière inconnue",IF(INDEX(mat_check,MATCH(B227,mat_ref,0))&lt;&gt;"OK","Matière à corriger",IF(OR(NOT(ISNUMBER(E227)),N(E227)&lt;=0),"Quantité invalide",IF(AND(F227&lt;&gt;"",OR(NOT(ISNUMBER(F227)),N(F227)&lt;0,N(F227)&gt;=1)),"Perte entre 0 et 99 %",IF(COUNTIFS(bom_prod,A227,bom_mat,B227)&gt;1,"Matière en double","OK")))))))))</f>
        <v/>
      </c>
      <c r="K227" s="71" t="str">
        <f>IF(AND(fiche_sel&lt;&gt;"",A227=fiche_sel),COUNTIF(A$6:A227,fiche_sel),"")</f>
        <v/>
      </c>
    </row>
    <row r="228">
      <c r="A228" s="60" t="n"/>
      <c r="B228" s="60" t="n"/>
      <c r="C228" s="71" t="str">
        <f>IF(B228="","",IFERROR(INDEX(mat_des,MATCH(B228,mat_ref,0))&amp;"","Matière inconnue"))</f>
        <v/>
      </c>
      <c r="D228" s="69" t="str">
        <f>IF(B228="","",IFERROR(INDEX(mat_unit,MATCH(B228,mat_ref,0))&amp;"",""))</f>
        <v/>
      </c>
      <c r="E228" s="72" t="n"/>
      <c r="F228" s="65" t="n"/>
      <c r="G228" s="68" t="str">
        <f>IF(J228&lt;&gt;"OK","",IF(F228="",N(INDEX(mat_loss,MATCH(B228,mat_ref,0))),F228))</f>
        <v/>
      </c>
      <c r="H228" s="66" t="str">
        <f>IF(J228&lt;&gt;"OK","",INDEX(mat_price,MATCH(B228,mat_ref,0)))</f>
        <v/>
      </c>
      <c r="I228" s="66" t="str">
        <f>IF(J228&lt;&gt;"OK","",E228*(1+G228)*H228)</f>
        <v/>
      </c>
      <c r="J228" s="69" t="str">
        <f>IF(AND(A228="",B228=""),"",IF(A228="","Produit manquant",IF(COUNTIF(prod_ref,A228)=0,"Produit inconnu",IF(B228="","Matière manquante",IF(ISNA(MATCH(B228,mat_ref,0)),"Matière inconnue",IF(INDEX(mat_check,MATCH(B228,mat_ref,0))&lt;&gt;"OK","Matière à corriger",IF(OR(NOT(ISNUMBER(E228)),N(E228)&lt;=0),"Quantité invalide",IF(AND(F228&lt;&gt;"",OR(NOT(ISNUMBER(F228)),N(F228)&lt;0,N(F228)&gt;=1)),"Perte entre 0 et 99 %",IF(COUNTIFS(bom_prod,A228,bom_mat,B228)&gt;1,"Matière en double","OK")))))))))</f>
        <v/>
      </c>
      <c r="K228" s="71" t="str">
        <f>IF(AND(fiche_sel&lt;&gt;"",A228=fiche_sel),COUNTIF(A$6:A228,fiche_sel),"")</f>
        <v/>
      </c>
    </row>
    <row r="229">
      <c r="A229" s="60" t="n"/>
      <c r="B229" s="60" t="n"/>
      <c r="C229" s="71" t="str">
        <f>IF(B229="","",IFERROR(INDEX(mat_des,MATCH(B229,mat_ref,0))&amp;"","Matière inconnue"))</f>
        <v/>
      </c>
      <c r="D229" s="69" t="str">
        <f>IF(B229="","",IFERROR(INDEX(mat_unit,MATCH(B229,mat_ref,0))&amp;"",""))</f>
        <v/>
      </c>
      <c r="E229" s="72" t="n"/>
      <c r="F229" s="65" t="n"/>
      <c r="G229" s="68" t="str">
        <f>IF(J229&lt;&gt;"OK","",IF(F229="",N(INDEX(mat_loss,MATCH(B229,mat_ref,0))),F229))</f>
        <v/>
      </c>
      <c r="H229" s="66" t="str">
        <f>IF(J229&lt;&gt;"OK","",INDEX(mat_price,MATCH(B229,mat_ref,0)))</f>
        <v/>
      </c>
      <c r="I229" s="66" t="str">
        <f>IF(J229&lt;&gt;"OK","",E229*(1+G229)*H229)</f>
        <v/>
      </c>
      <c r="J229" s="69" t="str">
        <f>IF(AND(A229="",B229=""),"",IF(A229="","Produit manquant",IF(COUNTIF(prod_ref,A229)=0,"Produit inconnu",IF(B229="","Matière manquante",IF(ISNA(MATCH(B229,mat_ref,0)),"Matière inconnue",IF(INDEX(mat_check,MATCH(B229,mat_ref,0))&lt;&gt;"OK","Matière à corriger",IF(OR(NOT(ISNUMBER(E229)),N(E229)&lt;=0),"Quantité invalide",IF(AND(F229&lt;&gt;"",OR(NOT(ISNUMBER(F229)),N(F229)&lt;0,N(F229)&gt;=1)),"Perte entre 0 et 99 %",IF(COUNTIFS(bom_prod,A229,bom_mat,B229)&gt;1,"Matière en double","OK")))))))))</f>
        <v/>
      </c>
      <c r="K229" s="71" t="str">
        <f>IF(AND(fiche_sel&lt;&gt;"",A229=fiche_sel),COUNTIF(A$6:A229,fiche_sel),"")</f>
        <v/>
      </c>
    </row>
    <row r="230">
      <c r="A230" s="60" t="n"/>
      <c r="B230" s="60" t="n"/>
      <c r="C230" s="71" t="str">
        <f>IF(B230="","",IFERROR(INDEX(mat_des,MATCH(B230,mat_ref,0))&amp;"","Matière inconnue"))</f>
        <v/>
      </c>
      <c r="D230" s="69" t="str">
        <f>IF(B230="","",IFERROR(INDEX(mat_unit,MATCH(B230,mat_ref,0))&amp;"",""))</f>
        <v/>
      </c>
      <c r="E230" s="72" t="n"/>
      <c r="F230" s="65" t="n"/>
      <c r="G230" s="68" t="str">
        <f>IF(J230&lt;&gt;"OK","",IF(F230="",N(INDEX(mat_loss,MATCH(B230,mat_ref,0))),F230))</f>
        <v/>
      </c>
      <c r="H230" s="66" t="str">
        <f>IF(J230&lt;&gt;"OK","",INDEX(mat_price,MATCH(B230,mat_ref,0)))</f>
        <v/>
      </c>
      <c r="I230" s="66" t="str">
        <f>IF(J230&lt;&gt;"OK","",E230*(1+G230)*H230)</f>
        <v/>
      </c>
      <c r="J230" s="69" t="str">
        <f>IF(AND(A230="",B230=""),"",IF(A230="","Produit manquant",IF(COUNTIF(prod_ref,A230)=0,"Produit inconnu",IF(B230="","Matière manquante",IF(ISNA(MATCH(B230,mat_ref,0)),"Matière inconnue",IF(INDEX(mat_check,MATCH(B230,mat_ref,0))&lt;&gt;"OK","Matière à corriger",IF(OR(NOT(ISNUMBER(E230)),N(E230)&lt;=0),"Quantité invalide",IF(AND(F230&lt;&gt;"",OR(NOT(ISNUMBER(F230)),N(F230)&lt;0,N(F230)&gt;=1)),"Perte entre 0 et 99 %",IF(COUNTIFS(bom_prod,A230,bom_mat,B230)&gt;1,"Matière en double","OK")))))))))</f>
        <v/>
      </c>
      <c r="K230" s="71" t="str">
        <f>IF(AND(fiche_sel&lt;&gt;"",A230=fiche_sel),COUNTIF(A$6:A230,fiche_sel),"")</f>
        <v/>
      </c>
    </row>
    <row r="231">
      <c r="A231" s="60" t="n"/>
      <c r="B231" s="60" t="n"/>
      <c r="C231" s="71" t="str">
        <f>IF(B231="","",IFERROR(INDEX(mat_des,MATCH(B231,mat_ref,0))&amp;"","Matière inconnue"))</f>
        <v/>
      </c>
      <c r="D231" s="69" t="str">
        <f>IF(B231="","",IFERROR(INDEX(mat_unit,MATCH(B231,mat_ref,0))&amp;"",""))</f>
        <v/>
      </c>
      <c r="E231" s="72" t="n"/>
      <c r="F231" s="65" t="n"/>
      <c r="G231" s="68" t="str">
        <f>IF(J231&lt;&gt;"OK","",IF(F231="",N(INDEX(mat_loss,MATCH(B231,mat_ref,0))),F231))</f>
        <v/>
      </c>
      <c r="H231" s="66" t="str">
        <f>IF(J231&lt;&gt;"OK","",INDEX(mat_price,MATCH(B231,mat_ref,0)))</f>
        <v/>
      </c>
      <c r="I231" s="66" t="str">
        <f>IF(J231&lt;&gt;"OK","",E231*(1+G231)*H231)</f>
        <v/>
      </c>
      <c r="J231" s="69" t="str">
        <f>IF(AND(A231="",B231=""),"",IF(A231="","Produit manquant",IF(COUNTIF(prod_ref,A231)=0,"Produit inconnu",IF(B231="","Matière manquante",IF(ISNA(MATCH(B231,mat_ref,0)),"Matière inconnue",IF(INDEX(mat_check,MATCH(B231,mat_ref,0))&lt;&gt;"OK","Matière à corriger",IF(OR(NOT(ISNUMBER(E231)),N(E231)&lt;=0),"Quantité invalide",IF(AND(F231&lt;&gt;"",OR(NOT(ISNUMBER(F231)),N(F231)&lt;0,N(F231)&gt;=1)),"Perte entre 0 et 99 %",IF(COUNTIFS(bom_prod,A231,bom_mat,B231)&gt;1,"Matière en double","OK")))))))))</f>
        <v/>
      </c>
      <c r="K231" s="71" t="str">
        <f>IF(AND(fiche_sel&lt;&gt;"",A231=fiche_sel),COUNTIF(A$6:A231,fiche_sel),"")</f>
        <v/>
      </c>
    </row>
    <row r="232">
      <c r="A232" s="60" t="n"/>
      <c r="B232" s="60" t="n"/>
      <c r="C232" s="71" t="str">
        <f>IF(B232="","",IFERROR(INDEX(mat_des,MATCH(B232,mat_ref,0))&amp;"","Matière inconnue"))</f>
        <v/>
      </c>
      <c r="D232" s="69" t="str">
        <f>IF(B232="","",IFERROR(INDEX(mat_unit,MATCH(B232,mat_ref,0))&amp;"",""))</f>
        <v/>
      </c>
      <c r="E232" s="72" t="n"/>
      <c r="F232" s="65" t="n"/>
      <c r="G232" s="68" t="str">
        <f>IF(J232&lt;&gt;"OK","",IF(F232="",N(INDEX(mat_loss,MATCH(B232,mat_ref,0))),F232))</f>
        <v/>
      </c>
      <c r="H232" s="66" t="str">
        <f>IF(J232&lt;&gt;"OK","",INDEX(mat_price,MATCH(B232,mat_ref,0)))</f>
        <v/>
      </c>
      <c r="I232" s="66" t="str">
        <f>IF(J232&lt;&gt;"OK","",E232*(1+G232)*H232)</f>
        <v/>
      </c>
      <c r="J232" s="69" t="str">
        <f>IF(AND(A232="",B232=""),"",IF(A232="","Produit manquant",IF(COUNTIF(prod_ref,A232)=0,"Produit inconnu",IF(B232="","Matière manquante",IF(ISNA(MATCH(B232,mat_ref,0)),"Matière inconnue",IF(INDEX(mat_check,MATCH(B232,mat_ref,0))&lt;&gt;"OK","Matière à corriger",IF(OR(NOT(ISNUMBER(E232)),N(E232)&lt;=0),"Quantité invalide",IF(AND(F232&lt;&gt;"",OR(NOT(ISNUMBER(F232)),N(F232)&lt;0,N(F232)&gt;=1)),"Perte entre 0 et 99 %",IF(COUNTIFS(bom_prod,A232,bom_mat,B232)&gt;1,"Matière en double","OK")))))))))</f>
        <v/>
      </c>
      <c r="K232" s="71" t="str">
        <f>IF(AND(fiche_sel&lt;&gt;"",A232=fiche_sel),COUNTIF(A$6:A232,fiche_sel),"")</f>
        <v/>
      </c>
    </row>
    <row r="233">
      <c r="A233" s="60" t="n"/>
      <c r="B233" s="60" t="n"/>
      <c r="C233" s="71" t="str">
        <f>IF(B233="","",IFERROR(INDEX(mat_des,MATCH(B233,mat_ref,0))&amp;"","Matière inconnue"))</f>
        <v/>
      </c>
      <c r="D233" s="69" t="str">
        <f>IF(B233="","",IFERROR(INDEX(mat_unit,MATCH(B233,mat_ref,0))&amp;"",""))</f>
        <v/>
      </c>
      <c r="E233" s="72" t="n"/>
      <c r="F233" s="65" t="n"/>
      <c r="G233" s="68" t="str">
        <f>IF(J233&lt;&gt;"OK","",IF(F233="",N(INDEX(mat_loss,MATCH(B233,mat_ref,0))),F233))</f>
        <v/>
      </c>
      <c r="H233" s="66" t="str">
        <f>IF(J233&lt;&gt;"OK","",INDEX(mat_price,MATCH(B233,mat_ref,0)))</f>
        <v/>
      </c>
      <c r="I233" s="66" t="str">
        <f>IF(J233&lt;&gt;"OK","",E233*(1+G233)*H233)</f>
        <v/>
      </c>
      <c r="J233" s="69" t="str">
        <f>IF(AND(A233="",B233=""),"",IF(A233="","Produit manquant",IF(COUNTIF(prod_ref,A233)=0,"Produit inconnu",IF(B233="","Matière manquante",IF(ISNA(MATCH(B233,mat_ref,0)),"Matière inconnue",IF(INDEX(mat_check,MATCH(B233,mat_ref,0))&lt;&gt;"OK","Matière à corriger",IF(OR(NOT(ISNUMBER(E233)),N(E233)&lt;=0),"Quantité invalide",IF(AND(F233&lt;&gt;"",OR(NOT(ISNUMBER(F233)),N(F233)&lt;0,N(F233)&gt;=1)),"Perte entre 0 et 99 %",IF(COUNTIFS(bom_prod,A233,bom_mat,B233)&gt;1,"Matière en double","OK")))))))))</f>
        <v/>
      </c>
      <c r="K233" s="71" t="str">
        <f>IF(AND(fiche_sel&lt;&gt;"",A233=fiche_sel),COUNTIF(A$6:A233,fiche_sel),"")</f>
        <v/>
      </c>
    </row>
    <row r="234">
      <c r="A234" s="60" t="n"/>
      <c r="B234" s="60" t="n"/>
      <c r="C234" s="71" t="str">
        <f>IF(B234="","",IFERROR(INDEX(mat_des,MATCH(B234,mat_ref,0))&amp;"","Matière inconnue"))</f>
        <v/>
      </c>
      <c r="D234" s="69" t="str">
        <f>IF(B234="","",IFERROR(INDEX(mat_unit,MATCH(B234,mat_ref,0))&amp;"",""))</f>
        <v/>
      </c>
      <c r="E234" s="72" t="n"/>
      <c r="F234" s="65" t="n"/>
      <c r="G234" s="68" t="str">
        <f>IF(J234&lt;&gt;"OK","",IF(F234="",N(INDEX(mat_loss,MATCH(B234,mat_ref,0))),F234))</f>
        <v/>
      </c>
      <c r="H234" s="66" t="str">
        <f>IF(J234&lt;&gt;"OK","",INDEX(mat_price,MATCH(B234,mat_ref,0)))</f>
        <v/>
      </c>
      <c r="I234" s="66" t="str">
        <f>IF(J234&lt;&gt;"OK","",E234*(1+G234)*H234)</f>
        <v/>
      </c>
      <c r="J234" s="69" t="str">
        <f>IF(AND(A234="",B234=""),"",IF(A234="","Produit manquant",IF(COUNTIF(prod_ref,A234)=0,"Produit inconnu",IF(B234="","Matière manquante",IF(ISNA(MATCH(B234,mat_ref,0)),"Matière inconnue",IF(INDEX(mat_check,MATCH(B234,mat_ref,0))&lt;&gt;"OK","Matière à corriger",IF(OR(NOT(ISNUMBER(E234)),N(E234)&lt;=0),"Quantité invalide",IF(AND(F234&lt;&gt;"",OR(NOT(ISNUMBER(F234)),N(F234)&lt;0,N(F234)&gt;=1)),"Perte entre 0 et 99 %",IF(COUNTIFS(bom_prod,A234,bom_mat,B234)&gt;1,"Matière en double","OK")))))))))</f>
        <v/>
      </c>
      <c r="K234" s="71" t="str">
        <f>IF(AND(fiche_sel&lt;&gt;"",A234=fiche_sel),COUNTIF(A$6:A234,fiche_sel),"")</f>
        <v/>
      </c>
    </row>
    <row r="235">
      <c r="A235" s="60" t="n"/>
      <c r="B235" s="60" t="n"/>
      <c r="C235" s="71" t="str">
        <f>IF(B235="","",IFERROR(INDEX(mat_des,MATCH(B235,mat_ref,0))&amp;"","Matière inconnue"))</f>
        <v/>
      </c>
      <c r="D235" s="69" t="str">
        <f>IF(B235="","",IFERROR(INDEX(mat_unit,MATCH(B235,mat_ref,0))&amp;"",""))</f>
        <v/>
      </c>
      <c r="E235" s="72" t="n"/>
      <c r="F235" s="65" t="n"/>
      <c r="G235" s="68" t="str">
        <f>IF(J235&lt;&gt;"OK","",IF(F235="",N(INDEX(mat_loss,MATCH(B235,mat_ref,0))),F235))</f>
        <v/>
      </c>
      <c r="H235" s="66" t="str">
        <f>IF(J235&lt;&gt;"OK","",INDEX(mat_price,MATCH(B235,mat_ref,0)))</f>
        <v/>
      </c>
      <c r="I235" s="66" t="str">
        <f>IF(J235&lt;&gt;"OK","",E235*(1+G235)*H235)</f>
        <v/>
      </c>
      <c r="J235" s="69" t="str">
        <f>IF(AND(A235="",B235=""),"",IF(A235="","Produit manquant",IF(COUNTIF(prod_ref,A235)=0,"Produit inconnu",IF(B235="","Matière manquante",IF(ISNA(MATCH(B235,mat_ref,0)),"Matière inconnue",IF(INDEX(mat_check,MATCH(B235,mat_ref,0))&lt;&gt;"OK","Matière à corriger",IF(OR(NOT(ISNUMBER(E235)),N(E235)&lt;=0),"Quantité invalide",IF(AND(F235&lt;&gt;"",OR(NOT(ISNUMBER(F235)),N(F235)&lt;0,N(F235)&gt;=1)),"Perte entre 0 et 99 %",IF(COUNTIFS(bom_prod,A235,bom_mat,B235)&gt;1,"Matière en double","OK")))))))))</f>
        <v/>
      </c>
      <c r="K235" s="71" t="str">
        <f>IF(AND(fiche_sel&lt;&gt;"",A235=fiche_sel),COUNTIF(A$6:A235,fiche_sel),"")</f>
        <v/>
      </c>
    </row>
    <row r="236">
      <c r="A236" s="60" t="n"/>
      <c r="B236" s="60" t="n"/>
      <c r="C236" s="71" t="str">
        <f>IF(B236="","",IFERROR(INDEX(mat_des,MATCH(B236,mat_ref,0))&amp;"","Matière inconnue"))</f>
        <v/>
      </c>
      <c r="D236" s="69" t="str">
        <f>IF(B236="","",IFERROR(INDEX(mat_unit,MATCH(B236,mat_ref,0))&amp;"",""))</f>
        <v/>
      </c>
      <c r="E236" s="72" t="n"/>
      <c r="F236" s="65" t="n"/>
      <c r="G236" s="68" t="str">
        <f>IF(J236&lt;&gt;"OK","",IF(F236="",N(INDEX(mat_loss,MATCH(B236,mat_ref,0))),F236))</f>
        <v/>
      </c>
      <c r="H236" s="66" t="str">
        <f>IF(J236&lt;&gt;"OK","",INDEX(mat_price,MATCH(B236,mat_ref,0)))</f>
        <v/>
      </c>
      <c r="I236" s="66" t="str">
        <f>IF(J236&lt;&gt;"OK","",E236*(1+G236)*H236)</f>
        <v/>
      </c>
      <c r="J236" s="69" t="str">
        <f>IF(AND(A236="",B236=""),"",IF(A236="","Produit manquant",IF(COUNTIF(prod_ref,A236)=0,"Produit inconnu",IF(B236="","Matière manquante",IF(ISNA(MATCH(B236,mat_ref,0)),"Matière inconnue",IF(INDEX(mat_check,MATCH(B236,mat_ref,0))&lt;&gt;"OK","Matière à corriger",IF(OR(NOT(ISNUMBER(E236)),N(E236)&lt;=0),"Quantité invalide",IF(AND(F236&lt;&gt;"",OR(NOT(ISNUMBER(F236)),N(F236)&lt;0,N(F236)&gt;=1)),"Perte entre 0 et 99 %",IF(COUNTIFS(bom_prod,A236,bom_mat,B236)&gt;1,"Matière en double","OK")))))))))</f>
        <v/>
      </c>
      <c r="K236" s="71" t="str">
        <f>IF(AND(fiche_sel&lt;&gt;"",A236=fiche_sel),COUNTIF(A$6:A236,fiche_sel),"")</f>
        <v/>
      </c>
    </row>
    <row r="237">
      <c r="A237" s="60" t="n"/>
      <c r="B237" s="60" t="n"/>
      <c r="C237" s="71" t="str">
        <f>IF(B237="","",IFERROR(INDEX(mat_des,MATCH(B237,mat_ref,0))&amp;"","Matière inconnue"))</f>
        <v/>
      </c>
      <c r="D237" s="69" t="str">
        <f>IF(B237="","",IFERROR(INDEX(mat_unit,MATCH(B237,mat_ref,0))&amp;"",""))</f>
        <v/>
      </c>
      <c r="E237" s="72" t="n"/>
      <c r="F237" s="65" t="n"/>
      <c r="G237" s="68" t="str">
        <f>IF(J237&lt;&gt;"OK","",IF(F237="",N(INDEX(mat_loss,MATCH(B237,mat_ref,0))),F237))</f>
        <v/>
      </c>
      <c r="H237" s="66" t="str">
        <f>IF(J237&lt;&gt;"OK","",INDEX(mat_price,MATCH(B237,mat_ref,0)))</f>
        <v/>
      </c>
      <c r="I237" s="66" t="str">
        <f>IF(J237&lt;&gt;"OK","",E237*(1+G237)*H237)</f>
        <v/>
      </c>
      <c r="J237" s="69" t="str">
        <f>IF(AND(A237="",B237=""),"",IF(A237="","Produit manquant",IF(COUNTIF(prod_ref,A237)=0,"Produit inconnu",IF(B237="","Matière manquante",IF(ISNA(MATCH(B237,mat_ref,0)),"Matière inconnue",IF(INDEX(mat_check,MATCH(B237,mat_ref,0))&lt;&gt;"OK","Matière à corriger",IF(OR(NOT(ISNUMBER(E237)),N(E237)&lt;=0),"Quantité invalide",IF(AND(F237&lt;&gt;"",OR(NOT(ISNUMBER(F237)),N(F237)&lt;0,N(F237)&gt;=1)),"Perte entre 0 et 99 %",IF(COUNTIFS(bom_prod,A237,bom_mat,B237)&gt;1,"Matière en double","OK")))))))))</f>
        <v/>
      </c>
      <c r="K237" s="71" t="str">
        <f>IF(AND(fiche_sel&lt;&gt;"",A237=fiche_sel),COUNTIF(A$6:A237,fiche_sel),"")</f>
        <v/>
      </c>
    </row>
    <row r="238">
      <c r="A238" s="60" t="n"/>
      <c r="B238" s="60" t="n"/>
      <c r="C238" s="71" t="str">
        <f>IF(B238="","",IFERROR(INDEX(mat_des,MATCH(B238,mat_ref,0))&amp;"","Matière inconnue"))</f>
        <v/>
      </c>
      <c r="D238" s="69" t="str">
        <f>IF(B238="","",IFERROR(INDEX(mat_unit,MATCH(B238,mat_ref,0))&amp;"",""))</f>
        <v/>
      </c>
      <c r="E238" s="72" t="n"/>
      <c r="F238" s="65" t="n"/>
      <c r="G238" s="68" t="str">
        <f>IF(J238&lt;&gt;"OK","",IF(F238="",N(INDEX(mat_loss,MATCH(B238,mat_ref,0))),F238))</f>
        <v/>
      </c>
      <c r="H238" s="66" t="str">
        <f>IF(J238&lt;&gt;"OK","",INDEX(mat_price,MATCH(B238,mat_ref,0)))</f>
        <v/>
      </c>
      <c r="I238" s="66" t="str">
        <f>IF(J238&lt;&gt;"OK","",E238*(1+G238)*H238)</f>
        <v/>
      </c>
      <c r="J238" s="69" t="str">
        <f>IF(AND(A238="",B238=""),"",IF(A238="","Produit manquant",IF(COUNTIF(prod_ref,A238)=0,"Produit inconnu",IF(B238="","Matière manquante",IF(ISNA(MATCH(B238,mat_ref,0)),"Matière inconnue",IF(INDEX(mat_check,MATCH(B238,mat_ref,0))&lt;&gt;"OK","Matière à corriger",IF(OR(NOT(ISNUMBER(E238)),N(E238)&lt;=0),"Quantité invalide",IF(AND(F238&lt;&gt;"",OR(NOT(ISNUMBER(F238)),N(F238)&lt;0,N(F238)&gt;=1)),"Perte entre 0 et 99 %",IF(COUNTIFS(bom_prod,A238,bom_mat,B238)&gt;1,"Matière en double","OK")))))))))</f>
        <v/>
      </c>
      <c r="K238" s="71" t="str">
        <f>IF(AND(fiche_sel&lt;&gt;"",A238=fiche_sel),COUNTIF(A$6:A238,fiche_sel),"")</f>
        <v/>
      </c>
    </row>
    <row r="239">
      <c r="A239" s="60" t="n"/>
      <c r="B239" s="60" t="n"/>
      <c r="C239" s="71" t="str">
        <f>IF(B239="","",IFERROR(INDEX(mat_des,MATCH(B239,mat_ref,0))&amp;"","Matière inconnue"))</f>
        <v/>
      </c>
      <c r="D239" s="69" t="str">
        <f>IF(B239="","",IFERROR(INDEX(mat_unit,MATCH(B239,mat_ref,0))&amp;"",""))</f>
        <v/>
      </c>
      <c r="E239" s="72" t="n"/>
      <c r="F239" s="65" t="n"/>
      <c r="G239" s="68" t="str">
        <f>IF(J239&lt;&gt;"OK","",IF(F239="",N(INDEX(mat_loss,MATCH(B239,mat_ref,0))),F239))</f>
        <v/>
      </c>
      <c r="H239" s="66" t="str">
        <f>IF(J239&lt;&gt;"OK","",INDEX(mat_price,MATCH(B239,mat_ref,0)))</f>
        <v/>
      </c>
      <c r="I239" s="66" t="str">
        <f>IF(J239&lt;&gt;"OK","",E239*(1+G239)*H239)</f>
        <v/>
      </c>
      <c r="J239" s="69" t="str">
        <f>IF(AND(A239="",B239=""),"",IF(A239="","Produit manquant",IF(COUNTIF(prod_ref,A239)=0,"Produit inconnu",IF(B239="","Matière manquante",IF(ISNA(MATCH(B239,mat_ref,0)),"Matière inconnue",IF(INDEX(mat_check,MATCH(B239,mat_ref,0))&lt;&gt;"OK","Matière à corriger",IF(OR(NOT(ISNUMBER(E239)),N(E239)&lt;=0),"Quantité invalide",IF(AND(F239&lt;&gt;"",OR(NOT(ISNUMBER(F239)),N(F239)&lt;0,N(F239)&gt;=1)),"Perte entre 0 et 99 %",IF(COUNTIFS(bom_prod,A239,bom_mat,B239)&gt;1,"Matière en double","OK")))))))))</f>
        <v/>
      </c>
      <c r="K239" s="71" t="str">
        <f>IF(AND(fiche_sel&lt;&gt;"",A239=fiche_sel),COUNTIF(A$6:A239,fiche_sel),"")</f>
        <v/>
      </c>
    </row>
    <row r="240">
      <c r="A240" s="60" t="n"/>
      <c r="B240" s="60" t="n"/>
      <c r="C240" s="71" t="str">
        <f>IF(B240="","",IFERROR(INDEX(mat_des,MATCH(B240,mat_ref,0))&amp;"","Matière inconnue"))</f>
        <v/>
      </c>
      <c r="D240" s="69" t="str">
        <f>IF(B240="","",IFERROR(INDEX(mat_unit,MATCH(B240,mat_ref,0))&amp;"",""))</f>
        <v/>
      </c>
      <c r="E240" s="72" t="n"/>
      <c r="F240" s="65" t="n"/>
      <c r="G240" s="68" t="str">
        <f>IF(J240&lt;&gt;"OK","",IF(F240="",N(INDEX(mat_loss,MATCH(B240,mat_ref,0))),F240))</f>
        <v/>
      </c>
      <c r="H240" s="66" t="str">
        <f>IF(J240&lt;&gt;"OK","",INDEX(mat_price,MATCH(B240,mat_ref,0)))</f>
        <v/>
      </c>
      <c r="I240" s="66" t="str">
        <f>IF(J240&lt;&gt;"OK","",E240*(1+G240)*H240)</f>
        <v/>
      </c>
      <c r="J240" s="69" t="str">
        <f>IF(AND(A240="",B240=""),"",IF(A240="","Produit manquant",IF(COUNTIF(prod_ref,A240)=0,"Produit inconnu",IF(B240="","Matière manquante",IF(ISNA(MATCH(B240,mat_ref,0)),"Matière inconnue",IF(INDEX(mat_check,MATCH(B240,mat_ref,0))&lt;&gt;"OK","Matière à corriger",IF(OR(NOT(ISNUMBER(E240)),N(E240)&lt;=0),"Quantité invalide",IF(AND(F240&lt;&gt;"",OR(NOT(ISNUMBER(F240)),N(F240)&lt;0,N(F240)&gt;=1)),"Perte entre 0 et 99 %",IF(COUNTIFS(bom_prod,A240,bom_mat,B240)&gt;1,"Matière en double","OK")))))))))</f>
        <v/>
      </c>
      <c r="K240" s="71" t="str">
        <f>IF(AND(fiche_sel&lt;&gt;"",A240=fiche_sel),COUNTIF(A$6:A240,fiche_sel),"")</f>
        <v/>
      </c>
    </row>
    <row r="241">
      <c r="A241" s="60" t="n"/>
      <c r="B241" s="60" t="n"/>
      <c r="C241" s="71" t="str">
        <f>IF(B241="","",IFERROR(INDEX(mat_des,MATCH(B241,mat_ref,0))&amp;"","Matière inconnue"))</f>
        <v/>
      </c>
      <c r="D241" s="69" t="str">
        <f>IF(B241="","",IFERROR(INDEX(mat_unit,MATCH(B241,mat_ref,0))&amp;"",""))</f>
        <v/>
      </c>
      <c r="E241" s="72" t="n"/>
      <c r="F241" s="65" t="n"/>
      <c r="G241" s="68" t="str">
        <f>IF(J241&lt;&gt;"OK","",IF(F241="",N(INDEX(mat_loss,MATCH(B241,mat_ref,0))),F241))</f>
        <v/>
      </c>
      <c r="H241" s="66" t="str">
        <f>IF(J241&lt;&gt;"OK","",INDEX(mat_price,MATCH(B241,mat_ref,0)))</f>
        <v/>
      </c>
      <c r="I241" s="66" t="str">
        <f>IF(J241&lt;&gt;"OK","",E241*(1+G241)*H241)</f>
        <v/>
      </c>
      <c r="J241" s="69" t="str">
        <f>IF(AND(A241="",B241=""),"",IF(A241="","Produit manquant",IF(COUNTIF(prod_ref,A241)=0,"Produit inconnu",IF(B241="","Matière manquante",IF(ISNA(MATCH(B241,mat_ref,0)),"Matière inconnue",IF(INDEX(mat_check,MATCH(B241,mat_ref,0))&lt;&gt;"OK","Matière à corriger",IF(OR(NOT(ISNUMBER(E241)),N(E241)&lt;=0),"Quantité invalide",IF(AND(F241&lt;&gt;"",OR(NOT(ISNUMBER(F241)),N(F241)&lt;0,N(F241)&gt;=1)),"Perte entre 0 et 99 %",IF(COUNTIFS(bom_prod,A241,bom_mat,B241)&gt;1,"Matière en double","OK")))))))))</f>
        <v/>
      </c>
      <c r="K241" s="71" t="str">
        <f>IF(AND(fiche_sel&lt;&gt;"",A241=fiche_sel),COUNTIF(A$6:A241,fiche_sel),"")</f>
        <v/>
      </c>
    </row>
    <row r="242">
      <c r="A242" s="60" t="n"/>
      <c r="B242" s="60" t="n"/>
      <c r="C242" s="71" t="str">
        <f>IF(B242="","",IFERROR(INDEX(mat_des,MATCH(B242,mat_ref,0))&amp;"","Matière inconnue"))</f>
        <v/>
      </c>
      <c r="D242" s="69" t="str">
        <f>IF(B242="","",IFERROR(INDEX(mat_unit,MATCH(B242,mat_ref,0))&amp;"",""))</f>
        <v/>
      </c>
      <c r="E242" s="72" t="n"/>
      <c r="F242" s="65" t="n"/>
      <c r="G242" s="68" t="str">
        <f>IF(J242&lt;&gt;"OK","",IF(F242="",N(INDEX(mat_loss,MATCH(B242,mat_ref,0))),F242))</f>
        <v/>
      </c>
      <c r="H242" s="66" t="str">
        <f>IF(J242&lt;&gt;"OK","",INDEX(mat_price,MATCH(B242,mat_ref,0)))</f>
        <v/>
      </c>
      <c r="I242" s="66" t="str">
        <f>IF(J242&lt;&gt;"OK","",E242*(1+G242)*H242)</f>
        <v/>
      </c>
      <c r="J242" s="69" t="str">
        <f>IF(AND(A242="",B242=""),"",IF(A242="","Produit manquant",IF(COUNTIF(prod_ref,A242)=0,"Produit inconnu",IF(B242="","Matière manquante",IF(ISNA(MATCH(B242,mat_ref,0)),"Matière inconnue",IF(INDEX(mat_check,MATCH(B242,mat_ref,0))&lt;&gt;"OK","Matière à corriger",IF(OR(NOT(ISNUMBER(E242)),N(E242)&lt;=0),"Quantité invalide",IF(AND(F242&lt;&gt;"",OR(NOT(ISNUMBER(F242)),N(F242)&lt;0,N(F242)&gt;=1)),"Perte entre 0 et 99 %",IF(COUNTIFS(bom_prod,A242,bom_mat,B242)&gt;1,"Matière en double","OK")))))))))</f>
        <v/>
      </c>
      <c r="K242" s="71" t="str">
        <f>IF(AND(fiche_sel&lt;&gt;"",A242=fiche_sel),COUNTIF(A$6:A242,fiche_sel),"")</f>
        <v/>
      </c>
    </row>
    <row r="243">
      <c r="A243" s="60" t="n"/>
      <c r="B243" s="60" t="n"/>
      <c r="C243" s="71" t="str">
        <f>IF(B243="","",IFERROR(INDEX(mat_des,MATCH(B243,mat_ref,0))&amp;"","Matière inconnue"))</f>
        <v/>
      </c>
      <c r="D243" s="69" t="str">
        <f>IF(B243="","",IFERROR(INDEX(mat_unit,MATCH(B243,mat_ref,0))&amp;"",""))</f>
        <v/>
      </c>
      <c r="E243" s="72" t="n"/>
      <c r="F243" s="65" t="n"/>
      <c r="G243" s="68" t="str">
        <f>IF(J243&lt;&gt;"OK","",IF(F243="",N(INDEX(mat_loss,MATCH(B243,mat_ref,0))),F243))</f>
        <v/>
      </c>
      <c r="H243" s="66" t="str">
        <f>IF(J243&lt;&gt;"OK","",INDEX(mat_price,MATCH(B243,mat_ref,0)))</f>
        <v/>
      </c>
      <c r="I243" s="66" t="str">
        <f>IF(J243&lt;&gt;"OK","",E243*(1+G243)*H243)</f>
        <v/>
      </c>
      <c r="J243" s="69" t="str">
        <f>IF(AND(A243="",B243=""),"",IF(A243="","Produit manquant",IF(COUNTIF(prod_ref,A243)=0,"Produit inconnu",IF(B243="","Matière manquante",IF(ISNA(MATCH(B243,mat_ref,0)),"Matière inconnue",IF(INDEX(mat_check,MATCH(B243,mat_ref,0))&lt;&gt;"OK","Matière à corriger",IF(OR(NOT(ISNUMBER(E243)),N(E243)&lt;=0),"Quantité invalide",IF(AND(F243&lt;&gt;"",OR(NOT(ISNUMBER(F243)),N(F243)&lt;0,N(F243)&gt;=1)),"Perte entre 0 et 99 %",IF(COUNTIFS(bom_prod,A243,bom_mat,B243)&gt;1,"Matière en double","OK")))))))))</f>
        <v/>
      </c>
      <c r="K243" s="71" t="str">
        <f>IF(AND(fiche_sel&lt;&gt;"",A243=fiche_sel),COUNTIF(A$6:A243,fiche_sel),"")</f>
        <v/>
      </c>
    </row>
    <row r="244">
      <c r="A244" s="60" t="n"/>
      <c r="B244" s="60" t="n"/>
      <c r="C244" s="71" t="str">
        <f>IF(B244="","",IFERROR(INDEX(mat_des,MATCH(B244,mat_ref,0))&amp;"","Matière inconnue"))</f>
        <v/>
      </c>
      <c r="D244" s="69" t="str">
        <f>IF(B244="","",IFERROR(INDEX(mat_unit,MATCH(B244,mat_ref,0))&amp;"",""))</f>
        <v/>
      </c>
      <c r="E244" s="72" t="n"/>
      <c r="F244" s="65" t="n"/>
      <c r="G244" s="68" t="str">
        <f>IF(J244&lt;&gt;"OK","",IF(F244="",N(INDEX(mat_loss,MATCH(B244,mat_ref,0))),F244))</f>
        <v/>
      </c>
      <c r="H244" s="66" t="str">
        <f>IF(J244&lt;&gt;"OK","",INDEX(mat_price,MATCH(B244,mat_ref,0)))</f>
        <v/>
      </c>
      <c r="I244" s="66" t="str">
        <f>IF(J244&lt;&gt;"OK","",E244*(1+G244)*H244)</f>
        <v/>
      </c>
      <c r="J244" s="69" t="str">
        <f>IF(AND(A244="",B244=""),"",IF(A244="","Produit manquant",IF(COUNTIF(prod_ref,A244)=0,"Produit inconnu",IF(B244="","Matière manquante",IF(ISNA(MATCH(B244,mat_ref,0)),"Matière inconnue",IF(INDEX(mat_check,MATCH(B244,mat_ref,0))&lt;&gt;"OK","Matière à corriger",IF(OR(NOT(ISNUMBER(E244)),N(E244)&lt;=0),"Quantité invalide",IF(AND(F244&lt;&gt;"",OR(NOT(ISNUMBER(F244)),N(F244)&lt;0,N(F244)&gt;=1)),"Perte entre 0 et 99 %",IF(COUNTIFS(bom_prod,A244,bom_mat,B244)&gt;1,"Matière en double","OK")))))))))</f>
        <v/>
      </c>
      <c r="K244" s="71" t="str">
        <f>IF(AND(fiche_sel&lt;&gt;"",A244=fiche_sel),COUNTIF(A$6:A244,fiche_sel),"")</f>
        <v/>
      </c>
    </row>
    <row r="245">
      <c r="A245" s="60" t="n"/>
      <c r="B245" s="60" t="n"/>
      <c r="C245" s="71" t="str">
        <f>IF(B245="","",IFERROR(INDEX(mat_des,MATCH(B245,mat_ref,0))&amp;"","Matière inconnue"))</f>
        <v/>
      </c>
      <c r="D245" s="69" t="str">
        <f>IF(B245="","",IFERROR(INDEX(mat_unit,MATCH(B245,mat_ref,0))&amp;"",""))</f>
        <v/>
      </c>
      <c r="E245" s="72" t="n"/>
      <c r="F245" s="65" t="n"/>
      <c r="G245" s="68" t="str">
        <f>IF(J245&lt;&gt;"OK","",IF(F245="",N(INDEX(mat_loss,MATCH(B245,mat_ref,0))),F245))</f>
        <v/>
      </c>
      <c r="H245" s="66" t="str">
        <f>IF(J245&lt;&gt;"OK","",INDEX(mat_price,MATCH(B245,mat_ref,0)))</f>
        <v/>
      </c>
      <c r="I245" s="66" t="str">
        <f>IF(J245&lt;&gt;"OK","",E245*(1+G245)*H245)</f>
        <v/>
      </c>
      <c r="J245" s="69" t="str">
        <f>IF(AND(A245="",B245=""),"",IF(A245="","Produit manquant",IF(COUNTIF(prod_ref,A245)=0,"Produit inconnu",IF(B245="","Matière manquante",IF(ISNA(MATCH(B245,mat_ref,0)),"Matière inconnue",IF(INDEX(mat_check,MATCH(B245,mat_ref,0))&lt;&gt;"OK","Matière à corriger",IF(OR(NOT(ISNUMBER(E245)),N(E245)&lt;=0),"Quantité invalide",IF(AND(F245&lt;&gt;"",OR(NOT(ISNUMBER(F245)),N(F245)&lt;0,N(F245)&gt;=1)),"Perte entre 0 et 99 %",IF(COUNTIFS(bom_prod,A245,bom_mat,B245)&gt;1,"Matière en double","OK")))))))))</f>
        <v/>
      </c>
      <c r="K245" s="71" t="str">
        <f>IF(AND(fiche_sel&lt;&gt;"",A245=fiche_sel),COUNTIF(A$6:A245,fiche_sel),"")</f>
        <v/>
      </c>
    </row>
    <row r="246">
      <c r="A246" s="60" t="n"/>
      <c r="B246" s="60" t="n"/>
      <c r="C246" s="71" t="str">
        <f>IF(B246="","",IFERROR(INDEX(mat_des,MATCH(B246,mat_ref,0))&amp;"","Matière inconnue"))</f>
        <v/>
      </c>
      <c r="D246" s="69" t="str">
        <f>IF(B246="","",IFERROR(INDEX(mat_unit,MATCH(B246,mat_ref,0))&amp;"",""))</f>
        <v/>
      </c>
      <c r="E246" s="72" t="n"/>
      <c r="F246" s="65" t="n"/>
      <c r="G246" s="68" t="str">
        <f>IF(J246&lt;&gt;"OK","",IF(F246="",N(INDEX(mat_loss,MATCH(B246,mat_ref,0))),F246))</f>
        <v/>
      </c>
      <c r="H246" s="66" t="str">
        <f>IF(J246&lt;&gt;"OK","",INDEX(mat_price,MATCH(B246,mat_ref,0)))</f>
        <v/>
      </c>
      <c r="I246" s="66" t="str">
        <f>IF(J246&lt;&gt;"OK","",E246*(1+G246)*H246)</f>
        <v/>
      </c>
      <c r="J246" s="69" t="str">
        <f>IF(AND(A246="",B246=""),"",IF(A246="","Produit manquant",IF(COUNTIF(prod_ref,A246)=0,"Produit inconnu",IF(B246="","Matière manquante",IF(ISNA(MATCH(B246,mat_ref,0)),"Matière inconnue",IF(INDEX(mat_check,MATCH(B246,mat_ref,0))&lt;&gt;"OK","Matière à corriger",IF(OR(NOT(ISNUMBER(E246)),N(E246)&lt;=0),"Quantité invalide",IF(AND(F246&lt;&gt;"",OR(NOT(ISNUMBER(F246)),N(F246)&lt;0,N(F246)&gt;=1)),"Perte entre 0 et 99 %",IF(COUNTIFS(bom_prod,A246,bom_mat,B246)&gt;1,"Matière en double","OK")))))))))</f>
        <v/>
      </c>
      <c r="K246" s="71" t="str">
        <f>IF(AND(fiche_sel&lt;&gt;"",A246=fiche_sel),COUNTIF(A$6:A246,fiche_sel),"")</f>
        <v/>
      </c>
    </row>
    <row r="247">
      <c r="A247" s="60" t="n"/>
      <c r="B247" s="60" t="n"/>
      <c r="C247" s="71" t="str">
        <f>IF(B247="","",IFERROR(INDEX(mat_des,MATCH(B247,mat_ref,0))&amp;"","Matière inconnue"))</f>
        <v/>
      </c>
      <c r="D247" s="69" t="str">
        <f>IF(B247="","",IFERROR(INDEX(mat_unit,MATCH(B247,mat_ref,0))&amp;"",""))</f>
        <v/>
      </c>
      <c r="E247" s="72" t="n"/>
      <c r="F247" s="65" t="n"/>
      <c r="G247" s="68" t="str">
        <f>IF(J247&lt;&gt;"OK","",IF(F247="",N(INDEX(mat_loss,MATCH(B247,mat_ref,0))),F247))</f>
        <v/>
      </c>
      <c r="H247" s="66" t="str">
        <f>IF(J247&lt;&gt;"OK","",INDEX(mat_price,MATCH(B247,mat_ref,0)))</f>
        <v/>
      </c>
      <c r="I247" s="66" t="str">
        <f>IF(J247&lt;&gt;"OK","",E247*(1+G247)*H247)</f>
        <v/>
      </c>
      <c r="J247" s="69" t="str">
        <f>IF(AND(A247="",B247=""),"",IF(A247="","Produit manquant",IF(COUNTIF(prod_ref,A247)=0,"Produit inconnu",IF(B247="","Matière manquante",IF(ISNA(MATCH(B247,mat_ref,0)),"Matière inconnue",IF(INDEX(mat_check,MATCH(B247,mat_ref,0))&lt;&gt;"OK","Matière à corriger",IF(OR(NOT(ISNUMBER(E247)),N(E247)&lt;=0),"Quantité invalide",IF(AND(F247&lt;&gt;"",OR(NOT(ISNUMBER(F247)),N(F247)&lt;0,N(F247)&gt;=1)),"Perte entre 0 et 99 %",IF(COUNTIFS(bom_prod,A247,bom_mat,B247)&gt;1,"Matière en double","OK")))))))))</f>
        <v/>
      </c>
      <c r="K247" s="71" t="str">
        <f>IF(AND(fiche_sel&lt;&gt;"",A247=fiche_sel),COUNTIF(A$6:A247,fiche_sel),"")</f>
        <v/>
      </c>
    </row>
    <row r="248">
      <c r="A248" s="60" t="n"/>
      <c r="B248" s="60" t="n"/>
      <c r="C248" s="71" t="str">
        <f>IF(B248="","",IFERROR(INDEX(mat_des,MATCH(B248,mat_ref,0))&amp;"","Matière inconnue"))</f>
        <v/>
      </c>
      <c r="D248" s="69" t="str">
        <f>IF(B248="","",IFERROR(INDEX(mat_unit,MATCH(B248,mat_ref,0))&amp;"",""))</f>
        <v/>
      </c>
      <c r="E248" s="72" t="n"/>
      <c r="F248" s="65" t="n"/>
      <c r="G248" s="68" t="str">
        <f>IF(J248&lt;&gt;"OK","",IF(F248="",N(INDEX(mat_loss,MATCH(B248,mat_ref,0))),F248))</f>
        <v/>
      </c>
      <c r="H248" s="66" t="str">
        <f>IF(J248&lt;&gt;"OK","",INDEX(mat_price,MATCH(B248,mat_ref,0)))</f>
        <v/>
      </c>
      <c r="I248" s="66" t="str">
        <f>IF(J248&lt;&gt;"OK","",E248*(1+G248)*H248)</f>
        <v/>
      </c>
      <c r="J248" s="69" t="str">
        <f>IF(AND(A248="",B248=""),"",IF(A248="","Produit manquant",IF(COUNTIF(prod_ref,A248)=0,"Produit inconnu",IF(B248="","Matière manquante",IF(ISNA(MATCH(B248,mat_ref,0)),"Matière inconnue",IF(INDEX(mat_check,MATCH(B248,mat_ref,0))&lt;&gt;"OK","Matière à corriger",IF(OR(NOT(ISNUMBER(E248)),N(E248)&lt;=0),"Quantité invalide",IF(AND(F248&lt;&gt;"",OR(NOT(ISNUMBER(F248)),N(F248)&lt;0,N(F248)&gt;=1)),"Perte entre 0 et 99 %",IF(COUNTIFS(bom_prod,A248,bom_mat,B248)&gt;1,"Matière en double","OK")))))))))</f>
        <v/>
      </c>
      <c r="K248" s="71" t="str">
        <f>IF(AND(fiche_sel&lt;&gt;"",A248=fiche_sel),COUNTIF(A$6:A248,fiche_sel),"")</f>
        <v/>
      </c>
    </row>
    <row r="249">
      <c r="A249" s="60" t="n"/>
      <c r="B249" s="60" t="n"/>
      <c r="C249" s="71" t="str">
        <f>IF(B249="","",IFERROR(INDEX(mat_des,MATCH(B249,mat_ref,0))&amp;"","Matière inconnue"))</f>
        <v/>
      </c>
      <c r="D249" s="69" t="str">
        <f>IF(B249="","",IFERROR(INDEX(mat_unit,MATCH(B249,mat_ref,0))&amp;"",""))</f>
        <v/>
      </c>
      <c r="E249" s="72" t="n"/>
      <c r="F249" s="65" t="n"/>
      <c r="G249" s="68" t="str">
        <f>IF(J249&lt;&gt;"OK","",IF(F249="",N(INDEX(mat_loss,MATCH(B249,mat_ref,0))),F249))</f>
        <v/>
      </c>
      <c r="H249" s="66" t="str">
        <f>IF(J249&lt;&gt;"OK","",INDEX(mat_price,MATCH(B249,mat_ref,0)))</f>
        <v/>
      </c>
      <c r="I249" s="66" t="str">
        <f>IF(J249&lt;&gt;"OK","",E249*(1+G249)*H249)</f>
        <v/>
      </c>
      <c r="J249" s="69" t="str">
        <f>IF(AND(A249="",B249=""),"",IF(A249="","Produit manquant",IF(COUNTIF(prod_ref,A249)=0,"Produit inconnu",IF(B249="","Matière manquante",IF(ISNA(MATCH(B249,mat_ref,0)),"Matière inconnue",IF(INDEX(mat_check,MATCH(B249,mat_ref,0))&lt;&gt;"OK","Matière à corriger",IF(OR(NOT(ISNUMBER(E249)),N(E249)&lt;=0),"Quantité invalide",IF(AND(F249&lt;&gt;"",OR(NOT(ISNUMBER(F249)),N(F249)&lt;0,N(F249)&gt;=1)),"Perte entre 0 et 99 %",IF(COUNTIFS(bom_prod,A249,bom_mat,B249)&gt;1,"Matière en double","OK")))))))))</f>
        <v/>
      </c>
      <c r="K249" s="71" t="str">
        <f>IF(AND(fiche_sel&lt;&gt;"",A249=fiche_sel),COUNTIF(A$6:A249,fiche_sel),"")</f>
        <v/>
      </c>
    </row>
    <row r="250">
      <c r="A250" s="60" t="n"/>
      <c r="B250" s="60" t="n"/>
      <c r="C250" s="71" t="str">
        <f>IF(B250="","",IFERROR(INDEX(mat_des,MATCH(B250,mat_ref,0))&amp;"","Matière inconnue"))</f>
        <v/>
      </c>
      <c r="D250" s="69" t="str">
        <f>IF(B250="","",IFERROR(INDEX(mat_unit,MATCH(B250,mat_ref,0))&amp;"",""))</f>
        <v/>
      </c>
      <c r="E250" s="72" t="n"/>
      <c r="F250" s="65" t="n"/>
      <c r="G250" s="68" t="str">
        <f>IF(J250&lt;&gt;"OK","",IF(F250="",N(INDEX(mat_loss,MATCH(B250,mat_ref,0))),F250))</f>
        <v/>
      </c>
      <c r="H250" s="66" t="str">
        <f>IF(J250&lt;&gt;"OK","",INDEX(mat_price,MATCH(B250,mat_ref,0)))</f>
        <v/>
      </c>
      <c r="I250" s="66" t="str">
        <f>IF(J250&lt;&gt;"OK","",E250*(1+G250)*H250)</f>
        <v/>
      </c>
      <c r="J250" s="69" t="str">
        <f>IF(AND(A250="",B250=""),"",IF(A250="","Produit manquant",IF(COUNTIF(prod_ref,A250)=0,"Produit inconnu",IF(B250="","Matière manquante",IF(ISNA(MATCH(B250,mat_ref,0)),"Matière inconnue",IF(INDEX(mat_check,MATCH(B250,mat_ref,0))&lt;&gt;"OK","Matière à corriger",IF(OR(NOT(ISNUMBER(E250)),N(E250)&lt;=0),"Quantité invalide",IF(AND(F250&lt;&gt;"",OR(NOT(ISNUMBER(F250)),N(F250)&lt;0,N(F250)&gt;=1)),"Perte entre 0 et 99 %",IF(COUNTIFS(bom_prod,A250,bom_mat,B250)&gt;1,"Matière en double","OK")))))))))</f>
        <v/>
      </c>
      <c r="K250" s="71" t="str">
        <f>IF(AND(fiche_sel&lt;&gt;"",A250=fiche_sel),COUNTIF(A$6:A250,fiche_sel),"")</f>
        <v/>
      </c>
    </row>
    <row r="251">
      <c r="A251" s="60" t="n"/>
      <c r="B251" s="60" t="n"/>
      <c r="C251" s="71" t="str">
        <f>IF(B251="","",IFERROR(INDEX(mat_des,MATCH(B251,mat_ref,0))&amp;"","Matière inconnue"))</f>
        <v/>
      </c>
      <c r="D251" s="69" t="str">
        <f>IF(B251="","",IFERROR(INDEX(mat_unit,MATCH(B251,mat_ref,0))&amp;"",""))</f>
        <v/>
      </c>
      <c r="E251" s="72" t="n"/>
      <c r="F251" s="65" t="n"/>
      <c r="G251" s="68" t="str">
        <f>IF(J251&lt;&gt;"OK","",IF(F251="",N(INDEX(mat_loss,MATCH(B251,mat_ref,0))),F251))</f>
        <v/>
      </c>
      <c r="H251" s="66" t="str">
        <f>IF(J251&lt;&gt;"OK","",INDEX(mat_price,MATCH(B251,mat_ref,0)))</f>
        <v/>
      </c>
      <c r="I251" s="66" t="str">
        <f>IF(J251&lt;&gt;"OK","",E251*(1+G251)*H251)</f>
        <v/>
      </c>
      <c r="J251" s="69" t="str">
        <f>IF(AND(A251="",B251=""),"",IF(A251="","Produit manquant",IF(COUNTIF(prod_ref,A251)=0,"Produit inconnu",IF(B251="","Matière manquante",IF(ISNA(MATCH(B251,mat_ref,0)),"Matière inconnue",IF(INDEX(mat_check,MATCH(B251,mat_ref,0))&lt;&gt;"OK","Matière à corriger",IF(OR(NOT(ISNUMBER(E251)),N(E251)&lt;=0),"Quantité invalide",IF(AND(F251&lt;&gt;"",OR(NOT(ISNUMBER(F251)),N(F251)&lt;0,N(F251)&gt;=1)),"Perte entre 0 et 99 %",IF(COUNTIFS(bom_prod,A251,bom_mat,B251)&gt;1,"Matière en double","OK")))))))))</f>
        <v/>
      </c>
      <c r="K251" s="71" t="str">
        <f>IF(AND(fiche_sel&lt;&gt;"",A251=fiche_sel),COUNTIF(A$6:A251,fiche_sel),"")</f>
        <v/>
      </c>
    </row>
    <row r="252">
      <c r="A252" s="60" t="n"/>
      <c r="B252" s="60" t="n"/>
      <c r="C252" s="71" t="str">
        <f>IF(B252="","",IFERROR(INDEX(mat_des,MATCH(B252,mat_ref,0))&amp;"","Matière inconnue"))</f>
        <v/>
      </c>
      <c r="D252" s="69" t="str">
        <f>IF(B252="","",IFERROR(INDEX(mat_unit,MATCH(B252,mat_ref,0))&amp;"",""))</f>
        <v/>
      </c>
      <c r="E252" s="72" t="n"/>
      <c r="F252" s="65" t="n"/>
      <c r="G252" s="68" t="str">
        <f>IF(J252&lt;&gt;"OK","",IF(F252="",N(INDEX(mat_loss,MATCH(B252,mat_ref,0))),F252))</f>
        <v/>
      </c>
      <c r="H252" s="66" t="str">
        <f>IF(J252&lt;&gt;"OK","",INDEX(mat_price,MATCH(B252,mat_ref,0)))</f>
        <v/>
      </c>
      <c r="I252" s="66" t="str">
        <f>IF(J252&lt;&gt;"OK","",E252*(1+G252)*H252)</f>
        <v/>
      </c>
      <c r="J252" s="69" t="str">
        <f>IF(AND(A252="",B252=""),"",IF(A252="","Produit manquant",IF(COUNTIF(prod_ref,A252)=0,"Produit inconnu",IF(B252="","Matière manquante",IF(ISNA(MATCH(B252,mat_ref,0)),"Matière inconnue",IF(INDEX(mat_check,MATCH(B252,mat_ref,0))&lt;&gt;"OK","Matière à corriger",IF(OR(NOT(ISNUMBER(E252)),N(E252)&lt;=0),"Quantité invalide",IF(AND(F252&lt;&gt;"",OR(NOT(ISNUMBER(F252)),N(F252)&lt;0,N(F252)&gt;=1)),"Perte entre 0 et 99 %",IF(COUNTIFS(bom_prod,A252,bom_mat,B252)&gt;1,"Matière en double","OK")))))))))</f>
        <v/>
      </c>
      <c r="K252" s="71" t="str">
        <f>IF(AND(fiche_sel&lt;&gt;"",A252=fiche_sel),COUNTIF(A$6:A252,fiche_sel),"")</f>
        <v/>
      </c>
    </row>
    <row r="253">
      <c r="A253" s="60" t="n"/>
      <c r="B253" s="60" t="n"/>
      <c r="C253" s="71" t="str">
        <f>IF(B253="","",IFERROR(INDEX(mat_des,MATCH(B253,mat_ref,0))&amp;"","Matière inconnue"))</f>
        <v/>
      </c>
      <c r="D253" s="69" t="str">
        <f>IF(B253="","",IFERROR(INDEX(mat_unit,MATCH(B253,mat_ref,0))&amp;"",""))</f>
        <v/>
      </c>
      <c r="E253" s="72" t="n"/>
      <c r="F253" s="65" t="n"/>
      <c r="G253" s="68" t="str">
        <f>IF(J253&lt;&gt;"OK","",IF(F253="",N(INDEX(mat_loss,MATCH(B253,mat_ref,0))),F253))</f>
        <v/>
      </c>
      <c r="H253" s="66" t="str">
        <f>IF(J253&lt;&gt;"OK","",INDEX(mat_price,MATCH(B253,mat_ref,0)))</f>
        <v/>
      </c>
      <c r="I253" s="66" t="str">
        <f>IF(J253&lt;&gt;"OK","",E253*(1+G253)*H253)</f>
        <v/>
      </c>
      <c r="J253" s="69" t="str">
        <f>IF(AND(A253="",B253=""),"",IF(A253="","Produit manquant",IF(COUNTIF(prod_ref,A253)=0,"Produit inconnu",IF(B253="","Matière manquante",IF(ISNA(MATCH(B253,mat_ref,0)),"Matière inconnue",IF(INDEX(mat_check,MATCH(B253,mat_ref,0))&lt;&gt;"OK","Matière à corriger",IF(OR(NOT(ISNUMBER(E253)),N(E253)&lt;=0),"Quantité invalide",IF(AND(F253&lt;&gt;"",OR(NOT(ISNUMBER(F253)),N(F253)&lt;0,N(F253)&gt;=1)),"Perte entre 0 et 99 %",IF(COUNTIFS(bom_prod,A253,bom_mat,B253)&gt;1,"Matière en double","OK")))))))))</f>
        <v/>
      </c>
      <c r="K253" s="71" t="str">
        <f>IF(AND(fiche_sel&lt;&gt;"",A253=fiche_sel),COUNTIF(A$6:A253,fiche_sel),"")</f>
        <v/>
      </c>
    </row>
    <row r="254">
      <c r="A254" s="60" t="n"/>
      <c r="B254" s="60" t="n"/>
      <c r="C254" s="71" t="str">
        <f>IF(B254="","",IFERROR(INDEX(mat_des,MATCH(B254,mat_ref,0))&amp;"","Matière inconnue"))</f>
        <v/>
      </c>
      <c r="D254" s="69" t="str">
        <f>IF(B254="","",IFERROR(INDEX(mat_unit,MATCH(B254,mat_ref,0))&amp;"",""))</f>
        <v/>
      </c>
      <c r="E254" s="72" t="n"/>
      <c r="F254" s="65" t="n"/>
      <c r="G254" s="68" t="str">
        <f>IF(J254&lt;&gt;"OK","",IF(F254="",N(INDEX(mat_loss,MATCH(B254,mat_ref,0))),F254))</f>
        <v/>
      </c>
      <c r="H254" s="66" t="str">
        <f>IF(J254&lt;&gt;"OK","",INDEX(mat_price,MATCH(B254,mat_ref,0)))</f>
        <v/>
      </c>
      <c r="I254" s="66" t="str">
        <f>IF(J254&lt;&gt;"OK","",E254*(1+G254)*H254)</f>
        <v/>
      </c>
      <c r="J254" s="69" t="str">
        <f>IF(AND(A254="",B254=""),"",IF(A254="","Produit manquant",IF(COUNTIF(prod_ref,A254)=0,"Produit inconnu",IF(B254="","Matière manquante",IF(ISNA(MATCH(B254,mat_ref,0)),"Matière inconnue",IF(INDEX(mat_check,MATCH(B254,mat_ref,0))&lt;&gt;"OK","Matière à corriger",IF(OR(NOT(ISNUMBER(E254)),N(E254)&lt;=0),"Quantité invalide",IF(AND(F254&lt;&gt;"",OR(NOT(ISNUMBER(F254)),N(F254)&lt;0,N(F254)&gt;=1)),"Perte entre 0 et 99 %",IF(COUNTIFS(bom_prod,A254,bom_mat,B254)&gt;1,"Matière en double","OK")))))))))</f>
        <v/>
      </c>
      <c r="K254" s="71" t="str">
        <f>IF(AND(fiche_sel&lt;&gt;"",A254=fiche_sel),COUNTIF(A$6:A254,fiche_sel),"")</f>
        <v/>
      </c>
    </row>
    <row r="255">
      <c r="A255" s="60" t="n"/>
      <c r="B255" s="60" t="n"/>
      <c r="C255" s="71" t="str">
        <f>IF(B255="","",IFERROR(INDEX(mat_des,MATCH(B255,mat_ref,0))&amp;"","Matière inconnue"))</f>
        <v/>
      </c>
      <c r="D255" s="69" t="str">
        <f>IF(B255="","",IFERROR(INDEX(mat_unit,MATCH(B255,mat_ref,0))&amp;"",""))</f>
        <v/>
      </c>
      <c r="E255" s="72" t="n"/>
      <c r="F255" s="65" t="n"/>
      <c r="G255" s="68" t="str">
        <f>IF(J255&lt;&gt;"OK","",IF(F255="",N(INDEX(mat_loss,MATCH(B255,mat_ref,0))),F255))</f>
        <v/>
      </c>
      <c r="H255" s="66" t="str">
        <f>IF(J255&lt;&gt;"OK","",INDEX(mat_price,MATCH(B255,mat_ref,0)))</f>
        <v/>
      </c>
      <c r="I255" s="66" t="str">
        <f>IF(J255&lt;&gt;"OK","",E255*(1+G255)*H255)</f>
        <v/>
      </c>
      <c r="J255" s="69" t="str">
        <f>IF(AND(A255="",B255=""),"",IF(A255="","Produit manquant",IF(COUNTIF(prod_ref,A255)=0,"Produit inconnu",IF(B255="","Matière manquante",IF(ISNA(MATCH(B255,mat_ref,0)),"Matière inconnue",IF(INDEX(mat_check,MATCH(B255,mat_ref,0))&lt;&gt;"OK","Matière à corriger",IF(OR(NOT(ISNUMBER(E255)),N(E255)&lt;=0),"Quantité invalide",IF(AND(F255&lt;&gt;"",OR(NOT(ISNUMBER(F255)),N(F255)&lt;0,N(F255)&gt;=1)),"Perte entre 0 et 99 %",IF(COUNTIFS(bom_prod,A255,bom_mat,B255)&gt;1,"Matière en double","OK")))))))))</f>
        <v/>
      </c>
      <c r="K255" s="71" t="str">
        <f>IF(AND(fiche_sel&lt;&gt;"",A255=fiche_sel),COUNTIF(A$6:A255,fiche_sel),"")</f>
        <v/>
      </c>
    </row>
    <row r="256">
      <c r="A256" s="60" t="n"/>
      <c r="B256" s="60" t="n"/>
      <c r="C256" s="71" t="str">
        <f>IF(B256="","",IFERROR(INDEX(mat_des,MATCH(B256,mat_ref,0))&amp;"","Matière inconnue"))</f>
        <v/>
      </c>
      <c r="D256" s="69" t="str">
        <f>IF(B256="","",IFERROR(INDEX(mat_unit,MATCH(B256,mat_ref,0))&amp;"",""))</f>
        <v/>
      </c>
      <c r="E256" s="72" t="n"/>
      <c r="F256" s="65" t="n"/>
      <c r="G256" s="68" t="str">
        <f>IF(J256&lt;&gt;"OK","",IF(F256="",N(INDEX(mat_loss,MATCH(B256,mat_ref,0))),F256))</f>
        <v/>
      </c>
      <c r="H256" s="66" t="str">
        <f>IF(J256&lt;&gt;"OK","",INDEX(mat_price,MATCH(B256,mat_ref,0)))</f>
        <v/>
      </c>
      <c r="I256" s="66" t="str">
        <f>IF(J256&lt;&gt;"OK","",E256*(1+G256)*H256)</f>
        <v/>
      </c>
      <c r="J256" s="69" t="str">
        <f>IF(AND(A256="",B256=""),"",IF(A256="","Produit manquant",IF(COUNTIF(prod_ref,A256)=0,"Produit inconnu",IF(B256="","Matière manquante",IF(ISNA(MATCH(B256,mat_ref,0)),"Matière inconnue",IF(INDEX(mat_check,MATCH(B256,mat_ref,0))&lt;&gt;"OK","Matière à corriger",IF(OR(NOT(ISNUMBER(E256)),N(E256)&lt;=0),"Quantité invalide",IF(AND(F256&lt;&gt;"",OR(NOT(ISNUMBER(F256)),N(F256)&lt;0,N(F256)&gt;=1)),"Perte entre 0 et 99 %",IF(COUNTIFS(bom_prod,A256,bom_mat,B256)&gt;1,"Matière en double","OK")))))))))</f>
        <v/>
      </c>
      <c r="K256" s="71" t="str">
        <f>IF(AND(fiche_sel&lt;&gt;"",A256=fiche_sel),COUNTIF(A$6:A256,fiche_sel),"")</f>
        <v/>
      </c>
    </row>
    <row r="257">
      <c r="A257" s="60" t="n"/>
      <c r="B257" s="60" t="n"/>
      <c r="C257" s="71" t="str">
        <f>IF(B257="","",IFERROR(INDEX(mat_des,MATCH(B257,mat_ref,0))&amp;"","Matière inconnue"))</f>
        <v/>
      </c>
      <c r="D257" s="69" t="str">
        <f>IF(B257="","",IFERROR(INDEX(mat_unit,MATCH(B257,mat_ref,0))&amp;"",""))</f>
        <v/>
      </c>
      <c r="E257" s="72" t="n"/>
      <c r="F257" s="65" t="n"/>
      <c r="G257" s="68" t="str">
        <f>IF(J257&lt;&gt;"OK","",IF(F257="",N(INDEX(mat_loss,MATCH(B257,mat_ref,0))),F257))</f>
        <v/>
      </c>
      <c r="H257" s="66" t="str">
        <f>IF(J257&lt;&gt;"OK","",INDEX(mat_price,MATCH(B257,mat_ref,0)))</f>
        <v/>
      </c>
      <c r="I257" s="66" t="str">
        <f>IF(J257&lt;&gt;"OK","",E257*(1+G257)*H257)</f>
        <v/>
      </c>
      <c r="J257" s="69" t="str">
        <f>IF(AND(A257="",B257=""),"",IF(A257="","Produit manquant",IF(COUNTIF(prod_ref,A257)=0,"Produit inconnu",IF(B257="","Matière manquante",IF(ISNA(MATCH(B257,mat_ref,0)),"Matière inconnue",IF(INDEX(mat_check,MATCH(B257,mat_ref,0))&lt;&gt;"OK","Matière à corriger",IF(OR(NOT(ISNUMBER(E257)),N(E257)&lt;=0),"Quantité invalide",IF(AND(F257&lt;&gt;"",OR(NOT(ISNUMBER(F257)),N(F257)&lt;0,N(F257)&gt;=1)),"Perte entre 0 et 99 %",IF(COUNTIFS(bom_prod,A257,bom_mat,B257)&gt;1,"Matière en double","OK")))))))))</f>
        <v/>
      </c>
      <c r="K257" s="71" t="str">
        <f>IF(AND(fiche_sel&lt;&gt;"",A257=fiche_sel),COUNTIF(A$6:A257,fiche_sel),"")</f>
        <v/>
      </c>
    </row>
    <row r="258">
      <c r="A258" s="60" t="n"/>
      <c r="B258" s="60" t="n"/>
      <c r="C258" s="71" t="str">
        <f>IF(B258="","",IFERROR(INDEX(mat_des,MATCH(B258,mat_ref,0))&amp;"","Matière inconnue"))</f>
        <v/>
      </c>
      <c r="D258" s="69" t="str">
        <f>IF(B258="","",IFERROR(INDEX(mat_unit,MATCH(B258,mat_ref,0))&amp;"",""))</f>
        <v/>
      </c>
      <c r="E258" s="72" t="n"/>
      <c r="F258" s="65" t="n"/>
      <c r="G258" s="68" t="str">
        <f>IF(J258&lt;&gt;"OK","",IF(F258="",N(INDEX(mat_loss,MATCH(B258,mat_ref,0))),F258))</f>
        <v/>
      </c>
      <c r="H258" s="66" t="str">
        <f>IF(J258&lt;&gt;"OK","",INDEX(mat_price,MATCH(B258,mat_ref,0)))</f>
        <v/>
      </c>
      <c r="I258" s="66" t="str">
        <f>IF(J258&lt;&gt;"OK","",E258*(1+G258)*H258)</f>
        <v/>
      </c>
      <c r="J258" s="69" t="str">
        <f>IF(AND(A258="",B258=""),"",IF(A258="","Produit manquant",IF(COUNTIF(prod_ref,A258)=0,"Produit inconnu",IF(B258="","Matière manquante",IF(ISNA(MATCH(B258,mat_ref,0)),"Matière inconnue",IF(INDEX(mat_check,MATCH(B258,mat_ref,0))&lt;&gt;"OK","Matière à corriger",IF(OR(NOT(ISNUMBER(E258)),N(E258)&lt;=0),"Quantité invalide",IF(AND(F258&lt;&gt;"",OR(NOT(ISNUMBER(F258)),N(F258)&lt;0,N(F258)&gt;=1)),"Perte entre 0 et 99 %",IF(COUNTIFS(bom_prod,A258,bom_mat,B258)&gt;1,"Matière en double","OK")))))))))</f>
        <v/>
      </c>
      <c r="K258" s="71" t="str">
        <f>IF(AND(fiche_sel&lt;&gt;"",A258=fiche_sel),COUNTIF(A$6:A258,fiche_sel),"")</f>
        <v/>
      </c>
    </row>
    <row r="259">
      <c r="A259" s="60" t="n"/>
      <c r="B259" s="60" t="n"/>
      <c r="C259" s="71" t="str">
        <f>IF(B259="","",IFERROR(INDEX(mat_des,MATCH(B259,mat_ref,0))&amp;"","Matière inconnue"))</f>
        <v/>
      </c>
      <c r="D259" s="69" t="str">
        <f>IF(B259="","",IFERROR(INDEX(mat_unit,MATCH(B259,mat_ref,0))&amp;"",""))</f>
        <v/>
      </c>
      <c r="E259" s="72" t="n"/>
      <c r="F259" s="65" t="n"/>
      <c r="G259" s="68" t="str">
        <f>IF(J259&lt;&gt;"OK","",IF(F259="",N(INDEX(mat_loss,MATCH(B259,mat_ref,0))),F259))</f>
        <v/>
      </c>
      <c r="H259" s="66" t="str">
        <f>IF(J259&lt;&gt;"OK","",INDEX(mat_price,MATCH(B259,mat_ref,0)))</f>
        <v/>
      </c>
      <c r="I259" s="66" t="str">
        <f>IF(J259&lt;&gt;"OK","",E259*(1+G259)*H259)</f>
        <v/>
      </c>
      <c r="J259" s="69" t="str">
        <f>IF(AND(A259="",B259=""),"",IF(A259="","Produit manquant",IF(COUNTIF(prod_ref,A259)=0,"Produit inconnu",IF(B259="","Matière manquante",IF(ISNA(MATCH(B259,mat_ref,0)),"Matière inconnue",IF(INDEX(mat_check,MATCH(B259,mat_ref,0))&lt;&gt;"OK","Matière à corriger",IF(OR(NOT(ISNUMBER(E259)),N(E259)&lt;=0),"Quantité invalide",IF(AND(F259&lt;&gt;"",OR(NOT(ISNUMBER(F259)),N(F259)&lt;0,N(F259)&gt;=1)),"Perte entre 0 et 99 %",IF(COUNTIFS(bom_prod,A259,bom_mat,B259)&gt;1,"Matière en double","OK")))))))))</f>
        <v/>
      </c>
      <c r="K259" s="71" t="str">
        <f>IF(AND(fiche_sel&lt;&gt;"",A259=fiche_sel),COUNTIF(A$6:A259,fiche_sel),"")</f>
        <v/>
      </c>
    </row>
    <row r="260">
      <c r="A260" s="60" t="n"/>
      <c r="B260" s="60" t="n"/>
      <c r="C260" s="71" t="str">
        <f>IF(B260="","",IFERROR(INDEX(mat_des,MATCH(B260,mat_ref,0))&amp;"","Matière inconnue"))</f>
        <v/>
      </c>
      <c r="D260" s="69" t="str">
        <f>IF(B260="","",IFERROR(INDEX(mat_unit,MATCH(B260,mat_ref,0))&amp;"",""))</f>
        <v/>
      </c>
      <c r="E260" s="72" t="n"/>
      <c r="F260" s="65" t="n"/>
      <c r="G260" s="68" t="str">
        <f>IF(J260&lt;&gt;"OK","",IF(F260="",N(INDEX(mat_loss,MATCH(B260,mat_ref,0))),F260))</f>
        <v/>
      </c>
      <c r="H260" s="66" t="str">
        <f>IF(J260&lt;&gt;"OK","",INDEX(mat_price,MATCH(B260,mat_ref,0)))</f>
        <v/>
      </c>
      <c r="I260" s="66" t="str">
        <f>IF(J260&lt;&gt;"OK","",E260*(1+G260)*H260)</f>
        <v/>
      </c>
      <c r="J260" s="69" t="str">
        <f>IF(AND(A260="",B260=""),"",IF(A260="","Produit manquant",IF(COUNTIF(prod_ref,A260)=0,"Produit inconnu",IF(B260="","Matière manquante",IF(ISNA(MATCH(B260,mat_ref,0)),"Matière inconnue",IF(INDEX(mat_check,MATCH(B260,mat_ref,0))&lt;&gt;"OK","Matière à corriger",IF(OR(NOT(ISNUMBER(E260)),N(E260)&lt;=0),"Quantité invalide",IF(AND(F260&lt;&gt;"",OR(NOT(ISNUMBER(F260)),N(F260)&lt;0,N(F260)&gt;=1)),"Perte entre 0 et 99 %",IF(COUNTIFS(bom_prod,A260,bom_mat,B260)&gt;1,"Matière en double","OK")))))))))</f>
        <v/>
      </c>
      <c r="K260" s="71" t="str">
        <f>IF(AND(fiche_sel&lt;&gt;"",A260=fiche_sel),COUNTIF(A$6:A260,fiche_sel),"")</f>
        <v/>
      </c>
    </row>
    <row r="261">
      <c r="A261" s="60" t="n"/>
      <c r="B261" s="60" t="n"/>
      <c r="C261" s="71" t="str">
        <f>IF(B261="","",IFERROR(INDEX(mat_des,MATCH(B261,mat_ref,0))&amp;"","Matière inconnue"))</f>
        <v/>
      </c>
      <c r="D261" s="69" t="str">
        <f>IF(B261="","",IFERROR(INDEX(mat_unit,MATCH(B261,mat_ref,0))&amp;"",""))</f>
        <v/>
      </c>
      <c r="E261" s="72" t="n"/>
      <c r="F261" s="65" t="n"/>
      <c r="G261" s="68" t="str">
        <f>IF(J261&lt;&gt;"OK","",IF(F261="",N(INDEX(mat_loss,MATCH(B261,mat_ref,0))),F261))</f>
        <v/>
      </c>
      <c r="H261" s="66" t="str">
        <f>IF(J261&lt;&gt;"OK","",INDEX(mat_price,MATCH(B261,mat_ref,0)))</f>
        <v/>
      </c>
      <c r="I261" s="66" t="str">
        <f>IF(J261&lt;&gt;"OK","",E261*(1+G261)*H261)</f>
        <v/>
      </c>
      <c r="J261" s="69" t="str">
        <f>IF(AND(A261="",B261=""),"",IF(A261="","Produit manquant",IF(COUNTIF(prod_ref,A261)=0,"Produit inconnu",IF(B261="","Matière manquante",IF(ISNA(MATCH(B261,mat_ref,0)),"Matière inconnue",IF(INDEX(mat_check,MATCH(B261,mat_ref,0))&lt;&gt;"OK","Matière à corriger",IF(OR(NOT(ISNUMBER(E261)),N(E261)&lt;=0),"Quantité invalide",IF(AND(F261&lt;&gt;"",OR(NOT(ISNUMBER(F261)),N(F261)&lt;0,N(F261)&gt;=1)),"Perte entre 0 et 99 %",IF(COUNTIFS(bom_prod,A261,bom_mat,B261)&gt;1,"Matière en double","OK")))))))))</f>
        <v/>
      </c>
      <c r="K261" s="71" t="str">
        <f>IF(AND(fiche_sel&lt;&gt;"",A261=fiche_sel),COUNTIF(A$6:A261,fiche_sel),"")</f>
        <v/>
      </c>
    </row>
    <row r="262">
      <c r="A262" s="60" t="n"/>
      <c r="B262" s="60" t="n"/>
      <c r="C262" s="71" t="str">
        <f>IF(B262="","",IFERROR(INDEX(mat_des,MATCH(B262,mat_ref,0))&amp;"","Matière inconnue"))</f>
        <v/>
      </c>
      <c r="D262" s="69" t="str">
        <f>IF(B262="","",IFERROR(INDEX(mat_unit,MATCH(B262,mat_ref,0))&amp;"",""))</f>
        <v/>
      </c>
      <c r="E262" s="72" t="n"/>
      <c r="F262" s="65" t="n"/>
      <c r="G262" s="68" t="str">
        <f>IF(J262&lt;&gt;"OK","",IF(F262="",N(INDEX(mat_loss,MATCH(B262,mat_ref,0))),F262))</f>
        <v/>
      </c>
      <c r="H262" s="66" t="str">
        <f>IF(J262&lt;&gt;"OK","",INDEX(mat_price,MATCH(B262,mat_ref,0)))</f>
        <v/>
      </c>
      <c r="I262" s="66" t="str">
        <f>IF(J262&lt;&gt;"OK","",E262*(1+G262)*H262)</f>
        <v/>
      </c>
      <c r="J262" s="69" t="str">
        <f>IF(AND(A262="",B262=""),"",IF(A262="","Produit manquant",IF(COUNTIF(prod_ref,A262)=0,"Produit inconnu",IF(B262="","Matière manquante",IF(ISNA(MATCH(B262,mat_ref,0)),"Matière inconnue",IF(INDEX(mat_check,MATCH(B262,mat_ref,0))&lt;&gt;"OK","Matière à corriger",IF(OR(NOT(ISNUMBER(E262)),N(E262)&lt;=0),"Quantité invalide",IF(AND(F262&lt;&gt;"",OR(NOT(ISNUMBER(F262)),N(F262)&lt;0,N(F262)&gt;=1)),"Perte entre 0 et 99 %",IF(COUNTIFS(bom_prod,A262,bom_mat,B262)&gt;1,"Matière en double","OK")))))))))</f>
        <v/>
      </c>
      <c r="K262" s="71" t="str">
        <f>IF(AND(fiche_sel&lt;&gt;"",A262=fiche_sel),COUNTIF(A$6:A262,fiche_sel),"")</f>
        <v/>
      </c>
    </row>
    <row r="263">
      <c r="A263" s="60" t="n"/>
      <c r="B263" s="60" t="n"/>
      <c r="C263" s="71" t="str">
        <f>IF(B263="","",IFERROR(INDEX(mat_des,MATCH(B263,mat_ref,0))&amp;"","Matière inconnue"))</f>
        <v/>
      </c>
      <c r="D263" s="69" t="str">
        <f>IF(B263="","",IFERROR(INDEX(mat_unit,MATCH(B263,mat_ref,0))&amp;"",""))</f>
        <v/>
      </c>
      <c r="E263" s="72" t="n"/>
      <c r="F263" s="65" t="n"/>
      <c r="G263" s="68" t="str">
        <f>IF(J263&lt;&gt;"OK","",IF(F263="",N(INDEX(mat_loss,MATCH(B263,mat_ref,0))),F263))</f>
        <v/>
      </c>
      <c r="H263" s="66" t="str">
        <f>IF(J263&lt;&gt;"OK","",INDEX(mat_price,MATCH(B263,mat_ref,0)))</f>
        <v/>
      </c>
      <c r="I263" s="66" t="str">
        <f>IF(J263&lt;&gt;"OK","",E263*(1+G263)*H263)</f>
        <v/>
      </c>
      <c r="J263" s="69" t="str">
        <f>IF(AND(A263="",B263=""),"",IF(A263="","Produit manquant",IF(COUNTIF(prod_ref,A263)=0,"Produit inconnu",IF(B263="","Matière manquante",IF(ISNA(MATCH(B263,mat_ref,0)),"Matière inconnue",IF(INDEX(mat_check,MATCH(B263,mat_ref,0))&lt;&gt;"OK","Matière à corriger",IF(OR(NOT(ISNUMBER(E263)),N(E263)&lt;=0),"Quantité invalide",IF(AND(F263&lt;&gt;"",OR(NOT(ISNUMBER(F263)),N(F263)&lt;0,N(F263)&gt;=1)),"Perte entre 0 et 99 %",IF(COUNTIFS(bom_prod,A263,bom_mat,B263)&gt;1,"Matière en double","OK")))))))))</f>
        <v/>
      </c>
      <c r="K263" s="71" t="str">
        <f>IF(AND(fiche_sel&lt;&gt;"",A263=fiche_sel),COUNTIF(A$6:A263,fiche_sel),"")</f>
        <v/>
      </c>
    </row>
    <row r="264">
      <c r="A264" s="60" t="n"/>
      <c r="B264" s="60" t="n"/>
      <c r="C264" s="71" t="str">
        <f>IF(B264="","",IFERROR(INDEX(mat_des,MATCH(B264,mat_ref,0))&amp;"","Matière inconnue"))</f>
        <v/>
      </c>
      <c r="D264" s="69" t="str">
        <f>IF(B264="","",IFERROR(INDEX(mat_unit,MATCH(B264,mat_ref,0))&amp;"",""))</f>
        <v/>
      </c>
      <c r="E264" s="72" t="n"/>
      <c r="F264" s="65" t="n"/>
      <c r="G264" s="68" t="str">
        <f>IF(J264&lt;&gt;"OK","",IF(F264="",N(INDEX(mat_loss,MATCH(B264,mat_ref,0))),F264))</f>
        <v/>
      </c>
      <c r="H264" s="66" t="str">
        <f>IF(J264&lt;&gt;"OK","",INDEX(mat_price,MATCH(B264,mat_ref,0)))</f>
        <v/>
      </c>
      <c r="I264" s="66" t="str">
        <f>IF(J264&lt;&gt;"OK","",E264*(1+G264)*H264)</f>
        <v/>
      </c>
      <c r="J264" s="69" t="str">
        <f>IF(AND(A264="",B264=""),"",IF(A264="","Produit manquant",IF(COUNTIF(prod_ref,A264)=0,"Produit inconnu",IF(B264="","Matière manquante",IF(ISNA(MATCH(B264,mat_ref,0)),"Matière inconnue",IF(INDEX(mat_check,MATCH(B264,mat_ref,0))&lt;&gt;"OK","Matière à corriger",IF(OR(NOT(ISNUMBER(E264)),N(E264)&lt;=0),"Quantité invalide",IF(AND(F264&lt;&gt;"",OR(NOT(ISNUMBER(F264)),N(F264)&lt;0,N(F264)&gt;=1)),"Perte entre 0 et 99 %",IF(COUNTIFS(bom_prod,A264,bom_mat,B264)&gt;1,"Matière en double","OK")))))))))</f>
        <v/>
      </c>
      <c r="K264" s="71" t="str">
        <f>IF(AND(fiche_sel&lt;&gt;"",A264=fiche_sel),COUNTIF(A$6:A264,fiche_sel),"")</f>
        <v/>
      </c>
    </row>
    <row r="265">
      <c r="A265" s="60" t="n"/>
      <c r="B265" s="60" t="n"/>
      <c r="C265" s="71" t="str">
        <f>IF(B265="","",IFERROR(INDEX(mat_des,MATCH(B265,mat_ref,0))&amp;"","Matière inconnue"))</f>
        <v/>
      </c>
      <c r="D265" s="69" t="str">
        <f>IF(B265="","",IFERROR(INDEX(mat_unit,MATCH(B265,mat_ref,0))&amp;"",""))</f>
        <v/>
      </c>
      <c r="E265" s="72" t="n"/>
      <c r="F265" s="65" t="n"/>
      <c r="G265" s="68" t="str">
        <f>IF(J265&lt;&gt;"OK","",IF(F265="",N(INDEX(mat_loss,MATCH(B265,mat_ref,0))),F265))</f>
        <v/>
      </c>
      <c r="H265" s="66" t="str">
        <f>IF(J265&lt;&gt;"OK","",INDEX(mat_price,MATCH(B265,mat_ref,0)))</f>
        <v/>
      </c>
      <c r="I265" s="66" t="str">
        <f>IF(J265&lt;&gt;"OK","",E265*(1+G265)*H265)</f>
        <v/>
      </c>
      <c r="J265" s="69" t="str">
        <f>IF(AND(A265="",B265=""),"",IF(A265="","Produit manquant",IF(COUNTIF(prod_ref,A265)=0,"Produit inconnu",IF(B265="","Matière manquante",IF(ISNA(MATCH(B265,mat_ref,0)),"Matière inconnue",IF(INDEX(mat_check,MATCH(B265,mat_ref,0))&lt;&gt;"OK","Matière à corriger",IF(OR(NOT(ISNUMBER(E265)),N(E265)&lt;=0),"Quantité invalide",IF(AND(F265&lt;&gt;"",OR(NOT(ISNUMBER(F265)),N(F265)&lt;0,N(F265)&gt;=1)),"Perte entre 0 et 99 %",IF(COUNTIFS(bom_prod,A265,bom_mat,B265)&gt;1,"Matière en double","OK")))))))))</f>
        <v/>
      </c>
      <c r="K265" s="71" t="str">
        <f>IF(AND(fiche_sel&lt;&gt;"",A265=fiche_sel),COUNTIF(A$6:A265,fiche_sel),"")</f>
        <v/>
      </c>
    </row>
    <row r="266">
      <c r="A266" s="60" t="n"/>
      <c r="B266" s="60" t="n"/>
      <c r="C266" s="71" t="str">
        <f>IF(B266="","",IFERROR(INDEX(mat_des,MATCH(B266,mat_ref,0))&amp;"","Matière inconnue"))</f>
        <v/>
      </c>
      <c r="D266" s="69" t="str">
        <f>IF(B266="","",IFERROR(INDEX(mat_unit,MATCH(B266,mat_ref,0))&amp;"",""))</f>
        <v/>
      </c>
      <c r="E266" s="72" t="n"/>
      <c r="F266" s="65" t="n"/>
      <c r="G266" s="68" t="str">
        <f>IF(J266&lt;&gt;"OK","",IF(F266="",N(INDEX(mat_loss,MATCH(B266,mat_ref,0))),F266))</f>
        <v/>
      </c>
      <c r="H266" s="66" t="str">
        <f>IF(J266&lt;&gt;"OK","",INDEX(mat_price,MATCH(B266,mat_ref,0)))</f>
        <v/>
      </c>
      <c r="I266" s="66" t="str">
        <f>IF(J266&lt;&gt;"OK","",E266*(1+G266)*H266)</f>
        <v/>
      </c>
      <c r="J266" s="69" t="str">
        <f>IF(AND(A266="",B266=""),"",IF(A266="","Produit manquant",IF(COUNTIF(prod_ref,A266)=0,"Produit inconnu",IF(B266="","Matière manquante",IF(ISNA(MATCH(B266,mat_ref,0)),"Matière inconnue",IF(INDEX(mat_check,MATCH(B266,mat_ref,0))&lt;&gt;"OK","Matière à corriger",IF(OR(NOT(ISNUMBER(E266)),N(E266)&lt;=0),"Quantité invalide",IF(AND(F266&lt;&gt;"",OR(NOT(ISNUMBER(F266)),N(F266)&lt;0,N(F266)&gt;=1)),"Perte entre 0 et 99 %",IF(COUNTIFS(bom_prod,A266,bom_mat,B266)&gt;1,"Matière en double","OK")))))))))</f>
        <v/>
      </c>
      <c r="K266" s="71" t="str">
        <f>IF(AND(fiche_sel&lt;&gt;"",A266=fiche_sel),COUNTIF(A$6:A266,fiche_sel),"")</f>
        <v/>
      </c>
    </row>
    <row r="267">
      <c r="A267" s="60" t="n"/>
      <c r="B267" s="60" t="n"/>
      <c r="C267" s="71" t="str">
        <f>IF(B267="","",IFERROR(INDEX(mat_des,MATCH(B267,mat_ref,0))&amp;"","Matière inconnue"))</f>
        <v/>
      </c>
      <c r="D267" s="69" t="str">
        <f>IF(B267="","",IFERROR(INDEX(mat_unit,MATCH(B267,mat_ref,0))&amp;"",""))</f>
        <v/>
      </c>
      <c r="E267" s="72" t="n"/>
      <c r="F267" s="65" t="n"/>
      <c r="G267" s="68" t="str">
        <f>IF(J267&lt;&gt;"OK","",IF(F267="",N(INDEX(mat_loss,MATCH(B267,mat_ref,0))),F267))</f>
        <v/>
      </c>
      <c r="H267" s="66" t="str">
        <f>IF(J267&lt;&gt;"OK","",INDEX(mat_price,MATCH(B267,mat_ref,0)))</f>
        <v/>
      </c>
      <c r="I267" s="66" t="str">
        <f>IF(J267&lt;&gt;"OK","",E267*(1+G267)*H267)</f>
        <v/>
      </c>
      <c r="J267" s="69" t="str">
        <f>IF(AND(A267="",B267=""),"",IF(A267="","Produit manquant",IF(COUNTIF(prod_ref,A267)=0,"Produit inconnu",IF(B267="","Matière manquante",IF(ISNA(MATCH(B267,mat_ref,0)),"Matière inconnue",IF(INDEX(mat_check,MATCH(B267,mat_ref,0))&lt;&gt;"OK","Matière à corriger",IF(OR(NOT(ISNUMBER(E267)),N(E267)&lt;=0),"Quantité invalide",IF(AND(F267&lt;&gt;"",OR(NOT(ISNUMBER(F267)),N(F267)&lt;0,N(F267)&gt;=1)),"Perte entre 0 et 99 %",IF(COUNTIFS(bom_prod,A267,bom_mat,B267)&gt;1,"Matière en double","OK")))))))))</f>
        <v/>
      </c>
      <c r="K267" s="71" t="str">
        <f>IF(AND(fiche_sel&lt;&gt;"",A267=fiche_sel),COUNTIF(A$6:A267,fiche_sel),"")</f>
        <v/>
      </c>
    </row>
    <row r="268">
      <c r="A268" s="60" t="n"/>
      <c r="B268" s="60" t="n"/>
      <c r="C268" s="71" t="str">
        <f>IF(B268="","",IFERROR(INDEX(mat_des,MATCH(B268,mat_ref,0))&amp;"","Matière inconnue"))</f>
        <v/>
      </c>
      <c r="D268" s="69" t="str">
        <f>IF(B268="","",IFERROR(INDEX(mat_unit,MATCH(B268,mat_ref,0))&amp;"",""))</f>
        <v/>
      </c>
      <c r="E268" s="72" t="n"/>
      <c r="F268" s="65" t="n"/>
      <c r="G268" s="68" t="str">
        <f>IF(J268&lt;&gt;"OK","",IF(F268="",N(INDEX(mat_loss,MATCH(B268,mat_ref,0))),F268))</f>
        <v/>
      </c>
      <c r="H268" s="66" t="str">
        <f>IF(J268&lt;&gt;"OK","",INDEX(mat_price,MATCH(B268,mat_ref,0)))</f>
        <v/>
      </c>
      <c r="I268" s="66" t="str">
        <f>IF(J268&lt;&gt;"OK","",E268*(1+G268)*H268)</f>
        <v/>
      </c>
      <c r="J268" s="69" t="str">
        <f>IF(AND(A268="",B268=""),"",IF(A268="","Produit manquant",IF(COUNTIF(prod_ref,A268)=0,"Produit inconnu",IF(B268="","Matière manquante",IF(ISNA(MATCH(B268,mat_ref,0)),"Matière inconnue",IF(INDEX(mat_check,MATCH(B268,mat_ref,0))&lt;&gt;"OK","Matière à corriger",IF(OR(NOT(ISNUMBER(E268)),N(E268)&lt;=0),"Quantité invalide",IF(AND(F268&lt;&gt;"",OR(NOT(ISNUMBER(F268)),N(F268)&lt;0,N(F268)&gt;=1)),"Perte entre 0 et 99 %",IF(COUNTIFS(bom_prod,A268,bom_mat,B268)&gt;1,"Matière en double","OK")))))))))</f>
        <v/>
      </c>
      <c r="K268" s="71" t="str">
        <f>IF(AND(fiche_sel&lt;&gt;"",A268=fiche_sel),COUNTIF(A$6:A268,fiche_sel),"")</f>
        <v/>
      </c>
    </row>
    <row r="269">
      <c r="A269" s="60" t="n"/>
      <c r="B269" s="60" t="n"/>
      <c r="C269" s="71" t="str">
        <f>IF(B269="","",IFERROR(INDEX(mat_des,MATCH(B269,mat_ref,0))&amp;"","Matière inconnue"))</f>
        <v/>
      </c>
      <c r="D269" s="69" t="str">
        <f>IF(B269="","",IFERROR(INDEX(mat_unit,MATCH(B269,mat_ref,0))&amp;"",""))</f>
        <v/>
      </c>
      <c r="E269" s="72" t="n"/>
      <c r="F269" s="65" t="n"/>
      <c r="G269" s="68" t="str">
        <f>IF(J269&lt;&gt;"OK","",IF(F269="",N(INDEX(mat_loss,MATCH(B269,mat_ref,0))),F269))</f>
        <v/>
      </c>
      <c r="H269" s="66" t="str">
        <f>IF(J269&lt;&gt;"OK","",INDEX(mat_price,MATCH(B269,mat_ref,0)))</f>
        <v/>
      </c>
      <c r="I269" s="66" t="str">
        <f>IF(J269&lt;&gt;"OK","",E269*(1+G269)*H269)</f>
        <v/>
      </c>
      <c r="J269" s="69" t="str">
        <f>IF(AND(A269="",B269=""),"",IF(A269="","Produit manquant",IF(COUNTIF(prod_ref,A269)=0,"Produit inconnu",IF(B269="","Matière manquante",IF(ISNA(MATCH(B269,mat_ref,0)),"Matière inconnue",IF(INDEX(mat_check,MATCH(B269,mat_ref,0))&lt;&gt;"OK","Matière à corriger",IF(OR(NOT(ISNUMBER(E269)),N(E269)&lt;=0),"Quantité invalide",IF(AND(F269&lt;&gt;"",OR(NOT(ISNUMBER(F269)),N(F269)&lt;0,N(F269)&gt;=1)),"Perte entre 0 et 99 %",IF(COUNTIFS(bom_prod,A269,bom_mat,B269)&gt;1,"Matière en double","OK")))))))))</f>
        <v/>
      </c>
      <c r="K269" s="71" t="str">
        <f>IF(AND(fiche_sel&lt;&gt;"",A269=fiche_sel),COUNTIF(A$6:A269,fiche_sel),"")</f>
        <v/>
      </c>
    </row>
    <row r="270">
      <c r="A270" s="60" t="n"/>
      <c r="B270" s="60" t="n"/>
      <c r="C270" s="71" t="str">
        <f>IF(B270="","",IFERROR(INDEX(mat_des,MATCH(B270,mat_ref,0))&amp;"","Matière inconnue"))</f>
        <v/>
      </c>
      <c r="D270" s="69" t="str">
        <f>IF(B270="","",IFERROR(INDEX(mat_unit,MATCH(B270,mat_ref,0))&amp;"",""))</f>
        <v/>
      </c>
      <c r="E270" s="72" t="n"/>
      <c r="F270" s="65" t="n"/>
      <c r="G270" s="68" t="str">
        <f>IF(J270&lt;&gt;"OK","",IF(F270="",N(INDEX(mat_loss,MATCH(B270,mat_ref,0))),F270))</f>
        <v/>
      </c>
      <c r="H270" s="66" t="str">
        <f>IF(J270&lt;&gt;"OK","",INDEX(mat_price,MATCH(B270,mat_ref,0)))</f>
        <v/>
      </c>
      <c r="I270" s="66" t="str">
        <f>IF(J270&lt;&gt;"OK","",E270*(1+G270)*H270)</f>
        <v/>
      </c>
      <c r="J270" s="69" t="str">
        <f>IF(AND(A270="",B270=""),"",IF(A270="","Produit manquant",IF(COUNTIF(prod_ref,A270)=0,"Produit inconnu",IF(B270="","Matière manquante",IF(ISNA(MATCH(B270,mat_ref,0)),"Matière inconnue",IF(INDEX(mat_check,MATCH(B270,mat_ref,0))&lt;&gt;"OK","Matière à corriger",IF(OR(NOT(ISNUMBER(E270)),N(E270)&lt;=0),"Quantité invalide",IF(AND(F270&lt;&gt;"",OR(NOT(ISNUMBER(F270)),N(F270)&lt;0,N(F270)&gt;=1)),"Perte entre 0 et 99 %",IF(COUNTIFS(bom_prod,A270,bom_mat,B270)&gt;1,"Matière en double","OK")))))))))</f>
        <v/>
      </c>
      <c r="K270" s="71" t="str">
        <f>IF(AND(fiche_sel&lt;&gt;"",A270=fiche_sel),COUNTIF(A$6:A270,fiche_sel),"")</f>
        <v/>
      </c>
    </row>
    <row r="271">
      <c r="A271" s="60" t="n"/>
      <c r="B271" s="60" t="n"/>
      <c r="C271" s="71" t="str">
        <f>IF(B271="","",IFERROR(INDEX(mat_des,MATCH(B271,mat_ref,0))&amp;"","Matière inconnue"))</f>
        <v/>
      </c>
      <c r="D271" s="69" t="str">
        <f>IF(B271="","",IFERROR(INDEX(mat_unit,MATCH(B271,mat_ref,0))&amp;"",""))</f>
        <v/>
      </c>
      <c r="E271" s="72" t="n"/>
      <c r="F271" s="65" t="n"/>
      <c r="G271" s="68" t="str">
        <f>IF(J271&lt;&gt;"OK","",IF(F271="",N(INDEX(mat_loss,MATCH(B271,mat_ref,0))),F271))</f>
        <v/>
      </c>
      <c r="H271" s="66" t="str">
        <f>IF(J271&lt;&gt;"OK","",INDEX(mat_price,MATCH(B271,mat_ref,0)))</f>
        <v/>
      </c>
      <c r="I271" s="66" t="str">
        <f>IF(J271&lt;&gt;"OK","",E271*(1+G271)*H271)</f>
        <v/>
      </c>
      <c r="J271" s="69" t="str">
        <f>IF(AND(A271="",B271=""),"",IF(A271="","Produit manquant",IF(COUNTIF(prod_ref,A271)=0,"Produit inconnu",IF(B271="","Matière manquante",IF(ISNA(MATCH(B271,mat_ref,0)),"Matière inconnue",IF(INDEX(mat_check,MATCH(B271,mat_ref,0))&lt;&gt;"OK","Matière à corriger",IF(OR(NOT(ISNUMBER(E271)),N(E271)&lt;=0),"Quantité invalide",IF(AND(F271&lt;&gt;"",OR(NOT(ISNUMBER(F271)),N(F271)&lt;0,N(F271)&gt;=1)),"Perte entre 0 et 99 %",IF(COUNTIFS(bom_prod,A271,bom_mat,B271)&gt;1,"Matière en double","OK")))))))))</f>
        <v/>
      </c>
      <c r="K271" s="71" t="str">
        <f>IF(AND(fiche_sel&lt;&gt;"",A271=fiche_sel),COUNTIF(A$6:A271,fiche_sel),"")</f>
        <v/>
      </c>
    </row>
    <row r="272">
      <c r="A272" s="60" t="n"/>
      <c r="B272" s="60" t="n"/>
      <c r="C272" s="71" t="str">
        <f>IF(B272="","",IFERROR(INDEX(mat_des,MATCH(B272,mat_ref,0))&amp;"","Matière inconnue"))</f>
        <v/>
      </c>
      <c r="D272" s="69" t="str">
        <f>IF(B272="","",IFERROR(INDEX(mat_unit,MATCH(B272,mat_ref,0))&amp;"",""))</f>
        <v/>
      </c>
      <c r="E272" s="72" t="n"/>
      <c r="F272" s="65" t="n"/>
      <c r="G272" s="68" t="str">
        <f>IF(J272&lt;&gt;"OK","",IF(F272="",N(INDEX(mat_loss,MATCH(B272,mat_ref,0))),F272))</f>
        <v/>
      </c>
      <c r="H272" s="66" t="str">
        <f>IF(J272&lt;&gt;"OK","",INDEX(mat_price,MATCH(B272,mat_ref,0)))</f>
        <v/>
      </c>
      <c r="I272" s="66" t="str">
        <f>IF(J272&lt;&gt;"OK","",E272*(1+G272)*H272)</f>
        <v/>
      </c>
      <c r="J272" s="69" t="str">
        <f>IF(AND(A272="",B272=""),"",IF(A272="","Produit manquant",IF(COUNTIF(prod_ref,A272)=0,"Produit inconnu",IF(B272="","Matière manquante",IF(ISNA(MATCH(B272,mat_ref,0)),"Matière inconnue",IF(INDEX(mat_check,MATCH(B272,mat_ref,0))&lt;&gt;"OK","Matière à corriger",IF(OR(NOT(ISNUMBER(E272)),N(E272)&lt;=0),"Quantité invalide",IF(AND(F272&lt;&gt;"",OR(NOT(ISNUMBER(F272)),N(F272)&lt;0,N(F272)&gt;=1)),"Perte entre 0 et 99 %",IF(COUNTIFS(bom_prod,A272,bom_mat,B272)&gt;1,"Matière en double","OK")))))))))</f>
        <v/>
      </c>
      <c r="K272" s="71" t="str">
        <f>IF(AND(fiche_sel&lt;&gt;"",A272=fiche_sel),COUNTIF(A$6:A272,fiche_sel),"")</f>
        <v/>
      </c>
    </row>
    <row r="273">
      <c r="A273" s="60" t="n"/>
      <c r="B273" s="60" t="n"/>
      <c r="C273" s="71" t="str">
        <f>IF(B273="","",IFERROR(INDEX(mat_des,MATCH(B273,mat_ref,0))&amp;"","Matière inconnue"))</f>
        <v/>
      </c>
      <c r="D273" s="69" t="str">
        <f>IF(B273="","",IFERROR(INDEX(mat_unit,MATCH(B273,mat_ref,0))&amp;"",""))</f>
        <v/>
      </c>
      <c r="E273" s="72" t="n"/>
      <c r="F273" s="65" t="n"/>
      <c r="G273" s="68" t="str">
        <f>IF(J273&lt;&gt;"OK","",IF(F273="",N(INDEX(mat_loss,MATCH(B273,mat_ref,0))),F273))</f>
        <v/>
      </c>
      <c r="H273" s="66" t="str">
        <f>IF(J273&lt;&gt;"OK","",INDEX(mat_price,MATCH(B273,mat_ref,0)))</f>
        <v/>
      </c>
      <c r="I273" s="66" t="str">
        <f>IF(J273&lt;&gt;"OK","",E273*(1+G273)*H273)</f>
        <v/>
      </c>
      <c r="J273" s="69" t="str">
        <f>IF(AND(A273="",B273=""),"",IF(A273="","Produit manquant",IF(COUNTIF(prod_ref,A273)=0,"Produit inconnu",IF(B273="","Matière manquante",IF(ISNA(MATCH(B273,mat_ref,0)),"Matière inconnue",IF(INDEX(mat_check,MATCH(B273,mat_ref,0))&lt;&gt;"OK","Matière à corriger",IF(OR(NOT(ISNUMBER(E273)),N(E273)&lt;=0),"Quantité invalide",IF(AND(F273&lt;&gt;"",OR(NOT(ISNUMBER(F273)),N(F273)&lt;0,N(F273)&gt;=1)),"Perte entre 0 et 99 %",IF(COUNTIFS(bom_prod,A273,bom_mat,B273)&gt;1,"Matière en double","OK")))))))))</f>
        <v/>
      </c>
      <c r="K273" s="71" t="str">
        <f>IF(AND(fiche_sel&lt;&gt;"",A273=fiche_sel),COUNTIF(A$6:A273,fiche_sel),"")</f>
        <v/>
      </c>
    </row>
    <row r="274">
      <c r="A274" s="60" t="n"/>
      <c r="B274" s="60" t="n"/>
      <c r="C274" s="71" t="str">
        <f>IF(B274="","",IFERROR(INDEX(mat_des,MATCH(B274,mat_ref,0))&amp;"","Matière inconnue"))</f>
        <v/>
      </c>
      <c r="D274" s="69" t="str">
        <f>IF(B274="","",IFERROR(INDEX(mat_unit,MATCH(B274,mat_ref,0))&amp;"",""))</f>
        <v/>
      </c>
      <c r="E274" s="72" t="n"/>
      <c r="F274" s="65" t="n"/>
      <c r="G274" s="68" t="str">
        <f>IF(J274&lt;&gt;"OK","",IF(F274="",N(INDEX(mat_loss,MATCH(B274,mat_ref,0))),F274))</f>
        <v/>
      </c>
      <c r="H274" s="66" t="str">
        <f>IF(J274&lt;&gt;"OK","",INDEX(mat_price,MATCH(B274,mat_ref,0)))</f>
        <v/>
      </c>
      <c r="I274" s="66" t="str">
        <f>IF(J274&lt;&gt;"OK","",E274*(1+G274)*H274)</f>
        <v/>
      </c>
      <c r="J274" s="69" t="str">
        <f>IF(AND(A274="",B274=""),"",IF(A274="","Produit manquant",IF(COUNTIF(prod_ref,A274)=0,"Produit inconnu",IF(B274="","Matière manquante",IF(ISNA(MATCH(B274,mat_ref,0)),"Matière inconnue",IF(INDEX(mat_check,MATCH(B274,mat_ref,0))&lt;&gt;"OK","Matière à corriger",IF(OR(NOT(ISNUMBER(E274)),N(E274)&lt;=0),"Quantité invalide",IF(AND(F274&lt;&gt;"",OR(NOT(ISNUMBER(F274)),N(F274)&lt;0,N(F274)&gt;=1)),"Perte entre 0 et 99 %",IF(COUNTIFS(bom_prod,A274,bom_mat,B274)&gt;1,"Matière en double","OK")))))))))</f>
        <v/>
      </c>
      <c r="K274" s="71" t="str">
        <f>IF(AND(fiche_sel&lt;&gt;"",A274=fiche_sel),COUNTIF(A$6:A274,fiche_sel),"")</f>
        <v/>
      </c>
    </row>
    <row r="275">
      <c r="A275" s="60" t="n"/>
      <c r="B275" s="60" t="n"/>
      <c r="C275" s="71" t="str">
        <f>IF(B275="","",IFERROR(INDEX(mat_des,MATCH(B275,mat_ref,0))&amp;"","Matière inconnue"))</f>
        <v/>
      </c>
      <c r="D275" s="69" t="str">
        <f>IF(B275="","",IFERROR(INDEX(mat_unit,MATCH(B275,mat_ref,0))&amp;"",""))</f>
        <v/>
      </c>
      <c r="E275" s="72" t="n"/>
      <c r="F275" s="65" t="n"/>
      <c r="G275" s="68" t="str">
        <f>IF(J275&lt;&gt;"OK","",IF(F275="",N(INDEX(mat_loss,MATCH(B275,mat_ref,0))),F275))</f>
        <v/>
      </c>
      <c r="H275" s="66" t="str">
        <f>IF(J275&lt;&gt;"OK","",INDEX(mat_price,MATCH(B275,mat_ref,0)))</f>
        <v/>
      </c>
      <c r="I275" s="66" t="str">
        <f>IF(J275&lt;&gt;"OK","",E275*(1+G275)*H275)</f>
        <v/>
      </c>
      <c r="J275" s="69" t="str">
        <f>IF(AND(A275="",B275=""),"",IF(A275="","Produit manquant",IF(COUNTIF(prod_ref,A275)=0,"Produit inconnu",IF(B275="","Matière manquante",IF(ISNA(MATCH(B275,mat_ref,0)),"Matière inconnue",IF(INDEX(mat_check,MATCH(B275,mat_ref,0))&lt;&gt;"OK","Matière à corriger",IF(OR(NOT(ISNUMBER(E275)),N(E275)&lt;=0),"Quantité invalide",IF(AND(F275&lt;&gt;"",OR(NOT(ISNUMBER(F275)),N(F275)&lt;0,N(F275)&gt;=1)),"Perte entre 0 et 99 %",IF(COUNTIFS(bom_prod,A275,bom_mat,B275)&gt;1,"Matière en double","OK")))))))))</f>
        <v/>
      </c>
      <c r="K275" s="71" t="str">
        <f>IF(AND(fiche_sel&lt;&gt;"",A275=fiche_sel),COUNTIF(A$6:A275,fiche_sel),"")</f>
        <v/>
      </c>
    </row>
    <row r="276">
      <c r="A276" s="60" t="n"/>
      <c r="B276" s="60" t="n"/>
      <c r="C276" s="71" t="str">
        <f>IF(B276="","",IFERROR(INDEX(mat_des,MATCH(B276,mat_ref,0))&amp;"","Matière inconnue"))</f>
        <v/>
      </c>
      <c r="D276" s="69" t="str">
        <f>IF(B276="","",IFERROR(INDEX(mat_unit,MATCH(B276,mat_ref,0))&amp;"",""))</f>
        <v/>
      </c>
      <c r="E276" s="72" t="n"/>
      <c r="F276" s="65" t="n"/>
      <c r="G276" s="68" t="str">
        <f>IF(J276&lt;&gt;"OK","",IF(F276="",N(INDEX(mat_loss,MATCH(B276,mat_ref,0))),F276))</f>
        <v/>
      </c>
      <c r="H276" s="66" t="str">
        <f>IF(J276&lt;&gt;"OK","",INDEX(mat_price,MATCH(B276,mat_ref,0)))</f>
        <v/>
      </c>
      <c r="I276" s="66" t="str">
        <f>IF(J276&lt;&gt;"OK","",E276*(1+G276)*H276)</f>
        <v/>
      </c>
      <c r="J276" s="69" t="str">
        <f>IF(AND(A276="",B276=""),"",IF(A276="","Produit manquant",IF(COUNTIF(prod_ref,A276)=0,"Produit inconnu",IF(B276="","Matière manquante",IF(ISNA(MATCH(B276,mat_ref,0)),"Matière inconnue",IF(INDEX(mat_check,MATCH(B276,mat_ref,0))&lt;&gt;"OK","Matière à corriger",IF(OR(NOT(ISNUMBER(E276)),N(E276)&lt;=0),"Quantité invalide",IF(AND(F276&lt;&gt;"",OR(NOT(ISNUMBER(F276)),N(F276)&lt;0,N(F276)&gt;=1)),"Perte entre 0 et 99 %",IF(COUNTIFS(bom_prod,A276,bom_mat,B276)&gt;1,"Matière en double","OK")))))))))</f>
        <v/>
      </c>
      <c r="K276" s="71" t="str">
        <f>IF(AND(fiche_sel&lt;&gt;"",A276=fiche_sel),COUNTIF(A$6:A276,fiche_sel),"")</f>
        <v/>
      </c>
    </row>
    <row r="277">
      <c r="A277" s="60" t="n"/>
      <c r="B277" s="60" t="n"/>
      <c r="C277" s="71" t="str">
        <f>IF(B277="","",IFERROR(INDEX(mat_des,MATCH(B277,mat_ref,0))&amp;"","Matière inconnue"))</f>
        <v/>
      </c>
      <c r="D277" s="69" t="str">
        <f>IF(B277="","",IFERROR(INDEX(mat_unit,MATCH(B277,mat_ref,0))&amp;"",""))</f>
        <v/>
      </c>
      <c r="E277" s="72" t="n"/>
      <c r="F277" s="65" t="n"/>
      <c r="G277" s="68" t="str">
        <f>IF(J277&lt;&gt;"OK","",IF(F277="",N(INDEX(mat_loss,MATCH(B277,mat_ref,0))),F277))</f>
        <v/>
      </c>
      <c r="H277" s="66" t="str">
        <f>IF(J277&lt;&gt;"OK","",INDEX(mat_price,MATCH(B277,mat_ref,0)))</f>
        <v/>
      </c>
      <c r="I277" s="66" t="str">
        <f>IF(J277&lt;&gt;"OK","",E277*(1+G277)*H277)</f>
        <v/>
      </c>
      <c r="J277" s="69" t="str">
        <f>IF(AND(A277="",B277=""),"",IF(A277="","Produit manquant",IF(COUNTIF(prod_ref,A277)=0,"Produit inconnu",IF(B277="","Matière manquante",IF(ISNA(MATCH(B277,mat_ref,0)),"Matière inconnue",IF(INDEX(mat_check,MATCH(B277,mat_ref,0))&lt;&gt;"OK","Matière à corriger",IF(OR(NOT(ISNUMBER(E277)),N(E277)&lt;=0),"Quantité invalide",IF(AND(F277&lt;&gt;"",OR(NOT(ISNUMBER(F277)),N(F277)&lt;0,N(F277)&gt;=1)),"Perte entre 0 et 99 %",IF(COUNTIFS(bom_prod,A277,bom_mat,B277)&gt;1,"Matière en double","OK")))))))))</f>
        <v/>
      </c>
      <c r="K277" s="71" t="str">
        <f>IF(AND(fiche_sel&lt;&gt;"",A277=fiche_sel),COUNTIF(A$6:A277,fiche_sel),"")</f>
        <v/>
      </c>
    </row>
    <row r="278">
      <c r="A278" s="60" t="n"/>
      <c r="B278" s="60" t="n"/>
      <c r="C278" s="71" t="str">
        <f>IF(B278="","",IFERROR(INDEX(mat_des,MATCH(B278,mat_ref,0))&amp;"","Matière inconnue"))</f>
        <v/>
      </c>
      <c r="D278" s="69" t="str">
        <f>IF(B278="","",IFERROR(INDEX(mat_unit,MATCH(B278,mat_ref,0))&amp;"",""))</f>
        <v/>
      </c>
      <c r="E278" s="72" t="n"/>
      <c r="F278" s="65" t="n"/>
      <c r="G278" s="68" t="str">
        <f>IF(J278&lt;&gt;"OK","",IF(F278="",N(INDEX(mat_loss,MATCH(B278,mat_ref,0))),F278))</f>
        <v/>
      </c>
      <c r="H278" s="66" t="str">
        <f>IF(J278&lt;&gt;"OK","",INDEX(mat_price,MATCH(B278,mat_ref,0)))</f>
        <v/>
      </c>
      <c r="I278" s="66" t="str">
        <f>IF(J278&lt;&gt;"OK","",E278*(1+G278)*H278)</f>
        <v/>
      </c>
      <c r="J278" s="69" t="str">
        <f>IF(AND(A278="",B278=""),"",IF(A278="","Produit manquant",IF(COUNTIF(prod_ref,A278)=0,"Produit inconnu",IF(B278="","Matière manquante",IF(ISNA(MATCH(B278,mat_ref,0)),"Matière inconnue",IF(INDEX(mat_check,MATCH(B278,mat_ref,0))&lt;&gt;"OK","Matière à corriger",IF(OR(NOT(ISNUMBER(E278)),N(E278)&lt;=0),"Quantité invalide",IF(AND(F278&lt;&gt;"",OR(NOT(ISNUMBER(F278)),N(F278)&lt;0,N(F278)&gt;=1)),"Perte entre 0 et 99 %",IF(COUNTIFS(bom_prod,A278,bom_mat,B278)&gt;1,"Matière en double","OK")))))))))</f>
        <v/>
      </c>
      <c r="K278" s="71" t="str">
        <f>IF(AND(fiche_sel&lt;&gt;"",A278=fiche_sel),COUNTIF(A$6:A278,fiche_sel),"")</f>
        <v/>
      </c>
    </row>
    <row r="279">
      <c r="A279" s="60" t="n"/>
      <c r="B279" s="60" t="n"/>
      <c r="C279" s="71" t="str">
        <f>IF(B279="","",IFERROR(INDEX(mat_des,MATCH(B279,mat_ref,0))&amp;"","Matière inconnue"))</f>
        <v/>
      </c>
      <c r="D279" s="69" t="str">
        <f>IF(B279="","",IFERROR(INDEX(mat_unit,MATCH(B279,mat_ref,0))&amp;"",""))</f>
        <v/>
      </c>
      <c r="E279" s="72" t="n"/>
      <c r="F279" s="65" t="n"/>
      <c r="G279" s="68" t="str">
        <f>IF(J279&lt;&gt;"OK","",IF(F279="",N(INDEX(mat_loss,MATCH(B279,mat_ref,0))),F279))</f>
        <v/>
      </c>
      <c r="H279" s="66" t="str">
        <f>IF(J279&lt;&gt;"OK","",INDEX(mat_price,MATCH(B279,mat_ref,0)))</f>
        <v/>
      </c>
      <c r="I279" s="66" t="str">
        <f>IF(J279&lt;&gt;"OK","",E279*(1+G279)*H279)</f>
        <v/>
      </c>
      <c r="J279" s="69" t="str">
        <f>IF(AND(A279="",B279=""),"",IF(A279="","Produit manquant",IF(COUNTIF(prod_ref,A279)=0,"Produit inconnu",IF(B279="","Matière manquante",IF(ISNA(MATCH(B279,mat_ref,0)),"Matière inconnue",IF(INDEX(mat_check,MATCH(B279,mat_ref,0))&lt;&gt;"OK","Matière à corriger",IF(OR(NOT(ISNUMBER(E279)),N(E279)&lt;=0),"Quantité invalide",IF(AND(F279&lt;&gt;"",OR(NOT(ISNUMBER(F279)),N(F279)&lt;0,N(F279)&gt;=1)),"Perte entre 0 et 99 %",IF(COUNTIFS(bom_prod,A279,bom_mat,B279)&gt;1,"Matière en double","OK")))))))))</f>
        <v/>
      </c>
      <c r="K279" s="71" t="str">
        <f>IF(AND(fiche_sel&lt;&gt;"",A279=fiche_sel),COUNTIF(A$6:A279,fiche_sel),"")</f>
        <v/>
      </c>
    </row>
    <row r="280">
      <c r="A280" s="60" t="n"/>
      <c r="B280" s="60" t="n"/>
      <c r="C280" s="71" t="str">
        <f>IF(B280="","",IFERROR(INDEX(mat_des,MATCH(B280,mat_ref,0))&amp;"","Matière inconnue"))</f>
        <v/>
      </c>
      <c r="D280" s="69" t="str">
        <f>IF(B280="","",IFERROR(INDEX(mat_unit,MATCH(B280,mat_ref,0))&amp;"",""))</f>
        <v/>
      </c>
      <c r="E280" s="72" t="n"/>
      <c r="F280" s="65" t="n"/>
      <c r="G280" s="68" t="str">
        <f>IF(J280&lt;&gt;"OK","",IF(F280="",N(INDEX(mat_loss,MATCH(B280,mat_ref,0))),F280))</f>
        <v/>
      </c>
      <c r="H280" s="66" t="str">
        <f>IF(J280&lt;&gt;"OK","",INDEX(mat_price,MATCH(B280,mat_ref,0)))</f>
        <v/>
      </c>
      <c r="I280" s="66" t="str">
        <f>IF(J280&lt;&gt;"OK","",E280*(1+G280)*H280)</f>
        <v/>
      </c>
      <c r="J280" s="69" t="str">
        <f>IF(AND(A280="",B280=""),"",IF(A280="","Produit manquant",IF(COUNTIF(prod_ref,A280)=0,"Produit inconnu",IF(B280="","Matière manquante",IF(ISNA(MATCH(B280,mat_ref,0)),"Matière inconnue",IF(INDEX(mat_check,MATCH(B280,mat_ref,0))&lt;&gt;"OK","Matière à corriger",IF(OR(NOT(ISNUMBER(E280)),N(E280)&lt;=0),"Quantité invalide",IF(AND(F280&lt;&gt;"",OR(NOT(ISNUMBER(F280)),N(F280)&lt;0,N(F280)&gt;=1)),"Perte entre 0 et 99 %",IF(COUNTIFS(bom_prod,A280,bom_mat,B280)&gt;1,"Matière en double","OK")))))))))</f>
        <v/>
      </c>
      <c r="K280" s="71" t="str">
        <f>IF(AND(fiche_sel&lt;&gt;"",A280=fiche_sel),COUNTIF(A$6:A280,fiche_sel),"")</f>
        <v/>
      </c>
    </row>
    <row r="281">
      <c r="A281" s="60" t="n"/>
      <c r="B281" s="60" t="n"/>
      <c r="C281" s="71" t="str">
        <f>IF(B281="","",IFERROR(INDEX(mat_des,MATCH(B281,mat_ref,0))&amp;"","Matière inconnue"))</f>
        <v/>
      </c>
      <c r="D281" s="69" t="str">
        <f>IF(B281="","",IFERROR(INDEX(mat_unit,MATCH(B281,mat_ref,0))&amp;"",""))</f>
        <v/>
      </c>
      <c r="E281" s="72" t="n"/>
      <c r="F281" s="65" t="n"/>
      <c r="G281" s="68" t="str">
        <f>IF(J281&lt;&gt;"OK","",IF(F281="",N(INDEX(mat_loss,MATCH(B281,mat_ref,0))),F281))</f>
        <v/>
      </c>
      <c r="H281" s="66" t="str">
        <f>IF(J281&lt;&gt;"OK","",INDEX(mat_price,MATCH(B281,mat_ref,0)))</f>
        <v/>
      </c>
      <c r="I281" s="66" t="str">
        <f>IF(J281&lt;&gt;"OK","",E281*(1+G281)*H281)</f>
        <v/>
      </c>
      <c r="J281" s="69" t="str">
        <f>IF(AND(A281="",B281=""),"",IF(A281="","Produit manquant",IF(COUNTIF(prod_ref,A281)=0,"Produit inconnu",IF(B281="","Matière manquante",IF(ISNA(MATCH(B281,mat_ref,0)),"Matière inconnue",IF(INDEX(mat_check,MATCH(B281,mat_ref,0))&lt;&gt;"OK","Matière à corriger",IF(OR(NOT(ISNUMBER(E281)),N(E281)&lt;=0),"Quantité invalide",IF(AND(F281&lt;&gt;"",OR(NOT(ISNUMBER(F281)),N(F281)&lt;0,N(F281)&gt;=1)),"Perte entre 0 et 99 %",IF(COUNTIFS(bom_prod,A281,bom_mat,B281)&gt;1,"Matière en double","OK")))))))))</f>
        <v/>
      </c>
      <c r="K281" s="71" t="str">
        <f>IF(AND(fiche_sel&lt;&gt;"",A281=fiche_sel),COUNTIF(A$6:A281,fiche_sel),"")</f>
        <v/>
      </c>
    </row>
    <row r="282">
      <c r="A282" s="60" t="n"/>
      <c r="B282" s="60" t="n"/>
      <c r="C282" s="71" t="str">
        <f>IF(B282="","",IFERROR(INDEX(mat_des,MATCH(B282,mat_ref,0))&amp;"","Matière inconnue"))</f>
        <v/>
      </c>
      <c r="D282" s="69" t="str">
        <f>IF(B282="","",IFERROR(INDEX(mat_unit,MATCH(B282,mat_ref,0))&amp;"",""))</f>
        <v/>
      </c>
      <c r="E282" s="72" t="n"/>
      <c r="F282" s="65" t="n"/>
      <c r="G282" s="68" t="str">
        <f>IF(J282&lt;&gt;"OK","",IF(F282="",N(INDEX(mat_loss,MATCH(B282,mat_ref,0))),F282))</f>
        <v/>
      </c>
      <c r="H282" s="66" t="str">
        <f>IF(J282&lt;&gt;"OK","",INDEX(mat_price,MATCH(B282,mat_ref,0)))</f>
        <v/>
      </c>
      <c r="I282" s="66" t="str">
        <f>IF(J282&lt;&gt;"OK","",E282*(1+G282)*H282)</f>
        <v/>
      </c>
      <c r="J282" s="69" t="str">
        <f>IF(AND(A282="",B282=""),"",IF(A282="","Produit manquant",IF(COUNTIF(prod_ref,A282)=0,"Produit inconnu",IF(B282="","Matière manquante",IF(ISNA(MATCH(B282,mat_ref,0)),"Matière inconnue",IF(INDEX(mat_check,MATCH(B282,mat_ref,0))&lt;&gt;"OK","Matière à corriger",IF(OR(NOT(ISNUMBER(E282)),N(E282)&lt;=0),"Quantité invalide",IF(AND(F282&lt;&gt;"",OR(NOT(ISNUMBER(F282)),N(F282)&lt;0,N(F282)&gt;=1)),"Perte entre 0 et 99 %",IF(COUNTIFS(bom_prod,A282,bom_mat,B282)&gt;1,"Matière en double","OK")))))))))</f>
        <v/>
      </c>
      <c r="K282" s="71" t="str">
        <f>IF(AND(fiche_sel&lt;&gt;"",A282=fiche_sel),COUNTIF(A$6:A282,fiche_sel),"")</f>
        <v/>
      </c>
    </row>
    <row r="283">
      <c r="A283" s="60" t="n"/>
      <c r="B283" s="60" t="n"/>
      <c r="C283" s="71" t="str">
        <f>IF(B283="","",IFERROR(INDEX(mat_des,MATCH(B283,mat_ref,0))&amp;"","Matière inconnue"))</f>
        <v/>
      </c>
      <c r="D283" s="69" t="str">
        <f>IF(B283="","",IFERROR(INDEX(mat_unit,MATCH(B283,mat_ref,0))&amp;"",""))</f>
        <v/>
      </c>
      <c r="E283" s="72" t="n"/>
      <c r="F283" s="65" t="n"/>
      <c r="G283" s="68" t="str">
        <f>IF(J283&lt;&gt;"OK","",IF(F283="",N(INDEX(mat_loss,MATCH(B283,mat_ref,0))),F283))</f>
        <v/>
      </c>
      <c r="H283" s="66" t="str">
        <f>IF(J283&lt;&gt;"OK","",INDEX(mat_price,MATCH(B283,mat_ref,0)))</f>
        <v/>
      </c>
      <c r="I283" s="66" t="str">
        <f>IF(J283&lt;&gt;"OK","",E283*(1+G283)*H283)</f>
        <v/>
      </c>
      <c r="J283" s="69" t="str">
        <f>IF(AND(A283="",B283=""),"",IF(A283="","Produit manquant",IF(COUNTIF(prod_ref,A283)=0,"Produit inconnu",IF(B283="","Matière manquante",IF(ISNA(MATCH(B283,mat_ref,0)),"Matière inconnue",IF(INDEX(mat_check,MATCH(B283,mat_ref,0))&lt;&gt;"OK","Matière à corriger",IF(OR(NOT(ISNUMBER(E283)),N(E283)&lt;=0),"Quantité invalide",IF(AND(F283&lt;&gt;"",OR(NOT(ISNUMBER(F283)),N(F283)&lt;0,N(F283)&gt;=1)),"Perte entre 0 et 99 %",IF(COUNTIFS(bom_prod,A283,bom_mat,B283)&gt;1,"Matière en double","OK")))))))))</f>
        <v/>
      </c>
      <c r="K283" s="71" t="str">
        <f>IF(AND(fiche_sel&lt;&gt;"",A283=fiche_sel),COUNTIF(A$6:A283,fiche_sel),"")</f>
        <v/>
      </c>
    </row>
    <row r="284">
      <c r="A284" s="60" t="n"/>
      <c r="B284" s="60" t="n"/>
      <c r="C284" s="71" t="str">
        <f>IF(B284="","",IFERROR(INDEX(mat_des,MATCH(B284,mat_ref,0))&amp;"","Matière inconnue"))</f>
        <v/>
      </c>
      <c r="D284" s="69" t="str">
        <f>IF(B284="","",IFERROR(INDEX(mat_unit,MATCH(B284,mat_ref,0))&amp;"",""))</f>
        <v/>
      </c>
      <c r="E284" s="72" t="n"/>
      <c r="F284" s="65" t="n"/>
      <c r="G284" s="68" t="str">
        <f>IF(J284&lt;&gt;"OK","",IF(F284="",N(INDEX(mat_loss,MATCH(B284,mat_ref,0))),F284))</f>
        <v/>
      </c>
      <c r="H284" s="66" t="str">
        <f>IF(J284&lt;&gt;"OK","",INDEX(mat_price,MATCH(B284,mat_ref,0)))</f>
        <v/>
      </c>
      <c r="I284" s="66" t="str">
        <f>IF(J284&lt;&gt;"OK","",E284*(1+G284)*H284)</f>
        <v/>
      </c>
      <c r="J284" s="69" t="str">
        <f>IF(AND(A284="",B284=""),"",IF(A284="","Produit manquant",IF(COUNTIF(prod_ref,A284)=0,"Produit inconnu",IF(B284="","Matière manquante",IF(ISNA(MATCH(B284,mat_ref,0)),"Matière inconnue",IF(INDEX(mat_check,MATCH(B284,mat_ref,0))&lt;&gt;"OK","Matière à corriger",IF(OR(NOT(ISNUMBER(E284)),N(E284)&lt;=0),"Quantité invalide",IF(AND(F284&lt;&gt;"",OR(NOT(ISNUMBER(F284)),N(F284)&lt;0,N(F284)&gt;=1)),"Perte entre 0 et 99 %",IF(COUNTIFS(bom_prod,A284,bom_mat,B284)&gt;1,"Matière en double","OK")))))))))</f>
        <v/>
      </c>
      <c r="K284" s="71" t="str">
        <f>IF(AND(fiche_sel&lt;&gt;"",A284=fiche_sel),COUNTIF(A$6:A284,fiche_sel),"")</f>
        <v/>
      </c>
    </row>
    <row r="285">
      <c r="A285" s="60" t="n"/>
      <c r="B285" s="60" t="n"/>
      <c r="C285" s="71" t="str">
        <f>IF(B285="","",IFERROR(INDEX(mat_des,MATCH(B285,mat_ref,0))&amp;"","Matière inconnue"))</f>
        <v/>
      </c>
      <c r="D285" s="69" t="str">
        <f>IF(B285="","",IFERROR(INDEX(mat_unit,MATCH(B285,mat_ref,0))&amp;"",""))</f>
        <v/>
      </c>
      <c r="E285" s="72" t="n"/>
      <c r="F285" s="65" t="n"/>
      <c r="G285" s="68" t="str">
        <f>IF(J285&lt;&gt;"OK","",IF(F285="",N(INDEX(mat_loss,MATCH(B285,mat_ref,0))),F285))</f>
        <v/>
      </c>
      <c r="H285" s="66" t="str">
        <f>IF(J285&lt;&gt;"OK","",INDEX(mat_price,MATCH(B285,mat_ref,0)))</f>
        <v/>
      </c>
      <c r="I285" s="66" t="str">
        <f>IF(J285&lt;&gt;"OK","",E285*(1+G285)*H285)</f>
        <v/>
      </c>
      <c r="J285" s="69" t="str">
        <f>IF(AND(A285="",B285=""),"",IF(A285="","Produit manquant",IF(COUNTIF(prod_ref,A285)=0,"Produit inconnu",IF(B285="","Matière manquante",IF(ISNA(MATCH(B285,mat_ref,0)),"Matière inconnue",IF(INDEX(mat_check,MATCH(B285,mat_ref,0))&lt;&gt;"OK","Matière à corriger",IF(OR(NOT(ISNUMBER(E285)),N(E285)&lt;=0),"Quantité invalide",IF(AND(F285&lt;&gt;"",OR(NOT(ISNUMBER(F285)),N(F285)&lt;0,N(F285)&gt;=1)),"Perte entre 0 et 99 %",IF(COUNTIFS(bom_prod,A285,bom_mat,B285)&gt;1,"Matière en double","OK")))))))))</f>
        <v/>
      </c>
      <c r="K285" s="71" t="str">
        <f>IF(AND(fiche_sel&lt;&gt;"",A285=fiche_sel),COUNTIF(A$6:A285,fiche_sel),"")</f>
        <v/>
      </c>
    </row>
    <row r="286">
      <c r="A286" s="60" t="n"/>
      <c r="B286" s="60" t="n"/>
      <c r="C286" s="71" t="str">
        <f>IF(B286="","",IFERROR(INDEX(mat_des,MATCH(B286,mat_ref,0))&amp;"","Matière inconnue"))</f>
        <v/>
      </c>
      <c r="D286" s="69" t="str">
        <f>IF(B286="","",IFERROR(INDEX(mat_unit,MATCH(B286,mat_ref,0))&amp;"",""))</f>
        <v/>
      </c>
      <c r="E286" s="72" t="n"/>
      <c r="F286" s="65" t="n"/>
      <c r="G286" s="68" t="str">
        <f>IF(J286&lt;&gt;"OK","",IF(F286="",N(INDEX(mat_loss,MATCH(B286,mat_ref,0))),F286))</f>
        <v/>
      </c>
      <c r="H286" s="66" t="str">
        <f>IF(J286&lt;&gt;"OK","",INDEX(mat_price,MATCH(B286,mat_ref,0)))</f>
        <v/>
      </c>
      <c r="I286" s="66" t="str">
        <f>IF(J286&lt;&gt;"OK","",E286*(1+G286)*H286)</f>
        <v/>
      </c>
      <c r="J286" s="69" t="str">
        <f>IF(AND(A286="",B286=""),"",IF(A286="","Produit manquant",IF(COUNTIF(prod_ref,A286)=0,"Produit inconnu",IF(B286="","Matière manquante",IF(ISNA(MATCH(B286,mat_ref,0)),"Matière inconnue",IF(INDEX(mat_check,MATCH(B286,mat_ref,0))&lt;&gt;"OK","Matière à corriger",IF(OR(NOT(ISNUMBER(E286)),N(E286)&lt;=0),"Quantité invalide",IF(AND(F286&lt;&gt;"",OR(NOT(ISNUMBER(F286)),N(F286)&lt;0,N(F286)&gt;=1)),"Perte entre 0 et 99 %",IF(COUNTIFS(bom_prod,A286,bom_mat,B286)&gt;1,"Matière en double","OK")))))))))</f>
        <v/>
      </c>
      <c r="K286" s="71" t="str">
        <f>IF(AND(fiche_sel&lt;&gt;"",A286=fiche_sel),COUNTIF(A$6:A286,fiche_sel),"")</f>
        <v/>
      </c>
    </row>
    <row r="287">
      <c r="A287" s="60" t="n"/>
      <c r="B287" s="60" t="n"/>
      <c r="C287" s="71" t="str">
        <f>IF(B287="","",IFERROR(INDEX(mat_des,MATCH(B287,mat_ref,0))&amp;"","Matière inconnue"))</f>
        <v/>
      </c>
      <c r="D287" s="69" t="str">
        <f>IF(B287="","",IFERROR(INDEX(mat_unit,MATCH(B287,mat_ref,0))&amp;"",""))</f>
        <v/>
      </c>
      <c r="E287" s="72" t="n"/>
      <c r="F287" s="65" t="n"/>
      <c r="G287" s="68" t="str">
        <f>IF(J287&lt;&gt;"OK","",IF(F287="",N(INDEX(mat_loss,MATCH(B287,mat_ref,0))),F287))</f>
        <v/>
      </c>
      <c r="H287" s="66" t="str">
        <f>IF(J287&lt;&gt;"OK","",INDEX(mat_price,MATCH(B287,mat_ref,0)))</f>
        <v/>
      </c>
      <c r="I287" s="66" t="str">
        <f>IF(J287&lt;&gt;"OK","",E287*(1+G287)*H287)</f>
        <v/>
      </c>
      <c r="J287" s="69" t="str">
        <f>IF(AND(A287="",B287=""),"",IF(A287="","Produit manquant",IF(COUNTIF(prod_ref,A287)=0,"Produit inconnu",IF(B287="","Matière manquante",IF(ISNA(MATCH(B287,mat_ref,0)),"Matière inconnue",IF(INDEX(mat_check,MATCH(B287,mat_ref,0))&lt;&gt;"OK","Matière à corriger",IF(OR(NOT(ISNUMBER(E287)),N(E287)&lt;=0),"Quantité invalide",IF(AND(F287&lt;&gt;"",OR(NOT(ISNUMBER(F287)),N(F287)&lt;0,N(F287)&gt;=1)),"Perte entre 0 et 99 %",IF(COUNTIFS(bom_prod,A287,bom_mat,B287)&gt;1,"Matière en double","OK")))))))))</f>
        <v/>
      </c>
      <c r="K287" s="71" t="str">
        <f>IF(AND(fiche_sel&lt;&gt;"",A287=fiche_sel),COUNTIF(A$6:A287,fiche_sel),"")</f>
        <v/>
      </c>
    </row>
    <row r="288">
      <c r="A288" s="60" t="n"/>
      <c r="B288" s="60" t="n"/>
      <c r="C288" s="71" t="str">
        <f>IF(B288="","",IFERROR(INDEX(mat_des,MATCH(B288,mat_ref,0))&amp;"","Matière inconnue"))</f>
        <v/>
      </c>
      <c r="D288" s="69" t="str">
        <f>IF(B288="","",IFERROR(INDEX(mat_unit,MATCH(B288,mat_ref,0))&amp;"",""))</f>
        <v/>
      </c>
      <c r="E288" s="72" t="n"/>
      <c r="F288" s="65" t="n"/>
      <c r="G288" s="68" t="str">
        <f>IF(J288&lt;&gt;"OK","",IF(F288="",N(INDEX(mat_loss,MATCH(B288,mat_ref,0))),F288))</f>
        <v/>
      </c>
      <c r="H288" s="66" t="str">
        <f>IF(J288&lt;&gt;"OK","",INDEX(mat_price,MATCH(B288,mat_ref,0)))</f>
        <v/>
      </c>
      <c r="I288" s="66" t="str">
        <f>IF(J288&lt;&gt;"OK","",E288*(1+G288)*H288)</f>
        <v/>
      </c>
      <c r="J288" s="69" t="str">
        <f>IF(AND(A288="",B288=""),"",IF(A288="","Produit manquant",IF(COUNTIF(prod_ref,A288)=0,"Produit inconnu",IF(B288="","Matière manquante",IF(ISNA(MATCH(B288,mat_ref,0)),"Matière inconnue",IF(INDEX(mat_check,MATCH(B288,mat_ref,0))&lt;&gt;"OK","Matière à corriger",IF(OR(NOT(ISNUMBER(E288)),N(E288)&lt;=0),"Quantité invalide",IF(AND(F288&lt;&gt;"",OR(NOT(ISNUMBER(F288)),N(F288)&lt;0,N(F288)&gt;=1)),"Perte entre 0 et 99 %",IF(COUNTIFS(bom_prod,A288,bom_mat,B288)&gt;1,"Matière en double","OK")))))))))</f>
        <v/>
      </c>
      <c r="K288" s="71" t="str">
        <f>IF(AND(fiche_sel&lt;&gt;"",A288=fiche_sel),COUNTIF(A$6:A288,fiche_sel),"")</f>
        <v/>
      </c>
    </row>
    <row r="289">
      <c r="A289" s="60" t="n"/>
      <c r="B289" s="60" t="n"/>
      <c r="C289" s="71" t="str">
        <f>IF(B289="","",IFERROR(INDEX(mat_des,MATCH(B289,mat_ref,0))&amp;"","Matière inconnue"))</f>
        <v/>
      </c>
      <c r="D289" s="69" t="str">
        <f>IF(B289="","",IFERROR(INDEX(mat_unit,MATCH(B289,mat_ref,0))&amp;"",""))</f>
        <v/>
      </c>
      <c r="E289" s="72" t="n"/>
      <c r="F289" s="65" t="n"/>
      <c r="G289" s="68" t="str">
        <f>IF(J289&lt;&gt;"OK","",IF(F289="",N(INDEX(mat_loss,MATCH(B289,mat_ref,0))),F289))</f>
        <v/>
      </c>
      <c r="H289" s="66" t="str">
        <f>IF(J289&lt;&gt;"OK","",INDEX(mat_price,MATCH(B289,mat_ref,0)))</f>
        <v/>
      </c>
      <c r="I289" s="66" t="str">
        <f>IF(J289&lt;&gt;"OK","",E289*(1+G289)*H289)</f>
        <v/>
      </c>
      <c r="J289" s="69" t="str">
        <f>IF(AND(A289="",B289=""),"",IF(A289="","Produit manquant",IF(COUNTIF(prod_ref,A289)=0,"Produit inconnu",IF(B289="","Matière manquante",IF(ISNA(MATCH(B289,mat_ref,0)),"Matière inconnue",IF(INDEX(mat_check,MATCH(B289,mat_ref,0))&lt;&gt;"OK","Matière à corriger",IF(OR(NOT(ISNUMBER(E289)),N(E289)&lt;=0),"Quantité invalide",IF(AND(F289&lt;&gt;"",OR(NOT(ISNUMBER(F289)),N(F289)&lt;0,N(F289)&gt;=1)),"Perte entre 0 et 99 %",IF(COUNTIFS(bom_prod,A289,bom_mat,B289)&gt;1,"Matière en double","OK")))))))))</f>
        <v/>
      </c>
      <c r="K289" s="71" t="str">
        <f>IF(AND(fiche_sel&lt;&gt;"",A289=fiche_sel),COUNTIF(A$6:A289,fiche_sel),"")</f>
        <v/>
      </c>
    </row>
    <row r="290">
      <c r="A290" s="60" t="n"/>
      <c r="B290" s="60" t="n"/>
      <c r="C290" s="71" t="str">
        <f>IF(B290="","",IFERROR(INDEX(mat_des,MATCH(B290,mat_ref,0))&amp;"","Matière inconnue"))</f>
        <v/>
      </c>
      <c r="D290" s="69" t="str">
        <f>IF(B290="","",IFERROR(INDEX(mat_unit,MATCH(B290,mat_ref,0))&amp;"",""))</f>
        <v/>
      </c>
      <c r="E290" s="72" t="n"/>
      <c r="F290" s="65" t="n"/>
      <c r="G290" s="68" t="str">
        <f>IF(J290&lt;&gt;"OK","",IF(F290="",N(INDEX(mat_loss,MATCH(B290,mat_ref,0))),F290))</f>
        <v/>
      </c>
      <c r="H290" s="66" t="str">
        <f>IF(J290&lt;&gt;"OK","",INDEX(mat_price,MATCH(B290,mat_ref,0)))</f>
        <v/>
      </c>
      <c r="I290" s="66" t="str">
        <f>IF(J290&lt;&gt;"OK","",E290*(1+G290)*H290)</f>
        <v/>
      </c>
      <c r="J290" s="69" t="str">
        <f>IF(AND(A290="",B290=""),"",IF(A290="","Produit manquant",IF(COUNTIF(prod_ref,A290)=0,"Produit inconnu",IF(B290="","Matière manquante",IF(ISNA(MATCH(B290,mat_ref,0)),"Matière inconnue",IF(INDEX(mat_check,MATCH(B290,mat_ref,0))&lt;&gt;"OK","Matière à corriger",IF(OR(NOT(ISNUMBER(E290)),N(E290)&lt;=0),"Quantité invalide",IF(AND(F290&lt;&gt;"",OR(NOT(ISNUMBER(F290)),N(F290)&lt;0,N(F290)&gt;=1)),"Perte entre 0 et 99 %",IF(COUNTIFS(bom_prod,A290,bom_mat,B290)&gt;1,"Matière en double","OK")))))))))</f>
        <v/>
      </c>
      <c r="K290" s="71" t="str">
        <f>IF(AND(fiche_sel&lt;&gt;"",A290=fiche_sel),COUNTIF(A$6:A290,fiche_sel),"")</f>
        <v/>
      </c>
    </row>
    <row r="291">
      <c r="A291" s="60" t="n"/>
      <c r="B291" s="60" t="n"/>
      <c r="C291" s="71" t="str">
        <f>IF(B291="","",IFERROR(INDEX(mat_des,MATCH(B291,mat_ref,0))&amp;"","Matière inconnue"))</f>
        <v/>
      </c>
      <c r="D291" s="69" t="str">
        <f>IF(B291="","",IFERROR(INDEX(mat_unit,MATCH(B291,mat_ref,0))&amp;"",""))</f>
        <v/>
      </c>
      <c r="E291" s="72" t="n"/>
      <c r="F291" s="65" t="n"/>
      <c r="G291" s="68" t="str">
        <f>IF(J291&lt;&gt;"OK","",IF(F291="",N(INDEX(mat_loss,MATCH(B291,mat_ref,0))),F291))</f>
        <v/>
      </c>
      <c r="H291" s="66" t="str">
        <f>IF(J291&lt;&gt;"OK","",INDEX(mat_price,MATCH(B291,mat_ref,0)))</f>
        <v/>
      </c>
      <c r="I291" s="66" t="str">
        <f>IF(J291&lt;&gt;"OK","",E291*(1+G291)*H291)</f>
        <v/>
      </c>
      <c r="J291" s="69" t="str">
        <f>IF(AND(A291="",B291=""),"",IF(A291="","Produit manquant",IF(COUNTIF(prod_ref,A291)=0,"Produit inconnu",IF(B291="","Matière manquante",IF(ISNA(MATCH(B291,mat_ref,0)),"Matière inconnue",IF(INDEX(mat_check,MATCH(B291,mat_ref,0))&lt;&gt;"OK","Matière à corriger",IF(OR(NOT(ISNUMBER(E291)),N(E291)&lt;=0),"Quantité invalide",IF(AND(F291&lt;&gt;"",OR(NOT(ISNUMBER(F291)),N(F291)&lt;0,N(F291)&gt;=1)),"Perte entre 0 et 99 %",IF(COUNTIFS(bom_prod,A291,bom_mat,B291)&gt;1,"Matière en double","OK")))))))))</f>
        <v/>
      </c>
      <c r="K291" s="71" t="str">
        <f>IF(AND(fiche_sel&lt;&gt;"",A291=fiche_sel),COUNTIF(A$6:A291,fiche_sel),"")</f>
        <v/>
      </c>
    </row>
    <row r="292">
      <c r="A292" s="60" t="n"/>
      <c r="B292" s="60" t="n"/>
      <c r="C292" s="71" t="str">
        <f>IF(B292="","",IFERROR(INDEX(mat_des,MATCH(B292,mat_ref,0))&amp;"","Matière inconnue"))</f>
        <v/>
      </c>
      <c r="D292" s="69" t="str">
        <f>IF(B292="","",IFERROR(INDEX(mat_unit,MATCH(B292,mat_ref,0))&amp;"",""))</f>
        <v/>
      </c>
      <c r="E292" s="72" t="n"/>
      <c r="F292" s="65" t="n"/>
      <c r="G292" s="68" t="str">
        <f>IF(J292&lt;&gt;"OK","",IF(F292="",N(INDEX(mat_loss,MATCH(B292,mat_ref,0))),F292))</f>
        <v/>
      </c>
      <c r="H292" s="66" t="str">
        <f>IF(J292&lt;&gt;"OK","",INDEX(mat_price,MATCH(B292,mat_ref,0)))</f>
        <v/>
      </c>
      <c r="I292" s="66" t="str">
        <f>IF(J292&lt;&gt;"OK","",E292*(1+G292)*H292)</f>
        <v/>
      </c>
      <c r="J292" s="69" t="str">
        <f>IF(AND(A292="",B292=""),"",IF(A292="","Produit manquant",IF(COUNTIF(prod_ref,A292)=0,"Produit inconnu",IF(B292="","Matière manquante",IF(ISNA(MATCH(B292,mat_ref,0)),"Matière inconnue",IF(INDEX(mat_check,MATCH(B292,mat_ref,0))&lt;&gt;"OK","Matière à corriger",IF(OR(NOT(ISNUMBER(E292)),N(E292)&lt;=0),"Quantité invalide",IF(AND(F292&lt;&gt;"",OR(NOT(ISNUMBER(F292)),N(F292)&lt;0,N(F292)&gt;=1)),"Perte entre 0 et 99 %",IF(COUNTIFS(bom_prod,A292,bom_mat,B292)&gt;1,"Matière en double","OK")))))))))</f>
        <v/>
      </c>
      <c r="K292" s="71" t="str">
        <f>IF(AND(fiche_sel&lt;&gt;"",A292=fiche_sel),COUNTIF(A$6:A292,fiche_sel),"")</f>
        <v/>
      </c>
    </row>
    <row r="293">
      <c r="A293" s="60" t="n"/>
      <c r="B293" s="60" t="n"/>
      <c r="C293" s="71" t="str">
        <f>IF(B293="","",IFERROR(INDEX(mat_des,MATCH(B293,mat_ref,0))&amp;"","Matière inconnue"))</f>
        <v/>
      </c>
      <c r="D293" s="69" t="str">
        <f>IF(B293="","",IFERROR(INDEX(mat_unit,MATCH(B293,mat_ref,0))&amp;"",""))</f>
        <v/>
      </c>
      <c r="E293" s="72" t="n"/>
      <c r="F293" s="65" t="n"/>
      <c r="G293" s="68" t="str">
        <f>IF(J293&lt;&gt;"OK","",IF(F293="",N(INDEX(mat_loss,MATCH(B293,mat_ref,0))),F293))</f>
        <v/>
      </c>
      <c r="H293" s="66" t="str">
        <f>IF(J293&lt;&gt;"OK","",INDEX(mat_price,MATCH(B293,mat_ref,0)))</f>
        <v/>
      </c>
      <c r="I293" s="66" t="str">
        <f>IF(J293&lt;&gt;"OK","",E293*(1+G293)*H293)</f>
        <v/>
      </c>
      <c r="J293" s="69" t="str">
        <f>IF(AND(A293="",B293=""),"",IF(A293="","Produit manquant",IF(COUNTIF(prod_ref,A293)=0,"Produit inconnu",IF(B293="","Matière manquante",IF(ISNA(MATCH(B293,mat_ref,0)),"Matière inconnue",IF(INDEX(mat_check,MATCH(B293,mat_ref,0))&lt;&gt;"OK","Matière à corriger",IF(OR(NOT(ISNUMBER(E293)),N(E293)&lt;=0),"Quantité invalide",IF(AND(F293&lt;&gt;"",OR(NOT(ISNUMBER(F293)),N(F293)&lt;0,N(F293)&gt;=1)),"Perte entre 0 et 99 %",IF(COUNTIFS(bom_prod,A293,bom_mat,B293)&gt;1,"Matière en double","OK")))))))))</f>
        <v/>
      </c>
      <c r="K293" s="71" t="str">
        <f>IF(AND(fiche_sel&lt;&gt;"",A293=fiche_sel),COUNTIF(A$6:A293,fiche_sel),"")</f>
        <v/>
      </c>
    </row>
    <row r="294">
      <c r="A294" s="60" t="n"/>
      <c r="B294" s="60" t="n"/>
      <c r="C294" s="71" t="str">
        <f>IF(B294="","",IFERROR(INDEX(mat_des,MATCH(B294,mat_ref,0))&amp;"","Matière inconnue"))</f>
        <v/>
      </c>
      <c r="D294" s="69" t="str">
        <f>IF(B294="","",IFERROR(INDEX(mat_unit,MATCH(B294,mat_ref,0))&amp;"",""))</f>
        <v/>
      </c>
      <c r="E294" s="72" t="n"/>
      <c r="F294" s="65" t="n"/>
      <c r="G294" s="68" t="str">
        <f>IF(J294&lt;&gt;"OK","",IF(F294="",N(INDEX(mat_loss,MATCH(B294,mat_ref,0))),F294))</f>
        <v/>
      </c>
      <c r="H294" s="66" t="str">
        <f>IF(J294&lt;&gt;"OK","",INDEX(mat_price,MATCH(B294,mat_ref,0)))</f>
        <v/>
      </c>
      <c r="I294" s="66" t="str">
        <f>IF(J294&lt;&gt;"OK","",E294*(1+G294)*H294)</f>
        <v/>
      </c>
      <c r="J294" s="69" t="str">
        <f>IF(AND(A294="",B294=""),"",IF(A294="","Produit manquant",IF(COUNTIF(prod_ref,A294)=0,"Produit inconnu",IF(B294="","Matière manquante",IF(ISNA(MATCH(B294,mat_ref,0)),"Matière inconnue",IF(INDEX(mat_check,MATCH(B294,mat_ref,0))&lt;&gt;"OK","Matière à corriger",IF(OR(NOT(ISNUMBER(E294)),N(E294)&lt;=0),"Quantité invalide",IF(AND(F294&lt;&gt;"",OR(NOT(ISNUMBER(F294)),N(F294)&lt;0,N(F294)&gt;=1)),"Perte entre 0 et 99 %",IF(COUNTIFS(bom_prod,A294,bom_mat,B294)&gt;1,"Matière en double","OK")))))))))</f>
        <v/>
      </c>
      <c r="K294" s="71" t="str">
        <f>IF(AND(fiche_sel&lt;&gt;"",A294=fiche_sel),COUNTIF(A$6:A294,fiche_sel),"")</f>
        <v/>
      </c>
    </row>
    <row r="295">
      <c r="A295" s="60" t="n"/>
      <c r="B295" s="60" t="n"/>
      <c r="C295" s="71" t="str">
        <f>IF(B295="","",IFERROR(INDEX(mat_des,MATCH(B295,mat_ref,0))&amp;"","Matière inconnue"))</f>
        <v/>
      </c>
      <c r="D295" s="69" t="str">
        <f>IF(B295="","",IFERROR(INDEX(mat_unit,MATCH(B295,mat_ref,0))&amp;"",""))</f>
        <v/>
      </c>
      <c r="E295" s="72" t="n"/>
      <c r="F295" s="65" t="n"/>
      <c r="G295" s="68" t="str">
        <f>IF(J295&lt;&gt;"OK","",IF(F295="",N(INDEX(mat_loss,MATCH(B295,mat_ref,0))),F295))</f>
        <v/>
      </c>
      <c r="H295" s="66" t="str">
        <f>IF(J295&lt;&gt;"OK","",INDEX(mat_price,MATCH(B295,mat_ref,0)))</f>
        <v/>
      </c>
      <c r="I295" s="66" t="str">
        <f>IF(J295&lt;&gt;"OK","",E295*(1+G295)*H295)</f>
        <v/>
      </c>
      <c r="J295" s="69" t="str">
        <f>IF(AND(A295="",B295=""),"",IF(A295="","Produit manquant",IF(COUNTIF(prod_ref,A295)=0,"Produit inconnu",IF(B295="","Matière manquante",IF(ISNA(MATCH(B295,mat_ref,0)),"Matière inconnue",IF(INDEX(mat_check,MATCH(B295,mat_ref,0))&lt;&gt;"OK","Matière à corriger",IF(OR(NOT(ISNUMBER(E295)),N(E295)&lt;=0),"Quantité invalide",IF(AND(F295&lt;&gt;"",OR(NOT(ISNUMBER(F295)),N(F295)&lt;0,N(F295)&gt;=1)),"Perte entre 0 et 99 %",IF(COUNTIFS(bom_prod,A295,bom_mat,B295)&gt;1,"Matière en double","OK")))))))))</f>
        <v/>
      </c>
      <c r="K295" s="71" t="str">
        <f>IF(AND(fiche_sel&lt;&gt;"",A295=fiche_sel),COUNTIF(A$6:A295,fiche_sel),"")</f>
        <v/>
      </c>
    </row>
    <row r="296">
      <c r="A296" s="60" t="n"/>
      <c r="B296" s="60" t="n"/>
      <c r="C296" s="71" t="str">
        <f>IF(B296="","",IFERROR(INDEX(mat_des,MATCH(B296,mat_ref,0))&amp;"","Matière inconnue"))</f>
        <v/>
      </c>
      <c r="D296" s="69" t="str">
        <f>IF(B296="","",IFERROR(INDEX(mat_unit,MATCH(B296,mat_ref,0))&amp;"",""))</f>
        <v/>
      </c>
      <c r="E296" s="72" t="n"/>
      <c r="F296" s="65" t="n"/>
      <c r="G296" s="68" t="str">
        <f>IF(J296&lt;&gt;"OK","",IF(F296="",N(INDEX(mat_loss,MATCH(B296,mat_ref,0))),F296))</f>
        <v/>
      </c>
      <c r="H296" s="66" t="str">
        <f>IF(J296&lt;&gt;"OK","",INDEX(mat_price,MATCH(B296,mat_ref,0)))</f>
        <v/>
      </c>
      <c r="I296" s="66" t="str">
        <f>IF(J296&lt;&gt;"OK","",E296*(1+G296)*H296)</f>
        <v/>
      </c>
      <c r="J296" s="69" t="str">
        <f>IF(AND(A296="",B296=""),"",IF(A296="","Produit manquant",IF(COUNTIF(prod_ref,A296)=0,"Produit inconnu",IF(B296="","Matière manquante",IF(ISNA(MATCH(B296,mat_ref,0)),"Matière inconnue",IF(INDEX(mat_check,MATCH(B296,mat_ref,0))&lt;&gt;"OK","Matière à corriger",IF(OR(NOT(ISNUMBER(E296)),N(E296)&lt;=0),"Quantité invalide",IF(AND(F296&lt;&gt;"",OR(NOT(ISNUMBER(F296)),N(F296)&lt;0,N(F296)&gt;=1)),"Perte entre 0 et 99 %",IF(COUNTIFS(bom_prod,A296,bom_mat,B296)&gt;1,"Matière en double","OK")))))))))</f>
        <v/>
      </c>
      <c r="K296" s="71" t="str">
        <f>IF(AND(fiche_sel&lt;&gt;"",A296=fiche_sel),COUNTIF(A$6:A296,fiche_sel),"")</f>
        <v/>
      </c>
    </row>
    <row r="297">
      <c r="A297" s="60" t="n"/>
      <c r="B297" s="60" t="n"/>
      <c r="C297" s="71" t="str">
        <f>IF(B297="","",IFERROR(INDEX(mat_des,MATCH(B297,mat_ref,0))&amp;"","Matière inconnue"))</f>
        <v/>
      </c>
      <c r="D297" s="69" t="str">
        <f>IF(B297="","",IFERROR(INDEX(mat_unit,MATCH(B297,mat_ref,0))&amp;"",""))</f>
        <v/>
      </c>
      <c r="E297" s="72" t="n"/>
      <c r="F297" s="65" t="n"/>
      <c r="G297" s="68" t="str">
        <f>IF(J297&lt;&gt;"OK","",IF(F297="",N(INDEX(mat_loss,MATCH(B297,mat_ref,0))),F297))</f>
        <v/>
      </c>
      <c r="H297" s="66" t="str">
        <f>IF(J297&lt;&gt;"OK","",INDEX(mat_price,MATCH(B297,mat_ref,0)))</f>
        <v/>
      </c>
      <c r="I297" s="66" t="str">
        <f>IF(J297&lt;&gt;"OK","",E297*(1+G297)*H297)</f>
        <v/>
      </c>
      <c r="J297" s="69" t="str">
        <f>IF(AND(A297="",B297=""),"",IF(A297="","Produit manquant",IF(COUNTIF(prod_ref,A297)=0,"Produit inconnu",IF(B297="","Matière manquante",IF(ISNA(MATCH(B297,mat_ref,0)),"Matière inconnue",IF(INDEX(mat_check,MATCH(B297,mat_ref,0))&lt;&gt;"OK","Matière à corriger",IF(OR(NOT(ISNUMBER(E297)),N(E297)&lt;=0),"Quantité invalide",IF(AND(F297&lt;&gt;"",OR(NOT(ISNUMBER(F297)),N(F297)&lt;0,N(F297)&gt;=1)),"Perte entre 0 et 99 %",IF(COUNTIFS(bom_prod,A297,bom_mat,B297)&gt;1,"Matière en double","OK")))))))))</f>
        <v/>
      </c>
      <c r="K297" s="71" t="str">
        <f>IF(AND(fiche_sel&lt;&gt;"",A297=fiche_sel),COUNTIF(A$6:A297,fiche_sel),"")</f>
        <v/>
      </c>
    </row>
    <row r="298">
      <c r="A298" s="60" t="n"/>
      <c r="B298" s="60" t="n"/>
      <c r="C298" s="71" t="str">
        <f>IF(B298="","",IFERROR(INDEX(mat_des,MATCH(B298,mat_ref,0))&amp;"","Matière inconnue"))</f>
        <v/>
      </c>
      <c r="D298" s="69" t="str">
        <f>IF(B298="","",IFERROR(INDEX(mat_unit,MATCH(B298,mat_ref,0))&amp;"",""))</f>
        <v/>
      </c>
      <c r="E298" s="72" t="n"/>
      <c r="F298" s="65" t="n"/>
      <c r="G298" s="68" t="str">
        <f>IF(J298&lt;&gt;"OK","",IF(F298="",N(INDEX(mat_loss,MATCH(B298,mat_ref,0))),F298))</f>
        <v/>
      </c>
      <c r="H298" s="66" t="str">
        <f>IF(J298&lt;&gt;"OK","",INDEX(mat_price,MATCH(B298,mat_ref,0)))</f>
        <v/>
      </c>
      <c r="I298" s="66" t="str">
        <f>IF(J298&lt;&gt;"OK","",E298*(1+G298)*H298)</f>
        <v/>
      </c>
      <c r="J298" s="69" t="str">
        <f>IF(AND(A298="",B298=""),"",IF(A298="","Produit manquant",IF(COUNTIF(prod_ref,A298)=0,"Produit inconnu",IF(B298="","Matière manquante",IF(ISNA(MATCH(B298,mat_ref,0)),"Matière inconnue",IF(INDEX(mat_check,MATCH(B298,mat_ref,0))&lt;&gt;"OK","Matière à corriger",IF(OR(NOT(ISNUMBER(E298)),N(E298)&lt;=0),"Quantité invalide",IF(AND(F298&lt;&gt;"",OR(NOT(ISNUMBER(F298)),N(F298)&lt;0,N(F298)&gt;=1)),"Perte entre 0 et 99 %",IF(COUNTIFS(bom_prod,A298,bom_mat,B298)&gt;1,"Matière en double","OK")))))))))</f>
        <v/>
      </c>
      <c r="K298" s="71" t="str">
        <f>IF(AND(fiche_sel&lt;&gt;"",A298=fiche_sel),COUNTIF(A$6:A298,fiche_sel),"")</f>
        <v/>
      </c>
    </row>
    <row r="299">
      <c r="A299" s="60" t="n"/>
      <c r="B299" s="60" t="n"/>
      <c r="C299" s="71" t="str">
        <f>IF(B299="","",IFERROR(INDEX(mat_des,MATCH(B299,mat_ref,0))&amp;"","Matière inconnue"))</f>
        <v/>
      </c>
      <c r="D299" s="69" t="str">
        <f>IF(B299="","",IFERROR(INDEX(mat_unit,MATCH(B299,mat_ref,0))&amp;"",""))</f>
        <v/>
      </c>
      <c r="E299" s="72" t="n"/>
      <c r="F299" s="65" t="n"/>
      <c r="G299" s="68" t="str">
        <f>IF(J299&lt;&gt;"OK","",IF(F299="",N(INDEX(mat_loss,MATCH(B299,mat_ref,0))),F299))</f>
        <v/>
      </c>
      <c r="H299" s="66" t="str">
        <f>IF(J299&lt;&gt;"OK","",INDEX(mat_price,MATCH(B299,mat_ref,0)))</f>
        <v/>
      </c>
      <c r="I299" s="66" t="str">
        <f>IF(J299&lt;&gt;"OK","",E299*(1+G299)*H299)</f>
        <v/>
      </c>
      <c r="J299" s="69" t="str">
        <f>IF(AND(A299="",B299=""),"",IF(A299="","Produit manquant",IF(COUNTIF(prod_ref,A299)=0,"Produit inconnu",IF(B299="","Matière manquante",IF(ISNA(MATCH(B299,mat_ref,0)),"Matière inconnue",IF(INDEX(mat_check,MATCH(B299,mat_ref,0))&lt;&gt;"OK","Matière à corriger",IF(OR(NOT(ISNUMBER(E299)),N(E299)&lt;=0),"Quantité invalide",IF(AND(F299&lt;&gt;"",OR(NOT(ISNUMBER(F299)),N(F299)&lt;0,N(F299)&gt;=1)),"Perte entre 0 et 99 %",IF(COUNTIFS(bom_prod,A299,bom_mat,B299)&gt;1,"Matière en double","OK")))))))))</f>
        <v/>
      </c>
      <c r="K299" s="71" t="str">
        <f>IF(AND(fiche_sel&lt;&gt;"",A299=fiche_sel),COUNTIF(A$6:A299,fiche_sel),"")</f>
        <v/>
      </c>
    </row>
    <row r="300">
      <c r="A300" s="60" t="n"/>
      <c r="B300" s="60" t="n"/>
      <c r="C300" s="71" t="str">
        <f>IF(B300="","",IFERROR(INDEX(mat_des,MATCH(B300,mat_ref,0))&amp;"","Matière inconnue"))</f>
        <v/>
      </c>
      <c r="D300" s="69" t="str">
        <f>IF(B300="","",IFERROR(INDEX(mat_unit,MATCH(B300,mat_ref,0))&amp;"",""))</f>
        <v/>
      </c>
      <c r="E300" s="72" t="n"/>
      <c r="F300" s="65" t="n"/>
      <c r="G300" s="68" t="str">
        <f>IF(J300&lt;&gt;"OK","",IF(F300="",N(INDEX(mat_loss,MATCH(B300,mat_ref,0))),F300))</f>
        <v/>
      </c>
      <c r="H300" s="66" t="str">
        <f>IF(J300&lt;&gt;"OK","",INDEX(mat_price,MATCH(B300,mat_ref,0)))</f>
        <v/>
      </c>
      <c r="I300" s="66" t="str">
        <f>IF(J300&lt;&gt;"OK","",E300*(1+G300)*H300)</f>
        <v/>
      </c>
      <c r="J300" s="69" t="str">
        <f>IF(AND(A300="",B300=""),"",IF(A300="","Produit manquant",IF(COUNTIF(prod_ref,A300)=0,"Produit inconnu",IF(B300="","Matière manquante",IF(ISNA(MATCH(B300,mat_ref,0)),"Matière inconnue",IF(INDEX(mat_check,MATCH(B300,mat_ref,0))&lt;&gt;"OK","Matière à corriger",IF(OR(NOT(ISNUMBER(E300)),N(E300)&lt;=0),"Quantité invalide",IF(AND(F300&lt;&gt;"",OR(NOT(ISNUMBER(F300)),N(F300)&lt;0,N(F300)&gt;=1)),"Perte entre 0 et 99 %",IF(COUNTIFS(bom_prod,A300,bom_mat,B300)&gt;1,"Matière en double","OK")))))))))</f>
        <v/>
      </c>
      <c r="K300" s="71" t="str">
        <f>IF(AND(fiche_sel&lt;&gt;"",A300=fiche_sel),COUNTIF(A$6:A300,fiche_sel),"")</f>
        <v/>
      </c>
    </row>
    <row r="301">
      <c r="A301" s="60" t="n"/>
      <c r="B301" s="60" t="n"/>
      <c r="C301" s="71" t="str">
        <f>IF(B301="","",IFERROR(INDEX(mat_des,MATCH(B301,mat_ref,0))&amp;"","Matière inconnue"))</f>
        <v/>
      </c>
      <c r="D301" s="69" t="str">
        <f>IF(B301="","",IFERROR(INDEX(mat_unit,MATCH(B301,mat_ref,0))&amp;"",""))</f>
        <v/>
      </c>
      <c r="E301" s="72" t="n"/>
      <c r="F301" s="65" t="n"/>
      <c r="G301" s="68" t="str">
        <f>IF(J301&lt;&gt;"OK","",IF(F301="",N(INDEX(mat_loss,MATCH(B301,mat_ref,0))),F301))</f>
        <v/>
      </c>
      <c r="H301" s="66" t="str">
        <f>IF(J301&lt;&gt;"OK","",INDEX(mat_price,MATCH(B301,mat_ref,0)))</f>
        <v/>
      </c>
      <c r="I301" s="66" t="str">
        <f>IF(J301&lt;&gt;"OK","",E301*(1+G301)*H301)</f>
        <v/>
      </c>
      <c r="J301" s="69" t="str">
        <f>IF(AND(A301="",B301=""),"",IF(A301="","Produit manquant",IF(COUNTIF(prod_ref,A301)=0,"Produit inconnu",IF(B301="","Matière manquante",IF(ISNA(MATCH(B301,mat_ref,0)),"Matière inconnue",IF(INDEX(mat_check,MATCH(B301,mat_ref,0))&lt;&gt;"OK","Matière à corriger",IF(OR(NOT(ISNUMBER(E301)),N(E301)&lt;=0),"Quantité invalide",IF(AND(F301&lt;&gt;"",OR(NOT(ISNUMBER(F301)),N(F301)&lt;0,N(F301)&gt;=1)),"Perte entre 0 et 99 %",IF(COUNTIFS(bom_prod,A301,bom_mat,B301)&gt;1,"Matière en double","OK")))))))))</f>
        <v/>
      </c>
      <c r="K301" s="71" t="str">
        <f>IF(AND(fiche_sel&lt;&gt;"",A301=fiche_sel),COUNTIF(A$6:A301,fiche_sel),"")</f>
        <v/>
      </c>
    </row>
    <row r="302">
      <c r="A302" s="60" t="n"/>
      <c r="B302" s="60" t="n"/>
      <c r="C302" s="71" t="str">
        <f>IF(B302="","",IFERROR(INDEX(mat_des,MATCH(B302,mat_ref,0))&amp;"","Matière inconnue"))</f>
        <v/>
      </c>
      <c r="D302" s="69" t="str">
        <f>IF(B302="","",IFERROR(INDEX(mat_unit,MATCH(B302,mat_ref,0))&amp;"",""))</f>
        <v/>
      </c>
      <c r="E302" s="72" t="n"/>
      <c r="F302" s="65" t="n"/>
      <c r="G302" s="68" t="str">
        <f>IF(J302&lt;&gt;"OK","",IF(F302="",N(INDEX(mat_loss,MATCH(B302,mat_ref,0))),F302))</f>
        <v/>
      </c>
      <c r="H302" s="66" t="str">
        <f>IF(J302&lt;&gt;"OK","",INDEX(mat_price,MATCH(B302,mat_ref,0)))</f>
        <v/>
      </c>
      <c r="I302" s="66" t="str">
        <f>IF(J302&lt;&gt;"OK","",E302*(1+G302)*H302)</f>
        <v/>
      </c>
      <c r="J302" s="69" t="str">
        <f>IF(AND(A302="",B302=""),"",IF(A302="","Produit manquant",IF(COUNTIF(prod_ref,A302)=0,"Produit inconnu",IF(B302="","Matière manquante",IF(ISNA(MATCH(B302,mat_ref,0)),"Matière inconnue",IF(INDEX(mat_check,MATCH(B302,mat_ref,0))&lt;&gt;"OK","Matière à corriger",IF(OR(NOT(ISNUMBER(E302)),N(E302)&lt;=0),"Quantité invalide",IF(AND(F302&lt;&gt;"",OR(NOT(ISNUMBER(F302)),N(F302)&lt;0,N(F302)&gt;=1)),"Perte entre 0 et 99 %",IF(COUNTIFS(bom_prod,A302,bom_mat,B302)&gt;1,"Matière en double","OK")))))))))</f>
        <v/>
      </c>
      <c r="K302" s="71" t="str">
        <f>IF(AND(fiche_sel&lt;&gt;"",A302=fiche_sel),COUNTIF(A$6:A302,fiche_sel),"")</f>
        <v/>
      </c>
    </row>
    <row r="303">
      <c r="A303" s="60" t="n"/>
      <c r="B303" s="60" t="n"/>
      <c r="C303" s="71" t="str">
        <f>IF(B303="","",IFERROR(INDEX(mat_des,MATCH(B303,mat_ref,0))&amp;"","Matière inconnue"))</f>
        <v/>
      </c>
      <c r="D303" s="69" t="str">
        <f>IF(B303="","",IFERROR(INDEX(mat_unit,MATCH(B303,mat_ref,0))&amp;"",""))</f>
        <v/>
      </c>
      <c r="E303" s="72" t="n"/>
      <c r="F303" s="65" t="n"/>
      <c r="G303" s="68" t="str">
        <f>IF(J303&lt;&gt;"OK","",IF(F303="",N(INDEX(mat_loss,MATCH(B303,mat_ref,0))),F303))</f>
        <v/>
      </c>
      <c r="H303" s="66" t="str">
        <f>IF(J303&lt;&gt;"OK","",INDEX(mat_price,MATCH(B303,mat_ref,0)))</f>
        <v/>
      </c>
      <c r="I303" s="66" t="str">
        <f>IF(J303&lt;&gt;"OK","",E303*(1+G303)*H303)</f>
        <v/>
      </c>
      <c r="J303" s="69" t="str">
        <f>IF(AND(A303="",B303=""),"",IF(A303="","Produit manquant",IF(COUNTIF(prod_ref,A303)=0,"Produit inconnu",IF(B303="","Matière manquante",IF(ISNA(MATCH(B303,mat_ref,0)),"Matière inconnue",IF(INDEX(mat_check,MATCH(B303,mat_ref,0))&lt;&gt;"OK","Matière à corriger",IF(OR(NOT(ISNUMBER(E303)),N(E303)&lt;=0),"Quantité invalide",IF(AND(F303&lt;&gt;"",OR(NOT(ISNUMBER(F303)),N(F303)&lt;0,N(F303)&gt;=1)),"Perte entre 0 et 99 %",IF(COUNTIFS(bom_prod,A303,bom_mat,B303)&gt;1,"Matière en double","OK")))))))))</f>
        <v/>
      </c>
      <c r="K303" s="71" t="str">
        <f>IF(AND(fiche_sel&lt;&gt;"",A303=fiche_sel),COUNTIF(A$6:A303,fiche_sel),"")</f>
        <v/>
      </c>
    </row>
    <row r="304">
      <c r="A304" s="60" t="n"/>
      <c r="B304" s="60" t="n"/>
      <c r="C304" s="71" t="str">
        <f>IF(B304="","",IFERROR(INDEX(mat_des,MATCH(B304,mat_ref,0))&amp;"","Matière inconnue"))</f>
        <v/>
      </c>
      <c r="D304" s="69" t="str">
        <f>IF(B304="","",IFERROR(INDEX(mat_unit,MATCH(B304,mat_ref,0))&amp;"",""))</f>
        <v/>
      </c>
      <c r="E304" s="72" t="n"/>
      <c r="F304" s="65" t="n"/>
      <c r="G304" s="68" t="str">
        <f>IF(J304&lt;&gt;"OK","",IF(F304="",N(INDEX(mat_loss,MATCH(B304,mat_ref,0))),F304))</f>
        <v/>
      </c>
      <c r="H304" s="66" t="str">
        <f>IF(J304&lt;&gt;"OK","",INDEX(mat_price,MATCH(B304,mat_ref,0)))</f>
        <v/>
      </c>
      <c r="I304" s="66" t="str">
        <f>IF(J304&lt;&gt;"OK","",E304*(1+G304)*H304)</f>
        <v/>
      </c>
      <c r="J304" s="69" t="str">
        <f>IF(AND(A304="",B304=""),"",IF(A304="","Produit manquant",IF(COUNTIF(prod_ref,A304)=0,"Produit inconnu",IF(B304="","Matière manquante",IF(ISNA(MATCH(B304,mat_ref,0)),"Matière inconnue",IF(INDEX(mat_check,MATCH(B304,mat_ref,0))&lt;&gt;"OK","Matière à corriger",IF(OR(NOT(ISNUMBER(E304)),N(E304)&lt;=0),"Quantité invalide",IF(AND(F304&lt;&gt;"",OR(NOT(ISNUMBER(F304)),N(F304)&lt;0,N(F304)&gt;=1)),"Perte entre 0 et 99 %",IF(COUNTIFS(bom_prod,A304,bom_mat,B304)&gt;1,"Matière en double","OK")))))))))</f>
        <v/>
      </c>
      <c r="K304" s="71" t="str">
        <f>IF(AND(fiche_sel&lt;&gt;"",A304=fiche_sel),COUNTIF(A$6:A304,fiche_sel),"")</f>
        <v/>
      </c>
    </row>
    <row r="305">
      <c r="A305" s="60" t="n"/>
      <c r="B305" s="60" t="n"/>
      <c r="C305" s="71" t="str">
        <f>IF(B305="","",IFERROR(INDEX(mat_des,MATCH(B305,mat_ref,0))&amp;"","Matière inconnue"))</f>
        <v/>
      </c>
      <c r="D305" s="69" t="str">
        <f>IF(B305="","",IFERROR(INDEX(mat_unit,MATCH(B305,mat_ref,0))&amp;"",""))</f>
        <v/>
      </c>
      <c r="E305" s="72" t="n"/>
      <c r="F305" s="65" t="n"/>
      <c r="G305" s="68" t="str">
        <f>IF(J305&lt;&gt;"OK","",IF(F305="",N(INDEX(mat_loss,MATCH(B305,mat_ref,0))),F305))</f>
        <v/>
      </c>
      <c r="H305" s="66" t="str">
        <f>IF(J305&lt;&gt;"OK","",INDEX(mat_price,MATCH(B305,mat_ref,0)))</f>
        <v/>
      </c>
      <c r="I305" s="66" t="str">
        <f>IF(J305&lt;&gt;"OK","",E305*(1+G305)*H305)</f>
        <v/>
      </c>
      <c r="J305" s="69" t="str">
        <f>IF(AND(A305="",B305=""),"",IF(A305="","Produit manquant",IF(COUNTIF(prod_ref,A305)=0,"Produit inconnu",IF(B305="","Matière manquante",IF(ISNA(MATCH(B305,mat_ref,0)),"Matière inconnue",IF(INDEX(mat_check,MATCH(B305,mat_ref,0))&lt;&gt;"OK","Matière à corriger",IF(OR(NOT(ISNUMBER(E305)),N(E305)&lt;=0),"Quantité invalide",IF(AND(F305&lt;&gt;"",OR(NOT(ISNUMBER(F305)),N(F305)&lt;0,N(F305)&gt;=1)),"Perte entre 0 et 99 %",IF(COUNTIFS(bom_prod,A305,bom_mat,B305)&gt;1,"Matière en double","OK")))))))))</f>
        <v/>
      </c>
      <c r="K305" s="71" t="str">
        <f>IF(AND(fiche_sel&lt;&gt;"",A305=fiche_sel),COUNTIF(A$6:A305,fiche_sel),"")</f>
        <v/>
      </c>
    </row>
    <row r="306">
      <c r="A306" s="60" t="n"/>
      <c r="B306" s="60" t="n"/>
      <c r="C306" s="71" t="str">
        <f>IF(B306="","",IFERROR(INDEX(mat_des,MATCH(B306,mat_ref,0))&amp;"","Matière inconnue"))</f>
        <v/>
      </c>
      <c r="D306" s="69" t="str">
        <f>IF(B306="","",IFERROR(INDEX(mat_unit,MATCH(B306,mat_ref,0))&amp;"",""))</f>
        <v/>
      </c>
      <c r="E306" s="72" t="n"/>
      <c r="F306" s="65" t="n"/>
      <c r="G306" s="68" t="str">
        <f>IF(J306&lt;&gt;"OK","",IF(F306="",N(INDEX(mat_loss,MATCH(B306,mat_ref,0))),F306))</f>
        <v/>
      </c>
      <c r="H306" s="66" t="str">
        <f>IF(J306&lt;&gt;"OK","",INDEX(mat_price,MATCH(B306,mat_ref,0)))</f>
        <v/>
      </c>
      <c r="I306" s="66" t="str">
        <f>IF(J306&lt;&gt;"OK","",E306*(1+G306)*H306)</f>
        <v/>
      </c>
      <c r="J306" s="69" t="str">
        <f>IF(AND(A306="",B306=""),"",IF(A306="","Produit manquant",IF(COUNTIF(prod_ref,A306)=0,"Produit inconnu",IF(B306="","Matière manquante",IF(ISNA(MATCH(B306,mat_ref,0)),"Matière inconnue",IF(INDEX(mat_check,MATCH(B306,mat_ref,0))&lt;&gt;"OK","Matière à corriger",IF(OR(NOT(ISNUMBER(E306)),N(E306)&lt;=0),"Quantité invalide",IF(AND(F306&lt;&gt;"",OR(NOT(ISNUMBER(F306)),N(F306)&lt;0,N(F306)&gt;=1)),"Perte entre 0 et 99 %",IF(COUNTIFS(bom_prod,A306,bom_mat,B306)&gt;1,"Matière en double","OK")))))))))</f>
        <v/>
      </c>
      <c r="K306" s="71" t="str">
        <f>IF(AND(fiche_sel&lt;&gt;"",A306=fiche_sel),COUNTIF(A$6:A306,fiche_sel),"")</f>
        <v/>
      </c>
    </row>
    <row r="307">
      <c r="A307" s="60" t="n"/>
      <c r="B307" s="60" t="n"/>
      <c r="C307" s="71" t="str">
        <f>IF(B307="","",IFERROR(INDEX(mat_des,MATCH(B307,mat_ref,0))&amp;"","Matière inconnue"))</f>
        <v/>
      </c>
      <c r="D307" s="69" t="str">
        <f>IF(B307="","",IFERROR(INDEX(mat_unit,MATCH(B307,mat_ref,0))&amp;"",""))</f>
        <v/>
      </c>
      <c r="E307" s="72" t="n"/>
      <c r="F307" s="65" t="n"/>
      <c r="G307" s="68" t="str">
        <f>IF(J307&lt;&gt;"OK","",IF(F307="",N(INDEX(mat_loss,MATCH(B307,mat_ref,0))),F307))</f>
        <v/>
      </c>
      <c r="H307" s="66" t="str">
        <f>IF(J307&lt;&gt;"OK","",INDEX(mat_price,MATCH(B307,mat_ref,0)))</f>
        <v/>
      </c>
      <c r="I307" s="66" t="str">
        <f>IF(J307&lt;&gt;"OK","",E307*(1+G307)*H307)</f>
        <v/>
      </c>
      <c r="J307" s="69" t="str">
        <f>IF(AND(A307="",B307=""),"",IF(A307="","Produit manquant",IF(COUNTIF(prod_ref,A307)=0,"Produit inconnu",IF(B307="","Matière manquante",IF(ISNA(MATCH(B307,mat_ref,0)),"Matière inconnue",IF(INDEX(mat_check,MATCH(B307,mat_ref,0))&lt;&gt;"OK","Matière à corriger",IF(OR(NOT(ISNUMBER(E307)),N(E307)&lt;=0),"Quantité invalide",IF(AND(F307&lt;&gt;"",OR(NOT(ISNUMBER(F307)),N(F307)&lt;0,N(F307)&gt;=1)),"Perte entre 0 et 99 %",IF(COUNTIFS(bom_prod,A307,bom_mat,B307)&gt;1,"Matière en double","OK")))))))))</f>
        <v/>
      </c>
      <c r="K307" s="71" t="str">
        <f>IF(AND(fiche_sel&lt;&gt;"",A307=fiche_sel),COUNTIF(A$6:A307,fiche_sel),"")</f>
        <v/>
      </c>
    </row>
    <row r="308">
      <c r="A308" s="60" t="n"/>
      <c r="B308" s="60" t="n"/>
      <c r="C308" s="71" t="str">
        <f>IF(B308="","",IFERROR(INDEX(mat_des,MATCH(B308,mat_ref,0))&amp;"","Matière inconnue"))</f>
        <v/>
      </c>
      <c r="D308" s="69" t="str">
        <f>IF(B308="","",IFERROR(INDEX(mat_unit,MATCH(B308,mat_ref,0))&amp;"",""))</f>
        <v/>
      </c>
      <c r="E308" s="72" t="n"/>
      <c r="F308" s="65" t="n"/>
      <c r="G308" s="68" t="str">
        <f>IF(J308&lt;&gt;"OK","",IF(F308="",N(INDEX(mat_loss,MATCH(B308,mat_ref,0))),F308))</f>
        <v/>
      </c>
      <c r="H308" s="66" t="str">
        <f>IF(J308&lt;&gt;"OK","",INDEX(mat_price,MATCH(B308,mat_ref,0)))</f>
        <v/>
      </c>
      <c r="I308" s="66" t="str">
        <f>IF(J308&lt;&gt;"OK","",E308*(1+G308)*H308)</f>
        <v/>
      </c>
      <c r="J308" s="69" t="str">
        <f>IF(AND(A308="",B308=""),"",IF(A308="","Produit manquant",IF(COUNTIF(prod_ref,A308)=0,"Produit inconnu",IF(B308="","Matière manquante",IF(ISNA(MATCH(B308,mat_ref,0)),"Matière inconnue",IF(INDEX(mat_check,MATCH(B308,mat_ref,0))&lt;&gt;"OK","Matière à corriger",IF(OR(NOT(ISNUMBER(E308)),N(E308)&lt;=0),"Quantité invalide",IF(AND(F308&lt;&gt;"",OR(NOT(ISNUMBER(F308)),N(F308)&lt;0,N(F308)&gt;=1)),"Perte entre 0 et 99 %",IF(COUNTIFS(bom_prod,A308,bom_mat,B308)&gt;1,"Matière en double","OK")))))))))</f>
        <v/>
      </c>
      <c r="K308" s="71" t="str">
        <f>IF(AND(fiche_sel&lt;&gt;"",A308=fiche_sel),COUNTIF(A$6:A308,fiche_sel),"")</f>
        <v/>
      </c>
    </row>
    <row r="309">
      <c r="A309" s="60" t="n"/>
      <c r="B309" s="60" t="n"/>
      <c r="C309" s="71" t="str">
        <f>IF(B309="","",IFERROR(INDEX(mat_des,MATCH(B309,mat_ref,0))&amp;"","Matière inconnue"))</f>
        <v/>
      </c>
      <c r="D309" s="69" t="str">
        <f>IF(B309="","",IFERROR(INDEX(mat_unit,MATCH(B309,mat_ref,0))&amp;"",""))</f>
        <v/>
      </c>
      <c r="E309" s="72" t="n"/>
      <c r="F309" s="65" t="n"/>
      <c r="G309" s="68" t="str">
        <f>IF(J309&lt;&gt;"OK","",IF(F309="",N(INDEX(mat_loss,MATCH(B309,mat_ref,0))),F309))</f>
        <v/>
      </c>
      <c r="H309" s="66" t="str">
        <f>IF(J309&lt;&gt;"OK","",INDEX(mat_price,MATCH(B309,mat_ref,0)))</f>
        <v/>
      </c>
      <c r="I309" s="66" t="str">
        <f>IF(J309&lt;&gt;"OK","",E309*(1+G309)*H309)</f>
        <v/>
      </c>
      <c r="J309" s="69" t="str">
        <f>IF(AND(A309="",B309=""),"",IF(A309="","Produit manquant",IF(COUNTIF(prod_ref,A309)=0,"Produit inconnu",IF(B309="","Matière manquante",IF(ISNA(MATCH(B309,mat_ref,0)),"Matière inconnue",IF(INDEX(mat_check,MATCH(B309,mat_ref,0))&lt;&gt;"OK","Matière à corriger",IF(OR(NOT(ISNUMBER(E309)),N(E309)&lt;=0),"Quantité invalide",IF(AND(F309&lt;&gt;"",OR(NOT(ISNUMBER(F309)),N(F309)&lt;0,N(F309)&gt;=1)),"Perte entre 0 et 99 %",IF(COUNTIFS(bom_prod,A309,bom_mat,B309)&gt;1,"Matière en double","OK")))))))))</f>
        <v/>
      </c>
      <c r="K309" s="71" t="str">
        <f>IF(AND(fiche_sel&lt;&gt;"",A309=fiche_sel),COUNTIF(A$6:A309,fiche_sel),"")</f>
        <v/>
      </c>
    </row>
    <row r="310">
      <c r="A310" s="60" t="n"/>
      <c r="B310" s="60" t="n"/>
      <c r="C310" s="71" t="str">
        <f>IF(B310="","",IFERROR(INDEX(mat_des,MATCH(B310,mat_ref,0))&amp;"","Matière inconnue"))</f>
        <v/>
      </c>
      <c r="D310" s="69" t="str">
        <f>IF(B310="","",IFERROR(INDEX(mat_unit,MATCH(B310,mat_ref,0))&amp;"",""))</f>
        <v/>
      </c>
      <c r="E310" s="72" t="n"/>
      <c r="F310" s="65" t="n"/>
      <c r="G310" s="68" t="str">
        <f>IF(J310&lt;&gt;"OK","",IF(F310="",N(INDEX(mat_loss,MATCH(B310,mat_ref,0))),F310))</f>
        <v/>
      </c>
      <c r="H310" s="66" t="str">
        <f>IF(J310&lt;&gt;"OK","",INDEX(mat_price,MATCH(B310,mat_ref,0)))</f>
        <v/>
      </c>
      <c r="I310" s="66" t="str">
        <f>IF(J310&lt;&gt;"OK","",E310*(1+G310)*H310)</f>
        <v/>
      </c>
      <c r="J310" s="69" t="str">
        <f>IF(AND(A310="",B310=""),"",IF(A310="","Produit manquant",IF(COUNTIF(prod_ref,A310)=0,"Produit inconnu",IF(B310="","Matière manquante",IF(ISNA(MATCH(B310,mat_ref,0)),"Matière inconnue",IF(INDEX(mat_check,MATCH(B310,mat_ref,0))&lt;&gt;"OK","Matière à corriger",IF(OR(NOT(ISNUMBER(E310)),N(E310)&lt;=0),"Quantité invalide",IF(AND(F310&lt;&gt;"",OR(NOT(ISNUMBER(F310)),N(F310)&lt;0,N(F310)&gt;=1)),"Perte entre 0 et 99 %",IF(COUNTIFS(bom_prod,A310,bom_mat,B310)&gt;1,"Matière en double","OK")))))))))</f>
        <v/>
      </c>
      <c r="K310" s="71" t="str">
        <f>IF(AND(fiche_sel&lt;&gt;"",A310=fiche_sel),COUNTIF(A$6:A310,fiche_sel),"")</f>
        <v/>
      </c>
    </row>
    <row r="311">
      <c r="A311" s="60" t="n"/>
      <c r="B311" s="60" t="n"/>
      <c r="C311" s="71" t="str">
        <f>IF(B311="","",IFERROR(INDEX(mat_des,MATCH(B311,mat_ref,0))&amp;"","Matière inconnue"))</f>
        <v/>
      </c>
      <c r="D311" s="69" t="str">
        <f>IF(B311="","",IFERROR(INDEX(mat_unit,MATCH(B311,mat_ref,0))&amp;"",""))</f>
        <v/>
      </c>
      <c r="E311" s="72" t="n"/>
      <c r="F311" s="65" t="n"/>
      <c r="G311" s="68" t="str">
        <f>IF(J311&lt;&gt;"OK","",IF(F311="",N(INDEX(mat_loss,MATCH(B311,mat_ref,0))),F311))</f>
        <v/>
      </c>
      <c r="H311" s="66" t="str">
        <f>IF(J311&lt;&gt;"OK","",INDEX(mat_price,MATCH(B311,mat_ref,0)))</f>
        <v/>
      </c>
      <c r="I311" s="66" t="str">
        <f>IF(J311&lt;&gt;"OK","",E311*(1+G311)*H311)</f>
        <v/>
      </c>
      <c r="J311" s="69" t="str">
        <f>IF(AND(A311="",B311=""),"",IF(A311="","Produit manquant",IF(COUNTIF(prod_ref,A311)=0,"Produit inconnu",IF(B311="","Matière manquante",IF(ISNA(MATCH(B311,mat_ref,0)),"Matière inconnue",IF(INDEX(mat_check,MATCH(B311,mat_ref,0))&lt;&gt;"OK","Matière à corriger",IF(OR(NOT(ISNUMBER(E311)),N(E311)&lt;=0),"Quantité invalide",IF(AND(F311&lt;&gt;"",OR(NOT(ISNUMBER(F311)),N(F311)&lt;0,N(F311)&gt;=1)),"Perte entre 0 et 99 %",IF(COUNTIFS(bom_prod,A311,bom_mat,B311)&gt;1,"Matière en double","OK")))))))))</f>
        <v/>
      </c>
      <c r="K311" s="71" t="str">
        <f>IF(AND(fiche_sel&lt;&gt;"",A311=fiche_sel),COUNTIF(A$6:A311,fiche_sel),"")</f>
        <v/>
      </c>
    </row>
    <row r="312">
      <c r="A312" s="60" t="n"/>
      <c r="B312" s="60" t="n"/>
      <c r="C312" s="71" t="str">
        <f>IF(B312="","",IFERROR(INDEX(mat_des,MATCH(B312,mat_ref,0))&amp;"","Matière inconnue"))</f>
        <v/>
      </c>
      <c r="D312" s="69" t="str">
        <f>IF(B312="","",IFERROR(INDEX(mat_unit,MATCH(B312,mat_ref,0))&amp;"",""))</f>
        <v/>
      </c>
      <c r="E312" s="72" t="n"/>
      <c r="F312" s="65" t="n"/>
      <c r="G312" s="68" t="str">
        <f>IF(J312&lt;&gt;"OK","",IF(F312="",N(INDEX(mat_loss,MATCH(B312,mat_ref,0))),F312))</f>
        <v/>
      </c>
      <c r="H312" s="66" t="str">
        <f>IF(J312&lt;&gt;"OK","",INDEX(mat_price,MATCH(B312,mat_ref,0)))</f>
        <v/>
      </c>
      <c r="I312" s="66" t="str">
        <f>IF(J312&lt;&gt;"OK","",E312*(1+G312)*H312)</f>
        <v/>
      </c>
      <c r="J312" s="69" t="str">
        <f>IF(AND(A312="",B312=""),"",IF(A312="","Produit manquant",IF(COUNTIF(prod_ref,A312)=0,"Produit inconnu",IF(B312="","Matière manquante",IF(ISNA(MATCH(B312,mat_ref,0)),"Matière inconnue",IF(INDEX(mat_check,MATCH(B312,mat_ref,0))&lt;&gt;"OK","Matière à corriger",IF(OR(NOT(ISNUMBER(E312)),N(E312)&lt;=0),"Quantité invalide",IF(AND(F312&lt;&gt;"",OR(NOT(ISNUMBER(F312)),N(F312)&lt;0,N(F312)&gt;=1)),"Perte entre 0 et 99 %",IF(COUNTIFS(bom_prod,A312,bom_mat,B312)&gt;1,"Matière en double","OK")))))))))</f>
        <v/>
      </c>
      <c r="K312" s="71" t="str">
        <f>IF(AND(fiche_sel&lt;&gt;"",A312=fiche_sel),COUNTIF(A$6:A312,fiche_sel),"")</f>
        <v/>
      </c>
    </row>
    <row r="313">
      <c r="A313" s="60" t="n"/>
      <c r="B313" s="60" t="n"/>
      <c r="C313" s="71" t="str">
        <f>IF(B313="","",IFERROR(INDEX(mat_des,MATCH(B313,mat_ref,0))&amp;"","Matière inconnue"))</f>
        <v/>
      </c>
      <c r="D313" s="69" t="str">
        <f>IF(B313="","",IFERROR(INDEX(mat_unit,MATCH(B313,mat_ref,0))&amp;"",""))</f>
        <v/>
      </c>
      <c r="E313" s="72" t="n"/>
      <c r="F313" s="65" t="n"/>
      <c r="G313" s="68" t="str">
        <f>IF(J313&lt;&gt;"OK","",IF(F313="",N(INDEX(mat_loss,MATCH(B313,mat_ref,0))),F313))</f>
        <v/>
      </c>
      <c r="H313" s="66" t="str">
        <f>IF(J313&lt;&gt;"OK","",INDEX(mat_price,MATCH(B313,mat_ref,0)))</f>
        <v/>
      </c>
      <c r="I313" s="66" t="str">
        <f>IF(J313&lt;&gt;"OK","",E313*(1+G313)*H313)</f>
        <v/>
      </c>
      <c r="J313" s="69" t="str">
        <f>IF(AND(A313="",B313=""),"",IF(A313="","Produit manquant",IF(COUNTIF(prod_ref,A313)=0,"Produit inconnu",IF(B313="","Matière manquante",IF(ISNA(MATCH(B313,mat_ref,0)),"Matière inconnue",IF(INDEX(mat_check,MATCH(B313,mat_ref,0))&lt;&gt;"OK","Matière à corriger",IF(OR(NOT(ISNUMBER(E313)),N(E313)&lt;=0),"Quantité invalide",IF(AND(F313&lt;&gt;"",OR(NOT(ISNUMBER(F313)),N(F313)&lt;0,N(F313)&gt;=1)),"Perte entre 0 et 99 %",IF(COUNTIFS(bom_prod,A313,bom_mat,B313)&gt;1,"Matière en double","OK")))))))))</f>
        <v/>
      </c>
      <c r="K313" s="71" t="str">
        <f>IF(AND(fiche_sel&lt;&gt;"",A313=fiche_sel),COUNTIF(A$6:A313,fiche_sel),"")</f>
        <v/>
      </c>
    </row>
    <row r="314">
      <c r="A314" s="60" t="n"/>
      <c r="B314" s="60" t="n"/>
      <c r="C314" s="71" t="str">
        <f>IF(B314="","",IFERROR(INDEX(mat_des,MATCH(B314,mat_ref,0))&amp;"","Matière inconnue"))</f>
        <v/>
      </c>
      <c r="D314" s="69" t="str">
        <f>IF(B314="","",IFERROR(INDEX(mat_unit,MATCH(B314,mat_ref,0))&amp;"",""))</f>
        <v/>
      </c>
      <c r="E314" s="72" t="n"/>
      <c r="F314" s="65" t="n"/>
      <c r="G314" s="68" t="str">
        <f>IF(J314&lt;&gt;"OK","",IF(F314="",N(INDEX(mat_loss,MATCH(B314,mat_ref,0))),F314))</f>
        <v/>
      </c>
      <c r="H314" s="66" t="str">
        <f>IF(J314&lt;&gt;"OK","",INDEX(mat_price,MATCH(B314,mat_ref,0)))</f>
        <v/>
      </c>
      <c r="I314" s="66" t="str">
        <f>IF(J314&lt;&gt;"OK","",E314*(1+G314)*H314)</f>
        <v/>
      </c>
      <c r="J314" s="69" t="str">
        <f>IF(AND(A314="",B314=""),"",IF(A314="","Produit manquant",IF(COUNTIF(prod_ref,A314)=0,"Produit inconnu",IF(B314="","Matière manquante",IF(ISNA(MATCH(B314,mat_ref,0)),"Matière inconnue",IF(INDEX(mat_check,MATCH(B314,mat_ref,0))&lt;&gt;"OK","Matière à corriger",IF(OR(NOT(ISNUMBER(E314)),N(E314)&lt;=0),"Quantité invalide",IF(AND(F314&lt;&gt;"",OR(NOT(ISNUMBER(F314)),N(F314)&lt;0,N(F314)&gt;=1)),"Perte entre 0 et 99 %",IF(COUNTIFS(bom_prod,A314,bom_mat,B314)&gt;1,"Matière en double","OK")))))))))</f>
        <v/>
      </c>
      <c r="K314" s="71" t="str">
        <f>IF(AND(fiche_sel&lt;&gt;"",A314=fiche_sel),COUNTIF(A$6:A314,fiche_sel),"")</f>
        <v/>
      </c>
    </row>
    <row r="315">
      <c r="A315" s="60" t="n"/>
      <c r="B315" s="60" t="n"/>
      <c r="C315" s="71" t="str">
        <f>IF(B315="","",IFERROR(INDEX(mat_des,MATCH(B315,mat_ref,0))&amp;"","Matière inconnue"))</f>
        <v/>
      </c>
      <c r="D315" s="69" t="str">
        <f>IF(B315="","",IFERROR(INDEX(mat_unit,MATCH(B315,mat_ref,0))&amp;"",""))</f>
        <v/>
      </c>
      <c r="E315" s="72" t="n"/>
      <c r="F315" s="65" t="n"/>
      <c r="G315" s="68" t="str">
        <f>IF(J315&lt;&gt;"OK","",IF(F315="",N(INDEX(mat_loss,MATCH(B315,mat_ref,0))),F315))</f>
        <v/>
      </c>
      <c r="H315" s="66" t="str">
        <f>IF(J315&lt;&gt;"OK","",INDEX(mat_price,MATCH(B315,mat_ref,0)))</f>
        <v/>
      </c>
      <c r="I315" s="66" t="str">
        <f>IF(J315&lt;&gt;"OK","",E315*(1+G315)*H315)</f>
        <v/>
      </c>
      <c r="J315" s="69" t="str">
        <f>IF(AND(A315="",B315=""),"",IF(A315="","Produit manquant",IF(COUNTIF(prod_ref,A315)=0,"Produit inconnu",IF(B315="","Matière manquante",IF(ISNA(MATCH(B315,mat_ref,0)),"Matière inconnue",IF(INDEX(mat_check,MATCH(B315,mat_ref,0))&lt;&gt;"OK","Matière à corriger",IF(OR(NOT(ISNUMBER(E315)),N(E315)&lt;=0),"Quantité invalide",IF(AND(F315&lt;&gt;"",OR(NOT(ISNUMBER(F315)),N(F315)&lt;0,N(F315)&gt;=1)),"Perte entre 0 et 99 %",IF(COUNTIFS(bom_prod,A315,bom_mat,B315)&gt;1,"Matière en double","OK")))))))))</f>
        <v/>
      </c>
      <c r="K315" s="71" t="str">
        <f>IF(AND(fiche_sel&lt;&gt;"",A315=fiche_sel),COUNTIF(A$6:A315,fiche_sel),"")</f>
        <v/>
      </c>
    </row>
    <row r="316">
      <c r="A316" s="60" t="n"/>
      <c r="B316" s="60" t="n"/>
      <c r="C316" s="71" t="str">
        <f>IF(B316="","",IFERROR(INDEX(mat_des,MATCH(B316,mat_ref,0))&amp;"","Matière inconnue"))</f>
        <v/>
      </c>
      <c r="D316" s="69" t="str">
        <f>IF(B316="","",IFERROR(INDEX(mat_unit,MATCH(B316,mat_ref,0))&amp;"",""))</f>
        <v/>
      </c>
      <c r="E316" s="72" t="n"/>
      <c r="F316" s="65" t="n"/>
      <c r="G316" s="68" t="str">
        <f>IF(J316&lt;&gt;"OK","",IF(F316="",N(INDEX(mat_loss,MATCH(B316,mat_ref,0))),F316))</f>
        <v/>
      </c>
      <c r="H316" s="66" t="str">
        <f>IF(J316&lt;&gt;"OK","",INDEX(mat_price,MATCH(B316,mat_ref,0)))</f>
        <v/>
      </c>
      <c r="I316" s="66" t="str">
        <f>IF(J316&lt;&gt;"OK","",E316*(1+G316)*H316)</f>
        <v/>
      </c>
      <c r="J316" s="69" t="str">
        <f>IF(AND(A316="",B316=""),"",IF(A316="","Produit manquant",IF(COUNTIF(prod_ref,A316)=0,"Produit inconnu",IF(B316="","Matière manquante",IF(ISNA(MATCH(B316,mat_ref,0)),"Matière inconnue",IF(INDEX(mat_check,MATCH(B316,mat_ref,0))&lt;&gt;"OK","Matière à corriger",IF(OR(NOT(ISNUMBER(E316)),N(E316)&lt;=0),"Quantité invalide",IF(AND(F316&lt;&gt;"",OR(NOT(ISNUMBER(F316)),N(F316)&lt;0,N(F316)&gt;=1)),"Perte entre 0 et 99 %",IF(COUNTIFS(bom_prod,A316,bom_mat,B316)&gt;1,"Matière en double","OK")))))))))</f>
        <v/>
      </c>
      <c r="K316" s="71" t="str">
        <f>IF(AND(fiche_sel&lt;&gt;"",A316=fiche_sel),COUNTIF(A$6:A316,fiche_sel),"")</f>
        <v/>
      </c>
    </row>
    <row r="317">
      <c r="A317" s="60" t="n"/>
      <c r="B317" s="60" t="n"/>
      <c r="C317" s="71" t="str">
        <f>IF(B317="","",IFERROR(INDEX(mat_des,MATCH(B317,mat_ref,0))&amp;"","Matière inconnue"))</f>
        <v/>
      </c>
      <c r="D317" s="69" t="str">
        <f>IF(B317="","",IFERROR(INDEX(mat_unit,MATCH(B317,mat_ref,0))&amp;"",""))</f>
        <v/>
      </c>
      <c r="E317" s="72" t="n"/>
      <c r="F317" s="65" t="n"/>
      <c r="G317" s="68" t="str">
        <f>IF(J317&lt;&gt;"OK","",IF(F317="",N(INDEX(mat_loss,MATCH(B317,mat_ref,0))),F317))</f>
        <v/>
      </c>
      <c r="H317" s="66" t="str">
        <f>IF(J317&lt;&gt;"OK","",INDEX(mat_price,MATCH(B317,mat_ref,0)))</f>
        <v/>
      </c>
      <c r="I317" s="66" t="str">
        <f>IF(J317&lt;&gt;"OK","",E317*(1+G317)*H317)</f>
        <v/>
      </c>
      <c r="J317" s="69" t="str">
        <f>IF(AND(A317="",B317=""),"",IF(A317="","Produit manquant",IF(COUNTIF(prod_ref,A317)=0,"Produit inconnu",IF(B317="","Matière manquante",IF(ISNA(MATCH(B317,mat_ref,0)),"Matière inconnue",IF(INDEX(mat_check,MATCH(B317,mat_ref,0))&lt;&gt;"OK","Matière à corriger",IF(OR(NOT(ISNUMBER(E317)),N(E317)&lt;=0),"Quantité invalide",IF(AND(F317&lt;&gt;"",OR(NOT(ISNUMBER(F317)),N(F317)&lt;0,N(F317)&gt;=1)),"Perte entre 0 et 99 %",IF(COUNTIFS(bom_prod,A317,bom_mat,B317)&gt;1,"Matière en double","OK")))))))))</f>
        <v/>
      </c>
      <c r="K317" s="71" t="str">
        <f>IF(AND(fiche_sel&lt;&gt;"",A317=fiche_sel),COUNTIF(A$6:A317,fiche_sel),"")</f>
        <v/>
      </c>
    </row>
    <row r="318">
      <c r="A318" s="60" t="n"/>
      <c r="B318" s="60" t="n"/>
      <c r="C318" s="71" t="str">
        <f>IF(B318="","",IFERROR(INDEX(mat_des,MATCH(B318,mat_ref,0))&amp;"","Matière inconnue"))</f>
        <v/>
      </c>
      <c r="D318" s="69" t="str">
        <f>IF(B318="","",IFERROR(INDEX(mat_unit,MATCH(B318,mat_ref,0))&amp;"",""))</f>
        <v/>
      </c>
      <c r="E318" s="72" t="n"/>
      <c r="F318" s="65" t="n"/>
      <c r="G318" s="68" t="str">
        <f>IF(J318&lt;&gt;"OK","",IF(F318="",N(INDEX(mat_loss,MATCH(B318,mat_ref,0))),F318))</f>
        <v/>
      </c>
      <c r="H318" s="66" t="str">
        <f>IF(J318&lt;&gt;"OK","",INDEX(mat_price,MATCH(B318,mat_ref,0)))</f>
        <v/>
      </c>
      <c r="I318" s="66" t="str">
        <f>IF(J318&lt;&gt;"OK","",E318*(1+G318)*H318)</f>
        <v/>
      </c>
      <c r="J318" s="69" t="str">
        <f>IF(AND(A318="",B318=""),"",IF(A318="","Produit manquant",IF(COUNTIF(prod_ref,A318)=0,"Produit inconnu",IF(B318="","Matière manquante",IF(ISNA(MATCH(B318,mat_ref,0)),"Matière inconnue",IF(INDEX(mat_check,MATCH(B318,mat_ref,0))&lt;&gt;"OK","Matière à corriger",IF(OR(NOT(ISNUMBER(E318)),N(E318)&lt;=0),"Quantité invalide",IF(AND(F318&lt;&gt;"",OR(NOT(ISNUMBER(F318)),N(F318)&lt;0,N(F318)&gt;=1)),"Perte entre 0 et 99 %",IF(COUNTIFS(bom_prod,A318,bom_mat,B318)&gt;1,"Matière en double","OK")))))))))</f>
        <v/>
      </c>
      <c r="K318" s="71" t="str">
        <f>IF(AND(fiche_sel&lt;&gt;"",A318=fiche_sel),COUNTIF(A$6:A318,fiche_sel),"")</f>
        <v/>
      </c>
    </row>
    <row r="319">
      <c r="A319" s="60" t="n"/>
      <c r="B319" s="60" t="n"/>
      <c r="C319" s="71" t="str">
        <f>IF(B319="","",IFERROR(INDEX(mat_des,MATCH(B319,mat_ref,0))&amp;"","Matière inconnue"))</f>
        <v/>
      </c>
      <c r="D319" s="69" t="str">
        <f>IF(B319="","",IFERROR(INDEX(mat_unit,MATCH(B319,mat_ref,0))&amp;"",""))</f>
        <v/>
      </c>
      <c r="E319" s="72" t="n"/>
      <c r="F319" s="65" t="n"/>
      <c r="G319" s="68" t="str">
        <f>IF(J319&lt;&gt;"OK","",IF(F319="",N(INDEX(mat_loss,MATCH(B319,mat_ref,0))),F319))</f>
        <v/>
      </c>
      <c r="H319" s="66" t="str">
        <f>IF(J319&lt;&gt;"OK","",INDEX(mat_price,MATCH(B319,mat_ref,0)))</f>
        <v/>
      </c>
      <c r="I319" s="66" t="str">
        <f>IF(J319&lt;&gt;"OK","",E319*(1+G319)*H319)</f>
        <v/>
      </c>
      <c r="J319" s="69" t="str">
        <f>IF(AND(A319="",B319=""),"",IF(A319="","Produit manquant",IF(COUNTIF(prod_ref,A319)=0,"Produit inconnu",IF(B319="","Matière manquante",IF(ISNA(MATCH(B319,mat_ref,0)),"Matière inconnue",IF(INDEX(mat_check,MATCH(B319,mat_ref,0))&lt;&gt;"OK","Matière à corriger",IF(OR(NOT(ISNUMBER(E319)),N(E319)&lt;=0),"Quantité invalide",IF(AND(F319&lt;&gt;"",OR(NOT(ISNUMBER(F319)),N(F319)&lt;0,N(F319)&gt;=1)),"Perte entre 0 et 99 %",IF(COUNTIFS(bom_prod,A319,bom_mat,B319)&gt;1,"Matière en double","OK")))))))))</f>
        <v/>
      </c>
      <c r="K319" s="71" t="str">
        <f>IF(AND(fiche_sel&lt;&gt;"",A319=fiche_sel),COUNTIF(A$6:A319,fiche_sel),"")</f>
        <v/>
      </c>
    </row>
    <row r="320">
      <c r="A320" s="60" t="n"/>
      <c r="B320" s="60" t="n"/>
      <c r="C320" s="71" t="str">
        <f>IF(B320="","",IFERROR(INDEX(mat_des,MATCH(B320,mat_ref,0))&amp;"","Matière inconnue"))</f>
        <v/>
      </c>
      <c r="D320" s="69" t="str">
        <f>IF(B320="","",IFERROR(INDEX(mat_unit,MATCH(B320,mat_ref,0))&amp;"",""))</f>
        <v/>
      </c>
      <c r="E320" s="72" t="n"/>
      <c r="F320" s="65" t="n"/>
      <c r="G320" s="68" t="str">
        <f>IF(J320&lt;&gt;"OK","",IF(F320="",N(INDEX(mat_loss,MATCH(B320,mat_ref,0))),F320))</f>
        <v/>
      </c>
      <c r="H320" s="66" t="str">
        <f>IF(J320&lt;&gt;"OK","",INDEX(mat_price,MATCH(B320,mat_ref,0)))</f>
        <v/>
      </c>
      <c r="I320" s="66" t="str">
        <f>IF(J320&lt;&gt;"OK","",E320*(1+G320)*H320)</f>
        <v/>
      </c>
      <c r="J320" s="69" t="str">
        <f>IF(AND(A320="",B320=""),"",IF(A320="","Produit manquant",IF(COUNTIF(prod_ref,A320)=0,"Produit inconnu",IF(B320="","Matière manquante",IF(ISNA(MATCH(B320,mat_ref,0)),"Matière inconnue",IF(INDEX(mat_check,MATCH(B320,mat_ref,0))&lt;&gt;"OK","Matière à corriger",IF(OR(NOT(ISNUMBER(E320)),N(E320)&lt;=0),"Quantité invalide",IF(AND(F320&lt;&gt;"",OR(NOT(ISNUMBER(F320)),N(F320)&lt;0,N(F320)&gt;=1)),"Perte entre 0 et 99 %",IF(COUNTIFS(bom_prod,A320,bom_mat,B320)&gt;1,"Matière en double","OK")))))))))</f>
        <v/>
      </c>
      <c r="K320" s="71" t="str">
        <f>IF(AND(fiche_sel&lt;&gt;"",A320=fiche_sel),COUNTIF(A$6:A320,fiche_sel),"")</f>
        <v/>
      </c>
    </row>
    <row r="321">
      <c r="A321" s="60" t="n"/>
      <c r="B321" s="60" t="n"/>
      <c r="C321" s="71" t="str">
        <f>IF(B321="","",IFERROR(INDEX(mat_des,MATCH(B321,mat_ref,0))&amp;"","Matière inconnue"))</f>
        <v/>
      </c>
      <c r="D321" s="69" t="str">
        <f>IF(B321="","",IFERROR(INDEX(mat_unit,MATCH(B321,mat_ref,0))&amp;"",""))</f>
        <v/>
      </c>
      <c r="E321" s="72" t="n"/>
      <c r="F321" s="65" t="n"/>
      <c r="G321" s="68" t="str">
        <f>IF(J321&lt;&gt;"OK","",IF(F321="",N(INDEX(mat_loss,MATCH(B321,mat_ref,0))),F321))</f>
        <v/>
      </c>
      <c r="H321" s="66" t="str">
        <f>IF(J321&lt;&gt;"OK","",INDEX(mat_price,MATCH(B321,mat_ref,0)))</f>
        <v/>
      </c>
      <c r="I321" s="66" t="str">
        <f>IF(J321&lt;&gt;"OK","",E321*(1+G321)*H321)</f>
        <v/>
      </c>
      <c r="J321" s="69" t="str">
        <f>IF(AND(A321="",B321=""),"",IF(A321="","Produit manquant",IF(COUNTIF(prod_ref,A321)=0,"Produit inconnu",IF(B321="","Matière manquante",IF(ISNA(MATCH(B321,mat_ref,0)),"Matière inconnue",IF(INDEX(mat_check,MATCH(B321,mat_ref,0))&lt;&gt;"OK","Matière à corriger",IF(OR(NOT(ISNUMBER(E321)),N(E321)&lt;=0),"Quantité invalide",IF(AND(F321&lt;&gt;"",OR(NOT(ISNUMBER(F321)),N(F321)&lt;0,N(F321)&gt;=1)),"Perte entre 0 et 99 %",IF(COUNTIFS(bom_prod,A321,bom_mat,B321)&gt;1,"Matière en double","OK")))))))))</f>
        <v/>
      </c>
      <c r="K321" s="71" t="str">
        <f>IF(AND(fiche_sel&lt;&gt;"",A321=fiche_sel),COUNTIF(A$6:A321,fiche_sel),"")</f>
        <v/>
      </c>
    </row>
    <row r="322">
      <c r="A322" s="60" t="n"/>
      <c r="B322" s="60" t="n"/>
      <c r="C322" s="71" t="str">
        <f>IF(B322="","",IFERROR(INDEX(mat_des,MATCH(B322,mat_ref,0))&amp;"","Matière inconnue"))</f>
        <v/>
      </c>
      <c r="D322" s="69" t="str">
        <f>IF(B322="","",IFERROR(INDEX(mat_unit,MATCH(B322,mat_ref,0))&amp;"",""))</f>
        <v/>
      </c>
      <c r="E322" s="72" t="n"/>
      <c r="F322" s="65" t="n"/>
      <c r="G322" s="68" t="str">
        <f>IF(J322&lt;&gt;"OK","",IF(F322="",N(INDEX(mat_loss,MATCH(B322,mat_ref,0))),F322))</f>
        <v/>
      </c>
      <c r="H322" s="66" t="str">
        <f>IF(J322&lt;&gt;"OK","",INDEX(mat_price,MATCH(B322,mat_ref,0)))</f>
        <v/>
      </c>
      <c r="I322" s="66" t="str">
        <f>IF(J322&lt;&gt;"OK","",E322*(1+G322)*H322)</f>
        <v/>
      </c>
      <c r="J322" s="69" t="str">
        <f>IF(AND(A322="",B322=""),"",IF(A322="","Produit manquant",IF(COUNTIF(prod_ref,A322)=0,"Produit inconnu",IF(B322="","Matière manquante",IF(ISNA(MATCH(B322,mat_ref,0)),"Matière inconnue",IF(INDEX(mat_check,MATCH(B322,mat_ref,0))&lt;&gt;"OK","Matière à corriger",IF(OR(NOT(ISNUMBER(E322)),N(E322)&lt;=0),"Quantité invalide",IF(AND(F322&lt;&gt;"",OR(NOT(ISNUMBER(F322)),N(F322)&lt;0,N(F322)&gt;=1)),"Perte entre 0 et 99 %",IF(COUNTIFS(bom_prod,A322,bom_mat,B322)&gt;1,"Matière en double","OK")))))))))</f>
        <v/>
      </c>
      <c r="K322" s="71" t="str">
        <f>IF(AND(fiche_sel&lt;&gt;"",A322=fiche_sel),COUNTIF(A$6:A322,fiche_sel),"")</f>
        <v/>
      </c>
    </row>
    <row r="323">
      <c r="A323" s="60" t="n"/>
      <c r="B323" s="60" t="n"/>
      <c r="C323" s="71" t="str">
        <f>IF(B323="","",IFERROR(INDEX(mat_des,MATCH(B323,mat_ref,0))&amp;"","Matière inconnue"))</f>
        <v/>
      </c>
      <c r="D323" s="69" t="str">
        <f>IF(B323="","",IFERROR(INDEX(mat_unit,MATCH(B323,mat_ref,0))&amp;"",""))</f>
        <v/>
      </c>
      <c r="E323" s="72" t="n"/>
      <c r="F323" s="65" t="n"/>
      <c r="G323" s="68" t="str">
        <f>IF(J323&lt;&gt;"OK","",IF(F323="",N(INDEX(mat_loss,MATCH(B323,mat_ref,0))),F323))</f>
        <v/>
      </c>
      <c r="H323" s="66" t="str">
        <f>IF(J323&lt;&gt;"OK","",INDEX(mat_price,MATCH(B323,mat_ref,0)))</f>
        <v/>
      </c>
      <c r="I323" s="66" t="str">
        <f>IF(J323&lt;&gt;"OK","",E323*(1+G323)*H323)</f>
        <v/>
      </c>
      <c r="J323" s="69" t="str">
        <f>IF(AND(A323="",B323=""),"",IF(A323="","Produit manquant",IF(COUNTIF(prod_ref,A323)=0,"Produit inconnu",IF(B323="","Matière manquante",IF(ISNA(MATCH(B323,mat_ref,0)),"Matière inconnue",IF(INDEX(mat_check,MATCH(B323,mat_ref,0))&lt;&gt;"OK","Matière à corriger",IF(OR(NOT(ISNUMBER(E323)),N(E323)&lt;=0),"Quantité invalide",IF(AND(F323&lt;&gt;"",OR(NOT(ISNUMBER(F323)),N(F323)&lt;0,N(F323)&gt;=1)),"Perte entre 0 et 99 %",IF(COUNTIFS(bom_prod,A323,bom_mat,B323)&gt;1,"Matière en double","OK")))))))))</f>
        <v/>
      </c>
      <c r="K323" s="71" t="str">
        <f>IF(AND(fiche_sel&lt;&gt;"",A323=fiche_sel),COUNTIF(A$6:A323,fiche_sel),"")</f>
        <v/>
      </c>
    </row>
    <row r="324">
      <c r="A324" s="60" t="n"/>
      <c r="B324" s="60" t="n"/>
      <c r="C324" s="71" t="str">
        <f>IF(B324="","",IFERROR(INDEX(mat_des,MATCH(B324,mat_ref,0))&amp;"","Matière inconnue"))</f>
        <v/>
      </c>
      <c r="D324" s="69" t="str">
        <f>IF(B324="","",IFERROR(INDEX(mat_unit,MATCH(B324,mat_ref,0))&amp;"",""))</f>
        <v/>
      </c>
      <c r="E324" s="72" t="n"/>
      <c r="F324" s="65" t="n"/>
      <c r="G324" s="68" t="str">
        <f>IF(J324&lt;&gt;"OK","",IF(F324="",N(INDEX(mat_loss,MATCH(B324,mat_ref,0))),F324))</f>
        <v/>
      </c>
      <c r="H324" s="66" t="str">
        <f>IF(J324&lt;&gt;"OK","",INDEX(mat_price,MATCH(B324,mat_ref,0)))</f>
        <v/>
      </c>
      <c r="I324" s="66" t="str">
        <f>IF(J324&lt;&gt;"OK","",E324*(1+G324)*H324)</f>
        <v/>
      </c>
      <c r="J324" s="69" t="str">
        <f>IF(AND(A324="",B324=""),"",IF(A324="","Produit manquant",IF(COUNTIF(prod_ref,A324)=0,"Produit inconnu",IF(B324="","Matière manquante",IF(ISNA(MATCH(B324,mat_ref,0)),"Matière inconnue",IF(INDEX(mat_check,MATCH(B324,mat_ref,0))&lt;&gt;"OK","Matière à corriger",IF(OR(NOT(ISNUMBER(E324)),N(E324)&lt;=0),"Quantité invalide",IF(AND(F324&lt;&gt;"",OR(NOT(ISNUMBER(F324)),N(F324)&lt;0,N(F324)&gt;=1)),"Perte entre 0 et 99 %",IF(COUNTIFS(bom_prod,A324,bom_mat,B324)&gt;1,"Matière en double","OK")))))))))</f>
        <v/>
      </c>
      <c r="K324" s="71" t="str">
        <f>IF(AND(fiche_sel&lt;&gt;"",A324=fiche_sel),COUNTIF(A$6:A324,fiche_sel),"")</f>
        <v/>
      </c>
    </row>
    <row r="325">
      <c r="A325" s="60" t="n"/>
      <c r="B325" s="60" t="n"/>
      <c r="C325" s="71" t="str">
        <f>IF(B325="","",IFERROR(INDEX(mat_des,MATCH(B325,mat_ref,0))&amp;"","Matière inconnue"))</f>
        <v/>
      </c>
      <c r="D325" s="69" t="str">
        <f>IF(B325="","",IFERROR(INDEX(mat_unit,MATCH(B325,mat_ref,0))&amp;"",""))</f>
        <v/>
      </c>
      <c r="E325" s="72" t="n"/>
      <c r="F325" s="65" t="n"/>
      <c r="G325" s="68" t="str">
        <f>IF(J325&lt;&gt;"OK","",IF(F325="",N(INDEX(mat_loss,MATCH(B325,mat_ref,0))),F325))</f>
        <v/>
      </c>
      <c r="H325" s="66" t="str">
        <f>IF(J325&lt;&gt;"OK","",INDEX(mat_price,MATCH(B325,mat_ref,0)))</f>
        <v/>
      </c>
      <c r="I325" s="66" t="str">
        <f>IF(J325&lt;&gt;"OK","",E325*(1+G325)*H325)</f>
        <v/>
      </c>
      <c r="J325" s="69" t="str">
        <f>IF(AND(A325="",B325=""),"",IF(A325="","Produit manquant",IF(COUNTIF(prod_ref,A325)=0,"Produit inconnu",IF(B325="","Matière manquante",IF(ISNA(MATCH(B325,mat_ref,0)),"Matière inconnue",IF(INDEX(mat_check,MATCH(B325,mat_ref,0))&lt;&gt;"OK","Matière à corriger",IF(OR(NOT(ISNUMBER(E325)),N(E325)&lt;=0),"Quantité invalide",IF(AND(F325&lt;&gt;"",OR(NOT(ISNUMBER(F325)),N(F325)&lt;0,N(F325)&gt;=1)),"Perte entre 0 et 99 %",IF(COUNTIFS(bom_prod,A325,bom_mat,B325)&gt;1,"Matière en double","OK")))))))))</f>
        <v/>
      </c>
      <c r="K325" s="71" t="str">
        <f>IF(AND(fiche_sel&lt;&gt;"",A325=fiche_sel),COUNTIF(A$6:A325,fiche_sel),"")</f>
        <v/>
      </c>
    </row>
    <row r="326">
      <c r="A326" s="60" t="n"/>
      <c r="B326" s="60" t="n"/>
      <c r="C326" s="71" t="str">
        <f>IF(B326="","",IFERROR(INDEX(mat_des,MATCH(B326,mat_ref,0))&amp;"","Matière inconnue"))</f>
        <v/>
      </c>
      <c r="D326" s="69" t="str">
        <f>IF(B326="","",IFERROR(INDEX(mat_unit,MATCH(B326,mat_ref,0))&amp;"",""))</f>
        <v/>
      </c>
      <c r="E326" s="72" t="n"/>
      <c r="F326" s="65" t="n"/>
      <c r="G326" s="68" t="str">
        <f>IF(J326&lt;&gt;"OK","",IF(F326="",N(INDEX(mat_loss,MATCH(B326,mat_ref,0))),F326))</f>
        <v/>
      </c>
      <c r="H326" s="66" t="str">
        <f>IF(J326&lt;&gt;"OK","",INDEX(mat_price,MATCH(B326,mat_ref,0)))</f>
        <v/>
      </c>
      <c r="I326" s="66" t="str">
        <f>IF(J326&lt;&gt;"OK","",E326*(1+G326)*H326)</f>
        <v/>
      </c>
      <c r="J326" s="69" t="str">
        <f>IF(AND(A326="",B326=""),"",IF(A326="","Produit manquant",IF(COUNTIF(prod_ref,A326)=0,"Produit inconnu",IF(B326="","Matière manquante",IF(ISNA(MATCH(B326,mat_ref,0)),"Matière inconnue",IF(INDEX(mat_check,MATCH(B326,mat_ref,0))&lt;&gt;"OK","Matière à corriger",IF(OR(NOT(ISNUMBER(E326)),N(E326)&lt;=0),"Quantité invalide",IF(AND(F326&lt;&gt;"",OR(NOT(ISNUMBER(F326)),N(F326)&lt;0,N(F326)&gt;=1)),"Perte entre 0 et 99 %",IF(COUNTIFS(bom_prod,A326,bom_mat,B326)&gt;1,"Matière en double","OK")))))))))</f>
        <v/>
      </c>
      <c r="K326" s="71" t="str">
        <f>IF(AND(fiche_sel&lt;&gt;"",A326=fiche_sel),COUNTIF(A$6:A326,fiche_sel),"")</f>
        <v/>
      </c>
    </row>
    <row r="327">
      <c r="A327" s="60" t="n"/>
      <c r="B327" s="60" t="n"/>
      <c r="C327" s="71" t="str">
        <f>IF(B327="","",IFERROR(INDEX(mat_des,MATCH(B327,mat_ref,0))&amp;"","Matière inconnue"))</f>
        <v/>
      </c>
      <c r="D327" s="69" t="str">
        <f>IF(B327="","",IFERROR(INDEX(mat_unit,MATCH(B327,mat_ref,0))&amp;"",""))</f>
        <v/>
      </c>
      <c r="E327" s="72" t="n"/>
      <c r="F327" s="65" t="n"/>
      <c r="G327" s="68" t="str">
        <f>IF(J327&lt;&gt;"OK","",IF(F327="",N(INDEX(mat_loss,MATCH(B327,mat_ref,0))),F327))</f>
        <v/>
      </c>
      <c r="H327" s="66" t="str">
        <f>IF(J327&lt;&gt;"OK","",INDEX(mat_price,MATCH(B327,mat_ref,0)))</f>
        <v/>
      </c>
      <c r="I327" s="66" t="str">
        <f>IF(J327&lt;&gt;"OK","",E327*(1+G327)*H327)</f>
        <v/>
      </c>
      <c r="J327" s="69" t="str">
        <f>IF(AND(A327="",B327=""),"",IF(A327="","Produit manquant",IF(COUNTIF(prod_ref,A327)=0,"Produit inconnu",IF(B327="","Matière manquante",IF(ISNA(MATCH(B327,mat_ref,0)),"Matière inconnue",IF(INDEX(mat_check,MATCH(B327,mat_ref,0))&lt;&gt;"OK","Matière à corriger",IF(OR(NOT(ISNUMBER(E327)),N(E327)&lt;=0),"Quantité invalide",IF(AND(F327&lt;&gt;"",OR(NOT(ISNUMBER(F327)),N(F327)&lt;0,N(F327)&gt;=1)),"Perte entre 0 et 99 %",IF(COUNTIFS(bom_prod,A327,bom_mat,B327)&gt;1,"Matière en double","OK")))))))))</f>
        <v/>
      </c>
      <c r="K327" s="71" t="str">
        <f>IF(AND(fiche_sel&lt;&gt;"",A327=fiche_sel),COUNTIF(A$6:A327,fiche_sel),"")</f>
        <v/>
      </c>
    </row>
    <row r="328">
      <c r="A328" s="60" t="n"/>
      <c r="B328" s="60" t="n"/>
      <c r="C328" s="71" t="str">
        <f>IF(B328="","",IFERROR(INDEX(mat_des,MATCH(B328,mat_ref,0))&amp;"","Matière inconnue"))</f>
        <v/>
      </c>
      <c r="D328" s="69" t="str">
        <f>IF(B328="","",IFERROR(INDEX(mat_unit,MATCH(B328,mat_ref,0))&amp;"",""))</f>
        <v/>
      </c>
      <c r="E328" s="72" t="n"/>
      <c r="F328" s="65" t="n"/>
      <c r="G328" s="68" t="str">
        <f>IF(J328&lt;&gt;"OK","",IF(F328="",N(INDEX(mat_loss,MATCH(B328,mat_ref,0))),F328))</f>
        <v/>
      </c>
      <c r="H328" s="66" t="str">
        <f>IF(J328&lt;&gt;"OK","",INDEX(mat_price,MATCH(B328,mat_ref,0)))</f>
        <v/>
      </c>
      <c r="I328" s="66" t="str">
        <f>IF(J328&lt;&gt;"OK","",E328*(1+G328)*H328)</f>
        <v/>
      </c>
      <c r="J328" s="69" t="str">
        <f>IF(AND(A328="",B328=""),"",IF(A328="","Produit manquant",IF(COUNTIF(prod_ref,A328)=0,"Produit inconnu",IF(B328="","Matière manquante",IF(ISNA(MATCH(B328,mat_ref,0)),"Matière inconnue",IF(INDEX(mat_check,MATCH(B328,mat_ref,0))&lt;&gt;"OK","Matière à corriger",IF(OR(NOT(ISNUMBER(E328)),N(E328)&lt;=0),"Quantité invalide",IF(AND(F328&lt;&gt;"",OR(NOT(ISNUMBER(F328)),N(F328)&lt;0,N(F328)&gt;=1)),"Perte entre 0 et 99 %",IF(COUNTIFS(bom_prod,A328,bom_mat,B328)&gt;1,"Matière en double","OK")))))))))</f>
        <v/>
      </c>
      <c r="K328" s="71" t="str">
        <f>IF(AND(fiche_sel&lt;&gt;"",A328=fiche_sel),COUNTIF(A$6:A328,fiche_sel),"")</f>
        <v/>
      </c>
    </row>
    <row r="329">
      <c r="A329" s="60" t="n"/>
      <c r="B329" s="60" t="n"/>
      <c r="C329" s="71" t="str">
        <f>IF(B329="","",IFERROR(INDEX(mat_des,MATCH(B329,mat_ref,0))&amp;"","Matière inconnue"))</f>
        <v/>
      </c>
      <c r="D329" s="69" t="str">
        <f>IF(B329="","",IFERROR(INDEX(mat_unit,MATCH(B329,mat_ref,0))&amp;"",""))</f>
        <v/>
      </c>
      <c r="E329" s="72" t="n"/>
      <c r="F329" s="65" t="n"/>
      <c r="G329" s="68" t="str">
        <f>IF(J329&lt;&gt;"OK","",IF(F329="",N(INDEX(mat_loss,MATCH(B329,mat_ref,0))),F329))</f>
        <v/>
      </c>
      <c r="H329" s="66" t="str">
        <f>IF(J329&lt;&gt;"OK","",INDEX(mat_price,MATCH(B329,mat_ref,0)))</f>
        <v/>
      </c>
      <c r="I329" s="66" t="str">
        <f>IF(J329&lt;&gt;"OK","",E329*(1+G329)*H329)</f>
        <v/>
      </c>
      <c r="J329" s="69" t="str">
        <f>IF(AND(A329="",B329=""),"",IF(A329="","Produit manquant",IF(COUNTIF(prod_ref,A329)=0,"Produit inconnu",IF(B329="","Matière manquante",IF(ISNA(MATCH(B329,mat_ref,0)),"Matière inconnue",IF(INDEX(mat_check,MATCH(B329,mat_ref,0))&lt;&gt;"OK","Matière à corriger",IF(OR(NOT(ISNUMBER(E329)),N(E329)&lt;=0),"Quantité invalide",IF(AND(F329&lt;&gt;"",OR(NOT(ISNUMBER(F329)),N(F329)&lt;0,N(F329)&gt;=1)),"Perte entre 0 et 99 %",IF(COUNTIFS(bom_prod,A329,bom_mat,B329)&gt;1,"Matière en double","OK")))))))))</f>
        <v/>
      </c>
      <c r="K329" s="71" t="str">
        <f>IF(AND(fiche_sel&lt;&gt;"",A329=fiche_sel),COUNTIF(A$6:A329,fiche_sel),"")</f>
        <v/>
      </c>
    </row>
    <row r="330">
      <c r="A330" s="60" t="n"/>
      <c r="B330" s="60" t="n"/>
      <c r="C330" s="71" t="str">
        <f>IF(B330="","",IFERROR(INDEX(mat_des,MATCH(B330,mat_ref,0))&amp;"","Matière inconnue"))</f>
        <v/>
      </c>
      <c r="D330" s="69" t="str">
        <f>IF(B330="","",IFERROR(INDEX(mat_unit,MATCH(B330,mat_ref,0))&amp;"",""))</f>
        <v/>
      </c>
      <c r="E330" s="72" t="n"/>
      <c r="F330" s="65" t="n"/>
      <c r="G330" s="68" t="str">
        <f>IF(J330&lt;&gt;"OK","",IF(F330="",N(INDEX(mat_loss,MATCH(B330,mat_ref,0))),F330))</f>
        <v/>
      </c>
      <c r="H330" s="66" t="str">
        <f>IF(J330&lt;&gt;"OK","",INDEX(mat_price,MATCH(B330,mat_ref,0)))</f>
        <v/>
      </c>
      <c r="I330" s="66" t="str">
        <f>IF(J330&lt;&gt;"OK","",E330*(1+G330)*H330)</f>
        <v/>
      </c>
      <c r="J330" s="69" t="str">
        <f>IF(AND(A330="",B330=""),"",IF(A330="","Produit manquant",IF(COUNTIF(prod_ref,A330)=0,"Produit inconnu",IF(B330="","Matière manquante",IF(ISNA(MATCH(B330,mat_ref,0)),"Matière inconnue",IF(INDEX(mat_check,MATCH(B330,mat_ref,0))&lt;&gt;"OK","Matière à corriger",IF(OR(NOT(ISNUMBER(E330)),N(E330)&lt;=0),"Quantité invalide",IF(AND(F330&lt;&gt;"",OR(NOT(ISNUMBER(F330)),N(F330)&lt;0,N(F330)&gt;=1)),"Perte entre 0 et 99 %",IF(COUNTIFS(bom_prod,A330,bom_mat,B330)&gt;1,"Matière en double","OK")))))))))</f>
        <v/>
      </c>
      <c r="K330" s="71" t="str">
        <f>IF(AND(fiche_sel&lt;&gt;"",A330=fiche_sel),COUNTIF(A$6:A330,fiche_sel),"")</f>
        <v/>
      </c>
    </row>
    <row r="331">
      <c r="A331" s="60" t="n"/>
      <c r="B331" s="60" t="n"/>
      <c r="C331" s="71" t="str">
        <f>IF(B331="","",IFERROR(INDEX(mat_des,MATCH(B331,mat_ref,0))&amp;"","Matière inconnue"))</f>
        <v/>
      </c>
      <c r="D331" s="69" t="str">
        <f>IF(B331="","",IFERROR(INDEX(mat_unit,MATCH(B331,mat_ref,0))&amp;"",""))</f>
        <v/>
      </c>
      <c r="E331" s="72" t="n"/>
      <c r="F331" s="65" t="n"/>
      <c r="G331" s="68" t="str">
        <f>IF(J331&lt;&gt;"OK","",IF(F331="",N(INDEX(mat_loss,MATCH(B331,mat_ref,0))),F331))</f>
        <v/>
      </c>
      <c r="H331" s="66" t="str">
        <f>IF(J331&lt;&gt;"OK","",INDEX(mat_price,MATCH(B331,mat_ref,0)))</f>
        <v/>
      </c>
      <c r="I331" s="66" t="str">
        <f>IF(J331&lt;&gt;"OK","",E331*(1+G331)*H331)</f>
        <v/>
      </c>
      <c r="J331" s="69" t="str">
        <f>IF(AND(A331="",B331=""),"",IF(A331="","Produit manquant",IF(COUNTIF(prod_ref,A331)=0,"Produit inconnu",IF(B331="","Matière manquante",IF(ISNA(MATCH(B331,mat_ref,0)),"Matière inconnue",IF(INDEX(mat_check,MATCH(B331,mat_ref,0))&lt;&gt;"OK","Matière à corriger",IF(OR(NOT(ISNUMBER(E331)),N(E331)&lt;=0),"Quantité invalide",IF(AND(F331&lt;&gt;"",OR(NOT(ISNUMBER(F331)),N(F331)&lt;0,N(F331)&gt;=1)),"Perte entre 0 et 99 %",IF(COUNTIFS(bom_prod,A331,bom_mat,B331)&gt;1,"Matière en double","OK")))))))))</f>
        <v/>
      </c>
      <c r="K331" s="71" t="str">
        <f>IF(AND(fiche_sel&lt;&gt;"",A331=fiche_sel),COUNTIF(A$6:A331,fiche_sel),"")</f>
        <v/>
      </c>
    </row>
    <row r="332">
      <c r="A332" s="60" t="n"/>
      <c r="B332" s="60" t="n"/>
      <c r="C332" s="71" t="str">
        <f>IF(B332="","",IFERROR(INDEX(mat_des,MATCH(B332,mat_ref,0))&amp;"","Matière inconnue"))</f>
        <v/>
      </c>
      <c r="D332" s="69" t="str">
        <f>IF(B332="","",IFERROR(INDEX(mat_unit,MATCH(B332,mat_ref,0))&amp;"",""))</f>
        <v/>
      </c>
      <c r="E332" s="72" t="n"/>
      <c r="F332" s="65" t="n"/>
      <c r="G332" s="68" t="str">
        <f>IF(J332&lt;&gt;"OK","",IF(F332="",N(INDEX(mat_loss,MATCH(B332,mat_ref,0))),F332))</f>
        <v/>
      </c>
      <c r="H332" s="66" t="str">
        <f>IF(J332&lt;&gt;"OK","",INDEX(mat_price,MATCH(B332,mat_ref,0)))</f>
        <v/>
      </c>
      <c r="I332" s="66" t="str">
        <f>IF(J332&lt;&gt;"OK","",E332*(1+G332)*H332)</f>
        <v/>
      </c>
      <c r="J332" s="69" t="str">
        <f>IF(AND(A332="",B332=""),"",IF(A332="","Produit manquant",IF(COUNTIF(prod_ref,A332)=0,"Produit inconnu",IF(B332="","Matière manquante",IF(ISNA(MATCH(B332,mat_ref,0)),"Matière inconnue",IF(INDEX(mat_check,MATCH(B332,mat_ref,0))&lt;&gt;"OK","Matière à corriger",IF(OR(NOT(ISNUMBER(E332)),N(E332)&lt;=0),"Quantité invalide",IF(AND(F332&lt;&gt;"",OR(NOT(ISNUMBER(F332)),N(F332)&lt;0,N(F332)&gt;=1)),"Perte entre 0 et 99 %",IF(COUNTIFS(bom_prod,A332,bom_mat,B332)&gt;1,"Matière en double","OK")))))))))</f>
        <v/>
      </c>
      <c r="K332" s="71" t="str">
        <f>IF(AND(fiche_sel&lt;&gt;"",A332=fiche_sel),COUNTIF(A$6:A332,fiche_sel),"")</f>
        <v/>
      </c>
    </row>
    <row r="333">
      <c r="A333" s="60" t="n"/>
      <c r="B333" s="60" t="n"/>
      <c r="C333" s="71" t="str">
        <f>IF(B333="","",IFERROR(INDEX(mat_des,MATCH(B333,mat_ref,0))&amp;"","Matière inconnue"))</f>
        <v/>
      </c>
      <c r="D333" s="69" t="str">
        <f>IF(B333="","",IFERROR(INDEX(mat_unit,MATCH(B333,mat_ref,0))&amp;"",""))</f>
        <v/>
      </c>
      <c r="E333" s="72" t="n"/>
      <c r="F333" s="65" t="n"/>
      <c r="G333" s="68" t="str">
        <f>IF(J333&lt;&gt;"OK","",IF(F333="",N(INDEX(mat_loss,MATCH(B333,mat_ref,0))),F333))</f>
        <v/>
      </c>
      <c r="H333" s="66" t="str">
        <f>IF(J333&lt;&gt;"OK","",INDEX(mat_price,MATCH(B333,mat_ref,0)))</f>
        <v/>
      </c>
      <c r="I333" s="66" t="str">
        <f>IF(J333&lt;&gt;"OK","",E333*(1+G333)*H333)</f>
        <v/>
      </c>
      <c r="J333" s="69" t="str">
        <f>IF(AND(A333="",B333=""),"",IF(A333="","Produit manquant",IF(COUNTIF(prod_ref,A333)=0,"Produit inconnu",IF(B333="","Matière manquante",IF(ISNA(MATCH(B333,mat_ref,0)),"Matière inconnue",IF(INDEX(mat_check,MATCH(B333,mat_ref,0))&lt;&gt;"OK","Matière à corriger",IF(OR(NOT(ISNUMBER(E333)),N(E333)&lt;=0),"Quantité invalide",IF(AND(F333&lt;&gt;"",OR(NOT(ISNUMBER(F333)),N(F333)&lt;0,N(F333)&gt;=1)),"Perte entre 0 et 99 %",IF(COUNTIFS(bom_prod,A333,bom_mat,B333)&gt;1,"Matière en double","OK")))))))))</f>
        <v/>
      </c>
      <c r="K333" s="71" t="str">
        <f>IF(AND(fiche_sel&lt;&gt;"",A333=fiche_sel),COUNTIF(A$6:A333,fiche_sel),"")</f>
        <v/>
      </c>
    </row>
    <row r="334">
      <c r="A334" s="60" t="n"/>
      <c r="B334" s="60" t="n"/>
      <c r="C334" s="71" t="str">
        <f>IF(B334="","",IFERROR(INDEX(mat_des,MATCH(B334,mat_ref,0))&amp;"","Matière inconnue"))</f>
        <v/>
      </c>
      <c r="D334" s="69" t="str">
        <f>IF(B334="","",IFERROR(INDEX(mat_unit,MATCH(B334,mat_ref,0))&amp;"",""))</f>
        <v/>
      </c>
      <c r="E334" s="72" t="n"/>
      <c r="F334" s="65" t="n"/>
      <c r="G334" s="68" t="str">
        <f>IF(J334&lt;&gt;"OK","",IF(F334="",N(INDEX(mat_loss,MATCH(B334,mat_ref,0))),F334))</f>
        <v/>
      </c>
      <c r="H334" s="66" t="str">
        <f>IF(J334&lt;&gt;"OK","",INDEX(mat_price,MATCH(B334,mat_ref,0)))</f>
        <v/>
      </c>
      <c r="I334" s="66" t="str">
        <f>IF(J334&lt;&gt;"OK","",E334*(1+G334)*H334)</f>
        <v/>
      </c>
      <c r="J334" s="69" t="str">
        <f>IF(AND(A334="",B334=""),"",IF(A334="","Produit manquant",IF(COUNTIF(prod_ref,A334)=0,"Produit inconnu",IF(B334="","Matière manquante",IF(ISNA(MATCH(B334,mat_ref,0)),"Matière inconnue",IF(INDEX(mat_check,MATCH(B334,mat_ref,0))&lt;&gt;"OK","Matière à corriger",IF(OR(NOT(ISNUMBER(E334)),N(E334)&lt;=0),"Quantité invalide",IF(AND(F334&lt;&gt;"",OR(NOT(ISNUMBER(F334)),N(F334)&lt;0,N(F334)&gt;=1)),"Perte entre 0 et 99 %",IF(COUNTIFS(bom_prod,A334,bom_mat,B334)&gt;1,"Matière en double","OK")))))))))</f>
        <v/>
      </c>
      <c r="K334" s="71" t="str">
        <f>IF(AND(fiche_sel&lt;&gt;"",A334=fiche_sel),COUNTIF(A$6:A334,fiche_sel),"")</f>
        <v/>
      </c>
    </row>
    <row r="335">
      <c r="A335" s="60" t="n"/>
      <c r="B335" s="60" t="n"/>
      <c r="C335" s="71" t="str">
        <f>IF(B335="","",IFERROR(INDEX(mat_des,MATCH(B335,mat_ref,0))&amp;"","Matière inconnue"))</f>
        <v/>
      </c>
      <c r="D335" s="69" t="str">
        <f>IF(B335="","",IFERROR(INDEX(mat_unit,MATCH(B335,mat_ref,0))&amp;"",""))</f>
        <v/>
      </c>
      <c r="E335" s="72" t="n"/>
      <c r="F335" s="65" t="n"/>
      <c r="G335" s="68" t="str">
        <f>IF(J335&lt;&gt;"OK","",IF(F335="",N(INDEX(mat_loss,MATCH(B335,mat_ref,0))),F335))</f>
        <v/>
      </c>
      <c r="H335" s="66" t="str">
        <f>IF(J335&lt;&gt;"OK","",INDEX(mat_price,MATCH(B335,mat_ref,0)))</f>
        <v/>
      </c>
      <c r="I335" s="66" t="str">
        <f>IF(J335&lt;&gt;"OK","",E335*(1+G335)*H335)</f>
        <v/>
      </c>
      <c r="J335" s="69" t="str">
        <f>IF(AND(A335="",B335=""),"",IF(A335="","Produit manquant",IF(COUNTIF(prod_ref,A335)=0,"Produit inconnu",IF(B335="","Matière manquante",IF(ISNA(MATCH(B335,mat_ref,0)),"Matière inconnue",IF(INDEX(mat_check,MATCH(B335,mat_ref,0))&lt;&gt;"OK","Matière à corriger",IF(OR(NOT(ISNUMBER(E335)),N(E335)&lt;=0),"Quantité invalide",IF(AND(F335&lt;&gt;"",OR(NOT(ISNUMBER(F335)),N(F335)&lt;0,N(F335)&gt;=1)),"Perte entre 0 et 99 %",IF(COUNTIFS(bom_prod,A335,bom_mat,B335)&gt;1,"Matière en double","OK")))))))))</f>
        <v/>
      </c>
      <c r="K335" s="71" t="str">
        <f>IF(AND(fiche_sel&lt;&gt;"",A335=fiche_sel),COUNTIF(A$6:A335,fiche_sel),"")</f>
        <v/>
      </c>
    </row>
    <row r="336">
      <c r="A336" s="60" t="n"/>
      <c r="B336" s="60" t="n"/>
      <c r="C336" s="71" t="str">
        <f>IF(B336="","",IFERROR(INDEX(mat_des,MATCH(B336,mat_ref,0))&amp;"","Matière inconnue"))</f>
        <v/>
      </c>
      <c r="D336" s="69" t="str">
        <f>IF(B336="","",IFERROR(INDEX(mat_unit,MATCH(B336,mat_ref,0))&amp;"",""))</f>
        <v/>
      </c>
      <c r="E336" s="72" t="n"/>
      <c r="F336" s="65" t="n"/>
      <c r="G336" s="68" t="str">
        <f>IF(J336&lt;&gt;"OK","",IF(F336="",N(INDEX(mat_loss,MATCH(B336,mat_ref,0))),F336))</f>
        <v/>
      </c>
      <c r="H336" s="66" t="str">
        <f>IF(J336&lt;&gt;"OK","",INDEX(mat_price,MATCH(B336,mat_ref,0)))</f>
        <v/>
      </c>
      <c r="I336" s="66" t="str">
        <f>IF(J336&lt;&gt;"OK","",E336*(1+G336)*H336)</f>
        <v/>
      </c>
      <c r="J336" s="69" t="str">
        <f>IF(AND(A336="",B336=""),"",IF(A336="","Produit manquant",IF(COUNTIF(prod_ref,A336)=0,"Produit inconnu",IF(B336="","Matière manquante",IF(ISNA(MATCH(B336,mat_ref,0)),"Matière inconnue",IF(INDEX(mat_check,MATCH(B336,mat_ref,0))&lt;&gt;"OK","Matière à corriger",IF(OR(NOT(ISNUMBER(E336)),N(E336)&lt;=0),"Quantité invalide",IF(AND(F336&lt;&gt;"",OR(NOT(ISNUMBER(F336)),N(F336)&lt;0,N(F336)&gt;=1)),"Perte entre 0 et 99 %",IF(COUNTIFS(bom_prod,A336,bom_mat,B336)&gt;1,"Matière en double","OK")))))))))</f>
        <v/>
      </c>
      <c r="K336" s="71" t="str">
        <f>IF(AND(fiche_sel&lt;&gt;"",A336=fiche_sel),COUNTIF(A$6:A336,fiche_sel),"")</f>
        <v/>
      </c>
    </row>
    <row r="337">
      <c r="A337" s="60" t="n"/>
      <c r="B337" s="60" t="n"/>
      <c r="C337" s="71" t="str">
        <f>IF(B337="","",IFERROR(INDEX(mat_des,MATCH(B337,mat_ref,0))&amp;"","Matière inconnue"))</f>
        <v/>
      </c>
      <c r="D337" s="69" t="str">
        <f>IF(B337="","",IFERROR(INDEX(mat_unit,MATCH(B337,mat_ref,0))&amp;"",""))</f>
        <v/>
      </c>
      <c r="E337" s="72" t="n"/>
      <c r="F337" s="65" t="n"/>
      <c r="G337" s="68" t="str">
        <f>IF(J337&lt;&gt;"OK","",IF(F337="",N(INDEX(mat_loss,MATCH(B337,mat_ref,0))),F337))</f>
        <v/>
      </c>
      <c r="H337" s="66" t="str">
        <f>IF(J337&lt;&gt;"OK","",INDEX(mat_price,MATCH(B337,mat_ref,0)))</f>
        <v/>
      </c>
      <c r="I337" s="66" t="str">
        <f>IF(J337&lt;&gt;"OK","",E337*(1+G337)*H337)</f>
        <v/>
      </c>
      <c r="J337" s="69" t="str">
        <f>IF(AND(A337="",B337=""),"",IF(A337="","Produit manquant",IF(COUNTIF(prod_ref,A337)=0,"Produit inconnu",IF(B337="","Matière manquante",IF(ISNA(MATCH(B337,mat_ref,0)),"Matière inconnue",IF(INDEX(mat_check,MATCH(B337,mat_ref,0))&lt;&gt;"OK","Matière à corriger",IF(OR(NOT(ISNUMBER(E337)),N(E337)&lt;=0),"Quantité invalide",IF(AND(F337&lt;&gt;"",OR(NOT(ISNUMBER(F337)),N(F337)&lt;0,N(F337)&gt;=1)),"Perte entre 0 et 99 %",IF(COUNTIFS(bom_prod,A337,bom_mat,B337)&gt;1,"Matière en double","OK")))))))))</f>
        <v/>
      </c>
      <c r="K337" s="71" t="str">
        <f>IF(AND(fiche_sel&lt;&gt;"",A337=fiche_sel),COUNTIF(A$6:A337,fiche_sel),"")</f>
        <v/>
      </c>
    </row>
    <row r="338">
      <c r="A338" s="60" t="n"/>
      <c r="B338" s="60" t="n"/>
      <c r="C338" s="71" t="str">
        <f>IF(B338="","",IFERROR(INDEX(mat_des,MATCH(B338,mat_ref,0))&amp;"","Matière inconnue"))</f>
        <v/>
      </c>
      <c r="D338" s="69" t="str">
        <f>IF(B338="","",IFERROR(INDEX(mat_unit,MATCH(B338,mat_ref,0))&amp;"",""))</f>
        <v/>
      </c>
      <c r="E338" s="72" t="n"/>
      <c r="F338" s="65" t="n"/>
      <c r="G338" s="68" t="str">
        <f>IF(J338&lt;&gt;"OK","",IF(F338="",N(INDEX(mat_loss,MATCH(B338,mat_ref,0))),F338))</f>
        <v/>
      </c>
      <c r="H338" s="66" t="str">
        <f>IF(J338&lt;&gt;"OK","",INDEX(mat_price,MATCH(B338,mat_ref,0)))</f>
        <v/>
      </c>
      <c r="I338" s="66" t="str">
        <f>IF(J338&lt;&gt;"OK","",E338*(1+G338)*H338)</f>
        <v/>
      </c>
      <c r="J338" s="69" t="str">
        <f>IF(AND(A338="",B338=""),"",IF(A338="","Produit manquant",IF(COUNTIF(prod_ref,A338)=0,"Produit inconnu",IF(B338="","Matière manquante",IF(ISNA(MATCH(B338,mat_ref,0)),"Matière inconnue",IF(INDEX(mat_check,MATCH(B338,mat_ref,0))&lt;&gt;"OK","Matière à corriger",IF(OR(NOT(ISNUMBER(E338)),N(E338)&lt;=0),"Quantité invalide",IF(AND(F338&lt;&gt;"",OR(NOT(ISNUMBER(F338)),N(F338)&lt;0,N(F338)&gt;=1)),"Perte entre 0 et 99 %",IF(COUNTIFS(bom_prod,A338,bom_mat,B338)&gt;1,"Matière en double","OK")))))))))</f>
        <v/>
      </c>
      <c r="K338" s="71" t="str">
        <f>IF(AND(fiche_sel&lt;&gt;"",A338=fiche_sel),COUNTIF(A$6:A338,fiche_sel),"")</f>
        <v/>
      </c>
    </row>
    <row r="339">
      <c r="A339" s="60" t="n"/>
      <c r="B339" s="60" t="n"/>
      <c r="C339" s="71" t="str">
        <f>IF(B339="","",IFERROR(INDEX(mat_des,MATCH(B339,mat_ref,0))&amp;"","Matière inconnue"))</f>
        <v/>
      </c>
      <c r="D339" s="69" t="str">
        <f>IF(B339="","",IFERROR(INDEX(mat_unit,MATCH(B339,mat_ref,0))&amp;"",""))</f>
        <v/>
      </c>
      <c r="E339" s="72" t="n"/>
      <c r="F339" s="65" t="n"/>
      <c r="G339" s="68" t="str">
        <f>IF(J339&lt;&gt;"OK","",IF(F339="",N(INDEX(mat_loss,MATCH(B339,mat_ref,0))),F339))</f>
        <v/>
      </c>
      <c r="H339" s="66" t="str">
        <f>IF(J339&lt;&gt;"OK","",INDEX(mat_price,MATCH(B339,mat_ref,0)))</f>
        <v/>
      </c>
      <c r="I339" s="66" t="str">
        <f>IF(J339&lt;&gt;"OK","",E339*(1+G339)*H339)</f>
        <v/>
      </c>
      <c r="J339" s="69" t="str">
        <f>IF(AND(A339="",B339=""),"",IF(A339="","Produit manquant",IF(COUNTIF(prod_ref,A339)=0,"Produit inconnu",IF(B339="","Matière manquante",IF(ISNA(MATCH(B339,mat_ref,0)),"Matière inconnue",IF(INDEX(mat_check,MATCH(B339,mat_ref,0))&lt;&gt;"OK","Matière à corriger",IF(OR(NOT(ISNUMBER(E339)),N(E339)&lt;=0),"Quantité invalide",IF(AND(F339&lt;&gt;"",OR(NOT(ISNUMBER(F339)),N(F339)&lt;0,N(F339)&gt;=1)),"Perte entre 0 et 99 %",IF(COUNTIFS(bom_prod,A339,bom_mat,B339)&gt;1,"Matière en double","OK")))))))))</f>
        <v/>
      </c>
      <c r="K339" s="71" t="str">
        <f>IF(AND(fiche_sel&lt;&gt;"",A339=fiche_sel),COUNTIF(A$6:A339,fiche_sel),"")</f>
        <v/>
      </c>
    </row>
    <row r="340">
      <c r="A340" s="60" t="n"/>
      <c r="B340" s="60" t="n"/>
      <c r="C340" s="71" t="str">
        <f>IF(B340="","",IFERROR(INDEX(mat_des,MATCH(B340,mat_ref,0))&amp;"","Matière inconnue"))</f>
        <v/>
      </c>
      <c r="D340" s="69" t="str">
        <f>IF(B340="","",IFERROR(INDEX(mat_unit,MATCH(B340,mat_ref,0))&amp;"",""))</f>
        <v/>
      </c>
      <c r="E340" s="72" t="n"/>
      <c r="F340" s="65" t="n"/>
      <c r="G340" s="68" t="str">
        <f>IF(J340&lt;&gt;"OK","",IF(F340="",N(INDEX(mat_loss,MATCH(B340,mat_ref,0))),F340))</f>
        <v/>
      </c>
      <c r="H340" s="66" t="str">
        <f>IF(J340&lt;&gt;"OK","",INDEX(mat_price,MATCH(B340,mat_ref,0)))</f>
        <v/>
      </c>
      <c r="I340" s="66" t="str">
        <f>IF(J340&lt;&gt;"OK","",E340*(1+G340)*H340)</f>
        <v/>
      </c>
      <c r="J340" s="69" t="str">
        <f>IF(AND(A340="",B340=""),"",IF(A340="","Produit manquant",IF(COUNTIF(prod_ref,A340)=0,"Produit inconnu",IF(B340="","Matière manquante",IF(ISNA(MATCH(B340,mat_ref,0)),"Matière inconnue",IF(INDEX(mat_check,MATCH(B340,mat_ref,0))&lt;&gt;"OK","Matière à corriger",IF(OR(NOT(ISNUMBER(E340)),N(E340)&lt;=0),"Quantité invalide",IF(AND(F340&lt;&gt;"",OR(NOT(ISNUMBER(F340)),N(F340)&lt;0,N(F340)&gt;=1)),"Perte entre 0 et 99 %",IF(COUNTIFS(bom_prod,A340,bom_mat,B340)&gt;1,"Matière en double","OK")))))))))</f>
        <v/>
      </c>
      <c r="K340" s="71" t="str">
        <f>IF(AND(fiche_sel&lt;&gt;"",A340=fiche_sel),COUNTIF(A$6:A340,fiche_sel),"")</f>
        <v/>
      </c>
    </row>
    <row r="341">
      <c r="A341" s="60" t="n"/>
      <c r="B341" s="60" t="n"/>
      <c r="C341" s="71" t="str">
        <f>IF(B341="","",IFERROR(INDEX(mat_des,MATCH(B341,mat_ref,0))&amp;"","Matière inconnue"))</f>
        <v/>
      </c>
      <c r="D341" s="69" t="str">
        <f>IF(B341="","",IFERROR(INDEX(mat_unit,MATCH(B341,mat_ref,0))&amp;"",""))</f>
        <v/>
      </c>
      <c r="E341" s="72" t="n"/>
      <c r="F341" s="65" t="n"/>
      <c r="G341" s="68" t="str">
        <f>IF(J341&lt;&gt;"OK","",IF(F341="",N(INDEX(mat_loss,MATCH(B341,mat_ref,0))),F341))</f>
        <v/>
      </c>
      <c r="H341" s="66" t="str">
        <f>IF(J341&lt;&gt;"OK","",INDEX(mat_price,MATCH(B341,mat_ref,0)))</f>
        <v/>
      </c>
      <c r="I341" s="66" t="str">
        <f>IF(J341&lt;&gt;"OK","",E341*(1+G341)*H341)</f>
        <v/>
      </c>
      <c r="J341" s="69" t="str">
        <f>IF(AND(A341="",B341=""),"",IF(A341="","Produit manquant",IF(COUNTIF(prod_ref,A341)=0,"Produit inconnu",IF(B341="","Matière manquante",IF(ISNA(MATCH(B341,mat_ref,0)),"Matière inconnue",IF(INDEX(mat_check,MATCH(B341,mat_ref,0))&lt;&gt;"OK","Matière à corriger",IF(OR(NOT(ISNUMBER(E341)),N(E341)&lt;=0),"Quantité invalide",IF(AND(F341&lt;&gt;"",OR(NOT(ISNUMBER(F341)),N(F341)&lt;0,N(F341)&gt;=1)),"Perte entre 0 et 99 %",IF(COUNTIFS(bom_prod,A341,bom_mat,B341)&gt;1,"Matière en double","OK")))))))))</f>
        <v/>
      </c>
      <c r="K341" s="71" t="str">
        <f>IF(AND(fiche_sel&lt;&gt;"",A341=fiche_sel),COUNTIF(A$6:A341,fiche_sel),"")</f>
        <v/>
      </c>
    </row>
    <row r="342">
      <c r="A342" s="60" t="n"/>
      <c r="B342" s="60" t="n"/>
      <c r="C342" s="71" t="str">
        <f>IF(B342="","",IFERROR(INDEX(mat_des,MATCH(B342,mat_ref,0))&amp;"","Matière inconnue"))</f>
        <v/>
      </c>
      <c r="D342" s="69" t="str">
        <f>IF(B342="","",IFERROR(INDEX(mat_unit,MATCH(B342,mat_ref,0))&amp;"",""))</f>
        <v/>
      </c>
      <c r="E342" s="72" t="n"/>
      <c r="F342" s="65" t="n"/>
      <c r="G342" s="68" t="str">
        <f>IF(J342&lt;&gt;"OK","",IF(F342="",N(INDEX(mat_loss,MATCH(B342,mat_ref,0))),F342))</f>
        <v/>
      </c>
      <c r="H342" s="66" t="str">
        <f>IF(J342&lt;&gt;"OK","",INDEX(mat_price,MATCH(B342,mat_ref,0)))</f>
        <v/>
      </c>
      <c r="I342" s="66" t="str">
        <f>IF(J342&lt;&gt;"OK","",E342*(1+G342)*H342)</f>
        <v/>
      </c>
      <c r="J342" s="69" t="str">
        <f>IF(AND(A342="",B342=""),"",IF(A342="","Produit manquant",IF(COUNTIF(prod_ref,A342)=0,"Produit inconnu",IF(B342="","Matière manquante",IF(ISNA(MATCH(B342,mat_ref,0)),"Matière inconnue",IF(INDEX(mat_check,MATCH(B342,mat_ref,0))&lt;&gt;"OK","Matière à corriger",IF(OR(NOT(ISNUMBER(E342)),N(E342)&lt;=0),"Quantité invalide",IF(AND(F342&lt;&gt;"",OR(NOT(ISNUMBER(F342)),N(F342)&lt;0,N(F342)&gt;=1)),"Perte entre 0 et 99 %",IF(COUNTIFS(bom_prod,A342,bom_mat,B342)&gt;1,"Matière en double","OK")))))))))</f>
        <v/>
      </c>
      <c r="K342" s="71" t="str">
        <f>IF(AND(fiche_sel&lt;&gt;"",A342=fiche_sel),COUNTIF(A$6:A342,fiche_sel),"")</f>
        <v/>
      </c>
    </row>
    <row r="343">
      <c r="A343" s="60" t="n"/>
      <c r="B343" s="60" t="n"/>
      <c r="C343" s="71" t="str">
        <f>IF(B343="","",IFERROR(INDEX(mat_des,MATCH(B343,mat_ref,0))&amp;"","Matière inconnue"))</f>
        <v/>
      </c>
      <c r="D343" s="69" t="str">
        <f>IF(B343="","",IFERROR(INDEX(mat_unit,MATCH(B343,mat_ref,0))&amp;"",""))</f>
        <v/>
      </c>
      <c r="E343" s="72" t="n"/>
      <c r="F343" s="65" t="n"/>
      <c r="G343" s="68" t="str">
        <f>IF(J343&lt;&gt;"OK","",IF(F343="",N(INDEX(mat_loss,MATCH(B343,mat_ref,0))),F343))</f>
        <v/>
      </c>
      <c r="H343" s="66" t="str">
        <f>IF(J343&lt;&gt;"OK","",INDEX(mat_price,MATCH(B343,mat_ref,0)))</f>
        <v/>
      </c>
      <c r="I343" s="66" t="str">
        <f>IF(J343&lt;&gt;"OK","",E343*(1+G343)*H343)</f>
        <v/>
      </c>
      <c r="J343" s="69" t="str">
        <f>IF(AND(A343="",B343=""),"",IF(A343="","Produit manquant",IF(COUNTIF(prod_ref,A343)=0,"Produit inconnu",IF(B343="","Matière manquante",IF(ISNA(MATCH(B343,mat_ref,0)),"Matière inconnue",IF(INDEX(mat_check,MATCH(B343,mat_ref,0))&lt;&gt;"OK","Matière à corriger",IF(OR(NOT(ISNUMBER(E343)),N(E343)&lt;=0),"Quantité invalide",IF(AND(F343&lt;&gt;"",OR(NOT(ISNUMBER(F343)),N(F343)&lt;0,N(F343)&gt;=1)),"Perte entre 0 et 99 %",IF(COUNTIFS(bom_prod,A343,bom_mat,B343)&gt;1,"Matière en double","OK")))))))))</f>
        <v/>
      </c>
      <c r="K343" s="71" t="str">
        <f>IF(AND(fiche_sel&lt;&gt;"",A343=fiche_sel),COUNTIF(A$6:A343,fiche_sel),"")</f>
        <v/>
      </c>
    </row>
    <row r="344">
      <c r="A344" s="60" t="n"/>
      <c r="B344" s="60" t="n"/>
      <c r="C344" s="71" t="str">
        <f>IF(B344="","",IFERROR(INDEX(mat_des,MATCH(B344,mat_ref,0))&amp;"","Matière inconnue"))</f>
        <v/>
      </c>
      <c r="D344" s="69" t="str">
        <f>IF(B344="","",IFERROR(INDEX(mat_unit,MATCH(B344,mat_ref,0))&amp;"",""))</f>
        <v/>
      </c>
      <c r="E344" s="72" t="n"/>
      <c r="F344" s="65" t="n"/>
      <c r="G344" s="68" t="str">
        <f>IF(J344&lt;&gt;"OK","",IF(F344="",N(INDEX(mat_loss,MATCH(B344,mat_ref,0))),F344))</f>
        <v/>
      </c>
      <c r="H344" s="66" t="str">
        <f>IF(J344&lt;&gt;"OK","",INDEX(mat_price,MATCH(B344,mat_ref,0)))</f>
        <v/>
      </c>
      <c r="I344" s="66" t="str">
        <f>IF(J344&lt;&gt;"OK","",E344*(1+G344)*H344)</f>
        <v/>
      </c>
      <c r="J344" s="69" t="str">
        <f>IF(AND(A344="",B344=""),"",IF(A344="","Produit manquant",IF(COUNTIF(prod_ref,A344)=0,"Produit inconnu",IF(B344="","Matière manquante",IF(ISNA(MATCH(B344,mat_ref,0)),"Matière inconnue",IF(INDEX(mat_check,MATCH(B344,mat_ref,0))&lt;&gt;"OK","Matière à corriger",IF(OR(NOT(ISNUMBER(E344)),N(E344)&lt;=0),"Quantité invalide",IF(AND(F344&lt;&gt;"",OR(NOT(ISNUMBER(F344)),N(F344)&lt;0,N(F344)&gt;=1)),"Perte entre 0 et 99 %",IF(COUNTIFS(bom_prod,A344,bom_mat,B344)&gt;1,"Matière en double","OK")))))))))</f>
        <v/>
      </c>
      <c r="K344" s="71" t="str">
        <f>IF(AND(fiche_sel&lt;&gt;"",A344=fiche_sel),COUNTIF(A$6:A344,fiche_sel),"")</f>
        <v/>
      </c>
    </row>
    <row r="345">
      <c r="A345" s="60" t="n"/>
      <c r="B345" s="60" t="n"/>
      <c r="C345" s="71" t="str">
        <f>IF(B345="","",IFERROR(INDEX(mat_des,MATCH(B345,mat_ref,0))&amp;"","Matière inconnue"))</f>
        <v/>
      </c>
      <c r="D345" s="69" t="str">
        <f>IF(B345="","",IFERROR(INDEX(mat_unit,MATCH(B345,mat_ref,0))&amp;"",""))</f>
        <v/>
      </c>
      <c r="E345" s="72" t="n"/>
      <c r="F345" s="65" t="n"/>
      <c r="G345" s="68" t="str">
        <f>IF(J345&lt;&gt;"OK","",IF(F345="",N(INDEX(mat_loss,MATCH(B345,mat_ref,0))),F345))</f>
        <v/>
      </c>
      <c r="H345" s="66" t="str">
        <f>IF(J345&lt;&gt;"OK","",INDEX(mat_price,MATCH(B345,mat_ref,0)))</f>
        <v/>
      </c>
      <c r="I345" s="66" t="str">
        <f>IF(J345&lt;&gt;"OK","",E345*(1+G345)*H345)</f>
        <v/>
      </c>
      <c r="J345" s="69" t="str">
        <f>IF(AND(A345="",B345=""),"",IF(A345="","Produit manquant",IF(COUNTIF(prod_ref,A345)=0,"Produit inconnu",IF(B345="","Matière manquante",IF(ISNA(MATCH(B345,mat_ref,0)),"Matière inconnue",IF(INDEX(mat_check,MATCH(B345,mat_ref,0))&lt;&gt;"OK","Matière à corriger",IF(OR(NOT(ISNUMBER(E345)),N(E345)&lt;=0),"Quantité invalide",IF(AND(F345&lt;&gt;"",OR(NOT(ISNUMBER(F345)),N(F345)&lt;0,N(F345)&gt;=1)),"Perte entre 0 et 99 %",IF(COUNTIFS(bom_prod,A345,bom_mat,B345)&gt;1,"Matière en double","OK")))))))))</f>
        <v/>
      </c>
      <c r="K345" s="71" t="str">
        <f>IF(AND(fiche_sel&lt;&gt;"",A345=fiche_sel),COUNTIF(A$6:A345,fiche_sel),"")</f>
        <v/>
      </c>
    </row>
    <row r="346">
      <c r="A346" s="60" t="n"/>
      <c r="B346" s="60" t="n"/>
      <c r="C346" s="71" t="str">
        <f>IF(B346="","",IFERROR(INDEX(mat_des,MATCH(B346,mat_ref,0))&amp;"","Matière inconnue"))</f>
        <v/>
      </c>
      <c r="D346" s="69" t="str">
        <f>IF(B346="","",IFERROR(INDEX(mat_unit,MATCH(B346,mat_ref,0))&amp;"",""))</f>
        <v/>
      </c>
      <c r="E346" s="72" t="n"/>
      <c r="F346" s="65" t="n"/>
      <c r="G346" s="68" t="str">
        <f>IF(J346&lt;&gt;"OK","",IF(F346="",N(INDEX(mat_loss,MATCH(B346,mat_ref,0))),F346))</f>
        <v/>
      </c>
      <c r="H346" s="66" t="str">
        <f>IF(J346&lt;&gt;"OK","",INDEX(mat_price,MATCH(B346,mat_ref,0)))</f>
        <v/>
      </c>
      <c r="I346" s="66" t="str">
        <f>IF(J346&lt;&gt;"OK","",E346*(1+G346)*H346)</f>
        <v/>
      </c>
      <c r="J346" s="69" t="str">
        <f>IF(AND(A346="",B346=""),"",IF(A346="","Produit manquant",IF(COUNTIF(prod_ref,A346)=0,"Produit inconnu",IF(B346="","Matière manquante",IF(ISNA(MATCH(B346,mat_ref,0)),"Matière inconnue",IF(INDEX(mat_check,MATCH(B346,mat_ref,0))&lt;&gt;"OK","Matière à corriger",IF(OR(NOT(ISNUMBER(E346)),N(E346)&lt;=0),"Quantité invalide",IF(AND(F346&lt;&gt;"",OR(NOT(ISNUMBER(F346)),N(F346)&lt;0,N(F346)&gt;=1)),"Perte entre 0 et 99 %",IF(COUNTIFS(bom_prod,A346,bom_mat,B346)&gt;1,"Matière en double","OK")))))))))</f>
        <v/>
      </c>
      <c r="K346" s="71" t="str">
        <f>IF(AND(fiche_sel&lt;&gt;"",A346=fiche_sel),COUNTIF(A$6:A346,fiche_sel),"")</f>
        <v/>
      </c>
    </row>
    <row r="347">
      <c r="A347" s="60" t="n"/>
      <c r="B347" s="60" t="n"/>
      <c r="C347" s="71" t="str">
        <f>IF(B347="","",IFERROR(INDEX(mat_des,MATCH(B347,mat_ref,0))&amp;"","Matière inconnue"))</f>
        <v/>
      </c>
      <c r="D347" s="69" t="str">
        <f>IF(B347="","",IFERROR(INDEX(mat_unit,MATCH(B347,mat_ref,0))&amp;"",""))</f>
        <v/>
      </c>
      <c r="E347" s="72" t="n"/>
      <c r="F347" s="65" t="n"/>
      <c r="G347" s="68" t="str">
        <f>IF(J347&lt;&gt;"OK","",IF(F347="",N(INDEX(mat_loss,MATCH(B347,mat_ref,0))),F347))</f>
        <v/>
      </c>
      <c r="H347" s="66" t="str">
        <f>IF(J347&lt;&gt;"OK","",INDEX(mat_price,MATCH(B347,mat_ref,0)))</f>
        <v/>
      </c>
      <c r="I347" s="66" t="str">
        <f>IF(J347&lt;&gt;"OK","",E347*(1+G347)*H347)</f>
        <v/>
      </c>
      <c r="J347" s="69" t="str">
        <f>IF(AND(A347="",B347=""),"",IF(A347="","Produit manquant",IF(COUNTIF(prod_ref,A347)=0,"Produit inconnu",IF(B347="","Matière manquante",IF(ISNA(MATCH(B347,mat_ref,0)),"Matière inconnue",IF(INDEX(mat_check,MATCH(B347,mat_ref,0))&lt;&gt;"OK","Matière à corriger",IF(OR(NOT(ISNUMBER(E347)),N(E347)&lt;=0),"Quantité invalide",IF(AND(F347&lt;&gt;"",OR(NOT(ISNUMBER(F347)),N(F347)&lt;0,N(F347)&gt;=1)),"Perte entre 0 et 99 %",IF(COUNTIFS(bom_prod,A347,bom_mat,B347)&gt;1,"Matière en double","OK")))))))))</f>
        <v/>
      </c>
      <c r="K347" s="71" t="str">
        <f>IF(AND(fiche_sel&lt;&gt;"",A347=fiche_sel),COUNTIF(A$6:A347,fiche_sel),"")</f>
        <v/>
      </c>
    </row>
    <row r="348">
      <c r="A348" s="60" t="n"/>
      <c r="B348" s="60" t="n"/>
      <c r="C348" s="71" t="str">
        <f>IF(B348="","",IFERROR(INDEX(mat_des,MATCH(B348,mat_ref,0))&amp;"","Matière inconnue"))</f>
        <v/>
      </c>
      <c r="D348" s="69" t="str">
        <f>IF(B348="","",IFERROR(INDEX(mat_unit,MATCH(B348,mat_ref,0))&amp;"",""))</f>
        <v/>
      </c>
      <c r="E348" s="72" t="n"/>
      <c r="F348" s="65" t="n"/>
      <c r="G348" s="68" t="str">
        <f>IF(J348&lt;&gt;"OK","",IF(F348="",N(INDEX(mat_loss,MATCH(B348,mat_ref,0))),F348))</f>
        <v/>
      </c>
      <c r="H348" s="66" t="str">
        <f>IF(J348&lt;&gt;"OK","",INDEX(mat_price,MATCH(B348,mat_ref,0)))</f>
        <v/>
      </c>
      <c r="I348" s="66" t="str">
        <f>IF(J348&lt;&gt;"OK","",E348*(1+G348)*H348)</f>
        <v/>
      </c>
      <c r="J348" s="69" t="str">
        <f>IF(AND(A348="",B348=""),"",IF(A348="","Produit manquant",IF(COUNTIF(prod_ref,A348)=0,"Produit inconnu",IF(B348="","Matière manquante",IF(ISNA(MATCH(B348,mat_ref,0)),"Matière inconnue",IF(INDEX(mat_check,MATCH(B348,mat_ref,0))&lt;&gt;"OK","Matière à corriger",IF(OR(NOT(ISNUMBER(E348)),N(E348)&lt;=0),"Quantité invalide",IF(AND(F348&lt;&gt;"",OR(NOT(ISNUMBER(F348)),N(F348)&lt;0,N(F348)&gt;=1)),"Perte entre 0 et 99 %",IF(COUNTIFS(bom_prod,A348,bom_mat,B348)&gt;1,"Matière en double","OK")))))))))</f>
        <v/>
      </c>
      <c r="K348" s="71" t="str">
        <f>IF(AND(fiche_sel&lt;&gt;"",A348=fiche_sel),COUNTIF(A$6:A348,fiche_sel),"")</f>
        <v/>
      </c>
    </row>
    <row r="349">
      <c r="A349" s="60" t="n"/>
      <c r="B349" s="60" t="n"/>
      <c r="C349" s="71" t="str">
        <f>IF(B349="","",IFERROR(INDEX(mat_des,MATCH(B349,mat_ref,0))&amp;"","Matière inconnue"))</f>
        <v/>
      </c>
      <c r="D349" s="69" t="str">
        <f>IF(B349="","",IFERROR(INDEX(mat_unit,MATCH(B349,mat_ref,0))&amp;"",""))</f>
        <v/>
      </c>
      <c r="E349" s="72" t="n"/>
      <c r="F349" s="65" t="n"/>
      <c r="G349" s="68" t="str">
        <f>IF(J349&lt;&gt;"OK","",IF(F349="",N(INDEX(mat_loss,MATCH(B349,mat_ref,0))),F349))</f>
        <v/>
      </c>
      <c r="H349" s="66" t="str">
        <f>IF(J349&lt;&gt;"OK","",INDEX(mat_price,MATCH(B349,mat_ref,0)))</f>
        <v/>
      </c>
      <c r="I349" s="66" t="str">
        <f>IF(J349&lt;&gt;"OK","",E349*(1+G349)*H349)</f>
        <v/>
      </c>
      <c r="J349" s="69" t="str">
        <f>IF(AND(A349="",B349=""),"",IF(A349="","Produit manquant",IF(COUNTIF(prod_ref,A349)=0,"Produit inconnu",IF(B349="","Matière manquante",IF(ISNA(MATCH(B349,mat_ref,0)),"Matière inconnue",IF(INDEX(mat_check,MATCH(B349,mat_ref,0))&lt;&gt;"OK","Matière à corriger",IF(OR(NOT(ISNUMBER(E349)),N(E349)&lt;=0),"Quantité invalide",IF(AND(F349&lt;&gt;"",OR(NOT(ISNUMBER(F349)),N(F349)&lt;0,N(F349)&gt;=1)),"Perte entre 0 et 99 %",IF(COUNTIFS(bom_prod,A349,bom_mat,B349)&gt;1,"Matière en double","OK")))))))))</f>
        <v/>
      </c>
      <c r="K349" s="71" t="str">
        <f>IF(AND(fiche_sel&lt;&gt;"",A349=fiche_sel),COUNTIF(A$6:A349,fiche_sel),"")</f>
        <v/>
      </c>
    </row>
    <row r="350">
      <c r="A350" s="60" t="n"/>
      <c r="B350" s="60" t="n"/>
      <c r="C350" s="71" t="str">
        <f>IF(B350="","",IFERROR(INDEX(mat_des,MATCH(B350,mat_ref,0))&amp;"","Matière inconnue"))</f>
        <v/>
      </c>
      <c r="D350" s="69" t="str">
        <f>IF(B350="","",IFERROR(INDEX(mat_unit,MATCH(B350,mat_ref,0))&amp;"",""))</f>
        <v/>
      </c>
      <c r="E350" s="72" t="n"/>
      <c r="F350" s="65" t="n"/>
      <c r="G350" s="68" t="str">
        <f>IF(J350&lt;&gt;"OK","",IF(F350="",N(INDEX(mat_loss,MATCH(B350,mat_ref,0))),F350))</f>
        <v/>
      </c>
      <c r="H350" s="66" t="str">
        <f>IF(J350&lt;&gt;"OK","",INDEX(mat_price,MATCH(B350,mat_ref,0)))</f>
        <v/>
      </c>
      <c r="I350" s="66" t="str">
        <f>IF(J350&lt;&gt;"OK","",E350*(1+G350)*H350)</f>
        <v/>
      </c>
      <c r="J350" s="69" t="str">
        <f>IF(AND(A350="",B350=""),"",IF(A350="","Produit manquant",IF(COUNTIF(prod_ref,A350)=0,"Produit inconnu",IF(B350="","Matière manquante",IF(ISNA(MATCH(B350,mat_ref,0)),"Matière inconnue",IF(INDEX(mat_check,MATCH(B350,mat_ref,0))&lt;&gt;"OK","Matière à corriger",IF(OR(NOT(ISNUMBER(E350)),N(E350)&lt;=0),"Quantité invalide",IF(AND(F350&lt;&gt;"",OR(NOT(ISNUMBER(F350)),N(F350)&lt;0,N(F350)&gt;=1)),"Perte entre 0 et 99 %",IF(COUNTIFS(bom_prod,A350,bom_mat,B350)&gt;1,"Matière en double","OK")))))))))</f>
        <v/>
      </c>
      <c r="K350" s="71" t="str">
        <f>IF(AND(fiche_sel&lt;&gt;"",A350=fiche_sel),COUNTIF(A$6:A350,fiche_sel),"")</f>
        <v/>
      </c>
    </row>
    <row r="351">
      <c r="A351" s="60" t="n"/>
      <c r="B351" s="60" t="n"/>
      <c r="C351" s="71" t="str">
        <f>IF(B351="","",IFERROR(INDEX(mat_des,MATCH(B351,mat_ref,0))&amp;"","Matière inconnue"))</f>
        <v/>
      </c>
      <c r="D351" s="69" t="str">
        <f>IF(B351="","",IFERROR(INDEX(mat_unit,MATCH(B351,mat_ref,0))&amp;"",""))</f>
        <v/>
      </c>
      <c r="E351" s="72" t="n"/>
      <c r="F351" s="65" t="n"/>
      <c r="G351" s="68" t="str">
        <f>IF(J351&lt;&gt;"OK","",IF(F351="",N(INDEX(mat_loss,MATCH(B351,mat_ref,0))),F351))</f>
        <v/>
      </c>
      <c r="H351" s="66" t="str">
        <f>IF(J351&lt;&gt;"OK","",INDEX(mat_price,MATCH(B351,mat_ref,0)))</f>
        <v/>
      </c>
      <c r="I351" s="66" t="str">
        <f>IF(J351&lt;&gt;"OK","",E351*(1+G351)*H351)</f>
        <v/>
      </c>
      <c r="J351" s="69" t="str">
        <f>IF(AND(A351="",B351=""),"",IF(A351="","Produit manquant",IF(COUNTIF(prod_ref,A351)=0,"Produit inconnu",IF(B351="","Matière manquante",IF(ISNA(MATCH(B351,mat_ref,0)),"Matière inconnue",IF(INDEX(mat_check,MATCH(B351,mat_ref,0))&lt;&gt;"OK","Matière à corriger",IF(OR(NOT(ISNUMBER(E351)),N(E351)&lt;=0),"Quantité invalide",IF(AND(F351&lt;&gt;"",OR(NOT(ISNUMBER(F351)),N(F351)&lt;0,N(F351)&gt;=1)),"Perte entre 0 et 99 %",IF(COUNTIFS(bom_prod,A351,bom_mat,B351)&gt;1,"Matière en double","OK")))))))))</f>
        <v/>
      </c>
      <c r="K351" s="71" t="str">
        <f>IF(AND(fiche_sel&lt;&gt;"",A351=fiche_sel),COUNTIF(A$6:A351,fiche_sel),"")</f>
        <v/>
      </c>
    </row>
    <row r="352">
      <c r="A352" s="60" t="n"/>
      <c r="B352" s="60" t="n"/>
      <c r="C352" s="71" t="str">
        <f>IF(B352="","",IFERROR(INDEX(mat_des,MATCH(B352,mat_ref,0))&amp;"","Matière inconnue"))</f>
        <v/>
      </c>
      <c r="D352" s="69" t="str">
        <f>IF(B352="","",IFERROR(INDEX(mat_unit,MATCH(B352,mat_ref,0))&amp;"",""))</f>
        <v/>
      </c>
      <c r="E352" s="72" t="n"/>
      <c r="F352" s="65" t="n"/>
      <c r="G352" s="68" t="str">
        <f>IF(J352&lt;&gt;"OK","",IF(F352="",N(INDEX(mat_loss,MATCH(B352,mat_ref,0))),F352))</f>
        <v/>
      </c>
      <c r="H352" s="66" t="str">
        <f>IF(J352&lt;&gt;"OK","",INDEX(mat_price,MATCH(B352,mat_ref,0)))</f>
        <v/>
      </c>
      <c r="I352" s="66" t="str">
        <f>IF(J352&lt;&gt;"OK","",E352*(1+G352)*H352)</f>
        <v/>
      </c>
      <c r="J352" s="69" t="str">
        <f>IF(AND(A352="",B352=""),"",IF(A352="","Produit manquant",IF(COUNTIF(prod_ref,A352)=0,"Produit inconnu",IF(B352="","Matière manquante",IF(ISNA(MATCH(B352,mat_ref,0)),"Matière inconnue",IF(INDEX(mat_check,MATCH(B352,mat_ref,0))&lt;&gt;"OK","Matière à corriger",IF(OR(NOT(ISNUMBER(E352)),N(E352)&lt;=0),"Quantité invalide",IF(AND(F352&lt;&gt;"",OR(NOT(ISNUMBER(F352)),N(F352)&lt;0,N(F352)&gt;=1)),"Perte entre 0 et 99 %",IF(COUNTIFS(bom_prod,A352,bom_mat,B352)&gt;1,"Matière en double","OK")))))))))</f>
        <v/>
      </c>
      <c r="K352" s="71" t="str">
        <f>IF(AND(fiche_sel&lt;&gt;"",A352=fiche_sel),COUNTIF(A$6:A352,fiche_sel),"")</f>
        <v/>
      </c>
    </row>
    <row r="353">
      <c r="A353" s="60" t="n"/>
      <c r="B353" s="60" t="n"/>
      <c r="C353" s="71" t="str">
        <f>IF(B353="","",IFERROR(INDEX(mat_des,MATCH(B353,mat_ref,0))&amp;"","Matière inconnue"))</f>
        <v/>
      </c>
      <c r="D353" s="69" t="str">
        <f>IF(B353="","",IFERROR(INDEX(mat_unit,MATCH(B353,mat_ref,0))&amp;"",""))</f>
        <v/>
      </c>
      <c r="E353" s="72" t="n"/>
      <c r="F353" s="65" t="n"/>
      <c r="G353" s="68" t="str">
        <f>IF(J353&lt;&gt;"OK","",IF(F353="",N(INDEX(mat_loss,MATCH(B353,mat_ref,0))),F353))</f>
        <v/>
      </c>
      <c r="H353" s="66" t="str">
        <f>IF(J353&lt;&gt;"OK","",INDEX(mat_price,MATCH(B353,mat_ref,0)))</f>
        <v/>
      </c>
      <c r="I353" s="66" t="str">
        <f>IF(J353&lt;&gt;"OK","",E353*(1+G353)*H353)</f>
        <v/>
      </c>
      <c r="J353" s="69" t="str">
        <f>IF(AND(A353="",B353=""),"",IF(A353="","Produit manquant",IF(COUNTIF(prod_ref,A353)=0,"Produit inconnu",IF(B353="","Matière manquante",IF(ISNA(MATCH(B353,mat_ref,0)),"Matière inconnue",IF(INDEX(mat_check,MATCH(B353,mat_ref,0))&lt;&gt;"OK","Matière à corriger",IF(OR(NOT(ISNUMBER(E353)),N(E353)&lt;=0),"Quantité invalide",IF(AND(F353&lt;&gt;"",OR(NOT(ISNUMBER(F353)),N(F353)&lt;0,N(F353)&gt;=1)),"Perte entre 0 et 99 %",IF(COUNTIFS(bom_prod,A353,bom_mat,B353)&gt;1,"Matière en double","OK")))))))))</f>
        <v/>
      </c>
      <c r="K353" s="71" t="str">
        <f>IF(AND(fiche_sel&lt;&gt;"",A353=fiche_sel),COUNTIF(A$6:A353,fiche_sel),"")</f>
        <v/>
      </c>
    </row>
    <row r="354">
      <c r="A354" s="60" t="n"/>
      <c r="B354" s="60" t="n"/>
      <c r="C354" s="71" t="str">
        <f>IF(B354="","",IFERROR(INDEX(mat_des,MATCH(B354,mat_ref,0))&amp;"","Matière inconnue"))</f>
        <v/>
      </c>
      <c r="D354" s="69" t="str">
        <f>IF(B354="","",IFERROR(INDEX(mat_unit,MATCH(B354,mat_ref,0))&amp;"",""))</f>
        <v/>
      </c>
      <c r="E354" s="72" t="n"/>
      <c r="F354" s="65" t="n"/>
      <c r="G354" s="68" t="str">
        <f>IF(J354&lt;&gt;"OK","",IF(F354="",N(INDEX(mat_loss,MATCH(B354,mat_ref,0))),F354))</f>
        <v/>
      </c>
      <c r="H354" s="66" t="str">
        <f>IF(J354&lt;&gt;"OK","",INDEX(mat_price,MATCH(B354,mat_ref,0)))</f>
        <v/>
      </c>
      <c r="I354" s="66" t="str">
        <f>IF(J354&lt;&gt;"OK","",E354*(1+G354)*H354)</f>
        <v/>
      </c>
      <c r="J354" s="69" t="str">
        <f>IF(AND(A354="",B354=""),"",IF(A354="","Produit manquant",IF(COUNTIF(prod_ref,A354)=0,"Produit inconnu",IF(B354="","Matière manquante",IF(ISNA(MATCH(B354,mat_ref,0)),"Matière inconnue",IF(INDEX(mat_check,MATCH(B354,mat_ref,0))&lt;&gt;"OK","Matière à corriger",IF(OR(NOT(ISNUMBER(E354)),N(E354)&lt;=0),"Quantité invalide",IF(AND(F354&lt;&gt;"",OR(NOT(ISNUMBER(F354)),N(F354)&lt;0,N(F354)&gt;=1)),"Perte entre 0 et 99 %",IF(COUNTIFS(bom_prod,A354,bom_mat,B354)&gt;1,"Matière en double","OK")))))))))</f>
        <v/>
      </c>
      <c r="K354" s="71" t="str">
        <f>IF(AND(fiche_sel&lt;&gt;"",A354=fiche_sel),COUNTIF(A$6:A354,fiche_sel),"")</f>
        <v/>
      </c>
    </row>
    <row r="355">
      <c r="A355" s="60" t="n"/>
      <c r="B355" s="60" t="n"/>
      <c r="C355" s="71" t="str">
        <f>IF(B355="","",IFERROR(INDEX(mat_des,MATCH(B355,mat_ref,0))&amp;"","Matière inconnue"))</f>
        <v/>
      </c>
      <c r="D355" s="69" t="str">
        <f>IF(B355="","",IFERROR(INDEX(mat_unit,MATCH(B355,mat_ref,0))&amp;"",""))</f>
        <v/>
      </c>
      <c r="E355" s="72" t="n"/>
      <c r="F355" s="65" t="n"/>
      <c r="G355" s="68" t="str">
        <f>IF(J355&lt;&gt;"OK","",IF(F355="",N(INDEX(mat_loss,MATCH(B355,mat_ref,0))),F355))</f>
        <v/>
      </c>
      <c r="H355" s="66" t="str">
        <f>IF(J355&lt;&gt;"OK","",INDEX(mat_price,MATCH(B355,mat_ref,0)))</f>
        <v/>
      </c>
      <c r="I355" s="66" t="str">
        <f>IF(J355&lt;&gt;"OK","",E355*(1+G355)*H355)</f>
        <v/>
      </c>
      <c r="J355" s="69" t="str">
        <f>IF(AND(A355="",B355=""),"",IF(A355="","Produit manquant",IF(COUNTIF(prod_ref,A355)=0,"Produit inconnu",IF(B355="","Matière manquante",IF(ISNA(MATCH(B355,mat_ref,0)),"Matière inconnue",IF(INDEX(mat_check,MATCH(B355,mat_ref,0))&lt;&gt;"OK","Matière à corriger",IF(OR(NOT(ISNUMBER(E355)),N(E355)&lt;=0),"Quantité invalide",IF(AND(F355&lt;&gt;"",OR(NOT(ISNUMBER(F355)),N(F355)&lt;0,N(F355)&gt;=1)),"Perte entre 0 et 99 %",IF(COUNTIFS(bom_prod,A355,bom_mat,B355)&gt;1,"Matière en double","OK")))))))))</f>
        <v/>
      </c>
      <c r="K355" s="71" t="str">
        <f>IF(AND(fiche_sel&lt;&gt;"",A355=fiche_sel),COUNTIF(A$6:A355,fiche_sel),"")</f>
        <v/>
      </c>
    </row>
    <row r="356">
      <c r="A356" s="60" t="n"/>
      <c r="B356" s="60" t="n"/>
      <c r="C356" s="71" t="str">
        <f>IF(B356="","",IFERROR(INDEX(mat_des,MATCH(B356,mat_ref,0))&amp;"","Matière inconnue"))</f>
        <v/>
      </c>
      <c r="D356" s="69" t="str">
        <f>IF(B356="","",IFERROR(INDEX(mat_unit,MATCH(B356,mat_ref,0))&amp;"",""))</f>
        <v/>
      </c>
      <c r="E356" s="72" t="n"/>
      <c r="F356" s="65" t="n"/>
      <c r="G356" s="68" t="str">
        <f>IF(J356&lt;&gt;"OK","",IF(F356="",N(INDEX(mat_loss,MATCH(B356,mat_ref,0))),F356))</f>
        <v/>
      </c>
      <c r="H356" s="66" t="str">
        <f>IF(J356&lt;&gt;"OK","",INDEX(mat_price,MATCH(B356,mat_ref,0)))</f>
        <v/>
      </c>
      <c r="I356" s="66" t="str">
        <f>IF(J356&lt;&gt;"OK","",E356*(1+G356)*H356)</f>
        <v/>
      </c>
      <c r="J356" s="69" t="str">
        <f>IF(AND(A356="",B356=""),"",IF(A356="","Produit manquant",IF(COUNTIF(prod_ref,A356)=0,"Produit inconnu",IF(B356="","Matière manquante",IF(ISNA(MATCH(B356,mat_ref,0)),"Matière inconnue",IF(INDEX(mat_check,MATCH(B356,mat_ref,0))&lt;&gt;"OK","Matière à corriger",IF(OR(NOT(ISNUMBER(E356)),N(E356)&lt;=0),"Quantité invalide",IF(AND(F356&lt;&gt;"",OR(NOT(ISNUMBER(F356)),N(F356)&lt;0,N(F356)&gt;=1)),"Perte entre 0 et 99 %",IF(COUNTIFS(bom_prod,A356,bom_mat,B356)&gt;1,"Matière en double","OK")))))))))</f>
        <v/>
      </c>
      <c r="K356" s="71" t="str">
        <f>IF(AND(fiche_sel&lt;&gt;"",A356=fiche_sel),COUNTIF(A$6:A356,fiche_sel),"")</f>
        <v/>
      </c>
    </row>
    <row r="357">
      <c r="A357" s="60" t="n"/>
      <c r="B357" s="60" t="n"/>
      <c r="C357" s="71" t="str">
        <f>IF(B357="","",IFERROR(INDEX(mat_des,MATCH(B357,mat_ref,0))&amp;"","Matière inconnue"))</f>
        <v/>
      </c>
      <c r="D357" s="69" t="str">
        <f>IF(B357="","",IFERROR(INDEX(mat_unit,MATCH(B357,mat_ref,0))&amp;"",""))</f>
        <v/>
      </c>
      <c r="E357" s="72" t="n"/>
      <c r="F357" s="65" t="n"/>
      <c r="G357" s="68" t="str">
        <f>IF(J357&lt;&gt;"OK","",IF(F357="",N(INDEX(mat_loss,MATCH(B357,mat_ref,0))),F357))</f>
        <v/>
      </c>
      <c r="H357" s="66" t="str">
        <f>IF(J357&lt;&gt;"OK","",INDEX(mat_price,MATCH(B357,mat_ref,0)))</f>
        <v/>
      </c>
      <c r="I357" s="66" t="str">
        <f>IF(J357&lt;&gt;"OK","",E357*(1+G357)*H357)</f>
        <v/>
      </c>
      <c r="J357" s="69" t="str">
        <f>IF(AND(A357="",B357=""),"",IF(A357="","Produit manquant",IF(COUNTIF(prod_ref,A357)=0,"Produit inconnu",IF(B357="","Matière manquante",IF(ISNA(MATCH(B357,mat_ref,0)),"Matière inconnue",IF(INDEX(mat_check,MATCH(B357,mat_ref,0))&lt;&gt;"OK","Matière à corriger",IF(OR(NOT(ISNUMBER(E357)),N(E357)&lt;=0),"Quantité invalide",IF(AND(F357&lt;&gt;"",OR(NOT(ISNUMBER(F357)),N(F357)&lt;0,N(F357)&gt;=1)),"Perte entre 0 et 99 %",IF(COUNTIFS(bom_prod,A357,bom_mat,B357)&gt;1,"Matière en double","OK")))))))))</f>
        <v/>
      </c>
      <c r="K357" s="71" t="str">
        <f>IF(AND(fiche_sel&lt;&gt;"",A357=fiche_sel),COUNTIF(A$6:A357,fiche_sel),"")</f>
        <v/>
      </c>
    </row>
    <row r="358">
      <c r="A358" s="60" t="n"/>
      <c r="B358" s="60" t="n"/>
      <c r="C358" s="71" t="str">
        <f>IF(B358="","",IFERROR(INDEX(mat_des,MATCH(B358,mat_ref,0))&amp;"","Matière inconnue"))</f>
        <v/>
      </c>
      <c r="D358" s="69" t="str">
        <f>IF(B358="","",IFERROR(INDEX(mat_unit,MATCH(B358,mat_ref,0))&amp;"",""))</f>
        <v/>
      </c>
      <c r="E358" s="72" t="n"/>
      <c r="F358" s="65" t="n"/>
      <c r="G358" s="68" t="str">
        <f>IF(J358&lt;&gt;"OK","",IF(F358="",N(INDEX(mat_loss,MATCH(B358,mat_ref,0))),F358))</f>
        <v/>
      </c>
      <c r="H358" s="66" t="str">
        <f>IF(J358&lt;&gt;"OK","",INDEX(mat_price,MATCH(B358,mat_ref,0)))</f>
        <v/>
      </c>
      <c r="I358" s="66" t="str">
        <f>IF(J358&lt;&gt;"OK","",E358*(1+G358)*H358)</f>
        <v/>
      </c>
      <c r="J358" s="69" t="str">
        <f>IF(AND(A358="",B358=""),"",IF(A358="","Produit manquant",IF(COUNTIF(prod_ref,A358)=0,"Produit inconnu",IF(B358="","Matière manquante",IF(ISNA(MATCH(B358,mat_ref,0)),"Matière inconnue",IF(INDEX(mat_check,MATCH(B358,mat_ref,0))&lt;&gt;"OK","Matière à corriger",IF(OR(NOT(ISNUMBER(E358)),N(E358)&lt;=0),"Quantité invalide",IF(AND(F358&lt;&gt;"",OR(NOT(ISNUMBER(F358)),N(F358)&lt;0,N(F358)&gt;=1)),"Perte entre 0 et 99 %",IF(COUNTIFS(bom_prod,A358,bom_mat,B358)&gt;1,"Matière en double","OK")))))))))</f>
        <v/>
      </c>
      <c r="K358" s="71" t="str">
        <f>IF(AND(fiche_sel&lt;&gt;"",A358=fiche_sel),COUNTIF(A$6:A358,fiche_sel),"")</f>
        <v/>
      </c>
    </row>
    <row r="359">
      <c r="A359" s="60" t="n"/>
      <c r="B359" s="60" t="n"/>
      <c r="C359" s="71" t="str">
        <f>IF(B359="","",IFERROR(INDEX(mat_des,MATCH(B359,mat_ref,0))&amp;"","Matière inconnue"))</f>
        <v/>
      </c>
      <c r="D359" s="69" t="str">
        <f>IF(B359="","",IFERROR(INDEX(mat_unit,MATCH(B359,mat_ref,0))&amp;"",""))</f>
        <v/>
      </c>
      <c r="E359" s="72" t="n"/>
      <c r="F359" s="65" t="n"/>
      <c r="G359" s="68" t="str">
        <f>IF(J359&lt;&gt;"OK","",IF(F359="",N(INDEX(mat_loss,MATCH(B359,mat_ref,0))),F359))</f>
        <v/>
      </c>
      <c r="H359" s="66" t="str">
        <f>IF(J359&lt;&gt;"OK","",INDEX(mat_price,MATCH(B359,mat_ref,0)))</f>
        <v/>
      </c>
      <c r="I359" s="66" t="str">
        <f>IF(J359&lt;&gt;"OK","",E359*(1+G359)*H359)</f>
        <v/>
      </c>
      <c r="J359" s="69" t="str">
        <f>IF(AND(A359="",B359=""),"",IF(A359="","Produit manquant",IF(COUNTIF(prod_ref,A359)=0,"Produit inconnu",IF(B359="","Matière manquante",IF(ISNA(MATCH(B359,mat_ref,0)),"Matière inconnue",IF(INDEX(mat_check,MATCH(B359,mat_ref,0))&lt;&gt;"OK","Matière à corriger",IF(OR(NOT(ISNUMBER(E359)),N(E359)&lt;=0),"Quantité invalide",IF(AND(F359&lt;&gt;"",OR(NOT(ISNUMBER(F359)),N(F359)&lt;0,N(F359)&gt;=1)),"Perte entre 0 et 99 %",IF(COUNTIFS(bom_prod,A359,bom_mat,B359)&gt;1,"Matière en double","OK")))))))))</f>
        <v/>
      </c>
      <c r="K359" s="71" t="str">
        <f>IF(AND(fiche_sel&lt;&gt;"",A359=fiche_sel),COUNTIF(A$6:A359,fiche_sel),"")</f>
        <v/>
      </c>
    </row>
    <row r="360">
      <c r="A360" s="60" t="n"/>
      <c r="B360" s="60" t="n"/>
      <c r="C360" s="71" t="str">
        <f>IF(B360="","",IFERROR(INDEX(mat_des,MATCH(B360,mat_ref,0))&amp;"","Matière inconnue"))</f>
        <v/>
      </c>
      <c r="D360" s="69" t="str">
        <f>IF(B360="","",IFERROR(INDEX(mat_unit,MATCH(B360,mat_ref,0))&amp;"",""))</f>
        <v/>
      </c>
      <c r="E360" s="72" t="n"/>
      <c r="F360" s="65" t="n"/>
      <c r="G360" s="68" t="str">
        <f>IF(J360&lt;&gt;"OK","",IF(F360="",N(INDEX(mat_loss,MATCH(B360,mat_ref,0))),F360))</f>
        <v/>
      </c>
      <c r="H360" s="66" t="str">
        <f>IF(J360&lt;&gt;"OK","",INDEX(mat_price,MATCH(B360,mat_ref,0)))</f>
        <v/>
      </c>
      <c r="I360" s="66" t="str">
        <f>IF(J360&lt;&gt;"OK","",E360*(1+G360)*H360)</f>
        <v/>
      </c>
      <c r="J360" s="69" t="str">
        <f>IF(AND(A360="",B360=""),"",IF(A360="","Produit manquant",IF(COUNTIF(prod_ref,A360)=0,"Produit inconnu",IF(B360="","Matière manquante",IF(ISNA(MATCH(B360,mat_ref,0)),"Matière inconnue",IF(INDEX(mat_check,MATCH(B360,mat_ref,0))&lt;&gt;"OK","Matière à corriger",IF(OR(NOT(ISNUMBER(E360)),N(E360)&lt;=0),"Quantité invalide",IF(AND(F360&lt;&gt;"",OR(NOT(ISNUMBER(F360)),N(F360)&lt;0,N(F360)&gt;=1)),"Perte entre 0 et 99 %",IF(COUNTIFS(bom_prod,A360,bom_mat,B360)&gt;1,"Matière en double","OK")))))))))</f>
        <v/>
      </c>
      <c r="K360" s="71" t="str">
        <f>IF(AND(fiche_sel&lt;&gt;"",A360=fiche_sel),COUNTIF(A$6:A360,fiche_sel),"")</f>
        <v/>
      </c>
    </row>
    <row r="361">
      <c r="A361" s="60" t="n"/>
      <c r="B361" s="60" t="n"/>
      <c r="C361" s="71" t="str">
        <f>IF(B361="","",IFERROR(INDEX(mat_des,MATCH(B361,mat_ref,0))&amp;"","Matière inconnue"))</f>
        <v/>
      </c>
      <c r="D361" s="69" t="str">
        <f>IF(B361="","",IFERROR(INDEX(mat_unit,MATCH(B361,mat_ref,0))&amp;"",""))</f>
        <v/>
      </c>
      <c r="E361" s="72" t="n"/>
      <c r="F361" s="65" t="n"/>
      <c r="G361" s="68" t="str">
        <f>IF(J361&lt;&gt;"OK","",IF(F361="",N(INDEX(mat_loss,MATCH(B361,mat_ref,0))),F361))</f>
        <v/>
      </c>
      <c r="H361" s="66" t="str">
        <f>IF(J361&lt;&gt;"OK","",INDEX(mat_price,MATCH(B361,mat_ref,0)))</f>
        <v/>
      </c>
      <c r="I361" s="66" t="str">
        <f>IF(J361&lt;&gt;"OK","",E361*(1+G361)*H361)</f>
        <v/>
      </c>
      <c r="J361" s="69" t="str">
        <f>IF(AND(A361="",B361=""),"",IF(A361="","Produit manquant",IF(COUNTIF(prod_ref,A361)=0,"Produit inconnu",IF(B361="","Matière manquante",IF(ISNA(MATCH(B361,mat_ref,0)),"Matière inconnue",IF(INDEX(mat_check,MATCH(B361,mat_ref,0))&lt;&gt;"OK","Matière à corriger",IF(OR(NOT(ISNUMBER(E361)),N(E361)&lt;=0),"Quantité invalide",IF(AND(F361&lt;&gt;"",OR(NOT(ISNUMBER(F361)),N(F361)&lt;0,N(F361)&gt;=1)),"Perte entre 0 et 99 %",IF(COUNTIFS(bom_prod,A361,bom_mat,B361)&gt;1,"Matière en double","OK")))))))))</f>
        <v/>
      </c>
      <c r="K361" s="71" t="str">
        <f>IF(AND(fiche_sel&lt;&gt;"",A361=fiche_sel),COUNTIF(A$6:A361,fiche_sel),"")</f>
        <v/>
      </c>
    </row>
    <row r="362">
      <c r="A362" s="60" t="n"/>
      <c r="B362" s="60" t="n"/>
      <c r="C362" s="71" t="str">
        <f>IF(B362="","",IFERROR(INDEX(mat_des,MATCH(B362,mat_ref,0))&amp;"","Matière inconnue"))</f>
        <v/>
      </c>
      <c r="D362" s="69" t="str">
        <f>IF(B362="","",IFERROR(INDEX(mat_unit,MATCH(B362,mat_ref,0))&amp;"",""))</f>
        <v/>
      </c>
      <c r="E362" s="72" t="n"/>
      <c r="F362" s="65" t="n"/>
      <c r="G362" s="68" t="str">
        <f>IF(J362&lt;&gt;"OK","",IF(F362="",N(INDEX(mat_loss,MATCH(B362,mat_ref,0))),F362))</f>
        <v/>
      </c>
      <c r="H362" s="66" t="str">
        <f>IF(J362&lt;&gt;"OK","",INDEX(mat_price,MATCH(B362,mat_ref,0)))</f>
        <v/>
      </c>
      <c r="I362" s="66" t="str">
        <f>IF(J362&lt;&gt;"OK","",E362*(1+G362)*H362)</f>
        <v/>
      </c>
      <c r="J362" s="69" t="str">
        <f>IF(AND(A362="",B362=""),"",IF(A362="","Produit manquant",IF(COUNTIF(prod_ref,A362)=0,"Produit inconnu",IF(B362="","Matière manquante",IF(ISNA(MATCH(B362,mat_ref,0)),"Matière inconnue",IF(INDEX(mat_check,MATCH(B362,mat_ref,0))&lt;&gt;"OK","Matière à corriger",IF(OR(NOT(ISNUMBER(E362)),N(E362)&lt;=0),"Quantité invalide",IF(AND(F362&lt;&gt;"",OR(NOT(ISNUMBER(F362)),N(F362)&lt;0,N(F362)&gt;=1)),"Perte entre 0 et 99 %",IF(COUNTIFS(bom_prod,A362,bom_mat,B362)&gt;1,"Matière en double","OK")))))))))</f>
        <v/>
      </c>
      <c r="K362" s="71" t="str">
        <f>IF(AND(fiche_sel&lt;&gt;"",A362=fiche_sel),COUNTIF(A$6:A362,fiche_sel),"")</f>
        <v/>
      </c>
    </row>
    <row r="363">
      <c r="A363" s="60" t="n"/>
      <c r="B363" s="60" t="n"/>
      <c r="C363" s="71" t="str">
        <f>IF(B363="","",IFERROR(INDEX(mat_des,MATCH(B363,mat_ref,0))&amp;"","Matière inconnue"))</f>
        <v/>
      </c>
      <c r="D363" s="69" t="str">
        <f>IF(B363="","",IFERROR(INDEX(mat_unit,MATCH(B363,mat_ref,0))&amp;"",""))</f>
        <v/>
      </c>
      <c r="E363" s="72" t="n"/>
      <c r="F363" s="65" t="n"/>
      <c r="G363" s="68" t="str">
        <f>IF(J363&lt;&gt;"OK","",IF(F363="",N(INDEX(mat_loss,MATCH(B363,mat_ref,0))),F363))</f>
        <v/>
      </c>
      <c r="H363" s="66" t="str">
        <f>IF(J363&lt;&gt;"OK","",INDEX(mat_price,MATCH(B363,mat_ref,0)))</f>
        <v/>
      </c>
      <c r="I363" s="66" t="str">
        <f>IF(J363&lt;&gt;"OK","",E363*(1+G363)*H363)</f>
        <v/>
      </c>
      <c r="J363" s="69" t="str">
        <f>IF(AND(A363="",B363=""),"",IF(A363="","Produit manquant",IF(COUNTIF(prod_ref,A363)=0,"Produit inconnu",IF(B363="","Matière manquante",IF(ISNA(MATCH(B363,mat_ref,0)),"Matière inconnue",IF(INDEX(mat_check,MATCH(B363,mat_ref,0))&lt;&gt;"OK","Matière à corriger",IF(OR(NOT(ISNUMBER(E363)),N(E363)&lt;=0),"Quantité invalide",IF(AND(F363&lt;&gt;"",OR(NOT(ISNUMBER(F363)),N(F363)&lt;0,N(F363)&gt;=1)),"Perte entre 0 et 99 %",IF(COUNTIFS(bom_prod,A363,bom_mat,B363)&gt;1,"Matière en double","OK")))))))))</f>
        <v/>
      </c>
      <c r="K363" s="71" t="str">
        <f>IF(AND(fiche_sel&lt;&gt;"",A363=fiche_sel),COUNTIF(A$6:A363,fiche_sel),"")</f>
        <v/>
      </c>
    </row>
    <row r="364">
      <c r="A364" s="60" t="n"/>
      <c r="B364" s="60" t="n"/>
      <c r="C364" s="71" t="str">
        <f>IF(B364="","",IFERROR(INDEX(mat_des,MATCH(B364,mat_ref,0))&amp;"","Matière inconnue"))</f>
        <v/>
      </c>
      <c r="D364" s="69" t="str">
        <f>IF(B364="","",IFERROR(INDEX(mat_unit,MATCH(B364,mat_ref,0))&amp;"",""))</f>
        <v/>
      </c>
      <c r="E364" s="72" t="n"/>
      <c r="F364" s="65" t="n"/>
      <c r="G364" s="68" t="str">
        <f>IF(J364&lt;&gt;"OK","",IF(F364="",N(INDEX(mat_loss,MATCH(B364,mat_ref,0))),F364))</f>
        <v/>
      </c>
      <c r="H364" s="66" t="str">
        <f>IF(J364&lt;&gt;"OK","",INDEX(mat_price,MATCH(B364,mat_ref,0)))</f>
        <v/>
      </c>
      <c r="I364" s="66" t="str">
        <f>IF(J364&lt;&gt;"OK","",E364*(1+G364)*H364)</f>
        <v/>
      </c>
      <c r="J364" s="69" t="str">
        <f>IF(AND(A364="",B364=""),"",IF(A364="","Produit manquant",IF(COUNTIF(prod_ref,A364)=0,"Produit inconnu",IF(B364="","Matière manquante",IF(ISNA(MATCH(B364,mat_ref,0)),"Matière inconnue",IF(INDEX(mat_check,MATCH(B364,mat_ref,0))&lt;&gt;"OK","Matière à corriger",IF(OR(NOT(ISNUMBER(E364)),N(E364)&lt;=0),"Quantité invalide",IF(AND(F364&lt;&gt;"",OR(NOT(ISNUMBER(F364)),N(F364)&lt;0,N(F364)&gt;=1)),"Perte entre 0 et 99 %",IF(COUNTIFS(bom_prod,A364,bom_mat,B364)&gt;1,"Matière en double","OK")))))))))</f>
        <v/>
      </c>
      <c r="K364" s="71" t="str">
        <f>IF(AND(fiche_sel&lt;&gt;"",A364=fiche_sel),COUNTIF(A$6:A364,fiche_sel),"")</f>
        <v/>
      </c>
    </row>
    <row r="365">
      <c r="A365" s="60" t="n"/>
      <c r="B365" s="60" t="n"/>
      <c r="C365" s="71" t="str">
        <f>IF(B365="","",IFERROR(INDEX(mat_des,MATCH(B365,mat_ref,0))&amp;"","Matière inconnue"))</f>
        <v/>
      </c>
      <c r="D365" s="69" t="str">
        <f>IF(B365="","",IFERROR(INDEX(mat_unit,MATCH(B365,mat_ref,0))&amp;"",""))</f>
        <v/>
      </c>
      <c r="E365" s="72" t="n"/>
      <c r="F365" s="65" t="n"/>
      <c r="G365" s="68" t="str">
        <f>IF(J365&lt;&gt;"OK","",IF(F365="",N(INDEX(mat_loss,MATCH(B365,mat_ref,0))),F365))</f>
        <v/>
      </c>
      <c r="H365" s="66" t="str">
        <f>IF(J365&lt;&gt;"OK","",INDEX(mat_price,MATCH(B365,mat_ref,0)))</f>
        <v/>
      </c>
      <c r="I365" s="66" t="str">
        <f>IF(J365&lt;&gt;"OK","",E365*(1+G365)*H365)</f>
        <v/>
      </c>
      <c r="J365" s="69" t="str">
        <f>IF(AND(A365="",B365=""),"",IF(A365="","Produit manquant",IF(COUNTIF(prod_ref,A365)=0,"Produit inconnu",IF(B365="","Matière manquante",IF(ISNA(MATCH(B365,mat_ref,0)),"Matière inconnue",IF(INDEX(mat_check,MATCH(B365,mat_ref,0))&lt;&gt;"OK","Matière à corriger",IF(OR(NOT(ISNUMBER(E365)),N(E365)&lt;=0),"Quantité invalide",IF(AND(F365&lt;&gt;"",OR(NOT(ISNUMBER(F365)),N(F365)&lt;0,N(F365)&gt;=1)),"Perte entre 0 et 99 %",IF(COUNTIFS(bom_prod,A365,bom_mat,B365)&gt;1,"Matière en double","OK")))))))))</f>
        <v/>
      </c>
      <c r="K365" s="71" t="str">
        <f>IF(AND(fiche_sel&lt;&gt;"",A365=fiche_sel),COUNTIF(A$6:A365,fiche_sel),"")</f>
        <v/>
      </c>
    </row>
    <row r="366">
      <c r="A366" s="60" t="n"/>
      <c r="B366" s="60" t="n"/>
      <c r="C366" s="71" t="str">
        <f>IF(B366="","",IFERROR(INDEX(mat_des,MATCH(B366,mat_ref,0))&amp;"","Matière inconnue"))</f>
        <v/>
      </c>
      <c r="D366" s="69" t="str">
        <f>IF(B366="","",IFERROR(INDEX(mat_unit,MATCH(B366,mat_ref,0))&amp;"",""))</f>
        <v/>
      </c>
      <c r="E366" s="72" t="n"/>
      <c r="F366" s="65" t="n"/>
      <c r="G366" s="68" t="str">
        <f>IF(J366&lt;&gt;"OK","",IF(F366="",N(INDEX(mat_loss,MATCH(B366,mat_ref,0))),F366))</f>
        <v/>
      </c>
      <c r="H366" s="66" t="str">
        <f>IF(J366&lt;&gt;"OK","",INDEX(mat_price,MATCH(B366,mat_ref,0)))</f>
        <v/>
      </c>
      <c r="I366" s="66" t="str">
        <f>IF(J366&lt;&gt;"OK","",E366*(1+G366)*H366)</f>
        <v/>
      </c>
      <c r="J366" s="69" t="str">
        <f>IF(AND(A366="",B366=""),"",IF(A366="","Produit manquant",IF(COUNTIF(prod_ref,A366)=0,"Produit inconnu",IF(B366="","Matière manquante",IF(ISNA(MATCH(B366,mat_ref,0)),"Matière inconnue",IF(INDEX(mat_check,MATCH(B366,mat_ref,0))&lt;&gt;"OK","Matière à corriger",IF(OR(NOT(ISNUMBER(E366)),N(E366)&lt;=0),"Quantité invalide",IF(AND(F366&lt;&gt;"",OR(NOT(ISNUMBER(F366)),N(F366)&lt;0,N(F366)&gt;=1)),"Perte entre 0 et 99 %",IF(COUNTIFS(bom_prod,A366,bom_mat,B366)&gt;1,"Matière en double","OK")))))))))</f>
        <v/>
      </c>
      <c r="K366" s="71" t="str">
        <f>IF(AND(fiche_sel&lt;&gt;"",A366=fiche_sel),COUNTIF(A$6:A366,fiche_sel),"")</f>
        <v/>
      </c>
    </row>
    <row r="367">
      <c r="A367" s="60" t="n"/>
      <c r="B367" s="60" t="n"/>
      <c r="C367" s="71" t="str">
        <f>IF(B367="","",IFERROR(INDEX(mat_des,MATCH(B367,mat_ref,0))&amp;"","Matière inconnue"))</f>
        <v/>
      </c>
      <c r="D367" s="69" t="str">
        <f>IF(B367="","",IFERROR(INDEX(mat_unit,MATCH(B367,mat_ref,0))&amp;"",""))</f>
        <v/>
      </c>
      <c r="E367" s="72" t="n"/>
      <c r="F367" s="65" t="n"/>
      <c r="G367" s="68" t="str">
        <f>IF(J367&lt;&gt;"OK","",IF(F367="",N(INDEX(mat_loss,MATCH(B367,mat_ref,0))),F367))</f>
        <v/>
      </c>
      <c r="H367" s="66" t="str">
        <f>IF(J367&lt;&gt;"OK","",INDEX(mat_price,MATCH(B367,mat_ref,0)))</f>
        <v/>
      </c>
      <c r="I367" s="66" t="str">
        <f>IF(J367&lt;&gt;"OK","",E367*(1+G367)*H367)</f>
        <v/>
      </c>
      <c r="J367" s="69" t="str">
        <f>IF(AND(A367="",B367=""),"",IF(A367="","Produit manquant",IF(COUNTIF(prod_ref,A367)=0,"Produit inconnu",IF(B367="","Matière manquante",IF(ISNA(MATCH(B367,mat_ref,0)),"Matière inconnue",IF(INDEX(mat_check,MATCH(B367,mat_ref,0))&lt;&gt;"OK","Matière à corriger",IF(OR(NOT(ISNUMBER(E367)),N(E367)&lt;=0),"Quantité invalide",IF(AND(F367&lt;&gt;"",OR(NOT(ISNUMBER(F367)),N(F367)&lt;0,N(F367)&gt;=1)),"Perte entre 0 et 99 %",IF(COUNTIFS(bom_prod,A367,bom_mat,B367)&gt;1,"Matière en double","OK")))))))))</f>
        <v/>
      </c>
      <c r="K367" s="71" t="str">
        <f>IF(AND(fiche_sel&lt;&gt;"",A367=fiche_sel),COUNTIF(A$6:A367,fiche_sel),"")</f>
        <v/>
      </c>
    </row>
    <row r="368">
      <c r="A368" s="60" t="n"/>
      <c r="B368" s="60" t="n"/>
      <c r="C368" s="71" t="str">
        <f>IF(B368="","",IFERROR(INDEX(mat_des,MATCH(B368,mat_ref,0))&amp;"","Matière inconnue"))</f>
        <v/>
      </c>
      <c r="D368" s="69" t="str">
        <f>IF(B368="","",IFERROR(INDEX(mat_unit,MATCH(B368,mat_ref,0))&amp;"",""))</f>
        <v/>
      </c>
      <c r="E368" s="72" t="n"/>
      <c r="F368" s="65" t="n"/>
      <c r="G368" s="68" t="str">
        <f>IF(J368&lt;&gt;"OK","",IF(F368="",N(INDEX(mat_loss,MATCH(B368,mat_ref,0))),F368))</f>
        <v/>
      </c>
      <c r="H368" s="66" t="str">
        <f>IF(J368&lt;&gt;"OK","",INDEX(mat_price,MATCH(B368,mat_ref,0)))</f>
        <v/>
      </c>
      <c r="I368" s="66" t="str">
        <f>IF(J368&lt;&gt;"OK","",E368*(1+G368)*H368)</f>
        <v/>
      </c>
      <c r="J368" s="69" t="str">
        <f>IF(AND(A368="",B368=""),"",IF(A368="","Produit manquant",IF(COUNTIF(prod_ref,A368)=0,"Produit inconnu",IF(B368="","Matière manquante",IF(ISNA(MATCH(B368,mat_ref,0)),"Matière inconnue",IF(INDEX(mat_check,MATCH(B368,mat_ref,0))&lt;&gt;"OK","Matière à corriger",IF(OR(NOT(ISNUMBER(E368)),N(E368)&lt;=0),"Quantité invalide",IF(AND(F368&lt;&gt;"",OR(NOT(ISNUMBER(F368)),N(F368)&lt;0,N(F368)&gt;=1)),"Perte entre 0 et 99 %",IF(COUNTIFS(bom_prod,A368,bom_mat,B368)&gt;1,"Matière en double","OK")))))))))</f>
        <v/>
      </c>
      <c r="K368" s="71" t="str">
        <f>IF(AND(fiche_sel&lt;&gt;"",A368=fiche_sel),COUNTIF(A$6:A368,fiche_sel),"")</f>
        <v/>
      </c>
    </row>
    <row r="369">
      <c r="A369" s="60" t="n"/>
      <c r="B369" s="60" t="n"/>
      <c r="C369" s="71" t="str">
        <f>IF(B369="","",IFERROR(INDEX(mat_des,MATCH(B369,mat_ref,0))&amp;"","Matière inconnue"))</f>
        <v/>
      </c>
      <c r="D369" s="69" t="str">
        <f>IF(B369="","",IFERROR(INDEX(mat_unit,MATCH(B369,mat_ref,0))&amp;"",""))</f>
        <v/>
      </c>
      <c r="E369" s="72" t="n"/>
      <c r="F369" s="65" t="n"/>
      <c r="G369" s="68" t="str">
        <f>IF(J369&lt;&gt;"OK","",IF(F369="",N(INDEX(mat_loss,MATCH(B369,mat_ref,0))),F369))</f>
        <v/>
      </c>
      <c r="H369" s="66" t="str">
        <f>IF(J369&lt;&gt;"OK","",INDEX(mat_price,MATCH(B369,mat_ref,0)))</f>
        <v/>
      </c>
      <c r="I369" s="66" t="str">
        <f>IF(J369&lt;&gt;"OK","",E369*(1+G369)*H369)</f>
        <v/>
      </c>
      <c r="J369" s="69" t="str">
        <f>IF(AND(A369="",B369=""),"",IF(A369="","Produit manquant",IF(COUNTIF(prod_ref,A369)=0,"Produit inconnu",IF(B369="","Matière manquante",IF(ISNA(MATCH(B369,mat_ref,0)),"Matière inconnue",IF(INDEX(mat_check,MATCH(B369,mat_ref,0))&lt;&gt;"OK","Matière à corriger",IF(OR(NOT(ISNUMBER(E369)),N(E369)&lt;=0),"Quantité invalide",IF(AND(F369&lt;&gt;"",OR(NOT(ISNUMBER(F369)),N(F369)&lt;0,N(F369)&gt;=1)),"Perte entre 0 et 99 %",IF(COUNTIFS(bom_prod,A369,bom_mat,B369)&gt;1,"Matière en double","OK")))))))))</f>
        <v/>
      </c>
      <c r="K369" s="71" t="str">
        <f>IF(AND(fiche_sel&lt;&gt;"",A369=fiche_sel),COUNTIF(A$6:A369,fiche_sel),"")</f>
        <v/>
      </c>
    </row>
    <row r="370">
      <c r="A370" s="60" t="n"/>
      <c r="B370" s="60" t="n"/>
      <c r="C370" s="71" t="str">
        <f>IF(B370="","",IFERROR(INDEX(mat_des,MATCH(B370,mat_ref,0))&amp;"","Matière inconnue"))</f>
        <v/>
      </c>
      <c r="D370" s="69" t="str">
        <f>IF(B370="","",IFERROR(INDEX(mat_unit,MATCH(B370,mat_ref,0))&amp;"",""))</f>
        <v/>
      </c>
      <c r="E370" s="72" t="n"/>
      <c r="F370" s="65" t="n"/>
      <c r="G370" s="68" t="str">
        <f>IF(J370&lt;&gt;"OK","",IF(F370="",N(INDEX(mat_loss,MATCH(B370,mat_ref,0))),F370))</f>
        <v/>
      </c>
      <c r="H370" s="66" t="str">
        <f>IF(J370&lt;&gt;"OK","",INDEX(mat_price,MATCH(B370,mat_ref,0)))</f>
        <v/>
      </c>
      <c r="I370" s="66" t="str">
        <f>IF(J370&lt;&gt;"OK","",E370*(1+G370)*H370)</f>
        <v/>
      </c>
      <c r="J370" s="69" t="str">
        <f>IF(AND(A370="",B370=""),"",IF(A370="","Produit manquant",IF(COUNTIF(prod_ref,A370)=0,"Produit inconnu",IF(B370="","Matière manquante",IF(ISNA(MATCH(B370,mat_ref,0)),"Matière inconnue",IF(INDEX(mat_check,MATCH(B370,mat_ref,0))&lt;&gt;"OK","Matière à corriger",IF(OR(NOT(ISNUMBER(E370)),N(E370)&lt;=0),"Quantité invalide",IF(AND(F370&lt;&gt;"",OR(NOT(ISNUMBER(F370)),N(F370)&lt;0,N(F370)&gt;=1)),"Perte entre 0 et 99 %",IF(COUNTIFS(bom_prod,A370,bom_mat,B370)&gt;1,"Matière en double","OK")))))))))</f>
        <v/>
      </c>
      <c r="K370" s="71" t="str">
        <f>IF(AND(fiche_sel&lt;&gt;"",A370=fiche_sel),COUNTIF(A$6:A370,fiche_sel),"")</f>
        <v/>
      </c>
    </row>
    <row r="371">
      <c r="A371" s="60" t="n"/>
      <c r="B371" s="60" t="n"/>
      <c r="C371" s="71" t="str">
        <f>IF(B371="","",IFERROR(INDEX(mat_des,MATCH(B371,mat_ref,0))&amp;"","Matière inconnue"))</f>
        <v/>
      </c>
      <c r="D371" s="69" t="str">
        <f>IF(B371="","",IFERROR(INDEX(mat_unit,MATCH(B371,mat_ref,0))&amp;"",""))</f>
        <v/>
      </c>
      <c r="E371" s="72" t="n"/>
      <c r="F371" s="65" t="n"/>
      <c r="G371" s="68" t="str">
        <f>IF(J371&lt;&gt;"OK","",IF(F371="",N(INDEX(mat_loss,MATCH(B371,mat_ref,0))),F371))</f>
        <v/>
      </c>
      <c r="H371" s="66" t="str">
        <f>IF(J371&lt;&gt;"OK","",INDEX(mat_price,MATCH(B371,mat_ref,0)))</f>
        <v/>
      </c>
      <c r="I371" s="66" t="str">
        <f>IF(J371&lt;&gt;"OK","",E371*(1+G371)*H371)</f>
        <v/>
      </c>
      <c r="J371" s="69" t="str">
        <f>IF(AND(A371="",B371=""),"",IF(A371="","Produit manquant",IF(COUNTIF(prod_ref,A371)=0,"Produit inconnu",IF(B371="","Matière manquante",IF(ISNA(MATCH(B371,mat_ref,0)),"Matière inconnue",IF(INDEX(mat_check,MATCH(B371,mat_ref,0))&lt;&gt;"OK","Matière à corriger",IF(OR(NOT(ISNUMBER(E371)),N(E371)&lt;=0),"Quantité invalide",IF(AND(F371&lt;&gt;"",OR(NOT(ISNUMBER(F371)),N(F371)&lt;0,N(F371)&gt;=1)),"Perte entre 0 et 99 %",IF(COUNTIFS(bom_prod,A371,bom_mat,B371)&gt;1,"Matière en double","OK")))))))))</f>
        <v/>
      </c>
      <c r="K371" s="71" t="str">
        <f>IF(AND(fiche_sel&lt;&gt;"",A371=fiche_sel),COUNTIF(A$6:A371,fiche_sel),"")</f>
        <v/>
      </c>
    </row>
    <row r="372">
      <c r="A372" s="60" t="n"/>
      <c r="B372" s="60" t="n"/>
      <c r="C372" s="71" t="str">
        <f>IF(B372="","",IFERROR(INDEX(mat_des,MATCH(B372,mat_ref,0))&amp;"","Matière inconnue"))</f>
        <v/>
      </c>
      <c r="D372" s="69" t="str">
        <f>IF(B372="","",IFERROR(INDEX(mat_unit,MATCH(B372,mat_ref,0))&amp;"",""))</f>
        <v/>
      </c>
      <c r="E372" s="72" t="n"/>
      <c r="F372" s="65" t="n"/>
      <c r="G372" s="68" t="str">
        <f>IF(J372&lt;&gt;"OK","",IF(F372="",N(INDEX(mat_loss,MATCH(B372,mat_ref,0))),F372))</f>
        <v/>
      </c>
      <c r="H372" s="66" t="str">
        <f>IF(J372&lt;&gt;"OK","",INDEX(mat_price,MATCH(B372,mat_ref,0)))</f>
        <v/>
      </c>
      <c r="I372" s="66" t="str">
        <f>IF(J372&lt;&gt;"OK","",E372*(1+G372)*H372)</f>
        <v/>
      </c>
      <c r="J372" s="69" t="str">
        <f>IF(AND(A372="",B372=""),"",IF(A372="","Produit manquant",IF(COUNTIF(prod_ref,A372)=0,"Produit inconnu",IF(B372="","Matière manquante",IF(ISNA(MATCH(B372,mat_ref,0)),"Matière inconnue",IF(INDEX(mat_check,MATCH(B372,mat_ref,0))&lt;&gt;"OK","Matière à corriger",IF(OR(NOT(ISNUMBER(E372)),N(E372)&lt;=0),"Quantité invalide",IF(AND(F372&lt;&gt;"",OR(NOT(ISNUMBER(F372)),N(F372)&lt;0,N(F372)&gt;=1)),"Perte entre 0 et 99 %",IF(COUNTIFS(bom_prod,A372,bom_mat,B372)&gt;1,"Matière en double","OK")))))))))</f>
        <v/>
      </c>
      <c r="K372" s="71" t="str">
        <f>IF(AND(fiche_sel&lt;&gt;"",A372=fiche_sel),COUNTIF(A$6:A372,fiche_sel),"")</f>
        <v/>
      </c>
    </row>
    <row r="373">
      <c r="A373" s="60" t="n"/>
      <c r="B373" s="60" t="n"/>
      <c r="C373" s="71" t="str">
        <f>IF(B373="","",IFERROR(INDEX(mat_des,MATCH(B373,mat_ref,0))&amp;"","Matière inconnue"))</f>
        <v/>
      </c>
      <c r="D373" s="69" t="str">
        <f>IF(B373="","",IFERROR(INDEX(mat_unit,MATCH(B373,mat_ref,0))&amp;"",""))</f>
        <v/>
      </c>
      <c r="E373" s="72" t="n"/>
      <c r="F373" s="65" t="n"/>
      <c r="G373" s="68" t="str">
        <f>IF(J373&lt;&gt;"OK","",IF(F373="",N(INDEX(mat_loss,MATCH(B373,mat_ref,0))),F373))</f>
        <v/>
      </c>
      <c r="H373" s="66" t="str">
        <f>IF(J373&lt;&gt;"OK","",INDEX(mat_price,MATCH(B373,mat_ref,0)))</f>
        <v/>
      </c>
      <c r="I373" s="66" t="str">
        <f>IF(J373&lt;&gt;"OK","",E373*(1+G373)*H373)</f>
        <v/>
      </c>
      <c r="J373" s="69" t="str">
        <f>IF(AND(A373="",B373=""),"",IF(A373="","Produit manquant",IF(COUNTIF(prod_ref,A373)=0,"Produit inconnu",IF(B373="","Matière manquante",IF(ISNA(MATCH(B373,mat_ref,0)),"Matière inconnue",IF(INDEX(mat_check,MATCH(B373,mat_ref,0))&lt;&gt;"OK","Matière à corriger",IF(OR(NOT(ISNUMBER(E373)),N(E373)&lt;=0),"Quantité invalide",IF(AND(F373&lt;&gt;"",OR(NOT(ISNUMBER(F373)),N(F373)&lt;0,N(F373)&gt;=1)),"Perte entre 0 et 99 %",IF(COUNTIFS(bom_prod,A373,bom_mat,B373)&gt;1,"Matière en double","OK")))))))))</f>
        <v/>
      </c>
      <c r="K373" s="71" t="str">
        <f>IF(AND(fiche_sel&lt;&gt;"",A373=fiche_sel),COUNTIF(A$6:A373,fiche_sel),"")</f>
        <v/>
      </c>
    </row>
    <row r="374">
      <c r="A374" s="60" t="n"/>
      <c r="B374" s="60" t="n"/>
      <c r="C374" s="71" t="str">
        <f>IF(B374="","",IFERROR(INDEX(mat_des,MATCH(B374,mat_ref,0))&amp;"","Matière inconnue"))</f>
        <v/>
      </c>
      <c r="D374" s="69" t="str">
        <f>IF(B374="","",IFERROR(INDEX(mat_unit,MATCH(B374,mat_ref,0))&amp;"",""))</f>
        <v/>
      </c>
      <c r="E374" s="72" t="n"/>
      <c r="F374" s="65" t="n"/>
      <c r="G374" s="68" t="str">
        <f>IF(J374&lt;&gt;"OK","",IF(F374="",N(INDEX(mat_loss,MATCH(B374,mat_ref,0))),F374))</f>
        <v/>
      </c>
      <c r="H374" s="66" t="str">
        <f>IF(J374&lt;&gt;"OK","",INDEX(mat_price,MATCH(B374,mat_ref,0)))</f>
        <v/>
      </c>
      <c r="I374" s="66" t="str">
        <f>IF(J374&lt;&gt;"OK","",E374*(1+G374)*H374)</f>
        <v/>
      </c>
      <c r="J374" s="69" t="str">
        <f>IF(AND(A374="",B374=""),"",IF(A374="","Produit manquant",IF(COUNTIF(prod_ref,A374)=0,"Produit inconnu",IF(B374="","Matière manquante",IF(ISNA(MATCH(B374,mat_ref,0)),"Matière inconnue",IF(INDEX(mat_check,MATCH(B374,mat_ref,0))&lt;&gt;"OK","Matière à corriger",IF(OR(NOT(ISNUMBER(E374)),N(E374)&lt;=0),"Quantité invalide",IF(AND(F374&lt;&gt;"",OR(NOT(ISNUMBER(F374)),N(F374)&lt;0,N(F374)&gt;=1)),"Perte entre 0 et 99 %",IF(COUNTIFS(bom_prod,A374,bom_mat,B374)&gt;1,"Matière en double","OK")))))))))</f>
        <v/>
      </c>
      <c r="K374" s="71" t="str">
        <f>IF(AND(fiche_sel&lt;&gt;"",A374=fiche_sel),COUNTIF(A$6:A374,fiche_sel),"")</f>
        <v/>
      </c>
    </row>
    <row r="375">
      <c r="A375" s="60" t="n"/>
      <c r="B375" s="60" t="n"/>
      <c r="C375" s="71" t="str">
        <f>IF(B375="","",IFERROR(INDEX(mat_des,MATCH(B375,mat_ref,0))&amp;"","Matière inconnue"))</f>
        <v/>
      </c>
      <c r="D375" s="69" t="str">
        <f>IF(B375="","",IFERROR(INDEX(mat_unit,MATCH(B375,mat_ref,0))&amp;"",""))</f>
        <v/>
      </c>
      <c r="E375" s="72" t="n"/>
      <c r="F375" s="65" t="n"/>
      <c r="G375" s="68" t="str">
        <f>IF(J375&lt;&gt;"OK","",IF(F375="",N(INDEX(mat_loss,MATCH(B375,mat_ref,0))),F375))</f>
        <v/>
      </c>
      <c r="H375" s="66" t="str">
        <f>IF(J375&lt;&gt;"OK","",INDEX(mat_price,MATCH(B375,mat_ref,0)))</f>
        <v/>
      </c>
      <c r="I375" s="66" t="str">
        <f>IF(J375&lt;&gt;"OK","",E375*(1+G375)*H375)</f>
        <v/>
      </c>
      <c r="J375" s="69" t="str">
        <f>IF(AND(A375="",B375=""),"",IF(A375="","Produit manquant",IF(COUNTIF(prod_ref,A375)=0,"Produit inconnu",IF(B375="","Matière manquante",IF(ISNA(MATCH(B375,mat_ref,0)),"Matière inconnue",IF(INDEX(mat_check,MATCH(B375,mat_ref,0))&lt;&gt;"OK","Matière à corriger",IF(OR(NOT(ISNUMBER(E375)),N(E375)&lt;=0),"Quantité invalide",IF(AND(F375&lt;&gt;"",OR(NOT(ISNUMBER(F375)),N(F375)&lt;0,N(F375)&gt;=1)),"Perte entre 0 et 99 %",IF(COUNTIFS(bom_prod,A375,bom_mat,B375)&gt;1,"Matière en double","OK")))))))))</f>
        <v/>
      </c>
      <c r="K375" s="71" t="str">
        <f>IF(AND(fiche_sel&lt;&gt;"",A375=fiche_sel),COUNTIF(A$6:A375,fiche_sel),"")</f>
        <v/>
      </c>
    </row>
    <row r="376">
      <c r="A376" s="60" t="n"/>
      <c r="B376" s="60" t="n"/>
      <c r="C376" s="71" t="str">
        <f>IF(B376="","",IFERROR(INDEX(mat_des,MATCH(B376,mat_ref,0))&amp;"","Matière inconnue"))</f>
        <v/>
      </c>
      <c r="D376" s="69" t="str">
        <f>IF(B376="","",IFERROR(INDEX(mat_unit,MATCH(B376,mat_ref,0))&amp;"",""))</f>
        <v/>
      </c>
      <c r="E376" s="72" t="n"/>
      <c r="F376" s="65" t="n"/>
      <c r="G376" s="68" t="str">
        <f>IF(J376&lt;&gt;"OK","",IF(F376="",N(INDEX(mat_loss,MATCH(B376,mat_ref,0))),F376))</f>
        <v/>
      </c>
      <c r="H376" s="66" t="str">
        <f>IF(J376&lt;&gt;"OK","",INDEX(mat_price,MATCH(B376,mat_ref,0)))</f>
        <v/>
      </c>
      <c r="I376" s="66" t="str">
        <f>IF(J376&lt;&gt;"OK","",E376*(1+G376)*H376)</f>
        <v/>
      </c>
      <c r="J376" s="69" t="str">
        <f>IF(AND(A376="",B376=""),"",IF(A376="","Produit manquant",IF(COUNTIF(prod_ref,A376)=0,"Produit inconnu",IF(B376="","Matière manquante",IF(ISNA(MATCH(B376,mat_ref,0)),"Matière inconnue",IF(INDEX(mat_check,MATCH(B376,mat_ref,0))&lt;&gt;"OK","Matière à corriger",IF(OR(NOT(ISNUMBER(E376)),N(E376)&lt;=0),"Quantité invalide",IF(AND(F376&lt;&gt;"",OR(NOT(ISNUMBER(F376)),N(F376)&lt;0,N(F376)&gt;=1)),"Perte entre 0 et 99 %",IF(COUNTIFS(bom_prod,A376,bom_mat,B376)&gt;1,"Matière en double","OK")))))))))</f>
        <v/>
      </c>
      <c r="K376" s="71" t="str">
        <f>IF(AND(fiche_sel&lt;&gt;"",A376=fiche_sel),COUNTIF(A$6:A376,fiche_sel),"")</f>
        <v/>
      </c>
    </row>
    <row r="377">
      <c r="A377" s="60" t="n"/>
      <c r="B377" s="60" t="n"/>
      <c r="C377" s="71" t="str">
        <f>IF(B377="","",IFERROR(INDEX(mat_des,MATCH(B377,mat_ref,0))&amp;"","Matière inconnue"))</f>
        <v/>
      </c>
      <c r="D377" s="69" t="str">
        <f>IF(B377="","",IFERROR(INDEX(mat_unit,MATCH(B377,mat_ref,0))&amp;"",""))</f>
        <v/>
      </c>
      <c r="E377" s="72" t="n"/>
      <c r="F377" s="65" t="n"/>
      <c r="G377" s="68" t="str">
        <f>IF(J377&lt;&gt;"OK","",IF(F377="",N(INDEX(mat_loss,MATCH(B377,mat_ref,0))),F377))</f>
        <v/>
      </c>
      <c r="H377" s="66" t="str">
        <f>IF(J377&lt;&gt;"OK","",INDEX(mat_price,MATCH(B377,mat_ref,0)))</f>
        <v/>
      </c>
      <c r="I377" s="66" t="str">
        <f>IF(J377&lt;&gt;"OK","",E377*(1+G377)*H377)</f>
        <v/>
      </c>
      <c r="J377" s="69" t="str">
        <f>IF(AND(A377="",B377=""),"",IF(A377="","Produit manquant",IF(COUNTIF(prod_ref,A377)=0,"Produit inconnu",IF(B377="","Matière manquante",IF(ISNA(MATCH(B377,mat_ref,0)),"Matière inconnue",IF(INDEX(mat_check,MATCH(B377,mat_ref,0))&lt;&gt;"OK","Matière à corriger",IF(OR(NOT(ISNUMBER(E377)),N(E377)&lt;=0),"Quantité invalide",IF(AND(F377&lt;&gt;"",OR(NOT(ISNUMBER(F377)),N(F377)&lt;0,N(F377)&gt;=1)),"Perte entre 0 et 99 %",IF(COUNTIFS(bom_prod,A377,bom_mat,B377)&gt;1,"Matière en double","OK")))))))))</f>
        <v/>
      </c>
      <c r="K377" s="71" t="str">
        <f>IF(AND(fiche_sel&lt;&gt;"",A377=fiche_sel),COUNTIF(A$6:A377,fiche_sel),"")</f>
        <v/>
      </c>
    </row>
    <row r="378">
      <c r="A378" s="60" t="n"/>
      <c r="B378" s="60" t="n"/>
      <c r="C378" s="71" t="str">
        <f>IF(B378="","",IFERROR(INDEX(mat_des,MATCH(B378,mat_ref,0))&amp;"","Matière inconnue"))</f>
        <v/>
      </c>
      <c r="D378" s="69" t="str">
        <f>IF(B378="","",IFERROR(INDEX(mat_unit,MATCH(B378,mat_ref,0))&amp;"",""))</f>
        <v/>
      </c>
      <c r="E378" s="72" t="n"/>
      <c r="F378" s="65" t="n"/>
      <c r="G378" s="68" t="str">
        <f>IF(J378&lt;&gt;"OK","",IF(F378="",N(INDEX(mat_loss,MATCH(B378,mat_ref,0))),F378))</f>
        <v/>
      </c>
      <c r="H378" s="66" t="str">
        <f>IF(J378&lt;&gt;"OK","",INDEX(mat_price,MATCH(B378,mat_ref,0)))</f>
        <v/>
      </c>
      <c r="I378" s="66" t="str">
        <f>IF(J378&lt;&gt;"OK","",E378*(1+G378)*H378)</f>
        <v/>
      </c>
      <c r="J378" s="69" t="str">
        <f>IF(AND(A378="",B378=""),"",IF(A378="","Produit manquant",IF(COUNTIF(prod_ref,A378)=0,"Produit inconnu",IF(B378="","Matière manquante",IF(ISNA(MATCH(B378,mat_ref,0)),"Matière inconnue",IF(INDEX(mat_check,MATCH(B378,mat_ref,0))&lt;&gt;"OK","Matière à corriger",IF(OR(NOT(ISNUMBER(E378)),N(E378)&lt;=0),"Quantité invalide",IF(AND(F378&lt;&gt;"",OR(NOT(ISNUMBER(F378)),N(F378)&lt;0,N(F378)&gt;=1)),"Perte entre 0 et 99 %",IF(COUNTIFS(bom_prod,A378,bom_mat,B378)&gt;1,"Matière en double","OK")))))))))</f>
        <v/>
      </c>
      <c r="K378" s="71" t="str">
        <f>IF(AND(fiche_sel&lt;&gt;"",A378=fiche_sel),COUNTIF(A$6:A378,fiche_sel),"")</f>
        <v/>
      </c>
    </row>
    <row r="379">
      <c r="A379" s="60" t="n"/>
      <c r="B379" s="60" t="n"/>
      <c r="C379" s="71" t="str">
        <f>IF(B379="","",IFERROR(INDEX(mat_des,MATCH(B379,mat_ref,0))&amp;"","Matière inconnue"))</f>
        <v/>
      </c>
      <c r="D379" s="69" t="str">
        <f>IF(B379="","",IFERROR(INDEX(mat_unit,MATCH(B379,mat_ref,0))&amp;"",""))</f>
        <v/>
      </c>
      <c r="E379" s="72" t="n"/>
      <c r="F379" s="65" t="n"/>
      <c r="G379" s="68" t="str">
        <f>IF(J379&lt;&gt;"OK","",IF(F379="",N(INDEX(mat_loss,MATCH(B379,mat_ref,0))),F379))</f>
        <v/>
      </c>
      <c r="H379" s="66" t="str">
        <f>IF(J379&lt;&gt;"OK","",INDEX(mat_price,MATCH(B379,mat_ref,0)))</f>
        <v/>
      </c>
      <c r="I379" s="66" t="str">
        <f>IF(J379&lt;&gt;"OK","",E379*(1+G379)*H379)</f>
        <v/>
      </c>
      <c r="J379" s="69" t="str">
        <f>IF(AND(A379="",B379=""),"",IF(A379="","Produit manquant",IF(COUNTIF(prod_ref,A379)=0,"Produit inconnu",IF(B379="","Matière manquante",IF(ISNA(MATCH(B379,mat_ref,0)),"Matière inconnue",IF(INDEX(mat_check,MATCH(B379,mat_ref,0))&lt;&gt;"OK","Matière à corriger",IF(OR(NOT(ISNUMBER(E379)),N(E379)&lt;=0),"Quantité invalide",IF(AND(F379&lt;&gt;"",OR(NOT(ISNUMBER(F379)),N(F379)&lt;0,N(F379)&gt;=1)),"Perte entre 0 et 99 %",IF(COUNTIFS(bom_prod,A379,bom_mat,B379)&gt;1,"Matière en double","OK")))))))))</f>
        <v/>
      </c>
      <c r="K379" s="71" t="str">
        <f>IF(AND(fiche_sel&lt;&gt;"",A379=fiche_sel),COUNTIF(A$6:A379,fiche_sel),"")</f>
        <v/>
      </c>
    </row>
    <row r="380">
      <c r="A380" s="60" t="n"/>
      <c r="B380" s="60" t="n"/>
      <c r="C380" s="71" t="str">
        <f>IF(B380="","",IFERROR(INDEX(mat_des,MATCH(B380,mat_ref,0))&amp;"","Matière inconnue"))</f>
        <v/>
      </c>
      <c r="D380" s="69" t="str">
        <f>IF(B380="","",IFERROR(INDEX(mat_unit,MATCH(B380,mat_ref,0))&amp;"",""))</f>
        <v/>
      </c>
      <c r="E380" s="72" t="n"/>
      <c r="F380" s="65" t="n"/>
      <c r="G380" s="68" t="str">
        <f>IF(J380&lt;&gt;"OK","",IF(F380="",N(INDEX(mat_loss,MATCH(B380,mat_ref,0))),F380))</f>
        <v/>
      </c>
      <c r="H380" s="66" t="str">
        <f>IF(J380&lt;&gt;"OK","",INDEX(mat_price,MATCH(B380,mat_ref,0)))</f>
        <v/>
      </c>
      <c r="I380" s="66" t="str">
        <f>IF(J380&lt;&gt;"OK","",E380*(1+G380)*H380)</f>
        <v/>
      </c>
      <c r="J380" s="69" t="str">
        <f>IF(AND(A380="",B380=""),"",IF(A380="","Produit manquant",IF(COUNTIF(prod_ref,A380)=0,"Produit inconnu",IF(B380="","Matière manquante",IF(ISNA(MATCH(B380,mat_ref,0)),"Matière inconnue",IF(INDEX(mat_check,MATCH(B380,mat_ref,0))&lt;&gt;"OK","Matière à corriger",IF(OR(NOT(ISNUMBER(E380)),N(E380)&lt;=0),"Quantité invalide",IF(AND(F380&lt;&gt;"",OR(NOT(ISNUMBER(F380)),N(F380)&lt;0,N(F380)&gt;=1)),"Perte entre 0 et 99 %",IF(COUNTIFS(bom_prod,A380,bom_mat,B380)&gt;1,"Matière en double","OK")))))))))</f>
        <v/>
      </c>
      <c r="K380" s="71" t="str">
        <f>IF(AND(fiche_sel&lt;&gt;"",A380=fiche_sel),COUNTIF(A$6:A380,fiche_sel),"")</f>
        <v/>
      </c>
    </row>
    <row r="381">
      <c r="A381" s="60" t="n"/>
      <c r="B381" s="60" t="n"/>
      <c r="C381" s="71" t="str">
        <f>IF(B381="","",IFERROR(INDEX(mat_des,MATCH(B381,mat_ref,0))&amp;"","Matière inconnue"))</f>
        <v/>
      </c>
      <c r="D381" s="69" t="str">
        <f>IF(B381="","",IFERROR(INDEX(mat_unit,MATCH(B381,mat_ref,0))&amp;"",""))</f>
        <v/>
      </c>
      <c r="E381" s="72" t="n"/>
      <c r="F381" s="65" t="n"/>
      <c r="G381" s="68" t="str">
        <f>IF(J381&lt;&gt;"OK","",IF(F381="",N(INDEX(mat_loss,MATCH(B381,mat_ref,0))),F381))</f>
        <v/>
      </c>
      <c r="H381" s="66" t="str">
        <f>IF(J381&lt;&gt;"OK","",INDEX(mat_price,MATCH(B381,mat_ref,0)))</f>
        <v/>
      </c>
      <c r="I381" s="66" t="str">
        <f>IF(J381&lt;&gt;"OK","",E381*(1+G381)*H381)</f>
        <v/>
      </c>
      <c r="J381" s="69" t="str">
        <f>IF(AND(A381="",B381=""),"",IF(A381="","Produit manquant",IF(COUNTIF(prod_ref,A381)=0,"Produit inconnu",IF(B381="","Matière manquante",IF(ISNA(MATCH(B381,mat_ref,0)),"Matière inconnue",IF(INDEX(mat_check,MATCH(B381,mat_ref,0))&lt;&gt;"OK","Matière à corriger",IF(OR(NOT(ISNUMBER(E381)),N(E381)&lt;=0),"Quantité invalide",IF(AND(F381&lt;&gt;"",OR(NOT(ISNUMBER(F381)),N(F381)&lt;0,N(F381)&gt;=1)),"Perte entre 0 et 99 %",IF(COUNTIFS(bom_prod,A381,bom_mat,B381)&gt;1,"Matière en double","OK")))))))))</f>
        <v/>
      </c>
      <c r="K381" s="71" t="str">
        <f>IF(AND(fiche_sel&lt;&gt;"",A381=fiche_sel),COUNTIF(A$6:A381,fiche_sel),"")</f>
        <v/>
      </c>
    </row>
    <row r="382">
      <c r="A382" s="60" t="n"/>
      <c r="B382" s="60" t="n"/>
      <c r="C382" s="71" t="str">
        <f>IF(B382="","",IFERROR(INDEX(mat_des,MATCH(B382,mat_ref,0))&amp;"","Matière inconnue"))</f>
        <v/>
      </c>
      <c r="D382" s="69" t="str">
        <f>IF(B382="","",IFERROR(INDEX(mat_unit,MATCH(B382,mat_ref,0))&amp;"",""))</f>
        <v/>
      </c>
      <c r="E382" s="72" t="n"/>
      <c r="F382" s="65" t="n"/>
      <c r="G382" s="68" t="str">
        <f>IF(J382&lt;&gt;"OK","",IF(F382="",N(INDEX(mat_loss,MATCH(B382,mat_ref,0))),F382))</f>
        <v/>
      </c>
      <c r="H382" s="66" t="str">
        <f>IF(J382&lt;&gt;"OK","",INDEX(mat_price,MATCH(B382,mat_ref,0)))</f>
        <v/>
      </c>
      <c r="I382" s="66" t="str">
        <f>IF(J382&lt;&gt;"OK","",E382*(1+G382)*H382)</f>
        <v/>
      </c>
      <c r="J382" s="69" t="str">
        <f>IF(AND(A382="",B382=""),"",IF(A382="","Produit manquant",IF(COUNTIF(prod_ref,A382)=0,"Produit inconnu",IF(B382="","Matière manquante",IF(ISNA(MATCH(B382,mat_ref,0)),"Matière inconnue",IF(INDEX(mat_check,MATCH(B382,mat_ref,0))&lt;&gt;"OK","Matière à corriger",IF(OR(NOT(ISNUMBER(E382)),N(E382)&lt;=0),"Quantité invalide",IF(AND(F382&lt;&gt;"",OR(NOT(ISNUMBER(F382)),N(F382)&lt;0,N(F382)&gt;=1)),"Perte entre 0 et 99 %",IF(COUNTIFS(bom_prod,A382,bom_mat,B382)&gt;1,"Matière en double","OK")))))))))</f>
        <v/>
      </c>
      <c r="K382" s="71" t="str">
        <f>IF(AND(fiche_sel&lt;&gt;"",A382=fiche_sel),COUNTIF(A$6:A382,fiche_sel),"")</f>
        <v/>
      </c>
    </row>
    <row r="383">
      <c r="A383" s="60" t="n"/>
      <c r="B383" s="60" t="n"/>
      <c r="C383" s="71" t="str">
        <f>IF(B383="","",IFERROR(INDEX(mat_des,MATCH(B383,mat_ref,0))&amp;"","Matière inconnue"))</f>
        <v/>
      </c>
      <c r="D383" s="69" t="str">
        <f>IF(B383="","",IFERROR(INDEX(mat_unit,MATCH(B383,mat_ref,0))&amp;"",""))</f>
        <v/>
      </c>
      <c r="E383" s="72" t="n"/>
      <c r="F383" s="65" t="n"/>
      <c r="G383" s="68" t="str">
        <f>IF(J383&lt;&gt;"OK","",IF(F383="",N(INDEX(mat_loss,MATCH(B383,mat_ref,0))),F383))</f>
        <v/>
      </c>
      <c r="H383" s="66" t="str">
        <f>IF(J383&lt;&gt;"OK","",INDEX(mat_price,MATCH(B383,mat_ref,0)))</f>
        <v/>
      </c>
      <c r="I383" s="66" t="str">
        <f>IF(J383&lt;&gt;"OK","",E383*(1+G383)*H383)</f>
        <v/>
      </c>
      <c r="J383" s="69" t="str">
        <f>IF(AND(A383="",B383=""),"",IF(A383="","Produit manquant",IF(COUNTIF(prod_ref,A383)=0,"Produit inconnu",IF(B383="","Matière manquante",IF(ISNA(MATCH(B383,mat_ref,0)),"Matière inconnue",IF(INDEX(mat_check,MATCH(B383,mat_ref,0))&lt;&gt;"OK","Matière à corriger",IF(OR(NOT(ISNUMBER(E383)),N(E383)&lt;=0),"Quantité invalide",IF(AND(F383&lt;&gt;"",OR(NOT(ISNUMBER(F383)),N(F383)&lt;0,N(F383)&gt;=1)),"Perte entre 0 et 99 %",IF(COUNTIFS(bom_prod,A383,bom_mat,B383)&gt;1,"Matière en double","OK")))))))))</f>
        <v/>
      </c>
      <c r="K383" s="71" t="str">
        <f>IF(AND(fiche_sel&lt;&gt;"",A383=fiche_sel),COUNTIF(A$6:A383,fiche_sel),"")</f>
        <v/>
      </c>
    </row>
    <row r="384">
      <c r="A384" s="60" t="n"/>
      <c r="B384" s="60" t="n"/>
      <c r="C384" s="71" t="str">
        <f>IF(B384="","",IFERROR(INDEX(mat_des,MATCH(B384,mat_ref,0))&amp;"","Matière inconnue"))</f>
        <v/>
      </c>
      <c r="D384" s="69" t="str">
        <f>IF(B384="","",IFERROR(INDEX(mat_unit,MATCH(B384,mat_ref,0))&amp;"",""))</f>
        <v/>
      </c>
      <c r="E384" s="72" t="n"/>
      <c r="F384" s="65" t="n"/>
      <c r="G384" s="68" t="str">
        <f>IF(J384&lt;&gt;"OK","",IF(F384="",N(INDEX(mat_loss,MATCH(B384,mat_ref,0))),F384))</f>
        <v/>
      </c>
      <c r="H384" s="66" t="str">
        <f>IF(J384&lt;&gt;"OK","",INDEX(mat_price,MATCH(B384,mat_ref,0)))</f>
        <v/>
      </c>
      <c r="I384" s="66" t="str">
        <f>IF(J384&lt;&gt;"OK","",E384*(1+G384)*H384)</f>
        <v/>
      </c>
      <c r="J384" s="69" t="str">
        <f>IF(AND(A384="",B384=""),"",IF(A384="","Produit manquant",IF(COUNTIF(prod_ref,A384)=0,"Produit inconnu",IF(B384="","Matière manquante",IF(ISNA(MATCH(B384,mat_ref,0)),"Matière inconnue",IF(INDEX(mat_check,MATCH(B384,mat_ref,0))&lt;&gt;"OK","Matière à corriger",IF(OR(NOT(ISNUMBER(E384)),N(E384)&lt;=0),"Quantité invalide",IF(AND(F384&lt;&gt;"",OR(NOT(ISNUMBER(F384)),N(F384)&lt;0,N(F384)&gt;=1)),"Perte entre 0 et 99 %",IF(COUNTIFS(bom_prod,A384,bom_mat,B384)&gt;1,"Matière en double","OK")))))))))</f>
        <v/>
      </c>
      <c r="K384" s="71" t="str">
        <f>IF(AND(fiche_sel&lt;&gt;"",A384=fiche_sel),COUNTIF(A$6:A384,fiche_sel),"")</f>
        <v/>
      </c>
    </row>
    <row r="385">
      <c r="A385" s="60" t="n"/>
      <c r="B385" s="60" t="n"/>
      <c r="C385" s="71" t="str">
        <f>IF(B385="","",IFERROR(INDEX(mat_des,MATCH(B385,mat_ref,0))&amp;"","Matière inconnue"))</f>
        <v/>
      </c>
      <c r="D385" s="69" t="str">
        <f>IF(B385="","",IFERROR(INDEX(mat_unit,MATCH(B385,mat_ref,0))&amp;"",""))</f>
        <v/>
      </c>
      <c r="E385" s="72" t="n"/>
      <c r="F385" s="65" t="n"/>
      <c r="G385" s="68" t="str">
        <f>IF(J385&lt;&gt;"OK","",IF(F385="",N(INDEX(mat_loss,MATCH(B385,mat_ref,0))),F385))</f>
        <v/>
      </c>
      <c r="H385" s="66" t="str">
        <f>IF(J385&lt;&gt;"OK","",INDEX(mat_price,MATCH(B385,mat_ref,0)))</f>
        <v/>
      </c>
      <c r="I385" s="66" t="str">
        <f>IF(J385&lt;&gt;"OK","",E385*(1+G385)*H385)</f>
        <v/>
      </c>
      <c r="J385" s="69" t="str">
        <f>IF(AND(A385="",B385=""),"",IF(A385="","Produit manquant",IF(COUNTIF(prod_ref,A385)=0,"Produit inconnu",IF(B385="","Matière manquante",IF(ISNA(MATCH(B385,mat_ref,0)),"Matière inconnue",IF(INDEX(mat_check,MATCH(B385,mat_ref,0))&lt;&gt;"OK","Matière à corriger",IF(OR(NOT(ISNUMBER(E385)),N(E385)&lt;=0),"Quantité invalide",IF(AND(F385&lt;&gt;"",OR(NOT(ISNUMBER(F385)),N(F385)&lt;0,N(F385)&gt;=1)),"Perte entre 0 et 99 %",IF(COUNTIFS(bom_prod,A385,bom_mat,B385)&gt;1,"Matière en double","OK")))))))))</f>
        <v/>
      </c>
      <c r="K385" s="71" t="str">
        <f>IF(AND(fiche_sel&lt;&gt;"",A385=fiche_sel),COUNTIF(A$6:A385,fiche_sel),"")</f>
        <v/>
      </c>
    </row>
    <row r="386">
      <c r="A386" s="60" t="n"/>
      <c r="B386" s="60" t="n"/>
      <c r="C386" s="71" t="str">
        <f>IF(B386="","",IFERROR(INDEX(mat_des,MATCH(B386,mat_ref,0))&amp;"","Matière inconnue"))</f>
        <v/>
      </c>
      <c r="D386" s="69" t="str">
        <f>IF(B386="","",IFERROR(INDEX(mat_unit,MATCH(B386,mat_ref,0))&amp;"",""))</f>
        <v/>
      </c>
      <c r="E386" s="72" t="n"/>
      <c r="F386" s="65" t="n"/>
      <c r="G386" s="68" t="str">
        <f>IF(J386&lt;&gt;"OK","",IF(F386="",N(INDEX(mat_loss,MATCH(B386,mat_ref,0))),F386))</f>
        <v/>
      </c>
      <c r="H386" s="66" t="str">
        <f>IF(J386&lt;&gt;"OK","",INDEX(mat_price,MATCH(B386,mat_ref,0)))</f>
        <v/>
      </c>
      <c r="I386" s="66" t="str">
        <f>IF(J386&lt;&gt;"OK","",E386*(1+G386)*H386)</f>
        <v/>
      </c>
      <c r="J386" s="69" t="str">
        <f>IF(AND(A386="",B386=""),"",IF(A386="","Produit manquant",IF(COUNTIF(prod_ref,A386)=0,"Produit inconnu",IF(B386="","Matière manquante",IF(ISNA(MATCH(B386,mat_ref,0)),"Matière inconnue",IF(INDEX(mat_check,MATCH(B386,mat_ref,0))&lt;&gt;"OK","Matière à corriger",IF(OR(NOT(ISNUMBER(E386)),N(E386)&lt;=0),"Quantité invalide",IF(AND(F386&lt;&gt;"",OR(NOT(ISNUMBER(F386)),N(F386)&lt;0,N(F386)&gt;=1)),"Perte entre 0 et 99 %",IF(COUNTIFS(bom_prod,A386,bom_mat,B386)&gt;1,"Matière en double","OK")))))))))</f>
        <v/>
      </c>
      <c r="K386" s="71" t="str">
        <f>IF(AND(fiche_sel&lt;&gt;"",A386=fiche_sel),COUNTIF(A$6:A386,fiche_sel),"")</f>
        <v/>
      </c>
    </row>
    <row r="387">
      <c r="A387" s="60" t="n"/>
      <c r="B387" s="60" t="n"/>
      <c r="C387" s="71" t="str">
        <f>IF(B387="","",IFERROR(INDEX(mat_des,MATCH(B387,mat_ref,0))&amp;"","Matière inconnue"))</f>
        <v/>
      </c>
      <c r="D387" s="69" t="str">
        <f>IF(B387="","",IFERROR(INDEX(mat_unit,MATCH(B387,mat_ref,0))&amp;"",""))</f>
        <v/>
      </c>
      <c r="E387" s="72" t="n"/>
      <c r="F387" s="65" t="n"/>
      <c r="G387" s="68" t="str">
        <f>IF(J387&lt;&gt;"OK","",IF(F387="",N(INDEX(mat_loss,MATCH(B387,mat_ref,0))),F387))</f>
        <v/>
      </c>
      <c r="H387" s="66" t="str">
        <f>IF(J387&lt;&gt;"OK","",INDEX(mat_price,MATCH(B387,mat_ref,0)))</f>
        <v/>
      </c>
      <c r="I387" s="66" t="str">
        <f>IF(J387&lt;&gt;"OK","",E387*(1+G387)*H387)</f>
        <v/>
      </c>
      <c r="J387" s="69" t="str">
        <f>IF(AND(A387="",B387=""),"",IF(A387="","Produit manquant",IF(COUNTIF(prod_ref,A387)=0,"Produit inconnu",IF(B387="","Matière manquante",IF(ISNA(MATCH(B387,mat_ref,0)),"Matière inconnue",IF(INDEX(mat_check,MATCH(B387,mat_ref,0))&lt;&gt;"OK","Matière à corriger",IF(OR(NOT(ISNUMBER(E387)),N(E387)&lt;=0),"Quantité invalide",IF(AND(F387&lt;&gt;"",OR(NOT(ISNUMBER(F387)),N(F387)&lt;0,N(F387)&gt;=1)),"Perte entre 0 et 99 %",IF(COUNTIFS(bom_prod,A387,bom_mat,B387)&gt;1,"Matière en double","OK")))))))))</f>
        <v/>
      </c>
      <c r="K387" s="71" t="str">
        <f>IF(AND(fiche_sel&lt;&gt;"",A387=fiche_sel),COUNTIF(A$6:A387,fiche_sel),"")</f>
        <v/>
      </c>
    </row>
    <row r="388">
      <c r="A388" s="60" t="n"/>
      <c r="B388" s="60" t="n"/>
      <c r="C388" s="71" t="str">
        <f>IF(B388="","",IFERROR(INDEX(mat_des,MATCH(B388,mat_ref,0))&amp;"","Matière inconnue"))</f>
        <v/>
      </c>
      <c r="D388" s="69" t="str">
        <f>IF(B388="","",IFERROR(INDEX(mat_unit,MATCH(B388,mat_ref,0))&amp;"",""))</f>
        <v/>
      </c>
      <c r="E388" s="72" t="n"/>
      <c r="F388" s="65" t="n"/>
      <c r="G388" s="68" t="str">
        <f>IF(J388&lt;&gt;"OK","",IF(F388="",N(INDEX(mat_loss,MATCH(B388,mat_ref,0))),F388))</f>
        <v/>
      </c>
      <c r="H388" s="66" t="str">
        <f>IF(J388&lt;&gt;"OK","",INDEX(mat_price,MATCH(B388,mat_ref,0)))</f>
        <v/>
      </c>
      <c r="I388" s="66" t="str">
        <f>IF(J388&lt;&gt;"OK","",E388*(1+G388)*H388)</f>
        <v/>
      </c>
      <c r="J388" s="69" t="str">
        <f>IF(AND(A388="",B388=""),"",IF(A388="","Produit manquant",IF(COUNTIF(prod_ref,A388)=0,"Produit inconnu",IF(B388="","Matière manquante",IF(ISNA(MATCH(B388,mat_ref,0)),"Matière inconnue",IF(INDEX(mat_check,MATCH(B388,mat_ref,0))&lt;&gt;"OK","Matière à corriger",IF(OR(NOT(ISNUMBER(E388)),N(E388)&lt;=0),"Quantité invalide",IF(AND(F388&lt;&gt;"",OR(NOT(ISNUMBER(F388)),N(F388)&lt;0,N(F388)&gt;=1)),"Perte entre 0 et 99 %",IF(COUNTIFS(bom_prod,A388,bom_mat,B388)&gt;1,"Matière en double","OK")))))))))</f>
        <v/>
      </c>
      <c r="K388" s="71" t="str">
        <f>IF(AND(fiche_sel&lt;&gt;"",A388=fiche_sel),COUNTIF(A$6:A388,fiche_sel),"")</f>
        <v/>
      </c>
    </row>
    <row r="389">
      <c r="A389" s="60" t="n"/>
      <c r="B389" s="60" t="n"/>
      <c r="C389" s="71" t="str">
        <f>IF(B389="","",IFERROR(INDEX(mat_des,MATCH(B389,mat_ref,0))&amp;"","Matière inconnue"))</f>
        <v/>
      </c>
      <c r="D389" s="69" t="str">
        <f>IF(B389="","",IFERROR(INDEX(mat_unit,MATCH(B389,mat_ref,0))&amp;"",""))</f>
        <v/>
      </c>
      <c r="E389" s="72" t="n"/>
      <c r="F389" s="65" t="n"/>
      <c r="G389" s="68" t="str">
        <f>IF(J389&lt;&gt;"OK","",IF(F389="",N(INDEX(mat_loss,MATCH(B389,mat_ref,0))),F389))</f>
        <v/>
      </c>
      <c r="H389" s="66" t="str">
        <f>IF(J389&lt;&gt;"OK","",INDEX(mat_price,MATCH(B389,mat_ref,0)))</f>
        <v/>
      </c>
      <c r="I389" s="66" t="str">
        <f>IF(J389&lt;&gt;"OK","",E389*(1+G389)*H389)</f>
        <v/>
      </c>
      <c r="J389" s="69" t="str">
        <f>IF(AND(A389="",B389=""),"",IF(A389="","Produit manquant",IF(COUNTIF(prod_ref,A389)=0,"Produit inconnu",IF(B389="","Matière manquante",IF(ISNA(MATCH(B389,mat_ref,0)),"Matière inconnue",IF(INDEX(mat_check,MATCH(B389,mat_ref,0))&lt;&gt;"OK","Matière à corriger",IF(OR(NOT(ISNUMBER(E389)),N(E389)&lt;=0),"Quantité invalide",IF(AND(F389&lt;&gt;"",OR(NOT(ISNUMBER(F389)),N(F389)&lt;0,N(F389)&gt;=1)),"Perte entre 0 et 99 %",IF(COUNTIFS(bom_prod,A389,bom_mat,B389)&gt;1,"Matière en double","OK")))))))))</f>
        <v/>
      </c>
      <c r="K389" s="71" t="str">
        <f>IF(AND(fiche_sel&lt;&gt;"",A389=fiche_sel),COUNTIF(A$6:A389,fiche_sel),"")</f>
        <v/>
      </c>
    </row>
    <row r="390">
      <c r="A390" s="60" t="n"/>
      <c r="B390" s="60" t="n"/>
      <c r="C390" s="71" t="str">
        <f>IF(B390="","",IFERROR(INDEX(mat_des,MATCH(B390,mat_ref,0))&amp;"","Matière inconnue"))</f>
        <v/>
      </c>
      <c r="D390" s="69" t="str">
        <f>IF(B390="","",IFERROR(INDEX(mat_unit,MATCH(B390,mat_ref,0))&amp;"",""))</f>
        <v/>
      </c>
      <c r="E390" s="72" t="n"/>
      <c r="F390" s="65" t="n"/>
      <c r="G390" s="68" t="str">
        <f>IF(J390&lt;&gt;"OK","",IF(F390="",N(INDEX(mat_loss,MATCH(B390,mat_ref,0))),F390))</f>
        <v/>
      </c>
      <c r="H390" s="66" t="str">
        <f>IF(J390&lt;&gt;"OK","",INDEX(mat_price,MATCH(B390,mat_ref,0)))</f>
        <v/>
      </c>
      <c r="I390" s="66" t="str">
        <f>IF(J390&lt;&gt;"OK","",E390*(1+G390)*H390)</f>
        <v/>
      </c>
      <c r="J390" s="69" t="str">
        <f>IF(AND(A390="",B390=""),"",IF(A390="","Produit manquant",IF(COUNTIF(prod_ref,A390)=0,"Produit inconnu",IF(B390="","Matière manquante",IF(ISNA(MATCH(B390,mat_ref,0)),"Matière inconnue",IF(INDEX(mat_check,MATCH(B390,mat_ref,0))&lt;&gt;"OK","Matière à corriger",IF(OR(NOT(ISNUMBER(E390)),N(E390)&lt;=0),"Quantité invalide",IF(AND(F390&lt;&gt;"",OR(NOT(ISNUMBER(F390)),N(F390)&lt;0,N(F390)&gt;=1)),"Perte entre 0 et 99 %",IF(COUNTIFS(bom_prod,A390,bom_mat,B390)&gt;1,"Matière en double","OK")))))))))</f>
        <v/>
      </c>
      <c r="K390" s="71" t="str">
        <f>IF(AND(fiche_sel&lt;&gt;"",A390=fiche_sel),COUNTIF(A$6:A390,fiche_sel),"")</f>
        <v/>
      </c>
    </row>
    <row r="391">
      <c r="A391" s="60" t="n"/>
      <c r="B391" s="60" t="n"/>
      <c r="C391" s="71" t="str">
        <f>IF(B391="","",IFERROR(INDEX(mat_des,MATCH(B391,mat_ref,0))&amp;"","Matière inconnue"))</f>
        <v/>
      </c>
      <c r="D391" s="69" t="str">
        <f>IF(B391="","",IFERROR(INDEX(mat_unit,MATCH(B391,mat_ref,0))&amp;"",""))</f>
        <v/>
      </c>
      <c r="E391" s="72" t="n"/>
      <c r="F391" s="65" t="n"/>
      <c r="G391" s="68" t="str">
        <f>IF(J391&lt;&gt;"OK","",IF(F391="",N(INDEX(mat_loss,MATCH(B391,mat_ref,0))),F391))</f>
        <v/>
      </c>
      <c r="H391" s="66" t="str">
        <f>IF(J391&lt;&gt;"OK","",INDEX(mat_price,MATCH(B391,mat_ref,0)))</f>
        <v/>
      </c>
      <c r="I391" s="66" t="str">
        <f>IF(J391&lt;&gt;"OK","",E391*(1+G391)*H391)</f>
        <v/>
      </c>
      <c r="J391" s="69" t="str">
        <f>IF(AND(A391="",B391=""),"",IF(A391="","Produit manquant",IF(COUNTIF(prod_ref,A391)=0,"Produit inconnu",IF(B391="","Matière manquante",IF(ISNA(MATCH(B391,mat_ref,0)),"Matière inconnue",IF(INDEX(mat_check,MATCH(B391,mat_ref,0))&lt;&gt;"OK","Matière à corriger",IF(OR(NOT(ISNUMBER(E391)),N(E391)&lt;=0),"Quantité invalide",IF(AND(F391&lt;&gt;"",OR(NOT(ISNUMBER(F391)),N(F391)&lt;0,N(F391)&gt;=1)),"Perte entre 0 et 99 %",IF(COUNTIFS(bom_prod,A391,bom_mat,B391)&gt;1,"Matière en double","OK")))))))))</f>
        <v/>
      </c>
      <c r="K391" s="71" t="str">
        <f>IF(AND(fiche_sel&lt;&gt;"",A391=fiche_sel),COUNTIF(A$6:A391,fiche_sel),"")</f>
        <v/>
      </c>
    </row>
    <row r="392">
      <c r="A392" s="60" t="n"/>
      <c r="B392" s="60" t="n"/>
      <c r="C392" s="71" t="str">
        <f>IF(B392="","",IFERROR(INDEX(mat_des,MATCH(B392,mat_ref,0))&amp;"","Matière inconnue"))</f>
        <v/>
      </c>
      <c r="D392" s="69" t="str">
        <f>IF(B392="","",IFERROR(INDEX(mat_unit,MATCH(B392,mat_ref,0))&amp;"",""))</f>
        <v/>
      </c>
      <c r="E392" s="72" t="n"/>
      <c r="F392" s="65" t="n"/>
      <c r="G392" s="68" t="str">
        <f>IF(J392&lt;&gt;"OK","",IF(F392="",N(INDEX(mat_loss,MATCH(B392,mat_ref,0))),F392))</f>
        <v/>
      </c>
      <c r="H392" s="66" t="str">
        <f>IF(J392&lt;&gt;"OK","",INDEX(mat_price,MATCH(B392,mat_ref,0)))</f>
        <v/>
      </c>
      <c r="I392" s="66" t="str">
        <f>IF(J392&lt;&gt;"OK","",E392*(1+G392)*H392)</f>
        <v/>
      </c>
      <c r="J392" s="69" t="str">
        <f>IF(AND(A392="",B392=""),"",IF(A392="","Produit manquant",IF(COUNTIF(prod_ref,A392)=0,"Produit inconnu",IF(B392="","Matière manquante",IF(ISNA(MATCH(B392,mat_ref,0)),"Matière inconnue",IF(INDEX(mat_check,MATCH(B392,mat_ref,0))&lt;&gt;"OK","Matière à corriger",IF(OR(NOT(ISNUMBER(E392)),N(E392)&lt;=0),"Quantité invalide",IF(AND(F392&lt;&gt;"",OR(NOT(ISNUMBER(F392)),N(F392)&lt;0,N(F392)&gt;=1)),"Perte entre 0 et 99 %",IF(COUNTIFS(bom_prod,A392,bom_mat,B392)&gt;1,"Matière en double","OK")))))))))</f>
        <v/>
      </c>
      <c r="K392" s="71" t="str">
        <f>IF(AND(fiche_sel&lt;&gt;"",A392=fiche_sel),COUNTIF(A$6:A392,fiche_sel),"")</f>
        <v/>
      </c>
    </row>
    <row r="393">
      <c r="A393" s="60" t="n"/>
      <c r="B393" s="60" t="n"/>
      <c r="C393" s="71" t="str">
        <f>IF(B393="","",IFERROR(INDEX(mat_des,MATCH(B393,mat_ref,0))&amp;"","Matière inconnue"))</f>
        <v/>
      </c>
      <c r="D393" s="69" t="str">
        <f>IF(B393="","",IFERROR(INDEX(mat_unit,MATCH(B393,mat_ref,0))&amp;"",""))</f>
        <v/>
      </c>
      <c r="E393" s="72" t="n"/>
      <c r="F393" s="65" t="n"/>
      <c r="G393" s="68" t="str">
        <f>IF(J393&lt;&gt;"OK","",IF(F393="",N(INDEX(mat_loss,MATCH(B393,mat_ref,0))),F393))</f>
        <v/>
      </c>
      <c r="H393" s="66" t="str">
        <f>IF(J393&lt;&gt;"OK","",INDEX(mat_price,MATCH(B393,mat_ref,0)))</f>
        <v/>
      </c>
      <c r="I393" s="66" t="str">
        <f>IF(J393&lt;&gt;"OK","",E393*(1+G393)*H393)</f>
        <v/>
      </c>
      <c r="J393" s="69" t="str">
        <f>IF(AND(A393="",B393=""),"",IF(A393="","Produit manquant",IF(COUNTIF(prod_ref,A393)=0,"Produit inconnu",IF(B393="","Matière manquante",IF(ISNA(MATCH(B393,mat_ref,0)),"Matière inconnue",IF(INDEX(mat_check,MATCH(B393,mat_ref,0))&lt;&gt;"OK","Matière à corriger",IF(OR(NOT(ISNUMBER(E393)),N(E393)&lt;=0),"Quantité invalide",IF(AND(F393&lt;&gt;"",OR(NOT(ISNUMBER(F393)),N(F393)&lt;0,N(F393)&gt;=1)),"Perte entre 0 et 99 %",IF(COUNTIFS(bom_prod,A393,bom_mat,B393)&gt;1,"Matière en double","OK")))))))))</f>
        <v/>
      </c>
      <c r="K393" s="71" t="str">
        <f>IF(AND(fiche_sel&lt;&gt;"",A393=fiche_sel),COUNTIF(A$6:A393,fiche_sel),"")</f>
        <v/>
      </c>
    </row>
    <row r="394">
      <c r="A394" s="60" t="n"/>
      <c r="B394" s="60" t="n"/>
      <c r="C394" s="71" t="str">
        <f>IF(B394="","",IFERROR(INDEX(mat_des,MATCH(B394,mat_ref,0))&amp;"","Matière inconnue"))</f>
        <v/>
      </c>
      <c r="D394" s="69" t="str">
        <f>IF(B394="","",IFERROR(INDEX(mat_unit,MATCH(B394,mat_ref,0))&amp;"",""))</f>
        <v/>
      </c>
      <c r="E394" s="72" t="n"/>
      <c r="F394" s="65" t="n"/>
      <c r="G394" s="68" t="str">
        <f>IF(J394&lt;&gt;"OK","",IF(F394="",N(INDEX(mat_loss,MATCH(B394,mat_ref,0))),F394))</f>
        <v/>
      </c>
      <c r="H394" s="66" t="str">
        <f>IF(J394&lt;&gt;"OK","",INDEX(mat_price,MATCH(B394,mat_ref,0)))</f>
        <v/>
      </c>
      <c r="I394" s="66" t="str">
        <f>IF(J394&lt;&gt;"OK","",E394*(1+G394)*H394)</f>
        <v/>
      </c>
      <c r="J394" s="69" t="str">
        <f>IF(AND(A394="",B394=""),"",IF(A394="","Produit manquant",IF(COUNTIF(prod_ref,A394)=0,"Produit inconnu",IF(B394="","Matière manquante",IF(ISNA(MATCH(B394,mat_ref,0)),"Matière inconnue",IF(INDEX(mat_check,MATCH(B394,mat_ref,0))&lt;&gt;"OK","Matière à corriger",IF(OR(NOT(ISNUMBER(E394)),N(E394)&lt;=0),"Quantité invalide",IF(AND(F394&lt;&gt;"",OR(NOT(ISNUMBER(F394)),N(F394)&lt;0,N(F394)&gt;=1)),"Perte entre 0 et 99 %",IF(COUNTIFS(bom_prod,A394,bom_mat,B394)&gt;1,"Matière en double","OK")))))))))</f>
        <v/>
      </c>
      <c r="K394" s="71" t="str">
        <f>IF(AND(fiche_sel&lt;&gt;"",A394=fiche_sel),COUNTIF(A$6:A394,fiche_sel),"")</f>
        <v/>
      </c>
    </row>
    <row r="395">
      <c r="A395" s="60" t="n"/>
      <c r="B395" s="60" t="n"/>
      <c r="C395" s="71" t="str">
        <f>IF(B395="","",IFERROR(INDEX(mat_des,MATCH(B395,mat_ref,0))&amp;"","Matière inconnue"))</f>
        <v/>
      </c>
      <c r="D395" s="69" t="str">
        <f>IF(B395="","",IFERROR(INDEX(mat_unit,MATCH(B395,mat_ref,0))&amp;"",""))</f>
        <v/>
      </c>
      <c r="E395" s="72" t="n"/>
      <c r="F395" s="65" t="n"/>
      <c r="G395" s="68" t="str">
        <f>IF(J395&lt;&gt;"OK","",IF(F395="",N(INDEX(mat_loss,MATCH(B395,mat_ref,0))),F395))</f>
        <v/>
      </c>
      <c r="H395" s="66" t="str">
        <f>IF(J395&lt;&gt;"OK","",INDEX(mat_price,MATCH(B395,mat_ref,0)))</f>
        <v/>
      </c>
      <c r="I395" s="66" t="str">
        <f>IF(J395&lt;&gt;"OK","",E395*(1+G395)*H395)</f>
        <v/>
      </c>
      <c r="J395" s="69" t="str">
        <f>IF(AND(A395="",B395=""),"",IF(A395="","Produit manquant",IF(COUNTIF(prod_ref,A395)=0,"Produit inconnu",IF(B395="","Matière manquante",IF(ISNA(MATCH(B395,mat_ref,0)),"Matière inconnue",IF(INDEX(mat_check,MATCH(B395,mat_ref,0))&lt;&gt;"OK","Matière à corriger",IF(OR(NOT(ISNUMBER(E395)),N(E395)&lt;=0),"Quantité invalide",IF(AND(F395&lt;&gt;"",OR(NOT(ISNUMBER(F395)),N(F395)&lt;0,N(F395)&gt;=1)),"Perte entre 0 et 99 %",IF(COUNTIFS(bom_prod,A395,bom_mat,B395)&gt;1,"Matière en double","OK")))))))))</f>
        <v/>
      </c>
      <c r="K395" s="71" t="str">
        <f>IF(AND(fiche_sel&lt;&gt;"",A395=fiche_sel),COUNTIF(A$6:A395,fiche_sel),"")</f>
        <v/>
      </c>
    </row>
    <row r="396">
      <c r="A396" s="60" t="n"/>
      <c r="B396" s="60" t="n"/>
      <c r="C396" s="71" t="str">
        <f>IF(B396="","",IFERROR(INDEX(mat_des,MATCH(B396,mat_ref,0))&amp;"","Matière inconnue"))</f>
        <v/>
      </c>
      <c r="D396" s="69" t="str">
        <f>IF(B396="","",IFERROR(INDEX(mat_unit,MATCH(B396,mat_ref,0))&amp;"",""))</f>
        <v/>
      </c>
      <c r="E396" s="72" t="n"/>
      <c r="F396" s="65" t="n"/>
      <c r="G396" s="68" t="str">
        <f>IF(J396&lt;&gt;"OK","",IF(F396="",N(INDEX(mat_loss,MATCH(B396,mat_ref,0))),F396))</f>
        <v/>
      </c>
      <c r="H396" s="66" t="str">
        <f>IF(J396&lt;&gt;"OK","",INDEX(mat_price,MATCH(B396,mat_ref,0)))</f>
        <v/>
      </c>
      <c r="I396" s="66" t="str">
        <f>IF(J396&lt;&gt;"OK","",E396*(1+G396)*H396)</f>
        <v/>
      </c>
      <c r="J396" s="69" t="str">
        <f>IF(AND(A396="",B396=""),"",IF(A396="","Produit manquant",IF(COUNTIF(prod_ref,A396)=0,"Produit inconnu",IF(B396="","Matière manquante",IF(ISNA(MATCH(B396,mat_ref,0)),"Matière inconnue",IF(INDEX(mat_check,MATCH(B396,mat_ref,0))&lt;&gt;"OK","Matière à corriger",IF(OR(NOT(ISNUMBER(E396)),N(E396)&lt;=0),"Quantité invalide",IF(AND(F396&lt;&gt;"",OR(NOT(ISNUMBER(F396)),N(F396)&lt;0,N(F396)&gt;=1)),"Perte entre 0 et 99 %",IF(COUNTIFS(bom_prod,A396,bom_mat,B396)&gt;1,"Matière en double","OK")))))))))</f>
        <v/>
      </c>
      <c r="K396" s="71" t="str">
        <f>IF(AND(fiche_sel&lt;&gt;"",A396=fiche_sel),COUNTIF(A$6:A396,fiche_sel),"")</f>
        <v/>
      </c>
    </row>
    <row r="397">
      <c r="A397" s="60" t="n"/>
      <c r="B397" s="60" t="n"/>
      <c r="C397" s="71" t="str">
        <f>IF(B397="","",IFERROR(INDEX(mat_des,MATCH(B397,mat_ref,0))&amp;"","Matière inconnue"))</f>
        <v/>
      </c>
      <c r="D397" s="69" t="str">
        <f>IF(B397="","",IFERROR(INDEX(mat_unit,MATCH(B397,mat_ref,0))&amp;"",""))</f>
        <v/>
      </c>
      <c r="E397" s="72" t="n"/>
      <c r="F397" s="65" t="n"/>
      <c r="G397" s="68" t="str">
        <f>IF(J397&lt;&gt;"OK","",IF(F397="",N(INDEX(mat_loss,MATCH(B397,mat_ref,0))),F397))</f>
        <v/>
      </c>
      <c r="H397" s="66" t="str">
        <f>IF(J397&lt;&gt;"OK","",INDEX(mat_price,MATCH(B397,mat_ref,0)))</f>
        <v/>
      </c>
      <c r="I397" s="66" t="str">
        <f>IF(J397&lt;&gt;"OK","",E397*(1+G397)*H397)</f>
        <v/>
      </c>
      <c r="J397" s="69" t="str">
        <f>IF(AND(A397="",B397=""),"",IF(A397="","Produit manquant",IF(COUNTIF(prod_ref,A397)=0,"Produit inconnu",IF(B397="","Matière manquante",IF(ISNA(MATCH(B397,mat_ref,0)),"Matière inconnue",IF(INDEX(mat_check,MATCH(B397,mat_ref,0))&lt;&gt;"OK","Matière à corriger",IF(OR(NOT(ISNUMBER(E397)),N(E397)&lt;=0),"Quantité invalide",IF(AND(F397&lt;&gt;"",OR(NOT(ISNUMBER(F397)),N(F397)&lt;0,N(F397)&gt;=1)),"Perte entre 0 et 99 %",IF(COUNTIFS(bom_prod,A397,bom_mat,B397)&gt;1,"Matière en double","OK")))))))))</f>
        <v/>
      </c>
      <c r="K397" s="71" t="str">
        <f>IF(AND(fiche_sel&lt;&gt;"",A397=fiche_sel),COUNTIF(A$6:A397,fiche_sel),"")</f>
        <v/>
      </c>
    </row>
    <row r="398">
      <c r="A398" s="60" t="n"/>
      <c r="B398" s="60" t="n"/>
      <c r="C398" s="71" t="str">
        <f>IF(B398="","",IFERROR(INDEX(mat_des,MATCH(B398,mat_ref,0))&amp;"","Matière inconnue"))</f>
        <v/>
      </c>
      <c r="D398" s="69" t="str">
        <f>IF(B398="","",IFERROR(INDEX(mat_unit,MATCH(B398,mat_ref,0))&amp;"",""))</f>
        <v/>
      </c>
      <c r="E398" s="72" t="n"/>
      <c r="F398" s="65" t="n"/>
      <c r="G398" s="68" t="str">
        <f>IF(J398&lt;&gt;"OK","",IF(F398="",N(INDEX(mat_loss,MATCH(B398,mat_ref,0))),F398))</f>
        <v/>
      </c>
      <c r="H398" s="66" t="str">
        <f>IF(J398&lt;&gt;"OK","",INDEX(mat_price,MATCH(B398,mat_ref,0)))</f>
        <v/>
      </c>
      <c r="I398" s="66" t="str">
        <f>IF(J398&lt;&gt;"OK","",E398*(1+G398)*H398)</f>
        <v/>
      </c>
      <c r="J398" s="69" t="str">
        <f>IF(AND(A398="",B398=""),"",IF(A398="","Produit manquant",IF(COUNTIF(prod_ref,A398)=0,"Produit inconnu",IF(B398="","Matière manquante",IF(ISNA(MATCH(B398,mat_ref,0)),"Matière inconnue",IF(INDEX(mat_check,MATCH(B398,mat_ref,0))&lt;&gt;"OK","Matière à corriger",IF(OR(NOT(ISNUMBER(E398)),N(E398)&lt;=0),"Quantité invalide",IF(AND(F398&lt;&gt;"",OR(NOT(ISNUMBER(F398)),N(F398)&lt;0,N(F398)&gt;=1)),"Perte entre 0 et 99 %",IF(COUNTIFS(bom_prod,A398,bom_mat,B398)&gt;1,"Matière en double","OK")))))))))</f>
        <v/>
      </c>
      <c r="K398" s="71" t="str">
        <f>IF(AND(fiche_sel&lt;&gt;"",A398=fiche_sel),COUNTIF(A$6:A398,fiche_sel),"")</f>
        <v/>
      </c>
    </row>
    <row r="399">
      <c r="A399" s="60" t="n"/>
      <c r="B399" s="60" t="n"/>
      <c r="C399" s="71" t="str">
        <f>IF(B399="","",IFERROR(INDEX(mat_des,MATCH(B399,mat_ref,0))&amp;"","Matière inconnue"))</f>
        <v/>
      </c>
      <c r="D399" s="69" t="str">
        <f>IF(B399="","",IFERROR(INDEX(mat_unit,MATCH(B399,mat_ref,0))&amp;"",""))</f>
        <v/>
      </c>
      <c r="E399" s="72" t="n"/>
      <c r="F399" s="65" t="n"/>
      <c r="G399" s="68" t="str">
        <f>IF(J399&lt;&gt;"OK","",IF(F399="",N(INDEX(mat_loss,MATCH(B399,mat_ref,0))),F399))</f>
        <v/>
      </c>
      <c r="H399" s="66" t="str">
        <f>IF(J399&lt;&gt;"OK","",INDEX(mat_price,MATCH(B399,mat_ref,0)))</f>
        <v/>
      </c>
      <c r="I399" s="66" t="str">
        <f>IF(J399&lt;&gt;"OK","",E399*(1+G399)*H399)</f>
        <v/>
      </c>
      <c r="J399" s="69" t="str">
        <f>IF(AND(A399="",B399=""),"",IF(A399="","Produit manquant",IF(COUNTIF(prod_ref,A399)=0,"Produit inconnu",IF(B399="","Matière manquante",IF(ISNA(MATCH(B399,mat_ref,0)),"Matière inconnue",IF(INDEX(mat_check,MATCH(B399,mat_ref,0))&lt;&gt;"OK","Matière à corriger",IF(OR(NOT(ISNUMBER(E399)),N(E399)&lt;=0),"Quantité invalide",IF(AND(F399&lt;&gt;"",OR(NOT(ISNUMBER(F399)),N(F399)&lt;0,N(F399)&gt;=1)),"Perte entre 0 et 99 %",IF(COUNTIFS(bom_prod,A399,bom_mat,B399)&gt;1,"Matière en double","OK")))))))))</f>
        <v/>
      </c>
      <c r="K399" s="71" t="str">
        <f>IF(AND(fiche_sel&lt;&gt;"",A399=fiche_sel),COUNTIF(A$6:A399,fiche_sel),"")</f>
        <v/>
      </c>
    </row>
    <row r="400">
      <c r="A400" s="60" t="n"/>
      <c r="B400" s="60" t="n"/>
      <c r="C400" s="71" t="str">
        <f>IF(B400="","",IFERROR(INDEX(mat_des,MATCH(B400,mat_ref,0))&amp;"","Matière inconnue"))</f>
        <v/>
      </c>
      <c r="D400" s="69" t="str">
        <f>IF(B400="","",IFERROR(INDEX(mat_unit,MATCH(B400,mat_ref,0))&amp;"",""))</f>
        <v/>
      </c>
      <c r="E400" s="72" t="n"/>
      <c r="F400" s="65" t="n"/>
      <c r="G400" s="68" t="str">
        <f>IF(J400&lt;&gt;"OK","",IF(F400="",N(INDEX(mat_loss,MATCH(B400,mat_ref,0))),F400))</f>
        <v/>
      </c>
      <c r="H400" s="66" t="str">
        <f>IF(J400&lt;&gt;"OK","",INDEX(mat_price,MATCH(B400,mat_ref,0)))</f>
        <v/>
      </c>
      <c r="I400" s="66" t="str">
        <f>IF(J400&lt;&gt;"OK","",E400*(1+G400)*H400)</f>
        <v/>
      </c>
      <c r="J400" s="69" t="str">
        <f>IF(AND(A400="",B400=""),"",IF(A400="","Produit manquant",IF(COUNTIF(prod_ref,A400)=0,"Produit inconnu",IF(B400="","Matière manquante",IF(ISNA(MATCH(B400,mat_ref,0)),"Matière inconnue",IF(INDEX(mat_check,MATCH(B400,mat_ref,0))&lt;&gt;"OK","Matière à corriger",IF(OR(NOT(ISNUMBER(E400)),N(E400)&lt;=0),"Quantité invalide",IF(AND(F400&lt;&gt;"",OR(NOT(ISNUMBER(F400)),N(F400)&lt;0,N(F400)&gt;=1)),"Perte entre 0 et 99 %",IF(COUNTIFS(bom_prod,A400,bom_mat,B400)&gt;1,"Matière en double","OK")))))))))</f>
        <v/>
      </c>
      <c r="K400" s="71" t="str">
        <f>IF(AND(fiche_sel&lt;&gt;"",A400=fiche_sel),COUNTIF(A$6:A400,fiche_sel),"")</f>
        <v/>
      </c>
    </row>
    <row r="401">
      <c r="A401" s="60" t="n"/>
      <c r="B401" s="60" t="n"/>
      <c r="C401" s="71" t="str">
        <f>IF(B401="","",IFERROR(INDEX(mat_des,MATCH(B401,mat_ref,0))&amp;"","Matière inconnue"))</f>
        <v/>
      </c>
      <c r="D401" s="69" t="str">
        <f>IF(B401="","",IFERROR(INDEX(mat_unit,MATCH(B401,mat_ref,0))&amp;"",""))</f>
        <v/>
      </c>
      <c r="E401" s="72" t="n"/>
      <c r="F401" s="65" t="n"/>
      <c r="G401" s="68" t="str">
        <f>IF(J401&lt;&gt;"OK","",IF(F401="",N(INDEX(mat_loss,MATCH(B401,mat_ref,0))),F401))</f>
        <v/>
      </c>
      <c r="H401" s="66" t="str">
        <f>IF(J401&lt;&gt;"OK","",INDEX(mat_price,MATCH(B401,mat_ref,0)))</f>
        <v/>
      </c>
      <c r="I401" s="66" t="str">
        <f>IF(J401&lt;&gt;"OK","",E401*(1+G401)*H401)</f>
        <v/>
      </c>
      <c r="J401" s="69" t="str">
        <f>IF(AND(A401="",B401=""),"",IF(A401="","Produit manquant",IF(COUNTIF(prod_ref,A401)=0,"Produit inconnu",IF(B401="","Matière manquante",IF(ISNA(MATCH(B401,mat_ref,0)),"Matière inconnue",IF(INDEX(mat_check,MATCH(B401,mat_ref,0))&lt;&gt;"OK","Matière à corriger",IF(OR(NOT(ISNUMBER(E401)),N(E401)&lt;=0),"Quantité invalide",IF(AND(F401&lt;&gt;"",OR(NOT(ISNUMBER(F401)),N(F401)&lt;0,N(F401)&gt;=1)),"Perte entre 0 et 99 %",IF(COUNTIFS(bom_prod,A401,bom_mat,B401)&gt;1,"Matière en double","OK")))))))))</f>
        <v/>
      </c>
      <c r="K401" s="71" t="str">
        <f>IF(AND(fiche_sel&lt;&gt;"",A401=fiche_sel),COUNTIF(A$6:A401,fiche_sel),"")</f>
        <v/>
      </c>
    </row>
    <row r="402">
      <c r="A402" s="60" t="n"/>
      <c r="B402" s="60" t="n"/>
      <c r="C402" s="71" t="str">
        <f>IF(B402="","",IFERROR(INDEX(mat_des,MATCH(B402,mat_ref,0))&amp;"","Matière inconnue"))</f>
        <v/>
      </c>
      <c r="D402" s="69" t="str">
        <f>IF(B402="","",IFERROR(INDEX(mat_unit,MATCH(B402,mat_ref,0))&amp;"",""))</f>
        <v/>
      </c>
      <c r="E402" s="72" t="n"/>
      <c r="F402" s="65" t="n"/>
      <c r="G402" s="68" t="str">
        <f>IF(J402&lt;&gt;"OK","",IF(F402="",N(INDEX(mat_loss,MATCH(B402,mat_ref,0))),F402))</f>
        <v/>
      </c>
      <c r="H402" s="66" t="str">
        <f>IF(J402&lt;&gt;"OK","",INDEX(mat_price,MATCH(B402,mat_ref,0)))</f>
        <v/>
      </c>
      <c r="I402" s="66" t="str">
        <f>IF(J402&lt;&gt;"OK","",E402*(1+G402)*H402)</f>
        <v/>
      </c>
      <c r="J402" s="69" t="str">
        <f>IF(AND(A402="",B402=""),"",IF(A402="","Produit manquant",IF(COUNTIF(prod_ref,A402)=0,"Produit inconnu",IF(B402="","Matière manquante",IF(ISNA(MATCH(B402,mat_ref,0)),"Matière inconnue",IF(INDEX(mat_check,MATCH(B402,mat_ref,0))&lt;&gt;"OK","Matière à corriger",IF(OR(NOT(ISNUMBER(E402)),N(E402)&lt;=0),"Quantité invalide",IF(AND(F402&lt;&gt;"",OR(NOT(ISNUMBER(F402)),N(F402)&lt;0,N(F402)&gt;=1)),"Perte entre 0 et 99 %",IF(COUNTIFS(bom_prod,A402,bom_mat,B402)&gt;1,"Matière en double","OK")))))))))</f>
        <v/>
      </c>
      <c r="K402" s="71" t="str">
        <f>IF(AND(fiche_sel&lt;&gt;"",A402=fiche_sel),COUNTIF(A$6:A402,fiche_sel),"")</f>
        <v/>
      </c>
    </row>
    <row r="403">
      <c r="A403" s="60" t="n"/>
      <c r="B403" s="60" t="n"/>
      <c r="C403" s="71" t="str">
        <f>IF(B403="","",IFERROR(INDEX(mat_des,MATCH(B403,mat_ref,0))&amp;"","Matière inconnue"))</f>
        <v/>
      </c>
      <c r="D403" s="69" t="str">
        <f>IF(B403="","",IFERROR(INDEX(mat_unit,MATCH(B403,mat_ref,0))&amp;"",""))</f>
        <v/>
      </c>
      <c r="E403" s="72" t="n"/>
      <c r="F403" s="65" t="n"/>
      <c r="G403" s="68" t="str">
        <f>IF(J403&lt;&gt;"OK","",IF(F403="",N(INDEX(mat_loss,MATCH(B403,mat_ref,0))),F403))</f>
        <v/>
      </c>
      <c r="H403" s="66" t="str">
        <f>IF(J403&lt;&gt;"OK","",INDEX(mat_price,MATCH(B403,mat_ref,0)))</f>
        <v/>
      </c>
      <c r="I403" s="66" t="str">
        <f>IF(J403&lt;&gt;"OK","",E403*(1+G403)*H403)</f>
        <v/>
      </c>
      <c r="J403" s="69" t="str">
        <f>IF(AND(A403="",B403=""),"",IF(A403="","Produit manquant",IF(COUNTIF(prod_ref,A403)=0,"Produit inconnu",IF(B403="","Matière manquante",IF(ISNA(MATCH(B403,mat_ref,0)),"Matière inconnue",IF(INDEX(mat_check,MATCH(B403,mat_ref,0))&lt;&gt;"OK","Matière à corriger",IF(OR(NOT(ISNUMBER(E403)),N(E403)&lt;=0),"Quantité invalide",IF(AND(F403&lt;&gt;"",OR(NOT(ISNUMBER(F403)),N(F403)&lt;0,N(F403)&gt;=1)),"Perte entre 0 et 99 %",IF(COUNTIFS(bom_prod,A403,bom_mat,B403)&gt;1,"Matière en double","OK")))))))))</f>
        <v/>
      </c>
      <c r="K403" s="71" t="str">
        <f>IF(AND(fiche_sel&lt;&gt;"",A403=fiche_sel),COUNTIF(A$6:A403,fiche_sel),"")</f>
        <v/>
      </c>
    </row>
    <row r="404">
      <c r="A404" s="60" t="n"/>
      <c r="B404" s="60" t="n"/>
      <c r="C404" s="71" t="str">
        <f>IF(B404="","",IFERROR(INDEX(mat_des,MATCH(B404,mat_ref,0))&amp;"","Matière inconnue"))</f>
        <v/>
      </c>
      <c r="D404" s="69" t="str">
        <f>IF(B404="","",IFERROR(INDEX(mat_unit,MATCH(B404,mat_ref,0))&amp;"",""))</f>
        <v/>
      </c>
      <c r="E404" s="72" t="n"/>
      <c r="F404" s="65" t="n"/>
      <c r="G404" s="68" t="str">
        <f>IF(J404&lt;&gt;"OK","",IF(F404="",N(INDEX(mat_loss,MATCH(B404,mat_ref,0))),F404))</f>
        <v/>
      </c>
      <c r="H404" s="66" t="str">
        <f>IF(J404&lt;&gt;"OK","",INDEX(mat_price,MATCH(B404,mat_ref,0)))</f>
        <v/>
      </c>
      <c r="I404" s="66" t="str">
        <f>IF(J404&lt;&gt;"OK","",E404*(1+G404)*H404)</f>
        <v/>
      </c>
      <c r="J404" s="69" t="str">
        <f>IF(AND(A404="",B404=""),"",IF(A404="","Produit manquant",IF(COUNTIF(prod_ref,A404)=0,"Produit inconnu",IF(B404="","Matière manquante",IF(ISNA(MATCH(B404,mat_ref,0)),"Matière inconnue",IF(INDEX(mat_check,MATCH(B404,mat_ref,0))&lt;&gt;"OK","Matière à corriger",IF(OR(NOT(ISNUMBER(E404)),N(E404)&lt;=0),"Quantité invalide",IF(AND(F404&lt;&gt;"",OR(NOT(ISNUMBER(F404)),N(F404)&lt;0,N(F404)&gt;=1)),"Perte entre 0 et 99 %",IF(COUNTIFS(bom_prod,A404,bom_mat,B404)&gt;1,"Matière en double","OK")))))))))</f>
        <v/>
      </c>
      <c r="K404" s="71" t="str">
        <f>IF(AND(fiche_sel&lt;&gt;"",A404=fiche_sel),COUNTIF(A$6:A404,fiche_sel),"")</f>
        <v/>
      </c>
    </row>
    <row r="405">
      <c r="A405" s="60" t="n"/>
      <c r="B405" s="60" t="n"/>
      <c r="C405" s="71" t="str">
        <f>IF(B405="","",IFERROR(INDEX(mat_des,MATCH(B405,mat_ref,0))&amp;"","Matière inconnue"))</f>
        <v/>
      </c>
      <c r="D405" s="69" t="str">
        <f>IF(B405="","",IFERROR(INDEX(mat_unit,MATCH(B405,mat_ref,0))&amp;"",""))</f>
        <v/>
      </c>
      <c r="E405" s="72" t="n"/>
      <c r="F405" s="65" t="n"/>
      <c r="G405" s="68" t="str">
        <f>IF(J405&lt;&gt;"OK","",IF(F405="",N(INDEX(mat_loss,MATCH(B405,mat_ref,0))),F405))</f>
        <v/>
      </c>
      <c r="H405" s="66" t="str">
        <f>IF(J405&lt;&gt;"OK","",INDEX(mat_price,MATCH(B405,mat_ref,0)))</f>
        <v/>
      </c>
      <c r="I405" s="66" t="str">
        <f>IF(J405&lt;&gt;"OK","",E405*(1+G405)*H405)</f>
        <v/>
      </c>
      <c r="J405" s="69" t="str">
        <f>IF(AND(A405="",B405=""),"",IF(A405="","Produit manquant",IF(COUNTIF(prod_ref,A405)=0,"Produit inconnu",IF(B405="","Matière manquante",IF(ISNA(MATCH(B405,mat_ref,0)),"Matière inconnue",IF(INDEX(mat_check,MATCH(B405,mat_ref,0))&lt;&gt;"OK","Matière à corriger",IF(OR(NOT(ISNUMBER(E405)),N(E405)&lt;=0),"Quantité invalide",IF(AND(F405&lt;&gt;"",OR(NOT(ISNUMBER(F405)),N(F405)&lt;0,N(F405)&gt;=1)),"Perte entre 0 et 99 %",IF(COUNTIFS(bom_prod,A405,bom_mat,B405)&gt;1,"Matière en double","OK")))))))))</f>
        <v/>
      </c>
      <c r="K405" s="71" t="str">
        <f>IF(AND(fiche_sel&lt;&gt;"",A405=fiche_sel),COUNTIF(A$6:A405,fiche_sel),"")</f>
        <v/>
      </c>
    </row>
    <row r="406">
      <c r="A406" s="60" t="n"/>
      <c r="B406" s="60" t="n"/>
      <c r="C406" s="71" t="str">
        <f>IF(B406="","",IFERROR(INDEX(mat_des,MATCH(B406,mat_ref,0))&amp;"","Matière inconnue"))</f>
        <v/>
      </c>
      <c r="D406" s="69" t="str">
        <f>IF(B406="","",IFERROR(INDEX(mat_unit,MATCH(B406,mat_ref,0))&amp;"",""))</f>
        <v/>
      </c>
      <c r="E406" s="72" t="n"/>
      <c r="F406" s="65" t="n"/>
      <c r="G406" s="68" t="str">
        <f>IF(J406&lt;&gt;"OK","",IF(F406="",N(INDEX(mat_loss,MATCH(B406,mat_ref,0))),F406))</f>
        <v/>
      </c>
      <c r="H406" s="66" t="str">
        <f>IF(J406&lt;&gt;"OK","",INDEX(mat_price,MATCH(B406,mat_ref,0)))</f>
        <v/>
      </c>
      <c r="I406" s="66" t="str">
        <f>IF(J406&lt;&gt;"OK","",E406*(1+G406)*H406)</f>
        <v/>
      </c>
      <c r="J406" s="69" t="str">
        <f>IF(AND(A406="",B406=""),"",IF(A406="","Produit manquant",IF(COUNTIF(prod_ref,A406)=0,"Produit inconnu",IF(B406="","Matière manquante",IF(ISNA(MATCH(B406,mat_ref,0)),"Matière inconnue",IF(INDEX(mat_check,MATCH(B406,mat_ref,0))&lt;&gt;"OK","Matière à corriger",IF(OR(NOT(ISNUMBER(E406)),N(E406)&lt;=0),"Quantité invalide",IF(AND(F406&lt;&gt;"",OR(NOT(ISNUMBER(F406)),N(F406)&lt;0,N(F406)&gt;=1)),"Perte entre 0 et 99 %",IF(COUNTIFS(bom_prod,A406,bom_mat,B406)&gt;1,"Matière en double","OK")))))))))</f>
        <v/>
      </c>
      <c r="K406" s="71" t="str">
        <f>IF(AND(fiche_sel&lt;&gt;"",A406=fiche_sel),COUNTIF(A$6:A406,fiche_sel),"")</f>
        <v/>
      </c>
    </row>
    <row r="407">
      <c r="A407" s="60" t="n"/>
      <c r="B407" s="60" t="n"/>
      <c r="C407" s="71" t="str">
        <f>IF(B407="","",IFERROR(INDEX(mat_des,MATCH(B407,mat_ref,0))&amp;"","Matière inconnue"))</f>
        <v/>
      </c>
      <c r="D407" s="69" t="str">
        <f>IF(B407="","",IFERROR(INDEX(mat_unit,MATCH(B407,mat_ref,0))&amp;"",""))</f>
        <v/>
      </c>
      <c r="E407" s="72" t="n"/>
      <c r="F407" s="65" t="n"/>
      <c r="G407" s="68" t="str">
        <f>IF(J407&lt;&gt;"OK","",IF(F407="",N(INDEX(mat_loss,MATCH(B407,mat_ref,0))),F407))</f>
        <v/>
      </c>
      <c r="H407" s="66" t="str">
        <f>IF(J407&lt;&gt;"OK","",INDEX(mat_price,MATCH(B407,mat_ref,0)))</f>
        <v/>
      </c>
      <c r="I407" s="66" t="str">
        <f>IF(J407&lt;&gt;"OK","",E407*(1+G407)*H407)</f>
        <v/>
      </c>
      <c r="J407" s="69" t="str">
        <f>IF(AND(A407="",B407=""),"",IF(A407="","Produit manquant",IF(COUNTIF(prod_ref,A407)=0,"Produit inconnu",IF(B407="","Matière manquante",IF(ISNA(MATCH(B407,mat_ref,0)),"Matière inconnue",IF(INDEX(mat_check,MATCH(B407,mat_ref,0))&lt;&gt;"OK","Matière à corriger",IF(OR(NOT(ISNUMBER(E407)),N(E407)&lt;=0),"Quantité invalide",IF(AND(F407&lt;&gt;"",OR(NOT(ISNUMBER(F407)),N(F407)&lt;0,N(F407)&gt;=1)),"Perte entre 0 et 99 %",IF(COUNTIFS(bom_prod,A407,bom_mat,B407)&gt;1,"Matière en double","OK")))))))))</f>
        <v/>
      </c>
      <c r="K407" s="71" t="str">
        <f>IF(AND(fiche_sel&lt;&gt;"",A407=fiche_sel),COUNTIF(A$6:A407,fiche_sel),"")</f>
        <v/>
      </c>
    </row>
    <row r="408">
      <c r="A408" s="60" t="n"/>
      <c r="B408" s="60" t="n"/>
      <c r="C408" s="71" t="str">
        <f>IF(B408="","",IFERROR(INDEX(mat_des,MATCH(B408,mat_ref,0))&amp;"","Matière inconnue"))</f>
        <v/>
      </c>
      <c r="D408" s="69" t="str">
        <f>IF(B408="","",IFERROR(INDEX(mat_unit,MATCH(B408,mat_ref,0))&amp;"",""))</f>
        <v/>
      </c>
      <c r="E408" s="72" t="n"/>
      <c r="F408" s="65" t="n"/>
      <c r="G408" s="68" t="str">
        <f>IF(J408&lt;&gt;"OK","",IF(F408="",N(INDEX(mat_loss,MATCH(B408,mat_ref,0))),F408))</f>
        <v/>
      </c>
      <c r="H408" s="66" t="str">
        <f>IF(J408&lt;&gt;"OK","",INDEX(mat_price,MATCH(B408,mat_ref,0)))</f>
        <v/>
      </c>
      <c r="I408" s="66" t="str">
        <f>IF(J408&lt;&gt;"OK","",E408*(1+G408)*H408)</f>
        <v/>
      </c>
      <c r="J408" s="69" t="str">
        <f>IF(AND(A408="",B408=""),"",IF(A408="","Produit manquant",IF(COUNTIF(prod_ref,A408)=0,"Produit inconnu",IF(B408="","Matière manquante",IF(ISNA(MATCH(B408,mat_ref,0)),"Matière inconnue",IF(INDEX(mat_check,MATCH(B408,mat_ref,0))&lt;&gt;"OK","Matière à corriger",IF(OR(NOT(ISNUMBER(E408)),N(E408)&lt;=0),"Quantité invalide",IF(AND(F408&lt;&gt;"",OR(NOT(ISNUMBER(F408)),N(F408)&lt;0,N(F408)&gt;=1)),"Perte entre 0 et 99 %",IF(COUNTIFS(bom_prod,A408,bom_mat,B408)&gt;1,"Matière en double","OK")))))))))</f>
        <v/>
      </c>
      <c r="K408" s="71" t="str">
        <f>IF(AND(fiche_sel&lt;&gt;"",A408=fiche_sel),COUNTIF(A$6:A408,fiche_sel),"")</f>
        <v/>
      </c>
    </row>
    <row r="409">
      <c r="A409" s="60" t="n"/>
      <c r="B409" s="60" t="n"/>
      <c r="C409" s="71" t="str">
        <f>IF(B409="","",IFERROR(INDEX(mat_des,MATCH(B409,mat_ref,0))&amp;"","Matière inconnue"))</f>
        <v/>
      </c>
      <c r="D409" s="69" t="str">
        <f>IF(B409="","",IFERROR(INDEX(mat_unit,MATCH(B409,mat_ref,0))&amp;"",""))</f>
        <v/>
      </c>
      <c r="E409" s="72" t="n"/>
      <c r="F409" s="65" t="n"/>
      <c r="G409" s="68" t="str">
        <f>IF(J409&lt;&gt;"OK","",IF(F409="",N(INDEX(mat_loss,MATCH(B409,mat_ref,0))),F409))</f>
        <v/>
      </c>
      <c r="H409" s="66" t="str">
        <f>IF(J409&lt;&gt;"OK","",INDEX(mat_price,MATCH(B409,mat_ref,0)))</f>
        <v/>
      </c>
      <c r="I409" s="66" t="str">
        <f>IF(J409&lt;&gt;"OK","",E409*(1+G409)*H409)</f>
        <v/>
      </c>
      <c r="J409" s="69" t="str">
        <f>IF(AND(A409="",B409=""),"",IF(A409="","Produit manquant",IF(COUNTIF(prod_ref,A409)=0,"Produit inconnu",IF(B409="","Matière manquante",IF(ISNA(MATCH(B409,mat_ref,0)),"Matière inconnue",IF(INDEX(mat_check,MATCH(B409,mat_ref,0))&lt;&gt;"OK","Matière à corriger",IF(OR(NOT(ISNUMBER(E409)),N(E409)&lt;=0),"Quantité invalide",IF(AND(F409&lt;&gt;"",OR(NOT(ISNUMBER(F409)),N(F409)&lt;0,N(F409)&gt;=1)),"Perte entre 0 et 99 %",IF(COUNTIFS(bom_prod,A409,bom_mat,B409)&gt;1,"Matière en double","OK")))))))))</f>
        <v/>
      </c>
      <c r="K409" s="71" t="str">
        <f>IF(AND(fiche_sel&lt;&gt;"",A409=fiche_sel),COUNTIF(A$6:A409,fiche_sel),"")</f>
        <v/>
      </c>
    </row>
    <row r="410">
      <c r="A410" s="60" t="n"/>
      <c r="B410" s="60" t="n"/>
      <c r="C410" s="71" t="str">
        <f>IF(B410="","",IFERROR(INDEX(mat_des,MATCH(B410,mat_ref,0))&amp;"","Matière inconnue"))</f>
        <v/>
      </c>
      <c r="D410" s="69" t="str">
        <f>IF(B410="","",IFERROR(INDEX(mat_unit,MATCH(B410,mat_ref,0))&amp;"",""))</f>
        <v/>
      </c>
      <c r="E410" s="72" t="n"/>
      <c r="F410" s="65" t="n"/>
      <c r="G410" s="68" t="str">
        <f>IF(J410&lt;&gt;"OK","",IF(F410="",N(INDEX(mat_loss,MATCH(B410,mat_ref,0))),F410))</f>
        <v/>
      </c>
      <c r="H410" s="66" t="str">
        <f>IF(J410&lt;&gt;"OK","",INDEX(mat_price,MATCH(B410,mat_ref,0)))</f>
        <v/>
      </c>
      <c r="I410" s="66" t="str">
        <f>IF(J410&lt;&gt;"OK","",E410*(1+G410)*H410)</f>
        <v/>
      </c>
      <c r="J410" s="69" t="str">
        <f>IF(AND(A410="",B410=""),"",IF(A410="","Produit manquant",IF(COUNTIF(prod_ref,A410)=0,"Produit inconnu",IF(B410="","Matière manquante",IF(ISNA(MATCH(B410,mat_ref,0)),"Matière inconnue",IF(INDEX(mat_check,MATCH(B410,mat_ref,0))&lt;&gt;"OK","Matière à corriger",IF(OR(NOT(ISNUMBER(E410)),N(E410)&lt;=0),"Quantité invalide",IF(AND(F410&lt;&gt;"",OR(NOT(ISNUMBER(F410)),N(F410)&lt;0,N(F410)&gt;=1)),"Perte entre 0 et 99 %",IF(COUNTIFS(bom_prod,A410,bom_mat,B410)&gt;1,"Matière en double","OK")))))))))</f>
        <v/>
      </c>
      <c r="K410" s="71" t="str">
        <f>IF(AND(fiche_sel&lt;&gt;"",A410=fiche_sel),COUNTIF(A$6:A410,fiche_sel),"")</f>
        <v/>
      </c>
    </row>
    <row r="411">
      <c r="A411" s="60" t="n"/>
      <c r="B411" s="60" t="n"/>
      <c r="C411" s="71" t="str">
        <f>IF(B411="","",IFERROR(INDEX(mat_des,MATCH(B411,mat_ref,0))&amp;"","Matière inconnue"))</f>
        <v/>
      </c>
      <c r="D411" s="69" t="str">
        <f>IF(B411="","",IFERROR(INDEX(mat_unit,MATCH(B411,mat_ref,0))&amp;"",""))</f>
        <v/>
      </c>
      <c r="E411" s="72" t="n"/>
      <c r="F411" s="65" t="n"/>
      <c r="G411" s="68" t="str">
        <f>IF(J411&lt;&gt;"OK","",IF(F411="",N(INDEX(mat_loss,MATCH(B411,mat_ref,0))),F411))</f>
        <v/>
      </c>
      <c r="H411" s="66" t="str">
        <f>IF(J411&lt;&gt;"OK","",INDEX(mat_price,MATCH(B411,mat_ref,0)))</f>
        <v/>
      </c>
      <c r="I411" s="66" t="str">
        <f>IF(J411&lt;&gt;"OK","",E411*(1+G411)*H411)</f>
        <v/>
      </c>
      <c r="J411" s="69" t="str">
        <f>IF(AND(A411="",B411=""),"",IF(A411="","Produit manquant",IF(COUNTIF(prod_ref,A411)=0,"Produit inconnu",IF(B411="","Matière manquante",IF(ISNA(MATCH(B411,mat_ref,0)),"Matière inconnue",IF(INDEX(mat_check,MATCH(B411,mat_ref,0))&lt;&gt;"OK","Matière à corriger",IF(OR(NOT(ISNUMBER(E411)),N(E411)&lt;=0),"Quantité invalide",IF(AND(F411&lt;&gt;"",OR(NOT(ISNUMBER(F411)),N(F411)&lt;0,N(F411)&gt;=1)),"Perte entre 0 et 99 %",IF(COUNTIFS(bom_prod,A411,bom_mat,B411)&gt;1,"Matière en double","OK")))))))))</f>
        <v/>
      </c>
      <c r="K411" s="71" t="str">
        <f>IF(AND(fiche_sel&lt;&gt;"",A411=fiche_sel),COUNTIF(A$6:A411,fiche_sel),"")</f>
        <v/>
      </c>
    </row>
    <row r="412">
      <c r="A412" s="60" t="n"/>
      <c r="B412" s="60" t="n"/>
      <c r="C412" s="71" t="str">
        <f>IF(B412="","",IFERROR(INDEX(mat_des,MATCH(B412,mat_ref,0))&amp;"","Matière inconnue"))</f>
        <v/>
      </c>
      <c r="D412" s="69" t="str">
        <f>IF(B412="","",IFERROR(INDEX(mat_unit,MATCH(B412,mat_ref,0))&amp;"",""))</f>
        <v/>
      </c>
      <c r="E412" s="72" t="n"/>
      <c r="F412" s="65" t="n"/>
      <c r="G412" s="68" t="str">
        <f>IF(J412&lt;&gt;"OK","",IF(F412="",N(INDEX(mat_loss,MATCH(B412,mat_ref,0))),F412))</f>
        <v/>
      </c>
      <c r="H412" s="66" t="str">
        <f>IF(J412&lt;&gt;"OK","",INDEX(mat_price,MATCH(B412,mat_ref,0)))</f>
        <v/>
      </c>
      <c r="I412" s="66" t="str">
        <f>IF(J412&lt;&gt;"OK","",E412*(1+G412)*H412)</f>
        <v/>
      </c>
      <c r="J412" s="69" t="str">
        <f>IF(AND(A412="",B412=""),"",IF(A412="","Produit manquant",IF(COUNTIF(prod_ref,A412)=0,"Produit inconnu",IF(B412="","Matière manquante",IF(ISNA(MATCH(B412,mat_ref,0)),"Matière inconnue",IF(INDEX(mat_check,MATCH(B412,mat_ref,0))&lt;&gt;"OK","Matière à corriger",IF(OR(NOT(ISNUMBER(E412)),N(E412)&lt;=0),"Quantité invalide",IF(AND(F412&lt;&gt;"",OR(NOT(ISNUMBER(F412)),N(F412)&lt;0,N(F412)&gt;=1)),"Perte entre 0 et 99 %",IF(COUNTIFS(bom_prod,A412,bom_mat,B412)&gt;1,"Matière en double","OK")))))))))</f>
        <v/>
      </c>
      <c r="K412" s="71" t="str">
        <f>IF(AND(fiche_sel&lt;&gt;"",A412=fiche_sel),COUNTIF(A$6:A412,fiche_sel),"")</f>
        <v/>
      </c>
    </row>
    <row r="413">
      <c r="A413" s="60" t="n"/>
      <c r="B413" s="60" t="n"/>
      <c r="C413" s="71" t="str">
        <f>IF(B413="","",IFERROR(INDEX(mat_des,MATCH(B413,mat_ref,0))&amp;"","Matière inconnue"))</f>
        <v/>
      </c>
      <c r="D413" s="69" t="str">
        <f>IF(B413="","",IFERROR(INDEX(mat_unit,MATCH(B413,mat_ref,0))&amp;"",""))</f>
        <v/>
      </c>
      <c r="E413" s="72" t="n"/>
      <c r="F413" s="65" t="n"/>
      <c r="G413" s="68" t="str">
        <f>IF(J413&lt;&gt;"OK","",IF(F413="",N(INDEX(mat_loss,MATCH(B413,mat_ref,0))),F413))</f>
        <v/>
      </c>
      <c r="H413" s="66" t="str">
        <f>IF(J413&lt;&gt;"OK","",INDEX(mat_price,MATCH(B413,mat_ref,0)))</f>
        <v/>
      </c>
      <c r="I413" s="66" t="str">
        <f>IF(J413&lt;&gt;"OK","",E413*(1+G413)*H413)</f>
        <v/>
      </c>
      <c r="J413" s="69" t="str">
        <f>IF(AND(A413="",B413=""),"",IF(A413="","Produit manquant",IF(COUNTIF(prod_ref,A413)=0,"Produit inconnu",IF(B413="","Matière manquante",IF(ISNA(MATCH(B413,mat_ref,0)),"Matière inconnue",IF(INDEX(mat_check,MATCH(B413,mat_ref,0))&lt;&gt;"OK","Matière à corriger",IF(OR(NOT(ISNUMBER(E413)),N(E413)&lt;=0),"Quantité invalide",IF(AND(F413&lt;&gt;"",OR(NOT(ISNUMBER(F413)),N(F413)&lt;0,N(F413)&gt;=1)),"Perte entre 0 et 99 %",IF(COUNTIFS(bom_prod,A413,bom_mat,B413)&gt;1,"Matière en double","OK")))))))))</f>
        <v/>
      </c>
      <c r="K413" s="71" t="str">
        <f>IF(AND(fiche_sel&lt;&gt;"",A413=fiche_sel),COUNTIF(A$6:A413,fiche_sel),"")</f>
        <v/>
      </c>
    </row>
    <row r="414">
      <c r="A414" s="60" t="n"/>
      <c r="B414" s="60" t="n"/>
      <c r="C414" s="71" t="str">
        <f>IF(B414="","",IFERROR(INDEX(mat_des,MATCH(B414,mat_ref,0))&amp;"","Matière inconnue"))</f>
        <v/>
      </c>
      <c r="D414" s="69" t="str">
        <f>IF(B414="","",IFERROR(INDEX(mat_unit,MATCH(B414,mat_ref,0))&amp;"",""))</f>
        <v/>
      </c>
      <c r="E414" s="72" t="n"/>
      <c r="F414" s="65" t="n"/>
      <c r="G414" s="68" t="str">
        <f>IF(J414&lt;&gt;"OK","",IF(F414="",N(INDEX(mat_loss,MATCH(B414,mat_ref,0))),F414))</f>
        <v/>
      </c>
      <c r="H414" s="66" t="str">
        <f>IF(J414&lt;&gt;"OK","",INDEX(mat_price,MATCH(B414,mat_ref,0)))</f>
        <v/>
      </c>
      <c r="I414" s="66" t="str">
        <f>IF(J414&lt;&gt;"OK","",E414*(1+G414)*H414)</f>
        <v/>
      </c>
      <c r="J414" s="69" t="str">
        <f>IF(AND(A414="",B414=""),"",IF(A414="","Produit manquant",IF(COUNTIF(prod_ref,A414)=0,"Produit inconnu",IF(B414="","Matière manquante",IF(ISNA(MATCH(B414,mat_ref,0)),"Matière inconnue",IF(INDEX(mat_check,MATCH(B414,mat_ref,0))&lt;&gt;"OK","Matière à corriger",IF(OR(NOT(ISNUMBER(E414)),N(E414)&lt;=0),"Quantité invalide",IF(AND(F414&lt;&gt;"",OR(NOT(ISNUMBER(F414)),N(F414)&lt;0,N(F414)&gt;=1)),"Perte entre 0 et 99 %",IF(COUNTIFS(bom_prod,A414,bom_mat,B414)&gt;1,"Matière en double","OK")))))))))</f>
        <v/>
      </c>
      <c r="K414" s="71" t="str">
        <f>IF(AND(fiche_sel&lt;&gt;"",A414=fiche_sel),COUNTIF(A$6:A414,fiche_sel),"")</f>
        <v/>
      </c>
    </row>
    <row r="415">
      <c r="A415" s="60" t="n"/>
      <c r="B415" s="60" t="n"/>
      <c r="C415" s="71" t="str">
        <f>IF(B415="","",IFERROR(INDEX(mat_des,MATCH(B415,mat_ref,0))&amp;"","Matière inconnue"))</f>
        <v/>
      </c>
      <c r="D415" s="69" t="str">
        <f>IF(B415="","",IFERROR(INDEX(mat_unit,MATCH(B415,mat_ref,0))&amp;"",""))</f>
        <v/>
      </c>
      <c r="E415" s="72" t="n"/>
      <c r="F415" s="65" t="n"/>
      <c r="G415" s="68" t="str">
        <f>IF(J415&lt;&gt;"OK","",IF(F415="",N(INDEX(mat_loss,MATCH(B415,mat_ref,0))),F415))</f>
        <v/>
      </c>
      <c r="H415" s="66" t="str">
        <f>IF(J415&lt;&gt;"OK","",INDEX(mat_price,MATCH(B415,mat_ref,0)))</f>
        <v/>
      </c>
      <c r="I415" s="66" t="str">
        <f>IF(J415&lt;&gt;"OK","",E415*(1+G415)*H415)</f>
        <v/>
      </c>
      <c r="J415" s="69" t="str">
        <f>IF(AND(A415="",B415=""),"",IF(A415="","Produit manquant",IF(COUNTIF(prod_ref,A415)=0,"Produit inconnu",IF(B415="","Matière manquante",IF(ISNA(MATCH(B415,mat_ref,0)),"Matière inconnue",IF(INDEX(mat_check,MATCH(B415,mat_ref,0))&lt;&gt;"OK","Matière à corriger",IF(OR(NOT(ISNUMBER(E415)),N(E415)&lt;=0),"Quantité invalide",IF(AND(F415&lt;&gt;"",OR(NOT(ISNUMBER(F415)),N(F415)&lt;0,N(F415)&gt;=1)),"Perte entre 0 et 99 %",IF(COUNTIFS(bom_prod,A415,bom_mat,B415)&gt;1,"Matière en double","OK")))))))))</f>
        <v/>
      </c>
      <c r="K415" s="71" t="str">
        <f>IF(AND(fiche_sel&lt;&gt;"",A415=fiche_sel),COUNTIF(A$6:A415,fiche_sel),"")</f>
        <v/>
      </c>
    </row>
    <row r="416">
      <c r="A416" s="60" t="n"/>
      <c r="B416" s="60" t="n"/>
      <c r="C416" s="71" t="str">
        <f>IF(B416="","",IFERROR(INDEX(mat_des,MATCH(B416,mat_ref,0))&amp;"","Matière inconnue"))</f>
        <v/>
      </c>
      <c r="D416" s="69" t="str">
        <f>IF(B416="","",IFERROR(INDEX(mat_unit,MATCH(B416,mat_ref,0))&amp;"",""))</f>
        <v/>
      </c>
      <c r="E416" s="72" t="n"/>
      <c r="F416" s="65" t="n"/>
      <c r="G416" s="68" t="str">
        <f>IF(J416&lt;&gt;"OK","",IF(F416="",N(INDEX(mat_loss,MATCH(B416,mat_ref,0))),F416))</f>
        <v/>
      </c>
      <c r="H416" s="66" t="str">
        <f>IF(J416&lt;&gt;"OK","",INDEX(mat_price,MATCH(B416,mat_ref,0)))</f>
        <v/>
      </c>
      <c r="I416" s="66" t="str">
        <f>IF(J416&lt;&gt;"OK","",E416*(1+G416)*H416)</f>
        <v/>
      </c>
      <c r="J416" s="69" t="str">
        <f>IF(AND(A416="",B416=""),"",IF(A416="","Produit manquant",IF(COUNTIF(prod_ref,A416)=0,"Produit inconnu",IF(B416="","Matière manquante",IF(ISNA(MATCH(B416,mat_ref,0)),"Matière inconnue",IF(INDEX(mat_check,MATCH(B416,mat_ref,0))&lt;&gt;"OK","Matière à corriger",IF(OR(NOT(ISNUMBER(E416)),N(E416)&lt;=0),"Quantité invalide",IF(AND(F416&lt;&gt;"",OR(NOT(ISNUMBER(F416)),N(F416)&lt;0,N(F416)&gt;=1)),"Perte entre 0 et 99 %",IF(COUNTIFS(bom_prod,A416,bom_mat,B416)&gt;1,"Matière en double","OK")))))))))</f>
        <v/>
      </c>
      <c r="K416" s="71" t="str">
        <f>IF(AND(fiche_sel&lt;&gt;"",A416=fiche_sel),COUNTIF(A$6:A416,fiche_sel),"")</f>
        <v/>
      </c>
    </row>
    <row r="417">
      <c r="A417" s="60" t="n"/>
      <c r="B417" s="60" t="n"/>
      <c r="C417" s="71" t="str">
        <f>IF(B417="","",IFERROR(INDEX(mat_des,MATCH(B417,mat_ref,0))&amp;"","Matière inconnue"))</f>
        <v/>
      </c>
      <c r="D417" s="69" t="str">
        <f>IF(B417="","",IFERROR(INDEX(mat_unit,MATCH(B417,mat_ref,0))&amp;"",""))</f>
        <v/>
      </c>
      <c r="E417" s="72" t="n"/>
      <c r="F417" s="65" t="n"/>
      <c r="G417" s="68" t="str">
        <f>IF(J417&lt;&gt;"OK","",IF(F417="",N(INDEX(mat_loss,MATCH(B417,mat_ref,0))),F417))</f>
        <v/>
      </c>
      <c r="H417" s="66" t="str">
        <f>IF(J417&lt;&gt;"OK","",INDEX(mat_price,MATCH(B417,mat_ref,0)))</f>
        <v/>
      </c>
      <c r="I417" s="66" t="str">
        <f>IF(J417&lt;&gt;"OK","",E417*(1+G417)*H417)</f>
        <v/>
      </c>
      <c r="J417" s="69" t="str">
        <f>IF(AND(A417="",B417=""),"",IF(A417="","Produit manquant",IF(COUNTIF(prod_ref,A417)=0,"Produit inconnu",IF(B417="","Matière manquante",IF(ISNA(MATCH(B417,mat_ref,0)),"Matière inconnue",IF(INDEX(mat_check,MATCH(B417,mat_ref,0))&lt;&gt;"OK","Matière à corriger",IF(OR(NOT(ISNUMBER(E417)),N(E417)&lt;=0),"Quantité invalide",IF(AND(F417&lt;&gt;"",OR(NOT(ISNUMBER(F417)),N(F417)&lt;0,N(F417)&gt;=1)),"Perte entre 0 et 99 %",IF(COUNTIFS(bom_prod,A417,bom_mat,B417)&gt;1,"Matière en double","OK")))))))))</f>
        <v/>
      </c>
      <c r="K417" s="71" t="str">
        <f>IF(AND(fiche_sel&lt;&gt;"",A417=fiche_sel),COUNTIF(A$6:A417,fiche_sel),"")</f>
        <v/>
      </c>
    </row>
    <row r="418">
      <c r="A418" s="60" t="n"/>
      <c r="B418" s="60" t="n"/>
      <c r="C418" s="71" t="str">
        <f>IF(B418="","",IFERROR(INDEX(mat_des,MATCH(B418,mat_ref,0))&amp;"","Matière inconnue"))</f>
        <v/>
      </c>
      <c r="D418" s="69" t="str">
        <f>IF(B418="","",IFERROR(INDEX(mat_unit,MATCH(B418,mat_ref,0))&amp;"",""))</f>
        <v/>
      </c>
      <c r="E418" s="72" t="n"/>
      <c r="F418" s="65" t="n"/>
      <c r="G418" s="68" t="str">
        <f>IF(J418&lt;&gt;"OK","",IF(F418="",N(INDEX(mat_loss,MATCH(B418,mat_ref,0))),F418))</f>
        <v/>
      </c>
      <c r="H418" s="66" t="str">
        <f>IF(J418&lt;&gt;"OK","",INDEX(mat_price,MATCH(B418,mat_ref,0)))</f>
        <v/>
      </c>
      <c r="I418" s="66" t="str">
        <f>IF(J418&lt;&gt;"OK","",E418*(1+G418)*H418)</f>
        <v/>
      </c>
      <c r="J418" s="69" t="str">
        <f>IF(AND(A418="",B418=""),"",IF(A418="","Produit manquant",IF(COUNTIF(prod_ref,A418)=0,"Produit inconnu",IF(B418="","Matière manquante",IF(ISNA(MATCH(B418,mat_ref,0)),"Matière inconnue",IF(INDEX(mat_check,MATCH(B418,mat_ref,0))&lt;&gt;"OK","Matière à corriger",IF(OR(NOT(ISNUMBER(E418)),N(E418)&lt;=0),"Quantité invalide",IF(AND(F418&lt;&gt;"",OR(NOT(ISNUMBER(F418)),N(F418)&lt;0,N(F418)&gt;=1)),"Perte entre 0 et 99 %",IF(COUNTIFS(bom_prod,A418,bom_mat,B418)&gt;1,"Matière en double","OK")))))))))</f>
        <v/>
      </c>
      <c r="K418" s="71" t="str">
        <f>IF(AND(fiche_sel&lt;&gt;"",A418=fiche_sel),COUNTIF(A$6:A418,fiche_sel),"")</f>
        <v/>
      </c>
    </row>
    <row r="419">
      <c r="A419" s="60" t="n"/>
      <c r="B419" s="60" t="n"/>
      <c r="C419" s="71" t="str">
        <f>IF(B419="","",IFERROR(INDEX(mat_des,MATCH(B419,mat_ref,0))&amp;"","Matière inconnue"))</f>
        <v/>
      </c>
      <c r="D419" s="69" t="str">
        <f>IF(B419="","",IFERROR(INDEX(mat_unit,MATCH(B419,mat_ref,0))&amp;"",""))</f>
        <v/>
      </c>
      <c r="E419" s="72" t="n"/>
      <c r="F419" s="65" t="n"/>
      <c r="G419" s="68" t="str">
        <f>IF(J419&lt;&gt;"OK","",IF(F419="",N(INDEX(mat_loss,MATCH(B419,mat_ref,0))),F419))</f>
        <v/>
      </c>
      <c r="H419" s="66" t="str">
        <f>IF(J419&lt;&gt;"OK","",INDEX(mat_price,MATCH(B419,mat_ref,0)))</f>
        <v/>
      </c>
      <c r="I419" s="66" t="str">
        <f>IF(J419&lt;&gt;"OK","",E419*(1+G419)*H419)</f>
        <v/>
      </c>
      <c r="J419" s="69" t="str">
        <f>IF(AND(A419="",B419=""),"",IF(A419="","Produit manquant",IF(COUNTIF(prod_ref,A419)=0,"Produit inconnu",IF(B419="","Matière manquante",IF(ISNA(MATCH(B419,mat_ref,0)),"Matière inconnue",IF(INDEX(mat_check,MATCH(B419,mat_ref,0))&lt;&gt;"OK","Matière à corriger",IF(OR(NOT(ISNUMBER(E419)),N(E419)&lt;=0),"Quantité invalide",IF(AND(F419&lt;&gt;"",OR(NOT(ISNUMBER(F419)),N(F419)&lt;0,N(F419)&gt;=1)),"Perte entre 0 et 99 %",IF(COUNTIFS(bom_prod,A419,bom_mat,B419)&gt;1,"Matière en double","OK")))))))))</f>
        <v/>
      </c>
      <c r="K419" s="71" t="str">
        <f>IF(AND(fiche_sel&lt;&gt;"",A419=fiche_sel),COUNTIF(A$6:A419,fiche_sel),"")</f>
        <v/>
      </c>
    </row>
    <row r="420">
      <c r="A420" s="60" t="n"/>
      <c r="B420" s="60" t="n"/>
      <c r="C420" s="71" t="str">
        <f>IF(B420="","",IFERROR(INDEX(mat_des,MATCH(B420,mat_ref,0))&amp;"","Matière inconnue"))</f>
        <v/>
      </c>
      <c r="D420" s="69" t="str">
        <f>IF(B420="","",IFERROR(INDEX(mat_unit,MATCH(B420,mat_ref,0))&amp;"",""))</f>
        <v/>
      </c>
      <c r="E420" s="72" t="n"/>
      <c r="F420" s="65" t="n"/>
      <c r="G420" s="68" t="str">
        <f>IF(J420&lt;&gt;"OK","",IF(F420="",N(INDEX(mat_loss,MATCH(B420,mat_ref,0))),F420))</f>
        <v/>
      </c>
      <c r="H420" s="66" t="str">
        <f>IF(J420&lt;&gt;"OK","",INDEX(mat_price,MATCH(B420,mat_ref,0)))</f>
        <v/>
      </c>
      <c r="I420" s="66" t="str">
        <f>IF(J420&lt;&gt;"OK","",E420*(1+G420)*H420)</f>
        <v/>
      </c>
      <c r="J420" s="69" t="str">
        <f>IF(AND(A420="",B420=""),"",IF(A420="","Produit manquant",IF(COUNTIF(prod_ref,A420)=0,"Produit inconnu",IF(B420="","Matière manquante",IF(ISNA(MATCH(B420,mat_ref,0)),"Matière inconnue",IF(INDEX(mat_check,MATCH(B420,mat_ref,0))&lt;&gt;"OK","Matière à corriger",IF(OR(NOT(ISNUMBER(E420)),N(E420)&lt;=0),"Quantité invalide",IF(AND(F420&lt;&gt;"",OR(NOT(ISNUMBER(F420)),N(F420)&lt;0,N(F420)&gt;=1)),"Perte entre 0 et 99 %",IF(COUNTIFS(bom_prod,A420,bom_mat,B420)&gt;1,"Matière en double","OK")))))))))</f>
        <v/>
      </c>
      <c r="K420" s="71" t="str">
        <f>IF(AND(fiche_sel&lt;&gt;"",A420=fiche_sel),COUNTIF(A$6:A420,fiche_sel),"")</f>
        <v/>
      </c>
    </row>
    <row r="421">
      <c r="A421" s="60" t="n"/>
      <c r="B421" s="60" t="n"/>
      <c r="C421" s="71" t="str">
        <f>IF(B421="","",IFERROR(INDEX(mat_des,MATCH(B421,mat_ref,0))&amp;"","Matière inconnue"))</f>
        <v/>
      </c>
      <c r="D421" s="69" t="str">
        <f>IF(B421="","",IFERROR(INDEX(mat_unit,MATCH(B421,mat_ref,0))&amp;"",""))</f>
        <v/>
      </c>
      <c r="E421" s="72" t="n"/>
      <c r="F421" s="65" t="n"/>
      <c r="G421" s="68" t="str">
        <f>IF(J421&lt;&gt;"OK","",IF(F421="",N(INDEX(mat_loss,MATCH(B421,mat_ref,0))),F421))</f>
        <v/>
      </c>
      <c r="H421" s="66" t="str">
        <f>IF(J421&lt;&gt;"OK","",INDEX(mat_price,MATCH(B421,mat_ref,0)))</f>
        <v/>
      </c>
      <c r="I421" s="66" t="str">
        <f>IF(J421&lt;&gt;"OK","",E421*(1+G421)*H421)</f>
        <v/>
      </c>
      <c r="J421" s="69" t="str">
        <f>IF(AND(A421="",B421=""),"",IF(A421="","Produit manquant",IF(COUNTIF(prod_ref,A421)=0,"Produit inconnu",IF(B421="","Matière manquante",IF(ISNA(MATCH(B421,mat_ref,0)),"Matière inconnue",IF(INDEX(mat_check,MATCH(B421,mat_ref,0))&lt;&gt;"OK","Matière à corriger",IF(OR(NOT(ISNUMBER(E421)),N(E421)&lt;=0),"Quantité invalide",IF(AND(F421&lt;&gt;"",OR(NOT(ISNUMBER(F421)),N(F421)&lt;0,N(F421)&gt;=1)),"Perte entre 0 et 99 %",IF(COUNTIFS(bom_prod,A421,bom_mat,B421)&gt;1,"Matière en double","OK")))))))))</f>
        <v/>
      </c>
      <c r="K421" s="71" t="str">
        <f>IF(AND(fiche_sel&lt;&gt;"",A421=fiche_sel),COUNTIF(A$6:A421,fiche_sel),"")</f>
        <v/>
      </c>
    </row>
    <row r="422">
      <c r="A422" s="60" t="n"/>
      <c r="B422" s="60" t="n"/>
      <c r="C422" s="71" t="str">
        <f>IF(B422="","",IFERROR(INDEX(mat_des,MATCH(B422,mat_ref,0))&amp;"","Matière inconnue"))</f>
        <v/>
      </c>
      <c r="D422" s="69" t="str">
        <f>IF(B422="","",IFERROR(INDEX(mat_unit,MATCH(B422,mat_ref,0))&amp;"",""))</f>
        <v/>
      </c>
      <c r="E422" s="72" t="n"/>
      <c r="F422" s="65" t="n"/>
      <c r="G422" s="68" t="str">
        <f>IF(J422&lt;&gt;"OK","",IF(F422="",N(INDEX(mat_loss,MATCH(B422,mat_ref,0))),F422))</f>
        <v/>
      </c>
      <c r="H422" s="66" t="str">
        <f>IF(J422&lt;&gt;"OK","",INDEX(mat_price,MATCH(B422,mat_ref,0)))</f>
        <v/>
      </c>
      <c r="I422" s="66" t="str">
        <f>IF(J422&lt;&gt;"OK","",E422*(1+G422)*H422)</f>
        <v/>
      </c>
      <c r="J422" s="69" t="str">
        <f>IF(AND(A422="",B422=""),"",IF(A422="","Produit manquant",IF(COUNTIF(prod_ref,A422)=0,"Produit inconnu",IF(B422="","Matière manquante",IF(ISNA(MATCH(B422,mat_ref,0)),"Matière inconnue",IF(INDEX(mat_check,MATCH(B422,mat_ref,0))&lt;&gt;"OK","Matière à corriger",IF(OR(NOT(ISNUMBER(E422)),N(E422)&lt;=0),"Quantité invalide",IF(AND(F422&lt;&gt;"",OR(NOT(ISNUMBER(F422)),N(F422)&lt;0,N(F422)&gt;=1)),"Perte entre 0 et 99 %",IF(COUNTIFS(bom_prod,A422,bom_mat,B422)&gt;1,"Matière en double","OK")))))))))</f>
        <v/>
      </c>
      <c r="K422" s="71" t="str">
        <f>IF(AND(fiche_sel&lt;&gt;"",A422=fiche_sel),COUNTIF(A$6:A422,fiche_sel),"")</f>
        <v/>
      </c>
    </row>
    <row r="423">
      <c r="A423" s="60" t="n"/>
      <c r="B423" s="60" t="n"/>
      <c r="C423" s="71" t="str">
        <f>IF(B423="","",IFERROR(INDEX(mat_des,MATCH(B423,mat_ref,0))&amp;"","Matière inconnue"))</f>
        <v/>
      </c>
      <c r="D423" s="69" t="str">
        <f>IF(B423="","",IFERROR(INDEX(mat_unit,MATCH(B423,mat_ref,0))&amp;"",""))</f>
        <v/>
      </c>
      <c r="E423" s="72" t="n"/>
      <c r="F423" s="65" t="n"/>
      <c r="G423" s="68" t="str">
        <f>IF(J423&lt;&gt;"OK","",IF(F423="",N(INDEX(mat_loss,MATCH(B423,mat_ref,0))),F423))</f>
        <v/>
      </c>
      <c r="H423" s="66" t="str">
        <f>IF(J423&lt;&gt;"OK","",INDEX(mat_price,MATCH(B423,mat_ref,0)))</f>
        <v/>
      </c>
      <c r="I423" s="66" t="str">
        <f>IF(J423&lt;&gt;"OK","",E423*(1+G423)*H423)</f>
        <v/>
      </c>
      <c r="J423" s="69" t="str">
        <f>IF(AND(A423="",B423=""),"",IF(A423="","Produit manquant",IF(COUNTIF(prod_ref,A423)=0,"Produit inconnu",IF(B423="","Matière manquante",IF(ISNA(MATCH(B423,mat_ref,0)),"Matière inconnue",IF(INDEX(mat_check,MATCH(B423,mat_ref,0))&lt;&gt;"OK","Matière à corriger",IF(OR(NOT(ISNUMBER(E423)),N(E423)&lt;=0),"Quantité invalide",IF(AND(F423&lt;&gt;"",OR(NOT(ISNUMBER(F423)),N(F423)&lt;0,N(F423)&gt;=1)),"Perte entre 0 et 99 %",IF(COUNTIFS(bom_prod,A423,bom_mat,B423)&gt;1,"Matière en double","OK")))))))))</f>
        <v/>
      </c>
      <c r="K423" s="71" t="str">
        <f>IF(AND(fiche_sel&lt;&gt;"",A423=fiche_sel),COUNTIF(A$6:A423,fiche_sel),"")</f>
        <v/>
      </c>
    </row>
    <row r="424">
      <c r="A424" s="60" t="n"/>
      <c r="B424" s="60" t="n"/>
      <c r="C424" s="71" t="str">
        <f>IF(B424="","",IFERROR(INDEX(mat_des,MATCH(B424,mat_ref,0))&amp;"","Matière inconnue"))</f>
        <v/>
      </c>
      <c r="D424" s="69" t="str">
        <f>IF(B424="","",IFERROR(INDEX(mat_unit,MATCH(B424,mat_ref,0))&amp;"",""))</f>
        <v/>
      </c>
      <c r="E424" s="72" t="n"/>
      <c r="F424" s="65" t="n"/>
      <c r="G424" s="68" t="str">
        <f>IF(J424&lt;&gt;"OK","",IF(F424="",N(INDEX(mat_loss,MATCH(B424,mat_ref,0))),F424))</f>
        <v/>
      </c>
      <c r="H424" s="66" t="str">
        <f>IF(J424&lt;&gt;"OK","",INDEX(mat_price,MATCH(B424,mat_ref,0)))</f>
        <v/>
      </c>
      <c r="I424" s="66" t="str">
        <f>IF(J424&lt;&gt;"OK","",E424*(1+G424)*H424)</f>
        <v/>
      </c>
      <c r="J424" s="69" t="str">
        <f>IF(AND(A424="",B424=""),"",IF(A424="","Produit manquant",IF(COUNTIF(prod_ref,A424)=0,"Produit inconnu",IF(B424="","Matière manquante",IF(ISNA(MATCH(B424,mat_ref,0)),"Matière inconnue",IF(INDEX(mat_check,MATCH(B424,mat_ref,0))&lt;&gt;"OK","Matière à corriger",IF(OR(NOT(ISNUMBER(E424)),N(E424)&lt;=0),"Quantité invalide",IF(AND(F424&lt;&gt;"",OR(NOT(ISNUMBER(F424)),N(F424)&lt;0,N(F424)&gt;=1)),"Perte entre 0 et 99 %",IF(COUNTIFS(bom_prod,A424,bom_mat,B424)&gt;1,"Matière en double","OK")))))))))</f>
        <v/>
      </c>
      <c r="K424" s="71" t="str">
        <f>IF(AND(fiche_sel&lt;&gt;"",A424=fiche_sel),COUNTIF(A$6:A424,fiche_sel),"")</f>
        <v/>
      </c>
    </row>
    <row r="425">
      <c r="A425" s="60" t="n"/>
      <c r="B425" s="60" t="n"/>
      <c r="C425" s="71" t="str">
        <f>IF(B425="","",IFERROR(INDEX(mat_des,MATCH(B425,mat_ref,0))&amp;"","Matière inconnue"))</f>
        <v/>
      </c>
      <c r="D425" s="69" t="str">
        <f>IF(B425="","",IFERROR(INDEX(mat_unit,MATCH(B425,mat_ref,0))&amp;"",""))</f>
        <v/>
      </c>
      <c r="E425" s="72" t="n"/>
      <c r="F425" s="65" t="n"/>
      <c r="G425" s="68" t="str">
        <f>IF(J425&lt;&gt;"OK","",IF(F425="",N(INDEX(mat_loss,MATCH(B425,mat_ref,0))),F425))</f>
        <v/>
      </c>
      <c r="H425" s="66" t="str">
        <f>IF(J425&lt;&gt;"OK","",INDEX(mat_price,MATCH(B425,mat_ref,0)))</f>
        <v/>
      </c>
      <c r="I425" s="66" t="str">
        <f>IF(J425&lt;&gt;"OK","",E425*(1+G425)*H425)</f>
        <v/>
      </c>
      <c r="J425" s="69" t="str">
        <f>IF(AND(A425="",B425=""),"",IF(A425="","Produit manquant",IF(COUNTIF(prod_ref,A425)=0,"Produit inconnu",IF(B425="","Matière manquante",IF(ISNA(MATCH(B425,mat_ref,0)),"Matière inconnue",IF(INDEX(mat_check,MATCH(B425,mat_ref,0))&lt;&gt;"OK","Matière à corriger",IF(OR(NOT(ISNUMBER(E425)),N(E425)&lt;=0),"Quantité invalide",IF(AND(F425&lt;&gt;"",OR(NOT(ISNUMBER(F425)),N(F425)&lt;0,N(F425)&gt;=1)),"Perte entre 0 et 99 %",IF(COUNTIFS(bom_prod,A425,bom_mat,B425)&gt;1,"Matière en double","OK")))))))))</f>
        <v/>
      </c>
      <c r="K425" s="71" t="str">
        <f>IF(AND(fiche_sel&lt;&gt;"",A425=fiche_sel),COUNTIF(A$6:A425,fiche_sel),"")</f>
        <v/>
      </c>
    </row>
    <row r="426">
      <c r="A426" s="60" t="n"/>
      <c r="B426" s="60" t="n"/>
      <c r="C426" s="71" t="str">
        <f>IF(B426="","",IFERROR(INDEX(mat_des,MATCH(B426,mat_ref,0))&amp;"","Matière inconnue"))</f>
        <v/>
      </c>
      <c r="D426" s="69" t="str">
        <f>IF(B426="","",IFERROR(INDEX(mat_unit,MATCH(B426,mat_ref,0))&amp;"",""))</f>
        <v/>
      </c>
      <c r="E426" s="72" t="n"/>
      <c r="F426" s="65" t="n"/>
      <c r="G426" s="68" t="str">
        <f>IF(J426&lt;&gt;"OK","",IF(F426="",N(INDEX(mat_loss,MATCH(B426,mat_ref,0))),F426))</f>
        <v/>
      </c>
      <c r="H426" s="66" t="str">
        <f>IF(J426&lt;&gt;"OK","",INDEX(mat_price,MATCH(B426,mat_ref,0)))</f>
        <v/>
      </c>
      <c r="I426" s="66" t="str">
        <f>IF(J426&lt;&gt;"OK","",E426*(1+G426)*H426)</f>
        <v/>
      </c>
      <c r="J426" s="69" t="str">
        <f>IF(AND(A426="",B426=""),"",IF(A426="","Produit manquant",IF(COUNTIF(prod_ref,A426)=0,"Produit inconnu",IF(B426="","Matière manquante",IF(ISNA(MATCH(B426,mat_ref,0)),"Matière inconnue",IF(INDEX(mat_check,MATCH(B426,mat_ref,0))&lt;&gt;"OK","Matière à corriger",IF(OR(NOT(ISNUMBER(E426)),N(E426)&lt;=0),"Quantité invalide",IF(AND(F426&lt;&gt;"",OR(NOT(ISNUMBER(F426)),N(F426)&lt;0,N(F426)&gt;=1)),"Perte entre 0 et 99 %",IF(COUNTIFS(bom_prod,A426,bom_mat,B426)&gt;1,"Matière en double","OK")))))))))</f>
        <v/>
      </c>
      <c r="K426" s="71" t="str">
        <f>IF(AND(fiche_sel&lt;&gt;"",A426=fiche_sel),COUNTIF(A$6:A426,fiche_sel),"")</f>
        <v/>
      </c>
    </row>
    <row r="427">
      <c r="A427" s="60" t="n"/>
      <c r="B427" s="60" t="n"/>
      <c r="C427" s="71" t="str">
        <f>IF(B427="","",IFERROR(INDEX(mat_des,MATCH(B427,mat_ref,0))&amp;"","Matière inconnue"))</f>
        <v/>
      </c>
      <c r="D427" s="69" t="str">
        <f>IF(B427="","",IFERROR(INDEX(mat_unit,MATCH(B427,mat_ref,0))&amp;"",""))</f>
        <v/>
      </c>
      <c r="E427" s="72" t="n"/>
      <c r="F427" s="65" t="n"/>
      <c r="G427" s="68" t="str">
        <f>IF(J427&lt;&gt;"OK","",IF(F427="",N(INDEX(mat_loss,MATCH(B427,mat_ref,0))),F427))</f>
        <v/>
      </c>
      <c r="H427" s="66" t="str">
        <f>IF(J427&lt;&gt;"OK","",INDEX(mat_price,MATCH(B427,mat_ref,0)))</f>
        <v/>
      </c>
      <c r="I427" s="66" t="str">
        <f>IF(J427&lt;&gt;"OK","",E427*(1+G427)*H427)</f>
        <v/>
      </c>
      <c r="J427" s="69" t="str">
        <f>IF(AND(A427="",B427=""),"",IF(A427="","Produit manquant",IF(COUNTIF(prod_ref,A427)=0,"Produit inconnu",IF(B427="","Matière manquante",IF(ISNA(MATCH(B427,mat_ref,0)),"Matière inconnue",IF(INDEX(mat_check,MATCH(B427,mat_ref,0))&lt;&gt;"OK","Matière à corriger",IF(OR(NOT(ISNUMBER(E427)),N(E427)&lt;=0),"Quantité invalide",IF(AND(F427&lt;&gt;"",OR(NOT(ISNUMBER(F427)),N(F427)&lt;0,N(F427)&gt;=1)),"Perte entre 0 et 99 %",IF(COUNTIFS(bom_prod,A427,bom_mat,B427)&gt;1,"Matière en double","OK")))))))))</f>
        <v/>
      </c>
      <c r="K427" s="71" t="str">
        <f>IF(AND(fiche_sel&lt;&gt;"",A427=fiche_sel),COUNTIF(A$6:A427,fiche_sel),"")</f>
        <v/>
      </c>
    </row>
    <row r="428">
      <c r="A428" s="60" t="n"/>
      <c r="B428" s="60" t="n"/>
      <c r="C428" s="71" t="str">
        <f>IF(B428="","",IFERROR(INDEX(mat_des,MATCH(B428,mat_ref,0))&amp;"","Matière inconnue"))</f>
        <v/>
      </c>
      <c r="D428" s="69" t="str">
        <f>IF(B428="","",IFERROR(INDEX(mat_unit,MATCH(B428,mat_ref,0))&amp;"",""))</f>
        <v/>
      </c>
      <c r="E428" s="72" t="n"/>
      <c r="F428" s="65" t="n"/>
      <c r="G428" s="68" t="str">
        <f>IF(J428&lt;&gt;"OK","",IF(F428="",N(INDEX(mat_loss,MATCH(B428,mat_ref,0))),F428))</f>
        <v/>
      </c>
      <c r="H428" s="66" t="str">
        <f>IF(J428&lt;&gt;"OK","",INDEX(mat_price,MATCH(B428,mat_ref,0)))</f>
        <v/>
      </c>
      <c r="I428" s="66" t="str">
        <f>IF(J428&lt;&gt;"OK","",E428*(1+G428)*H428)</f>
        <v/>
      </c>
      <c r="J428" s="69" t="str">
        <f>IF(AND(A428="",B428=""),"",IF(A428="","Produit manquant",IF(COUNTIF(prod_ref,A428)=0,"Produit inconnu",IF(B428="","Matière manquante",IF(ISNA(MATCH(B428,mat_ref,0)),"Matière inconnue",IF(INDEX(mat_check,MATCH(B428,mat_ref,0))&lt;&gt;"OK","Matière à corriger",IF(OR(NOT(ISNUMBER(E428)),N(E428)&lt;=0),"Quantité invalide",IF(AND(F428&lt;&gt;"",OR(NOT(ISNUMBER(F428)),N(F428)&lt;0,N(F428)&gt;=1)),"Perte entre 0 et 99 %",IF(COUNTIFS(bom_prod,A428,bom_mat,B428)&gt;1,"Matière en double","OK")))))))))</f>
        <v/>
      </c>
      <c r="K428" s="71" t="str">
        <f>IF(AND(fiche_sel&lt;&gt;"",A428=fiche_sel),COUNTIF(A$6:A428,fiche_sel),"")</f>
        <v/>
      </c>
    </row>
    <row r="429">
      <c r="A429" s="60" t="n"/>
      <c r="B429" s="60" t="n"/>
      <c r="C429" s="71" t="str">
        <f>IF(B429="","",IFERROR(INDEX(mat_des,MATCH(B429,mat_ref,0))&amp;"","Matière inconnue"))</f>
        <v/>
      </c>
      <c r="D429" s="69" t="str">
        <f>IF(B429="","",IFERROR(INDEX(mat_unit,MATCH(B429,mat_ref,0))&amp;"",""))</f>
        <v/>
      </c>
      <c r="E429" s="72" t="n"/>
      <c r="F429" s="65" t="n"/>
      <c r="G429" s="68" t="str">
        <f>IF(J429&lt;&gt;"OK","",IF(F429="",N(INDEX(mat_loss,MATCH(B429,mat_ref,0))),F429))</f>
        <v/>
      </c>
      <c r="H429" s="66" t="str">
        <f>IF(J429&lt;&gt;"OK","",INDEX(mat_price,MATCH(B429,mat_ref,0)))</f>
        <v/>
      </c>
      <c r="I429" s="66" t="str">
        <f>IF(J429&lt;&gt;"OK","",E429*(1+G429)*H429)</f>
        <v/>
      </c>
      <c r="J429" s="69" t="str">
        <f>IF(AND(A429="",B429=""),"",IF(A429="","Produit manquant",IF(COUNTIF(prod_ref,A429)=0,"Produit inconnu",IF(B429="","Matière manquante",IF(ISNA(MATCH(B429,mat_ref,0)),"Matière inconnue",IF(INDEX(mat_check,MATCH(B429,mat_ref,0))&lt;&gt;"OK","Matière à corriger",IF(OR(NOT(ISNUMBER(E429)),N(E429)&lt;=0),"Quantité invalide",IF(AND(F429&lt;&gt;"",OR(NOT(ISNUMBER(F429)),N(F429)&lt;0,N(F429)&gt;=1)),"Perte entre 0 et 99 %",IF(COUNTIFS(bom_prod,A429,bom_mat,B429)&gt;1,"Matière en double","OK")))))))))</f>
        <v/>
      </c>
      <c r="K429" s="71" t="str">
        <f>IF(AND(fiche_sel&lt;&gt;"",A429=fiche_sel),COUNTIF(A$6:A429,fiche_sel),"")</f>
        <v/>
      </c>
    </row>
    <row r="430">
      <c r="A430" s="60" t="n"/>
      <c r="B430" s="60" t="n"/>
      <c r="C430" s="71" t="str">
        <f>IF(B430="","",IFERROR(INDEX(mat_des,MATCH(B430,mat_ref,0))&amp;"","Matière inconnue"))</f>
        <v/>
      </c>
      <c r="D430" s="69" t="str">
        <f>IF(B430="","",IFERROR(INDEX(mat_unit,MATCH(B430,mat_ref,0))&amp;"",""))</f>
        <v/>
      </c>
      <c r="E430" s="72" t="n"/>
      <c r="F430" s="65" t="n"/>
      <c r="G430" s="68" t="str">
        <f>IF(J430&lt;&gt;"OK","",IF(F430="",N(INDEX(mat_loss,MATCH(B430,mat_ref,0))),F430))</f>
        <v/>
      </c>
      <c r="H430" s="66" t="str">
        <f>IF(J430&lt;&gt;"OK","",INDEX(mat_price,MATCH(B430,mat_ref,0)))</f>
        <v/>
      </c>
      <c r="I430" s="66" t="str">
        <f>IF(J430&lt;&gt;"OK","",E430*(1+G430)*H430)</f>
        <v/>
      </c>
      <c r="J430" s="69" t="str">
        <f>IF(AND(A430="",B430=""),"",IF(A430="","Produit manquant",IF(COUNTIF(prod_ref,A430)=0,"Produit inconnu",IF(B430="","Matière manquante",IF(ISNA(MATCH(B430,mat_ref,0)),"Matière inconnue",IF(INDEX(mat_check,MATCH(B430,mat_ref,0))&lt;&gt;"OK","Matière à corriger",IF(OR(NOT(ISNUMBER(E430)),N(E430)&lt;=0),"Quantité invalide",IF(AND(F430&lt;&gt;"",OR(NOT(ISNUMBER(F430)),N(F430)&lt;0,N(F430)&gt;=1)),"Perte entre 0 et 99 %",IF(COUNTIFS(bom_prod,A430,bom_mat,B430)&gt;1,"Matière en double","OK")))))))))</f>
        <v/>
      </c>
      <c r="K430" s="71" t="str">
        <f>IF(AND(fiche_sel&lt;&gt;"",A430=fiche_sel),COUNTIF(A$6:A430,fiche_sel),"")</f>
        <v/>
      </c>
    </row>
    <row r="431">
      <c r="A431" s="60" t="n"/>
      <c r="B431" s="60" t="n"/>
      <c r="C431" s="71" t="str">
        <f>IF(B431="","",IFERROR(INDEX(mat_des,MATCH(B431,mat_ref,0))&amp;"","Matière inconnue"))</f>
        <v/>
      </c>
      <c r="D431" s="69" t="str">
        <f>IF(B431="","",IFERROR(INDEX(mat_unit,MATCH(B431,mat_ref,0))&amp;"",""))</f>
        <v/>
      </c>
      <c r="E431" s="72" t="n"/>
      <c r="F431" s="65" t="n"/>
      <c r="G431" s="68" t="str">
        <f>IF(J431&lt;&gt;"OK","",IF(F431="",N(INDEX(mat_loss,MATCH(B431,mat_ref,0))),F431))</f>
        <v/>
      </c>
      <c r="H431" s="66" t="str">
        <f>IF(J431&lt;&gt;"OK","",INDEX(mat_price,MATCH(B431,mat_ref,0)))</f>
        <v/>
      </c>
      <c r="I431" s="66" t="str">
        <f>IF(J431&lt;&gt;"OK","",E431*(1+G431)*H431)</f>
        <v/>
      </c>
      <c r="J431" s="69" t="str">
        <f>IF(AND(A431="",B431=""),"",IF(A431="","Produit manquant",IF(COUNTIF(prod_ref,A431)=0,"Produit inconnu",IF(B431="","Matière manquante",IF(ISNA(MATCH(B431,mat_ref,0)),"Matière inconnue",IF(INDEX(mat_check,MATCH(B431,mat_ref,0))&lt;&gt;"OK","Matière à corriger",IF(OR(NOT(ISNUMBER(E431)),N(E431)&lt;=0),"Quantité invalide",IF(AND(F431&lt;&gt;"",OR(NOT(ISNUMBER(F431)),N(F431)&lt;0,N(F431)&gt;=1)),"Perte entre 0 et 99 %",IF(COUNTIFS(bom_prod,A431,bom_mat,B431)&gt;1,"Matière en double","OK")))))))))</f>
        <v/>
      </c>
      <c r="K431" s="71" t="str">
        <f>IF(AND(fiche_sel&lt;&gt;"",A431=fiche_sel),COUNTIF(A$6:A431,fiche_sel),"")</f>
        <v/>
      </c>
    </row>
    <row r="432">
      <c r="A432" s="60" t="n"/>
      <c r="B432" s="60" t="n"/>
      <c r="C432" s="71" t="str">
        <f>IF(B432="","",IFERROR(INDEX(mat_des,MATCH(B432,mat_ref,0))&amp;"","Matière inconnue"))</f>
        <v/>
      </c>
      <c r="D432" s="69" t="str">
        <f>IF(B432="","",IFERROR(INDEX(mat_unit,MATCH(B432,mat_ref,0))&amp;"",""))</f>
        <v/>
      </c>
      <c r="E432" s="72" t="n"/>
      <c r="F432" s="65" t="n"/>
      <c r="G432" s="68" t="str">
        <f>IF(J432&lt;&gt;"OK","",IF(F432="",N(INDEX(mat_loss,MATCH(B432,mat_ref,0))),F432))</f>
        <v/>
      </c>
      <c r="H432" s="66" t="str">
        <f>IF(J432&lt;&gt;"OK","",INDEX(mat_price,MATCH(B432,mat_ref,0)))</f>
        <v/>
      </c>
      <c r="I432" s="66" t="str">
        <f>IF(J432&lt;&gt;"OK","",E432*(1+G432)*H432)</f>
        <v/>
      </c>
      <c r="J432" s="69" t="str">
        <f>IF(AND(A432="",B432=""),"",IF(A432="","Produit manquant",IF(COUNTIF(prod_ref,A432)=0,"Produit inconnu",IF(B432="","Matière manquante",IF(ISNA(MATCH(B432,mat_ref,0)),"Matière inconnue",IF(INDEX(mat_check,MATCH(B432,mat_ref,0))&lt;&gt;"OK","Matière à corriger",IF(OR(NOT(ISNUMBER(E432)),N(E432)&lt;=0),"Quantité invalide",IF(AND(F432&lt;&gt;"",OR(NOT(ISNUMBER(F432)),N(F432)&lt;0,N(F432)&gt;=1)),"Perte entre 0 et 99 %",IF(COUNTIFS(bom_prod,A432,bom_mat,B432)&gt;1,"Matière en double","OK")))))))))</f>
        <v/>
      </c>
      <c r="K432" s="71" t="str">
        <f>IF(AND(fiche_sel&lt;&gt;"",A432=fiche_sel),COUNTIF(A$6:A432,fiche_sel),"")</f>
        <v/>
      </c>
    </row>
    <row r="433">
      <c r="A433" s="60" t="n"/>
      <c r="B433" s="60" t="n"/>
      <c r="C433" s="71" t="str">
        <f>IF(B433="","",IFERROR(INDEX(mat_des,MATCH(B433,mat_ref,0))&amp;"","Matière inconnue"))</f>
        <v/>
      </c>
      <c r="D433" s="69" t="str">
        <f>IF(B433="","",IFERROR(INDEX(mat_unit,MATCH(B433,mat_ref,0))&amp;"",""))</f>
        <v/>
      </c>
      <c r="E433" s="72" t="n"/>
      <c r="F433" s="65" t="n"/>
      <c r="G433" s="68" t="str">
        <f>IF(J433&lt;&gt;"OK","",IF(F433="",N(INDEX(mat_loss,MATCH(B433,mat_ref,0))),F433))</f>
        <v/>
      </c>
      <c r="H433" s="66" t="str">
        <f>IF(J433&lt;&gt;"OK","",INDEX(mat_price,MATCH(B433,mat_ref,0)))</f>
        <v/>
      </c>
      <c r="I433" s="66" t="str">
        <f>IF(J433&lt;&gt;"OK","",E433*(1+G433)*H433)</f>
        <v/>
      </c>
      <c r="J433" s="69" t="str">
        <f>IF(AND(A433="",B433=""),"",IF(A433="","Produit manquant",IF(COUNTIF(prod_ref,A433)=0,"Produit inconnu",IF(B433="","Matière manquante",IF(ISNA(MATCH(B433,mat_ref,0)),"Matière inconnue",IF(INDEX(mat_check,MATCH(B433,mat_ref,0))&lt;&gt;"OK","Matière à corriger",IF(OR(NOT(ISNUMBER(E433)),N(E433)&lt;=0),"Quantité invalide",IF(AND(F433&lt;&gt;"",OR(NOT(ISNUMBER(F433)),N(F433)&lt;0,N(F433)&gt;=1)),"Perte entre 0 et 99 %",IF(COUNTIFS(bom_prod,A433,bom_mat,B433)&gt;1,"Matière en double","OK")))))))))</f>
        <v/>
      </c>
      <c r="K433" s="71" t="str">
        <f>IF(AND(fiche_sel&lt;&gt;"",A433=fiche_sel),COUNTIF(A$6:A433,fiche_sel),"")</f>
        <v/>
      </c>
    </row>
    <row r="434">
      <c r="A434" s="60" t="n"/>
      <c r="B434" s="60" t="n"/>
      <c r="C434" s="71" t="str">
        <f>IF(B434="","",IFERROR(INDEX(mat_des,MATCH(B434,mat_ref,0))&amp;"","Matière inconnue"))</f>
        <v/>
      </c>
      <c r="D434" s="69" t="str">
        <f>IF(B434="","",IFERROR(INDEX(mat_unit,MATCH(B434,mat_ref,0))&amp;"",""))</f>
        <v/>
      </c>
      <c r="E434" s="72" t="n"/>
      <c r="F434" s="65" t="n"/>
      <c r="G434" s="68" t="str">
        <f>IF(J434&lt;&gt;"OK","",IF(F434="",N(INDEX(mat_loss,MATCH(B434,mat_ref,0))),F434))</f>
        <v/>
      </c>
      <c r="H434" s="66" t="str">
        <f>IF(J434&lt;&gt;"OK","",INDEX(mat_price,MATCH(B434,mat_ref,0)))</f>
        <v/>
      </c>
      <c r="I434" s="66" t="str">
        <f>IF(J434&lt;&gt;"OK","",E434*(1+G434)*H434)</f>
        <v/>
      </c>
      <c r="J434" s="69" t="str">
        <f>IF(AND(A434="",B434=""),"",IF(A434="","Produit manquant",IF(COUNTIF(prod_ref,A434)=0,"Produit inconnu",IF(B434="","Matière manquante",IF(ISNA(MATCH(B434,mat_ref,0)),"Matière inconnue",IF(INDEX(mat_check,MATCH(B434,mat_ref,0))&lt;&gt;"OK","Matière à corriger",IF(OR(NOT(ISNUMBER(E434)),N(E434)&lt;=0),"Quantité invalide",IF(AND(F434&lt;&gt;"",OR(NOT(ISNUMBER(F434)),N(F434)&lt;0,N(F434)&gt;=1)),"Perte entre 0 et 99 %",IF(COUNTIFS(bom_prod,A434,bom_mat,B434)&gt;1,"Matière en double","OK")))))))))</f>
        <v/>
      </c>
      <c r="K434" s="71" t="str">
        <f>IF(AND(fiche_sel&lt;&gt;"",A434=fiche_sel),COUNTIF(A$6:A434,fiche_sel),"")</f>
        <v/>
      </c>
    </row>
    <row r="435">
      <c r="A435" s="60" t="n"/>
      <c r="B435" s="60" t="n"/>
      <c r="C435" s="71" t="str">
        <f>IF(B435="","",IFERROR(INDEX(mat_des,MATCH(B435,mat_ref,0))&amp;"","Matière inconnue"))</f>
        <v/>
      </c>
      <c r="D435" s="69" t="str">
        <f>IF(B435="","",IFERROR(INDEX(mat_unit,MATCH(B435,mat_ref,0))&amp;"",""))</f>
        <v/>
      </c>
      <c r="E435" s="72" t="n"/>
      <c r="F435" s="65" t="n"/>
      <c r="G435" s="68" t="str">
        <f>IF(J435&lt;&gt;"OK","",IF(F435="",N(INDEX(mat_loss,MATCH(B435,mat_ref,0))),F435))</f>
        <v/>
      </c>
      <c r="H435" s="66" t="str">
        <f>IF(J435&lt;&gt;"OK","",INDEX(mat_price,MATCH(B435,mat_ref,0)))</f>
        <v/>
      </c>
      <c r="I435" s="66" t="str">
        <f>IF(J435&lt;&gt;"OK","",E435*(1+G435)*H435)</f>
        <v/>
      </c>
      <c r="J435" s="69" t="str">
        <f>IF(AND(A435="",B435=""),"",IF(A435="","Produit manquant",IF(COUNTIF(prod_ref,A435)=0,"Produit inconnu",IF(B435="","Matière manquante",IF(ISNA(MATCH(B435,mat_ref,0)),"Matière inconnue",IF(INDEX(mat_check,MATCH(B435,mat_ref,0))&lt;&gt;"OK","Matière à corriger",IF(OR(NOT(ISNUMBER(E435)),N(E435)&lt;=0),"Quantité invalide",IF(AND(F435&lt;&gt;"",OR(NOT(ISNUMBER(F435)),N(F435)&lt;0,N(F435)&gt;=1)),"Perte entre 0 et 99 %",IF(COUNTIFS(bom_prod,A435,bom_mat,B435)&gt;1,"Matière en double","OK")))))))))</f>
        <v/>
      </c>
      <c r="K435" s="71" t="str">
        <f>IF(AND(fiche_sel&lt;&gt;"",A435=fiche_sel),COUNTIF(A$6:A435,fiche_sel),"")</f>
        <v/>
      </c>
    </row>
    <row r="436">
      <c r="A436" s="60" t="n"/>
      <c r="B436" s="60" t="n"/>
      <c r="C436" s="71" t="str">
        <f>IF(B436="","",IFERROR(INDEX(mat_des,MATCH(B436,mat_ref,0))&amp;"","Matière inconnue"))</f>
        <v/>
      </c>
      <c r="D436" s="69" t="str">
        <f>IF(B436="","",IFERROR(INDEX(mat_unit,MATCH(B436,mat_ref,0))&amp;"",""))</f>
        <v/>
      </c>
      <c r="E436" s="72" t="n"/>
      <c r="F436" s="65" t="n"/>
      <c r="G436" s="68" t="str">
        <f>IF(J436&lt;&gt;"OK","",IF(F436="",N(INDEX(mat_loss,MATCH(B436,mat_ref,0))),F436))</f>
        <v/>
      </c>
      <c r="H436" s="66" t="str">
        <f>IF(J436&lt;&gt;"OK","",INDEX(mat_price,MATCH(B436,mat_ref,0)))</f>
        <v/>
      </c>
      <c r="I436" s="66" t="str">
        <f>IF(J436&lt;&gt;"OK","",E436*(1+G436)*H436)</f>
        <v/>
      </c>
      <c r="J436" s="69" t="str">
        <f>IF(AND(A436="",B436=""),"",IF(A436="","Produit manquant",IF(COUNTIF(prod_ref,A436)=0,"Produit inconnu",IF(B436="","Matière manquante",IF(ISNA(MATCH(B436,mat_ref,0)),"Matière inconnue",IF(INDEX(mat_check,MATCH(B436,mat_ref,0))&lt;&gt;"OK","Matière à corriger",IF(OR(NOT(ISNUMBER(E436)),N(E436)&lt;=0),"Quantité invalide",IF(AND(F436&lt;&gt;"",OR(NOT(ISNUMBER(F436)),N(F436)&lt;0,N(F436)&gt;=1)),"Perte entre 0 et 99 %",IF(COUNTIFS(bom_prod,A436,bom_mat,B436)&gt;1,"Matière en double","OK")))))))))</f>
        <v/>
      </c>
      <c r="K436" s="71" t="str">
        <f>IF(AND(fiche_sel&lt;&gt;"",A436=fiche_sel),COUNTIF(A$6:A436,fiche_sel),"")</f>
        <v/>
      </c>
    </row>
    <row r="437">
      <c r="A437" s="60" t="n"/>
      <c r="B437" s="60" t="n"/>
      <c r="C437" s="71" t="str">
        <f>IF(B437="","",IFERROR(INDEX(mat_des,MATCH(B437,mat_ref,0))&amp;"","Matière inconnue"))</f>
        <v/>
      </c>
      <c r="D437" s="69" t="str">
        <f>IF(B437="","",IFERROR(INDEX(mat_unit,MATCH(B437,mat_ref,0))&amp;"",""))</f>
        <v/>
      </c>
      <c r="E437" s="72" t="n"/>
      <c r="F437" s="65" t="n"/>
      <c r="G437" s="68" t="str">
        <f>IF(J437&lt;&gt;"OK","",IF(F437="",N(INDEX(mat_loss,MATCH(B437,mat_ref,0))),F437))</f>
        <v/>
      </c>
      <c r="H437" s="66" t="str">
        <f>IF(J437&lt;&gt;"OK","",INDEX(mat_price,MATCH(B437,mat_ref,0)))</f>
        <v/>
      </c>
      <c r="I437" s="66" t="str">
        <f>IF(J437&lt;&gt;"OK","",E437*(1+G437)*H437)</f>
        <v/>
      </c>
      <c r="J437" s="69" t="str">
        <f>IF(AND(A437="",B437=""),"",IF(A437="","Produit manquant",IF(COUNTIF(prod_ref,A437)=0,"Produit inconnu",IF(B437="","Matière manquante",IF(ISNA(MATCH(B437,mat_ref,0)),"Matière inconnue",IF(INDEX(mat_check,MATCH(B437,mat_ref,0))&lt;&gt;"OK","Matière à corriger",IF(OR(NOT(ISNUMBER(E437)),N(E437)&lt;=0),"Quantité invalide",IF(AND(F437&lt;&gt;"",OR(NOT(ISNUMBER(F437)),N(F437)&lt;0,N(F437)&gt;=1)),"Perte entre 0 et 99 %",IF(COUNTIFS(bom_prod,A437,bom_mat,B437)&gt;1,"Matière en double","OK")))))))))</f>
        <v/>
      </c>
      <c r="K437" s="71" t="str">
        <f>IF(AND(fiche_sel&lt;&gt;"",A437=fiche_sel),COUNTIF(A$6:A437,fiche_sel),"")</f>
        <v/>
      </c>
    </row>
    <row r="438">
      <c r="A438" s="60" t="n"/>
      <c r="B438" s="60" t="n"/>
      <c r="C438" s="71" t="str">
        <f>IF(B438="","",IFERROR(INDEX(mat_des,MATCH(B438,mat_ref,0))&amp;"","Matière inconnue"))</f>
        <v/>
      </c>
      <c r="D438" s="69" t="str">
        <f>IF(B438="","",IFERROR(INDEX(mat_unit,MATCH(B438,mat_ref,0))&amp;"",""))</f>
        <v/>
      </c>
      <c r="E438" s="72" t="n"/>
      <c r="F438" s="65" t="n"/>
      <c r="G438" s="68" t="str">
        <f>IF(J438&lt;&gt;"OK","",IF(F438="",N(INDEX(mat_loss,MATCH(B438,mat_ref,0))),F438))</f>
        <v/>
      </c>
      <c r="H438" s="66" t="str">
        <f>IF(J438&lt;&gt;"OK","",INDEX(mat_price,MATCH(B438,mat_ref,0)))</f>
        <v/>
      </c>
      <c r="I438" s="66" t="str">
        <f>IF(J438&lt;&gt;"OK","",E438*(1+G438)*H438)</f>
        <v/>
      </c>
      <c r="J438" s="69" t="str">
        <f>IF(AND(A438="",B438=""),"",IF(A438="","Produit manquant",IF(COUNTIF(prod_ref,A438)=0,"Produit inconnu",IF(B438="","Matière manquante",IF(ISNA(MATCH(B438,mat_ref,0)),"Matière inconnue",IF(INDEX(mat_check,MATCH(B438,mat_ref,0))&lt;&gt;"OK","Matière à corriger",IF(OR(NOT(ISNUMBER(E438)),N(E438)&lt;=0),"Quantité invalide",IF(AND(F438&lt;&gt;"",OR(NOT(ISNUMBER(F438)),N(F438)&lt;0,N(F438)&gt;=1)),"Perte entre 0 et 99 %",IF(COUNTIFS(bom_prod,A438,bom_mat,B438)&gt;1,"Matière en double","OK")))))))))</f>
        <v/>
      </c>
      <c r="K438" s="71" t="str">
        <f>IF(AND(fiche_sel&lt;&gt;"",A438=fiche_sel),COUNTIF(A$6:A438,fiche_sel),"")</f>
        <v/>
      </c>
    </row>
    <row r="439">
      <c r="A439" s="60" t="n"/>
      <c r="B439" s="60" t="n"/>
      <c r="C439" s="71" t="str">
        <f>IF(B439="","",IFERROR(INDEX(mat_des,MATCH(B439,mat_ref,0))&amp;"","Matière inconnue"))</f>
        <v/>
      </c>
      <c r="D439" s="69" t="str">
        <f>IF(B439="","",IFERROR(INDEX(mat_unit,MATCH(B439,mat_ref,0))&amp;"",""))</f>
        <v/>
      </c>
      <c r="E439" s="72" t="n"/>
      <c r="F439" s="65" t="n"/>
      <c r="G439" s="68" t="str">
        <f>IF(J439&lt;&gt;"OK","",IF(F439="",N(INDEX(mat_loss,MATCH(B439,mat_ref,0))),F439))</f>
        <v/>
      </c>
      <c r="H439" s="66" t="str">
        <f>IF(J439&lt;&gt;"OK","",INDEX(mat_price,MATCH(B439,mat_ref,0)))</f>
        <v/>
      </c>
      <c r="I439" s="66" t="str">
        <f>IF(J439&lt;&gt;"OK","",E439*(1+G439)*H439)</f>
        <v/>
      </c>
      <c r="J439" s="69" t="str">
        <f>IF(AND(A439="",B439=""),"",IF(A439="","Produit manquant",IF(COUNTIF(prod_ref,A439)=0,"Produit inconnu",IF(B439="","Matière manquante",IF(ISNA(MATCH(B439,mat_ref,0)),"Matière inconnue",IF(INDEX(mat_check,MATCH(B439,mat_ref,0))&lt;&gt;"OK","Matière à corriger",IF(OR(NOT(ISNUMBER(E439)),N(E439)&lt;=0),"Quantité invalide",IF(AND(F439&lt;&gt;"",OR(NOT(ISNUMBER(F439)),N(F439)&lt;0,N(F439)&gt;=1)),"Perte entre 0 et 99 %",IF(COUNTIFS(bom_prod,A439,bom_mat,B439)&gt;1,"Matière en double","OK")))))))))</f>
        <v/>
      </c>
      <c r="K439" s="71" t="str">
        <f>IF(AND(fiche_sel&lt;&gt;"",A439=fiche_sel),COUNTIF(A$6:A439,fiche_sel),"")</f>
        <v/>
      </c>
    </row>
    <row r="440">
      <c r="A440" s="60" t="n"/>
      <c r="B440" s="60" t="n"/>
      <c r="C440" s="71" t="str">
        <f>IF(B440="","",IFERROR(INDEX(mat_des,MATCH(B440,mat_ref,0))&amp;"","Matière inconnue"))</f>
        <v/>
      </c>
      <c r="D440" s="69" t="str">
        <f>IF(B440="","",IFERROR(INDEX(mat_unit,MATCH(B440,mat_ref,0))&amp;"",""))</f>
        <v/>
      </c>
      <c r="E440" s="72" t="n"/>
      <c r="F440" s="65" t="n"/>
      <c r="G440" s="68" t="str">
        <f>IF(J440&lt;&gt;"OK","",IF(F440="",N(INDEX(mat_loss,MATCH(B440,mat_ref,0))),F440))</f>
        <v/>
      </c>
      <c r="H440" s="66" t="str">
        <f>IF(J440&lt;&gt;"OK","",INDEX(mat_price,MATCH(B440,mat_ref,0)))</f>
        <v/>
      </c>
      <c r="I440" s="66" t="str">
        <f>IF(J440&lt;&gt;"OK","",E440*(1+G440)*H440)</f>
        <v/>
      </c>
      <c r="J440" s="69" t="str">
        <f>IF(AND(A440="",B440=""),"",IF(A440="","Produit manquant",IF(COUNTIF(prod_ref,A440)=0,"Produit inconnu",IF(B440="","Matière manquante",IF(ISNA(MATCH(B440,mat_ref,0)),"Matière inconnue",IF(INDEX(mat_check,MATCH(B440,mat_ref,0))&lt;&gt;"OK","Matière à corriger",IF(OR(NOT(ISNUMBER(E440)),N(E440)&lt;=0),"Quantité invalide",IF(AND(F440&lt;&gt;"",OR(NOT(ISNUMBER(F440)),N(F440)&lt;0,N(F440)&gt;=1)),"Perte entre 0 et 99 %",IF(COUNTIFS(bom_prod,A440,bom_mat,B440)&gt;1,"Matière en double","OK")))))))))</f>
        <v/>
      </c>
      <c r="K440" s="71" t="str">
        <f>IF(AND(fiche_sel&lt;&gt;"",A440=fiche_sel),COUNTIF(A$6:A440,fiche_sel),"")</f>
        <v/>
      </c>
    </row>
    <row r="441">
      <c r="A441" s="60" t="n"/>
      <c r="B441" s="60" t="n"/>
      <c r="C441" s="71" t="str">
        <f>IF(B441="","",IFERROR(INDEX(mat_des,MATCH(B441,mat_ref,0))&amp;"","Matière inconnue"))</f>
        <v/>
      </c>
      <c r="D441" s="69" t="str">
        <f>IF(B441="","",IFERROR(INDEX(mat_unit,MATCH(B441,mat_ref,0))&amp;"",""))</f>
        <v/>
      </c>
      <c r="E441" s="72" t="n"/>
      <c r="F441" s="65" t="n"/>
      <c r="G441" s="68" t="str">
        <f>IF(J441&lt;&gt;"OK","",IF(F441="",N(INDEX(mat_loss,MATCH(B441,mat_ref,0))),F441))</f>
        <v/>
      </c>
      <c r="H441" s="66" t="str">
        <f>IF(J441&lt;&gt;"OK","",INDEX(mat_price,MATCH(B441,mat_ref,0)))</f>
        <v/>
      </c>
      <c r="I441" s="66" t="str">
        <f>IF(J441&lt;&gt;"OK","",E441*(1+G441)*H441)</f>
        <v/>
      </c>
      <c r="J441" s="69" t="str">
        <f>IF(AND(A441="",B441=""),"",IF(A441="","Produit manquant",IF(COUNTIF(prod_ref,A441)=0,"Produit inconnu",IF(B441="","Matière manquante",IF(ISNA(MATCH(B441,mat_ref,0)),"Matière inconnue",IF(INDEX(mat_check,MATCH(B441,mat_ref,0))&lt;&gt;"OK","Matière à corriger",IF(OR(NOT(ISNUMBER(E441)),N(E441)&lt;=0),"Quantité invalide",IF(AND(F441&lt;&gt;"",OR(NOT(ISNUMBER(F441)),N(F441)&lt;0,N(F441)&gt;=1)),"Perte entre 0 et 99 %",IF(COUNTIFS(bom_prod,A441,bom_mat,B441)&gt;1,"Matière en double","OK")))))))))</f>
        <v/>
      </c>
      <c r="K441" s="71" t="str">
        <f>IF(AND(fiche_sel&lt;&gt;"",A441=fiche_sel),COUNTIF(A$6:A441,fiche_sel),"")</f>
        <v/>
      </c>
    </row>
    <row r="442">
      <c r="A442" s="60" t="n"/>
      <c r="B442" s="60" t="n"/>
      <c r="C442" s="71" t="str">
        <f>IF(B442="","",IFERROR(INDEX(mat_des,MATCH(B442,mat_ref,0))&amp;"","Matière inconnue"))</f>
        <v/>
      </c>
      <c r="D442" s="69" t="str">
        <f>IF(B442="","",IFERROR(INDEX(mat_unit,MATCH(B442,mat_ref,0))&amp;"",""))</f>
        <v/>
      </c>
      <c r="E442" s="72" t="n"/>
      <c r="F442" s="65" t="n"/>
      <c r="G442" s="68" t="str">
        <f>IF(J442&lt;&gt;"OK","",IF(F442="",N(INDEX(mat_loss,MATCH(B442,mat_ref,0))),F442))</f>
        <v/>
      </c>
      <c r="H442" s="66" t="str">
        <f>IF(J442&lt;&gt;"OK","",INDEX(mat_price,MATCH(B442,mat_ref,0)))</f>
        <v/>
      </c>
      <c r="I442" s="66" t="str">
        <f>IF(J442&lt;&gt;"OK","",E442*(1+G442)*H442)</f>
        <v/>
      </c>
      <c r="J442" s="69" t="str">
        <f>IF(AND(A442="",B442=""),"",IF(A442="","Produit manquant",IF(COUNTIF(prod_ref,A442)=0,"Produit inconnu",IF(B442="","Matière manquante",IF(ISNA(MATCH(B442,mat_ref,0)),"Matière inconnue",IF(INDEX(mat_check,MATCH(B442,mat_ref,0))&lt;&gt;"OK","Matière à corriger",IF(OR(NOT(ISNUMBER(E442)),N(E442)&lt;=0),"Quantité invalide",IF(AND(F442&lt;&gt;"",OR(NOT(ISNUMBER(F442)),N(F442)&lt;0,N(F442)&gt;=1)),"Perte entre 0 et 99 %",IF(COUNTIFS(bom_prod,A442,bom_mat,B442)&gt;1,"Matière en double","OK")))))))))</f>
        <v/>
      </c>
      <c r="K442" s="71" t="str">
        <f>IF(AND(fiche_sel&lt;&gt;"",A442=fiche_sel),COUNTIF(A$6:A442,fiche_sel),"")</f>
        <v/>
      </c>
    </row>
    <row r="443">
      <c r="A443" s="60" t="n"/>
      <c r="B443" s="60" t="n"/>
      <c r="C443" s="71" t="str">
        <f>IF(B443="","",IFERROR(INDEX(mat_des,MATCH(B443,mat_ref,0))&amp;"","Matière inconnue"))</f>
        <v/>
      </c>
      <c r="D443" s="69" t="str">
        <f>IF(B443="","",IFERROR(INDEX(mat_unit,MATCH(B443,mat_ref,0))&amp;"",""))</f>
        <v/>
      </c>
      <c r="E443" s="72" t="n"/>
      <c r="F443" s="65" t="n"/>
      <c r="G443" s="68" t="str">
        <f>IF(J443&lt;&gt;"OK","",IF(F443="",N(INDEX(mat_loss,MATCH(B443,mat_ref,0))),F443))</f>
        <v/>
      </c>
      <c r="H443" s="66" t="str">
        <f>IF(J443&lt;&gt;"OK","",INDEX(mat_price,MATCH(B443,mat_ref,0)))</f>
        <v/>
      </c>
      <c r="I443" s="66" t="str">
        <f>IF(J443&lt;&gt;"OK","",E443*(1+G443)*H443)</f>
        <v/>
      </c>
      <c r="J443" s="69" t="str">
        <f>IF(AND(A443="",B443=""),"",IF(A443="","Produit manquant",IF(COUNTIF(prod_ref,A443)=0,"Produit inconnu",IF(B443="","Matière manquante",IF(ISNA(MATCH(B443,mat_ref,0)),"Matière inconnue",IF(INDEX(mat_check,MATCH(B443,mat_ref,0))&lt;&gt;"OK","Matière à corriger",IF(OR(NOT(ISNUMBER(E443)),N(E443)&lt;=0),"Quantité invalide",IF(AND(F443&lt;&gt;"",OR(NOT(ISNUMBER(F443)),N(F443)&lt;0,N(F443)&gt;=1)),"Perte entre 0 et 99 %",IF(COUNTIFS(bom_prod,A443,bom_mat,B443)&gt;1,"Matière en double","OK")))))))))</f>
        <v/>
      </c>
      <c r="K443" s="71" t="str">
        <f>IF(AND(fiche_sel&lt;&gt;"",A443=fiche_sel),COUNTIF(A$6:A443,fiche_sel),"")</f>
        <v/>
      </c>
    </row>
    <row r="444">
      <c r="A444" s="60" t="n"/>
      <c r="B444" s="60" t="n"/>
      <c r="C444" s="71" t="str">
        <f>IF(B444="","",IFERROR(INDEX(mat_des,MATCH(B444,mat_ref,0))&amp;"","Matière inconnue"))</f>
        <v/>
      </c>
      <c r="D444" s="69" t="str">
        <f>IF(B444="","",IFERROR(INDEX(mat_unit,MATCH(B444,mat_ref,0))&amp;"",""))</f>
        <v/>
      </c>
      <c r="E444" s="72" t="n"/>
      <c r="F444" s="65" t="n"/>
      <c r="G444" s="68" t="str">
        <f>IF(J444&lt;&gt;"OK","",IF(F444="",N(INDEX(mat_loss,MATCH(B444,mat_ref,0))),F444))</f>
        <v/>
      </c>
      <c r="H444" s="66" t="str">
        <f>IF(J444&lt;&gt;"OK","",INDEX(mat_price,MATCH(B444,mat_ref,0)))</f>
        <v/>
      </c>
      <c r="I444" s="66" t="str">
        <f>IF(J444&lt;&gt;"OK","",E444*(1+G444)*H444)</f>
        <v/>
      </c>
      <c r="J444" s="69" t="str">
        <f>IF(AND(A444="",B444=""),"",IF(A444="","Produit manquant",IF(COUNTIF(prod_ref,A444)=0,"Produit inconnu",IF(B444="","Matière manquante",IF(ISNA(MATCH(B444,mat_ref,0)),"Matière inconnue",IF(INDEX(mat_check,MATCH(B444,mat_ref,0))&lt;&gt;"OK","Matière à corriger",IF(OR(NOT(ISNUMBER(E444)),N(E444)&lt;=0),"Quantité invalide",IF(AND(F444&lt;&gt;"",OR(NOT(ISNUMBER(F444)),N(F444)&lt;0,N(F444)&gt;=1)),"Perte entre 0 et 99 %",IF(COUNTIFS(bom_prod,A444,bom_mat,B444)&gt;1,"Matière en double","OK")))))))))</f>
        <v/>
      </c>
      <c r="K444" s="71" t="str">
        <f>IF(AND(fiche_sel&lt;&gt;"",A444=fiche_sel),COUNTIF(A$6:A444,fiche_sel),"")</f>
        <v/>
      </c>
    </row>
    <row r="445">
      <c r="A445" s="60" t="n"/>
      <c r="B445" s="60" t="n"/>
      <c r="C445" s="71" t="str">
        <f>IF(B445="","",IFERROR(INDEX(mat_des,MATCH(B445,mat_ref,0))&amp;"","Matière inconnue"))</f>
        <v/>
      </c>
      <c r="D445" s="69" t="str">
        <f>IF(B445="","",IFERROR(INDEX(mat_unit,MATCH(B445,mat_ref,0))&amp;"",""))</f>
        <v/>
      </c>
      <c r="E445" s="72" t="n"/>
      <c r="F445" s="65" t="n"/>
      <c r="G445" s="68" t="str">
        <f>IF(J445&lt;&gt;"OK","",IF(F445="",N(INDEX(mat_loss,MATCH(B445,mat_ref,0))),F445))</f>
        <v/>
      </c>
      <c r="H445" s="66" t="str">
        <f>IF(J445&lt;&gt;"OK","",INDEX(mat_price,MATCH(B445,mat_ref,0)))</f>
        <v/>
      </c>
      <c r="I445" s="66" t="str">
        <f>IF(J445&lt;&gt;"OK","",E445*(1+G445)*H445)</f>
        <v/>
      </c>
      <c r="J445" s="69" t="str">
        <f>IF(AND(A445="",B445=""),"",IF(A445="","Produit manquant",IF(COUNTIF(prod_ref,A445)=0,"Produit inconnu",IF(B445="","Matière manquante",IF(ISNA(MATCH(B445,mat_ref,0)),"Matière inconnue",IF(INDEX(mat_check,MATCH(B445,mat_ref,0))&lt;&gt;"OK","Matière à corriger",IF(OR(NOT(ISNUMBER(E445)),N(E445)&lt;=0),"Quantité invalide",IF(AND(F445&lt;&gt;"",OR(NOT(ISNUMBER(F445)),N(F445)&lt;0,N(F445)&gt;=1)),"Perte entre 0 et 99 %",IF(COUNTIFS(bom_prod,A445,bom_mat,B445)&gt;1,"Matière en double","OK")))))))))</f>
        <v/>
      </c>
      <c r="K445" s="71" t="str">
        <f>IF(AND(fiche_sel&lt;&gt;"",A445=fiche_sel),COUNTIF(A$6:A445,fiche_sel),"")</f>
        <v/>
      </c>
    </row>
    <row r="446">
      <c r="A446" s="60" t="n"/>
      <c r="B446" s="60" t="n"/>
      <c r="C446" s="71" t="str">
        <f>IF(B446="","",IFERROR(INDEX(mat_des,MATCH(B446,mat_ref,0))&amp;"","Matière inconnue"))</f>
        <v/>
      </c>
      <c r="D446" s="69" t="str">
        <f>IF(B446="","",IFERROR(INDEX(mat_unit,MATCH(B446,mat_ref,0))&amp;"",""))</f>
        <v/>
      </c>
      <c r="E446" s="72" t="n"/>
      <c r="F446" s="65" t="n"/>
      <c r="G446" s="68" t="str">
        <f>IF(J446&lt;&gt;"OK","",IF(F446="",N(INDEX(mat_loss,MATCH(B446,mat_ref,0))),F446))</f>
        <v/>
      </c>
      <c r="H446" s="66" t="str">
        <f>IF(J446&lt;&gt;"OK","",INDEX(mat_price,MATCH(B446,mat_ref,0)))</f>
        <v/>
      </c>
      <c r="I446" s="66" t="str">
        <f>IF(J446&lt;&gt;"OK","",E446*(1+G446)*H446)</f>
        <v/>
      </c>
      <c r="J446" s="69" t="str">
        <f>IF(AND(A446="",B446=""),"",IF(A446="","Produit manquant",IF(COUNTIF(prod_ref,A446)=0,"Produit inconnu",IF(B446="","Matière manquante",IF(ISNA(MATCH(B446,mat_ref,0)),"Matière inconnue",IF(INDEX(mat_check,MATCH(B446,mat_ref,0))&lt;&gt;"OK","Matière à corriger",IF(OR(NOT(ISNUMBER(E446)),N(E446)&lt;=0),"Quantité invalide",IF(AND(F446&lt;&gt;"",OR(NOT(ISNUMBER(F446)),N(F446)&lt;0,N(F446)&gt;=1)),"Perte entre 0 et 99 %",IF(COUNTIFS(bom_prod,A446,bom_mat,B446)&gt;1,"Matière en double","OK")))))))))</f>
        <v/>
      </c>
      <c r="K446" s="71" t="str">
        <f>IF(AND(fiche_sel&lt;&gt;"",A446=fiche_sel),COUNTIF(A$6:A446,fiche_sel),"")</f>
        <v/>
      </c>
    </row>
    <row r="447">
      <c r="A447" s="60" t="n"/>
      <c r="B447" s="60" t="n"/>
      <c r="C447" s="71" t="str">
        <f>IF(B447="","",IFERROR(INDEX(mat_des,MATCH(B447,mat_ref,0))&amp;"","Matière inconnue"))</f>
        <v/>
      </c>
      <c r="D447" s="69" t="str">
        <f>IF(B447="","",IFERROR(INDEX(mat_unit,MATCH(B447,mat_ref,0))&amp;"",""))</f>
        <v/>
      </c>
      <c r="E447" s="72" t="n"/>
      <c r="F447" s="65" t="n"/>
      <c r="G447" s="68" t="str">
        <f>IF(J447&lt;&gt;"OK","",IF(F447="",N(INDEX(mat_loss,MATCH(B447,mat_ref,0))),F447))</f>
        <v/>
      </c>
      <c r="H447" s="66" t="str">
        <f>IF(J447&lt;&gt;"OK","",INDEX(mat_price,MATCH(B447,mat_ref,0)))</f>
        <v/>
      </c>
      <c r="I447" s="66" t="str">
        <f>IF(J447&lt;&gt;"OK","",E447*(1+G447)*H447)</f>
        <v/>
      </c>
      <c r="J447" s="69" t="str">
        <f>IF(AND(A447="",B447=""),"",IF(A447="","Produit manquant",IF(COUNTIF(prod_ref,A447)=0,"Produit inconnu",IF(B447="","Matière manquante",IF(ISNA(MATCH(B447,mat_ref,0)),"Matière inconnue",IF(INDEX(mat_check,MATCH(B447,mat_ref,0))&lt;&gt;"OK","Matière à corriger",IF(OR(NOT(ISNUMBER(E447)),N(E447)&lt;=0),"Quantité invalide",IF(AND(F447&lt;&gt;"",OR(NOT(ISNUMBER(F447)),N(F447)&lt;0,N(F447)&gt;=1)),"Perte entre 0 et 99 %",IF(COUNTIFS(bom_prod,A447,bom_mat,B447)&gt;1,"Matière en double","OK")))))))))</f>
        <v/>
      </c>
      <c r="K447" s="71" t="str">
        <f>IF(AND(fiche_sel&lt;&gt;"",A447=fiche_sel),COUNTIF(A$6:A447,fiche_sel),"")</f>
        <v/>
      </c>
    </row>
    <row r="448">
      <c r="A448" s="60" t="n"/>
      <c r="B448" s="60" t="n"/>
      <c r="C448" s="71" t="str">
        <f>IF(B448="","",IFERROR(INDEX(mat_des,MATCH(B448,mat_ref,0))&amp;"","Matière inconnue"))</f>
        <v/>
      </c>
      <c r="D448" s="69" t="str">
        <f>IF(B448="","",IFERROR(INDEX(mat_unit,MATCH(B448,mat_ref,0))&amp;"",""))</f>
        <v/>
      </c>
      <c r="E448" s="72" t="n"/>
      <c r="F448" s="65" t="n"/>
      <c r="G448" s="68" t="str">
        <f>IF(J448&lt;&gt;"OK","",IF(F448="",N(INDEX(mat_loss,MATCH(B448,mat_ref,0))),F448))</f>
        <v/>
      </c>
      <c r="H448" s="66" t="str">
        <f>IF(J448&lt;&gt;"OK","",INDEX(mat_price,MATCH(B448,mat_ref,0)))</f>
        <v/>
      </c>
      <c r="I448" s="66" t="str">
        <f>IF(J448&lt;&gt;"OK","",E448*(1+G448)*H448)</f>
        <v/>
      </c>
      <c r="J448" s="69" t="str">
        <f>IF(AND(A448="",B448=""),"",IF(A448="","Produit manquant",IF(COUNTIF(prod_ref,A448)=0,"Produit inconnu",IF(B448="","Matière manquante",IF(ISNA(MATCH(B448,mat_ref,0)),"Matière inconnue",IF(INDEX(mat_check,MATCH(B448,mat_ref,0))&lt;&gt;"OK","Matière à corriger",IF(OR(NOT(ISNUMBER(E448)),N(E448)&lt;=0),"Quantité invalide",IF(AND(F448&lt;&gt;"",OR(NOT(ISNUMBER(F448)),N(F448)&lt;0,N(F448)&gt;=1)),"Perte entre 0 et 99 %",IF(COUNTIFS(bom_prod,A448,bom_mat,B448)&gt;1,"Matière en double","OK")))))))))</f>
        <v/>
      </c>
      <c r="K448" s="71" t="str">
        <f>IF(AND(fiche_sel&lt;&gt;"",A448=fiche_sel),COUNTIF(A$6:A448,fiche_sel),"")</f>
        <v/>
      </c>
    </row>
    <row r="449">
      <c r="A449" s="60" t="n"/>
      <c r="B449" s="60" t="n"/>
      <c r="C449" s="71" t="str">
        <f>IF(B449="","",IFERROR(INDEX(mat_des,MATCH(B449,mat_ref,0))&amp;"","Matière inconnue"))</f>
        <v/>
      </c>
      <c r="D449" s="69" t="str">
        <f>IF(B449="","",IFERROR(INDEX(mat_unit,MATCH(B449,mat_ref,0))&amp;"",""))</f>
        <v/>
      </c>
      <c r="E449" s="72" t="n"/>
      <c r="F449" s="65" t="n"/>
      <c r="G449" s="68" t="str">
        <f>IF(J449&lt;&gt;"OK","",IF(F449="",N(INDEX(mat_loss,MATCH(B449,mat_ref,0))),F449))</f>
        <v/>
      </c>
      <c r="H449" s="66" t="str">
        <f>IF(J449&lt;&gt;"OK","",INDEX(mat_price,MATCH(B449,mat_ref,0)))</f>
        <v/>
      </c>
      <c r="I449" s="66" t="str">
        <f>IF(J449&lt;&gt;"OK","",E449*(1+G449)*H449)</f>
        <v/>
      </c>
      <c r="J449" s="69" t="str">
        <f>IF(AND(A449="",B449=""),"",IF(A449="","Produit manquant",IF(COUNTIF(prod_ref,A449)=0,"Produit inconnu",IF(B449="","Matière manquante",IF(ISNA(MATCH(B449,mat_ref,0)),"Matière inconnue",IF(INDEX(mat_check,MATCH(B449,mat_ref,0))&lt;&gt;"OK","Matière à corriger",IF(OR(NOT(ISNUMBER(E449)),N(E449)&lt;=0),"Quantité invalide",IF(AND(F449&lt;&gt;"",OR(NOT(ISNUMBER(F449)),N(F449)&lt;0,N(F449)&gt;=1)),"Perte entre 0 et 99 %",IF(COUNTIFS(bom_prod,A449,bom_mat,B449)&gt;1,"Matière en double","OK")))))))))</f>
        <v/>
      </c>
      <c r="K449" s="71" t="str">
        <f>IF(AND(fiche_sel&lt;&gt;"",A449=fiche_sel),COUNTIF(A$6:A449,fiche_sel),"")</f>
        <v/>
      </c>
    </row>
    <row r="450">
      <c r="A450" s="60" t="n"/>
      <c r="B450" s="60" t="n"/>
      <c r="C450" s="71" t="str">
        <f>IF(B450="","",IFERROR(INDEX(mat_des,MATCH(B450,mat_ref,0))&amp;"","Matière inconnue"))</f>
        <v/>
      </c>
      <c r="D450" s="69" t="str">
        <f>IF(B450="","",IFERROR(INDEX(mat_unit,MATCH(B450,mat_ref,0))&amp;"",""))</f>
        <v/>
      </c>
      <c r="E450" s="72" t="n"/>
      <c r="F450" s="65" t="n"/>
      <c r="G450" s="68" t="str">
        <f>IF(J450&lt;&gt;"OK","",IF(F450="",N(INDEX(mat_loss,MATCH(B450,mat_ref,0))),F450))</f>
        <v/>
      </c>
      <c r="H450" s="66" t="str">
        <f>IF(J450&lt;&gt;"OK","",INDEX(mat_price,MATCH(B450,mat_ref,0)))</f>
        <v/>
      </c>
      <c r="I450" s="66" t="str">
        <f>IF(J450&lt;&gt;"OK","",E450*(1+G450)*H450)</f>
        <v/>
      </c>
      <c r="J450" s="69" t="str">
        <f>IF(AND(A450="",B450=""),"",IF(A450="","Produit manquant",IF(COUNTIF(prod_ref,A450)=0,"Produit inconnu",IF(B450="","Matière manquante",IF(ISNA(MATCH(B450,mat_ref,0)),"Matière inconnue",IF(INDEX(mat_check,MATCH(B450,mat_ref,0))&lt;&gt;"OK","Matière à corriger",IF(OR(NOT(ISNUMBER(E450)),N(E450)&lt;=0),"Quantité invalide",IF(AND(F450&lt;&gt;"",OR(NOT(ISNUMBER(F450)),N(F450)&lt;0,N(F450)&gt;=1)),"Perte entre 0 et 99 %",IF(COUNTIFS(bom_prod,A450,bom_mat,B450)&gt;1,"Matière en double","OK")))))))))</f>
        <v/>
      </c>
      <c r="K450" s="71" t="str">
        <f>IF(AND(fiche_sel&lt;&gt;"",A450=fiche_sel),COUNTIF(A$6:A450,fiche_sel),"")</f>
        <v/>
      </c>
    </row>
    <row r="451">
      <c r="A451" s="60" t="n"/>
      <c r="B451" s="60" t="n"/>
      <c r="C451" s="71" t="str">
        <f>IF(B451="","",IFERROR(INDEX(mat_des,MATCH(B451,mat_ref,0))&amp;"","Matière inconnue"))</f>
        <v/>
      </c>
      <c r="D451" s="69" t="str">
        <f>IF(B451="","",IFERROR(INDEX(mat_unit,MATCH(B451,mat_ref,0))&amp;"",""))</f>
        <v/>
      </c>
      <c r="E451" s="72" t="n"/>
      <c r="F451" s="65" t="n"/>
      <c r="G451" s="68" t="str">
        <f>IF(J451&lt;&gt;"OK","",IF(F451="",N(INDEX(mat_loss,MATCH(B451,mat_ref,0))),F451))</f>
        <v/>
      </c>
      <c r="H451" s="66" t="str">
        <f>IF(J451&lt;&gt;"OK","",INDEX(mat_price,MATCH(B451,mat_ref,0)))</f>
        <v/>
      </c>
      <c r="I451" s="66" t="str">
        <f>IF(J451&lt;&gt;"OK","",E451*(1+G451)*H451)</f>
        <v/>
      </c>
      <c r="J451" s="69" t="str">
        <f>IF(AND(A451="",B451=""),"",IF(A451="","Produit manquant",IF(COUNTIF(prod_ref,A451)=0,"Produit inconnu",IF(B451="","Matière manquante",IF(ISNA(MATCH(B451,mat_ref,0)),"Matière inconnue",IF(INDEX(mat_check,MATCH(B451,mat_ref,0))&lt;&gt;"OK","Matière à corriger",IF(OR(NOT(ISNUMBER(E451)),N(E451)&lt;=0),"Quantité invalide",IF(AND(F451&lt;&gt;"",OR(NOT(ISNUMBER(F451)),N(F451)&lt;0,N(F451)&gt;=1)),"Perte entre 0 et 99 %",IF(COUNTIFS(bom_prod,A451,bom_mat,B451)&gt;1,"Matière en double","OK")))))))))</f>
        <v/>
      </c>
      <c r="K451" s="71" t="str">
        <f>IF(AND(fiche_sel&lt;&gt;"",A451=fiche_sel),COUNTIF(A$6:A451,fiche_sel),"")</f>
        <v/>
      </c>
    </row>
    <row r="452">
      <c r="A452" s="60" t="n"/>
      <c r="B452" s="60" t="n"/>
      <c r="C452" s="71" t="str">
        <f>IF(B452="","",IFERROR(INDEX(mat_des,MATCH(B452,mat_ref,0))&amp;"","Matière inconnue"))</f>
        <v/>
      </c>
      <c r="D452" s="69" t="str">
        <f>IF(B452="","",IFERROR(INDEX(mat_unit,MATCH(B452,mat_ref,0))&amp;"",""))</f>
        <v/>
      </c>
      <c r="E452" s="72" t="n"/>
      <c r="F452" s="65" t="n"/>
      <c r="G452" s="68" t="str">
        <f>IF(J452&lt;&gt;"OK","",IF(F452="",N(INDEX(mat_loss,MATCH(B452,mat_ref,0))),F452))</f>
        <v/>
      </c>
      <c r="H452" s="66" t="str">
        <f>IF(J452&lt;&gt;"OK","",INDEX(mat_price,MATCH(B452,mat_ref,0)))</f>
        <v/>
      </c>
      <c r="I452" s="66" t="str">
        <f>IF(J452&lt;&gt;"OK","",E452*(1+G452)*H452)</f>
        <v/>
      </c>
      <c r="J452" s="69" t="str">
        <f>IF(AND(A452="",B452=""),"",IF(A452="","Produit manquant",IF(COUNTIF(prod_ref,A452)=0,"Produit inconnu",IF(B452="","Matière manquante",IF(ISNA(MATCH(B452,mat_ref,0)),"Matière inconnue",IF(INDEX(mat_check,MATCH(B452,mat_ref,0))&lt;&gt;"OK","Matière à corriger",IF(OR(NOT(ISNUMBER(E452)),N(E452)&lt;=0),"Quantité invalide",IF(AND(F452&lt;&gt;"",OR(NOT(ISNUMBER(F452)),N(F452)&lt;0,N(F452)&gt;=1)),"Perte entre 0 et 99 %",IF(COUNTIFS(bom_prod,A452,bom_mat,B452)&gt;1,"Matière en double","OK")))))))))</f>
        <v/>
      </c>
      <c r="K452" s="71" t="str">
        <f>IF(AND(fiche_sel&lt;&gt;"",A452=fiche_sel),COUNTIF(A$6:A452,fiche_sel),"")</f>
        <v/>
      </c>
    </row>
    <row r="453">
      <c r="A453" s="60" t="n"/>
      <c r="B453" s="60" t="n"/>
      <c r="C453" s="71" t="str">
        <f>IF(B453="","",IFERROR(INDEX(mat_des,MATCH(B453,mat_ref,0))&amp;"","Matière inconnue"))</f>
        <v/>
      </c>
      <c r="D453" s="69" t="str">
        <f>IF(B453="","",IFERROR(INDEX(mat_unit,MATCH(B453,mat_ref,0))&amp;"",""))</f>
        <v/>
      </c>
      <c r="E453" s="72" t="n"/>
      <c r="F453" s="65" t="n"/>
      <c r="G453" s="68" t="str">
        <f>IF(J453&lt;&gt;"OK","",IF(F453="",N(INDEX(mat_loss,MATCH(B453,mat_ref,0))),F453))</f>
        <v/>
      </c>
      <c r="H453" s="66" t="str">
        <f>IF(J453&lt;&gt;"OK","",INDEX(mat_price,MATCH(B453,mat_ref,0)))</f>
        <v/>
      </c>
      <c r="I453" s="66" t="str">
        <f>IF(J453&lt;&gt;"OK","",E453*(1+G453)*H453)</f>
        <v/>
      </c>
      <c r="J453" s="69" t="str">
        <f>IF(AND(A453="",B453=""),"",IF(A453="","Produit manquant",IF(COUNTIF(prod_ref,A453)=0,"Produit inconnu",IF(B453="","Matière manquante",IF(ISNA(MATCH(B453,mat_ref,0)),"Matière inconnue",IF(INDEX(mat_check,MATCH(B453,mat_ref,0))&lt;&gt;"OK","Matière à corriger",IF(OR(NOT(ISNUMBER(E453)),N(E453)&lt;=0),"Quantité invalide",IF(AND(F453&lt;&gt;"",OR(NOT(ISNUMBER(F453)),N(F453)&lt;0,N(F453)&gt;=1)),"Perte entre 0 et 99 %",IF(COUNTIFS(bom_prod,A453,bom_mat,B453)&gt;1,"Matière en double","OK")))))))))</f>
        <v/>
      </c>
      <c r="K453" s="71" t="str">
        <f>IF(AND(fiche_sel&lt;&gt;"",A453=fiche_sel),COUNTIF(A$6:A453,fiche_sel),"")</f>
        <v/>
      </c>
    </row>
    <row r="454">
      <c r="A454" s="60" t="n"/>
      <c r="B454" s="60" t="n"/>
      <c r="C454" s="71" t="str">
        <f>IF(B454="","",IFERROR(INDEX(mat_des,MATCH(B454,mat_ref,0))&amp;"","Matière inconnue"))</f>
        <v/>
      </c>
      <c r="D454" s="69" t="str">
        <f>IF(B454="","",IFERROR(INDEX(mat_unit,MATCH(B454,mat_ref,0))&amp;"",""))</f>
        <v/>
      </c>
      <c r="E454" s="72" t="n"/>
      <c r="F454" s="65" t="n"/>
      <c r="G454" s="68" t="str">
        <f>IF(J454&lt;&gt;"OK","",IF(F454="",N(INDEX(mat_loss,MATCH(B454,mat_ref,0))),F454))</f>
        <v/>
      </c>
      <c r="H454" s="66" t="str">
        <f>IF(J454&lt;&gt;"OK","",INDEX(mat_price,MATCH(B454,mat_ref,0)))</f>
        <v/>
      </c>
      <c r="I454" s="66" t="str">
        <f>IF(J454&lt;&gt;"OK","",E454*(1+G454)*H454)</f>
        <v/>
      </c>
      <c r="J454" s="69" t="str">
        <f>IF(AND(A454="",B454=""),"",IF(A454="","Produit manquant",IF(COUNTIF(prod_ref,A454)=0,"Produit inconnu",IF(B454="","Matière manquante",IF(ISNA(MATCH(B454,mat_ref,0)),"Matière inconnue",IF(INDEX(mat_check,MATCH(B454,mat_ref,0))&lt;&gt;"OK","Matière à corriger",IF(OR(NOT(ISNUMBER(E454)),N(E454)&lt;=0),"Quantité invalide",IF(AND(F454&lt;&gt;"",OR(NOT(ISNUMBER(F454)),N(F454)&lt;0,N(F454)&gt;=1)),"Perte entre 0 et 99 %",IF(COUNTIFS(bom_prod,A454,bom_mat,B454)&gt;1,"Matière en double","OK")))))))))</f>
        <v/>
      </c>
      <c r="K454" s="71" t="str">
        <f>IF(AND(fiche_sel&lt;&gt;"",A454=fiche_sel),COUNTIF(A$6:A454,fiche_sel),"")</f>
        <v/>
      </c>
    </row>
    <row r="455">
      <c r="A455" s="60" t="n"/>
      <c r="B455" s="60" t="n"/>
      <c r="C455" s="71" t="str">
        <f>IF(B455="","",IFERROR(INDEX(mat_des,MATCH(B455,mat_ref,0))&amp;"","Matière inconnue"))</f>
        <v/>
      </c>
      <c r="D455" s="69" t="str">
        <f>IF(B455="","",IFERROR(INDEX(mat_unit,MATCH(B455,mat_ref,0))&amp;"",""))</f>
        <v/>
      </c>
      <c r="E455" s="72" t="n"/>
      <c r="F455" s="65" t="n"/>
      <c r="G455" s="68" t="str">
        <f>IF(J455&lt;&gt;"OK","",IF(F455="",N(INDEX(mat_loss,MATCH(B455,mat_ref,0))),F455))</f>
        <v/>
      </c>
      <c r="H455" s="66" t="str">
        <f>IF(J455&lt;&gt;"OK","",INDEX(mat_price,MATCH(B455,mat_ref,0)))</f>
        <v/>
      </c>
      <c r="I455" s="66" t="str">
        <f>IF(J455&lt;&gt;"OK","",E455*(1+G455)*H455)</f>
        <v/>
      </c>
      <c r="J455" s="69" t="str">
        <f>IF(AND(A455="",B455=""),"",IF(A455="","Produit manquant",IF(COUNTIF(prod_ref,A455)=0,"Produit inconnu",IF(B455="","Matière manquante",IF(ISNA(MATCH(B455,mat_ref,0)),"Matière inconnue",IF(INDEX(mat_check,MATCH(B455,mat_ref,0))&lt;&gt;"OK","Matière à corriger",IF(OR(NOT(ISNUMBER(E455)),N(E455)&lt;=0),"Quantité invalide",IF(AND(F455&lt;&gt;"",OR(NOT(ISNUMBER(F455)),N(F455)&lt;0,N(F455)&gt;=1)),"Perte entre 0 et 99 %",IF(COUNTIFS(bom_prod,A455,bom_mat,B455)&gt;1,"Matière en double","OK")))))))))</f>
        <v/>
      </c>
      <c r="K455" s="71" t="str">
        <f>IF(AND(fiche_sel&lt;&gt;"",A455=fiche_sel),COUNTIF(A$6:A455,fiche_sel),"")</f>
        <v/>
      </c>
    </row>
    <row r="456">
      <c r="A456" s="60" t="n"/>
      <c r="B456" s="60" t="n"/>
      <c r="C456" s="71" t="str">
        <f>IF(B456="","",IFERROR(INDEX(mat_des,MATCH(B456,mat_ref,0))&amp;"","Matière inconnue"))</f>
        <v/>
      </c>
      <c r="D456" s="69" t="str">
        <f>IF(B456="","",IFERROR(INDEX(mat_unit,MATCH(B456,mat_ref,0))&amp;"",""))</f>
        <v/>
      </c>
      <c r="E456" s="72" t="n"/>
      <c r="F456" s="65" t="n"/>
      <c r="G456" s="68" t="str">
        <f>IF(J456&lt;&gt;"OK","",IF(F456="",N(INDEX(mat_loss,MATCH(B456,mat_ref,0))),F456))</f>
        <v/>
      </c>
      <c r="H456" s="66" t="str">
        <f>IF(J456&lt;&gt;"OK","",INDEX(mat_price,MATCH(B456,mat_ref,0)))</f>
        <v/>
      </c>
      <c r="I456" s="66" t="str">
        <f>IF(J456&lt;&gt;"OK","",E456*(1+G456)*H456)</f>
        <v/>
      </c>
      <c r="J456" s="69" t="str">
        <f>IF(AND(A456="",B456=""),"",IF(A456="","Produit manquant",IF(COUNTIF(prod_ref,A456)=0,"Produit inconnu",IF(B456="","Matière manquante",IF(ISNA(MATCH(B456,mat_ref,0)),"Matière inconnue",IF(INDEX(mat_check,MATCH(B456,mat_ref,0))&lt;&gt;"OK","Matière à corriger",IF(OR(NOT(ISNUMBER(E456)),N(E456)&lt;=0),"Quantité invalide",IF(AND(F456&lt;&gt;"",OR(NOT(ISNUMBER(F456)),N(F456)&lt;0,N(F456)&gt;=1)),"Perte entre 0 et 99 %",IF(COUNTIFS(bom_prod,A456,bom_mat,B456)&gt;1,"Matière en double","OK")))))))))</f>
        <v/>
      </c>
      <c r="K456" s="71" t="str">
        <f>IF(AND(fiche_sel&lt;&gt;"",A456=fiche_sel),COUNTIF(A$6:A456,fiche_sel),"")</f>
        <v/>
      </c>
    </row>
    <row r="457">
      <c r="A457" s="60" t="n"/>
      <c r="B457" s="60" t="n"/>
      <c r="C457" s="71" t="str">
        <f>IF(B457="","",IFERROR(INDEX(mat_des,MATCH(B457,mat_ref,0))&amp;"","Matière inconnue"))</f>
        <v/>
      </c>
      <c r="D457" s="69" t="str">
        <f>IF(B457="","",IFERROR(INDEX(mat_unit,MATCH(B457,mat_ref,0))&amp;"",""))</f>
        <v/>
      </c>
      <c r="E457" s="72" t="n"/>
      <c r="F457" s="65" t="n"/>
      <c r="G457" s="68" t="str">
        <f>IF(J457&lt;&gt;"OK","",IF(F457="",N(INDEX(mat_loss,MATCH(B457,mat_ref,0))),F457))</f>
        <v/>
      </c>
      <c r="H457" s="66" t="str">
        <f>IF(J457&lt;&gt;"OK","",INDEX(mat_price,MATCH(B457,mat_ref,0)))</f>
        <v/>
      </c>
      <c r="I457" s="66" t="str">
        <f>IF(J457&lt;&gt;"OK","",E457*(1+G457)*H457)</f>
        <v/>
      </c>
      <c r="J457" s="69" t="str">
        <f>IF(AND(A457="",B457=""),"",IF(A457="","Produit manquant",IF(COUNTIF(prod_ref,A457)=0,"Produit inconnu",IF(B457="","Matière manquante",IF(ISNA(MATCH(B457,mat_ref,0)),"Matière inconnue",IF(INDEX(mat_check,MATCH(B457,mat_ref,0))&lt;&gt;"OK","Matière à corriger",IF(OR(NOT(ISNUMBER(E457)),N(E457)&lt;=0),"Quantité invalide",IF(AND(F457&lt;&gt;"",OR(NOT(ISNUMBER(F457)),N(F457)&lt;0,N(F457)&gt;=1)),"Perte entre 0 et 99 %",IF(COUNTIFS(bom_prod,A457,bom_mat,B457)&gt;1,"Matière en double","OK")))))))))</f>
        <v/>
      </c>
      <c r="K457" s="71" t="str">
        <f>IF(AND(fiche_sel&lt;&gt;"",A457=fiche_sel),COUNTIF(A$6:A457,fiche_sel),"")</f>
        <v/>
      </c>
    </row>
    <row r="458">
      <c r="A458" s="60" t="n"/>
      <c r="B458" s="60" t="n"/>
      <c r="C458" s="71" t="str">
        <f>IF(B458="","",IFERROR(INDEX(mat_des,MATCH(B458,mat_ref,0))&amp;"","Matière inconnue"))</f>
        <v/>
      </c>
      <c r="D458" s="69" t="str">
        <f>IF(B458="","",IFERROR(INDEX(mat_unit,MATCH(B458,mat_ref,0))&amp;"",""))</f>
        <v/>
      </c>
      <c r="E458" s="72" t="n"/>
      <c r="F458" s="65" t="n"/>
      <c r="G458" s="68" t="str">
        <f>IF(J458&lt;&gt;"OK","",IF(F458="",N(INDEX(mat_loss,MATCH(B458,mat_ref,0))),F458))</f>
        <v/>
      </c>
      <c r="H458" s="66" t="str">
        <f>IF(J458&lt;&gt;"OK","",INDEX(mat_price,MATCH(B458,mat_ref,0)))</f>
        <v/>
      </c>
      <c r="I458" s="66" t="str">
        <f>IF(J458&lt;&gt;"OK","",E458*(1+G458)*H458)</f>
        <v/>
      </c>
      <c r="J458" s="69" t="str">
        <f>IF(AND(A458="",B458=""),"",IF(A458="","Produit manquant",IF(COUNTIF(prod_ref,A458)=0,"Produit inconnu",IF(B458="","Matière manquante",IF(ISNA(MATCH(B458,mat_ref,0)),"Matière inconnue",IF(INDEX(mat_check,MATCH(B458,mat_ref,0))&lt;&gt;"OK","Matière à corriger",IF(OR(NOT(ISNUMBER(E458)),N(E458)&lt;=0),"Quantité invalide",IF(AND(F458&lt;&gt;"",OR(NOT(ISNUMBER(F458)),N(F458)&lt;0,N(F458)&gt;=1)),"Perte entre 0 et 99 %",IF(COUNTIFS(bom_prod,A458,bom_mat,B458)&gt;1,"Matière en double","OK")))))))))</f>
        <v/>
      </c>
      <c r="K458" s="71" t="str">
        <f>IF(AND(fiche_sel&lt;&gt;"",A458=fiche_sel),COUNTIF(A$6:A458,fiche_sel),"")</f>
        <v/>
      </c>
    </row>
    <row r="459">
      <c r="A459" s="60" t="n"/>
      <c r="B459" s="60" t="n"/>
      <c r="C459" s="71" t="str">
        <f>IF(B459="","",IFERROR(INDEX(mat_des,MATCH(B459,mat_ref,0))&amp;"","Matière inconnue"))</f>
        <v/>
      </c>
      <c r="D459" s="69" t="str">
        <f>IF(B459="","",IFERROR(INDEX(mat_unit,MATCH(B459,mat_ref,0))&amp;"",""))</f>
        <v/>
      </c>
      <c r="E459" s="72" t="n"/>
      <c r="F459" s="65" t="n"/>
      <c r="G459" s="68" t="str">
        <f>IF(J459&lt;&gt;"OK","",IF(F459="",N(INDEX(mat_loss,MATCH(B459,mat_ref,0))),F459))</f>
        <v/>
      </c>
      <c r="H459" s="66" t="str">
        <f>IF(J459&lt;&gt;"OK","",INDEX(mat_price,MATCH(B459,mat_ref,0)))</f>
        <v/>
      </c>
      <c r="I459" s="66" t="str">
        <f>IF(J459&lt;&gt;"OK","",E459*(1+G459)*H459)</f>
        <v/>
      </c>
      <c r="J459" s="69" t="str">
        <f>IF(AND(A459="",B459=""),"",IF(A459="","Produit manquant",IF(COUNTIF(prod_ref,A459)=0,"Produit inconnu",IF(B459="","Matière manquante",IF(ISNA(MATCH(B459,mat_ref,0)),"Matière inconnue",IF(INDEX(mat_check,MATCH(B459,mat_ref,0))&lt;&gt;"OK","Matière à corriger",IF(OR(NOT(ISNUMBER(E459)),N(E459)&lt;=0),"Quantité invalide",IF(AND(F459&lt;&gt;"",OR(NOT(ISNUMBER(F459)),N(F459)&lt;0,N(F459)&gt;=1)),"Perte entre 0 et 99 %",IF(COUNTIFS(bom_prod,A459,bom_mat,B459)&gt;1,"Matière en double","OK")))))))))</f>
        <v/>
      </c>
      <c r="K459" s="71" t="str">
        <f>IF(AND(fiche_sel&lt;&gt;"",A459=fiche_sel),COUNTIF(A$6:A459,fiche_sel),"")</f>
        <v/>
      </c>
    </row>
    <row r="460">
      <c r="A460" s="60" t="n"/>
      <c r="B460" s="60" t="n"/>
      <c r="C460" s="71" t="str">
        <f>IF(B460="","",IFERROR(INDEX(mat_des,MATCH(B460,mat_ref,0))&amp;"","Matière inconnue"))</f>
        <v/>
      </c>
      <c r="D460" s="69" t="str">
        <f>IF(B460="","",IFERROR(INDEX(mat_unit,MATCH(B460,mat_ref,0))&amp;"",""))</f>
        <v/>
      </c>
      <c r="E460" s="72" t="n"/>
      <c r="F460" s="65" t="n"/>
      <c r="G460" s="68" t="str">
        <f>IF(J460&lt;&gt;"OK","",IF(F460="",N(INDEX(mat_loss,MATCH(B460,mat_ref,0))),F460))</f>
        <v/>
      </c>
      <c r="H460" s="66" t="str">
        <f>IF(J460&lt;&gt;"OK","",INDEX(mat_price,MATCH(B460,mat_ref,0)))</f>
        <v/>
      </c>
      <c r="I460" s="66" t="str">
        <f>IF(J460&lt;&gt;"OK","",E460*(1+G460)*H460)</f>
        <v/>
      </c>
      <c r="J460" s="69" t="str">
        <f>IF(AND(A460="",B460=""),"",IF(A460="","Produit manquant",IF(COUNTIF(prod_ref,A460)=0,"Produit inconnu",IF(B460="","Matière manquante",IF(ISNA(MATCH(B460,mat_ref,0)),"Matière inconnue",IF(INDEX(mat_check,MATCH(B460,mat_ref,0))&lt;&gt;"OK","Matière à corriger",IF(OR(NOT(ISNUMBER(E460)),N(E460)&lt;=0),"Quantité invalide",IF(AND(F460&lt;&gt;"",OR(NOT(ISNUMBER(F460)),N(F460)&lt;0,N(F460)&gt;=1)),"Perte entre 0 et 99 %",IF(COUNTIFS(bom_prod,A460,bom_mat,B460)&gt;1,"Matière en double","OK")))))))))</f>
        <v/>
      </c>
      <c r="K460" s="71" t="str">
        <f>IF(AND(fiche_sel&lt;&gt;"",A460=fiche_sel),COUNTIF(A$6:A460,fiche_sel),"")</f>
        <v/>
      </c>
    </row>
    <row r="461">
      <c r="A461" s="60" t="n"/>
      <c r="B461" s="60" t="n"/>
      <c r="C461" s="71" t="str">
        <f>IF(B461="","",IFERROR(INDEX(mat_des,MATCH(B461,mat_ref,0))&amp;"","Matière inconnue"))</f>
        <v/>
      </c>
      <c r="D461" s="69" t="str">
        <f>IF(B461="","",IFERROR(INDEX(mat_unit,MATCH(B461,mat_ref,0))&amp;"",""))</f>
        <v/>
      </c>
      <c r="E461" s="72" t="n"/>
      <c r="F461" s="65" t="n"/>
      <c r="G461" s="68" t="str">
        <f>IF(J461&lt;&gt;"OK","",IF(F461="",N(INDEX(mat_loss,MATCH(B461,mat_ref,0))),F461))</f>
        <v/>
      </c>
      <c r="H461" s="66" t="str">
        <f>IF(J461&lt;&gt;"OK","",INDEX(mat_price,MATCH(B461,mat_ref,0)))</f>
        <v/>
      </c>
      <c r="I461" s="66" t="str">
        <f>IF(J461&lt;&gt;"OK","",E461*(1+G461)*H461)</f>
        <v/>
      </c>
      <c r="J461" s="69" t="str">
        <f>IF(AND(A461="",B461=""),"",IF(A461="","Produit manquant",IF(COUNTIF(prod_ref,A461)=0,"Produit inconnu",IF(B461="","Matière manquante",IF(ISNA(MATCH(B461,mat_ref,0)),"Matière inconnue",IF(INDEX(mat_check,MATCH(B461,mat_ref,0))&lt;&gt;"OK","Matière à corriger",IF(OR(NOT(ISNUMBER(E461)),N(E461)&lt;=0),"Quantité invalide",IF(AND(F461&lt;&gt;"",OR(NOT(ISNUMBER(F461)),N(F461)&lt;0,N(F461)&gt;=1)),"Perte entre 0 et 99 %",IF(COUNTIFS(bom_prod,A461,bom_mat,B461)&gt;1,"Matière en double","OK")))))))))</f>
        <v/>
      </c>
      <c r="K461" s="71" t="str">
        <f>IF(AND(fiche_sel&lt;&gt;"",A461=fiche_sel),COUNTIF(A$6:A461,fiche_sel),"")</f>
        <v/>
      </c>
    </row>
    <row r="462">
      <c r="A462" s="60" t="n"/>
      <c r="B462" s="60" t="n"/>
      <c r="C462" s="71" t="str">
        <f>IF(B462="","",IFERROR(INDEX(mat_des,MATCH(B462,mat_ref,0))&amp;"","Matière inconnue"))</f>
        <v/>
      </c>
      <c r="D462" s="69" t="str">
        <f>IF(B462="","",IFERROR(INDEX(mat_unit,MATCH(B462,mat_ref,0))&amp;"",""))</f>
        <v/>
      </c>
      <c r="E462" s="72" t="n"/>
      <c r="F462" s="65" t="n"/>
      <c r="G462" s="68" t="str">
        <f>IF(J462&lt;&gt;"OK","",IF(F462="",N(INDEX(mat_loss,MATCH(B462,mat_ref,0))),F462))</f>
        <v/>
      </c>
      <c r="H462" s="66" t="str">
        <f>IF(J462&lt;&gt;"OK","",INDEX(mat_price,MATCH(B462,mat_ref,0)))</f>
        <v/>
      </c>
      <c r="I462" s="66" t="str">
        <f>IF(J462&lt;&gt;"OK","",E462*(1+G462)*H462)</f>
        <v/>
      </c>
      <c r="J462" s="69" t="str">
        <f>IF(AND(A462="",B462=""),"",IF(A462="","Produit manquant",IF(COUNTIF(prod_ref,A462)=0,"Produit inconnu",IF(B462="","Matière manquante",IF(ISNA(MATCH(B462,mat_ref,0)),"Matière inconnue",IF(INDEX(mat_check,MATCH(B462,mat_ref,0))&lt;&gt;"OK","Matière à corriger",IF(OR(NOT(ISNUMBER(E462)),N(E462)&lt;=0),"Quantité invalide",IF(AND(F462&lt;&gt;"",OR(NOT(ISNUMBER(F462)),N(F462)&lt;0,N(F462)&gt;=1)),"Perte entre 0 et 99 %",IF(COUNTIFS(bom_prod,A462,bom_mat,B462)&gt;1,"Matière en double","OK")))))))))</f>
        <v/>
      </c>
      <c r="K462" s="71" t="str">
        <f>IF(AND(fiche_sel&lt;&gt;"",A462=fiche_sel),COUNTIF(A$6:A462,fiche_sel),"")</f>
        <v/>
      </c>
    </row>
    <row r="463">
      <c r="A463" s="60" t="n"/>
      <c r="B463" s="60" t="n"/>
      <c r="C463" s="71" t="str">
        <f>IF(B463="","",IFERROR(INDEX(mat_des,MATCH(B463,mat_ref,0))&amp;"","Matière inconnue"))</f>
        <v/>
      </c>
      <c r="D463" s="69" t="str">
        <f>IF(B463="","",IFERROR(INDEX(mat_unit,MATCH(B463,mat_ref,0))&amp;"",""))</f>
        <v/>
      </c>
      <c r="E463" s="72" t="n"/>
      <c r="F463" s="65" t="n"/>
      <c r="G463" s="68" t="str">
        <f>IF(J463&lt;&gt;"OK","",IF(F463="",N(INDEX(mat_loss,MATCH(B463,mat_ref,0))),F463))</f>
        <v/>
      </c>
      <c r="H463" s="66" t="str">
        <f>IF(J463&lt;&gt;"OK","",INDEX(mat_price,MATCH(B463,mat_ref,0)))</f>
        <v/>
      </c>
      <c r="I463" s="66" t="str">
        <f>IF(J463&lt;&gt;"OK","",E463*(1+G463)*H463)</f>
        <v/>
      </c>
      <c r="J463" s="69" t="str">
        <f>IF(AND(A463="",B463=""),"",IF(A463="","Produit manquant",IF(COUNTIF(prod_ref,A463)=0,"Produit inconnu",IF(B463="","Matière manquante",IF(ISNA(MATCH(B463,mat_ref,0)),"Matière inconnue",IF(INDEX(mat_check,MATCH(B463,mat_ref,0))&lt;&gt;"OK","Matière à corriger",IF(OR(NOT(ISNUMBER(E463)),N(E463)&lt;=0),"Quantité invalide",IF(AND(F463&lt;&gt;"",OR(NOT(ISNUMBER(F463)),N(F463)&lt;0,N(F463)&gt;=1)),"Perte entre 0 et 99 %",IF(COUNTIFS(bom_prod,A463,bom_mat,B463)&gt;1,"Matière en double","OK")))))))))</f>
        <v/>
      </c>
      <c r="K463" s="71" t="str">
        <f>IF(AND(fiche_sel&lt;&gt;"",A463=fiche_sel),COUNTIF(A$6:A463,fiche_sel),"")</f>
        <v/>
      </c>
    </row>
    <row r="464">
      <c r="A464" s="60" t="n"/>
      <c r="B464" s="60" t="n"/>
      <c r="C464" s="71" t="str">
        <f>IF(B464="","",IFERROR(INDEX(mat_des,MATCH(B464,mat_ref,0))&amp;"","Matière inconnue"))</f>
        <v/>
      </c>
      <c r="D464" s="69" t="str">
        <f>IF(B464="","",IFERROR(INDEX(mat_unit,MATCH(B464,mat_ref,0))&amp;"",""))</f>
        <v/>
      </c>
      <c r="E464" s="72" t="n"/>
      <c r="F464" s="65" t="n"/>
      <c r="G464" s="68" t="str">
        <f>IF(J464&lt;&gt;"OK","",IF(F464="",N(INDEX(mat_loss,MATCH(B464,mat_ref,0))),F464))</f>
        <v/>
      </c>
      <c r="H464" s="66" t="str">
        <f>IF(J464&lt;&gt;"OK","",INDEX(mat_price,MATCH(B464,mat_ref,0)))</f>
        <v/>
      </c>
      <c r="I464" s="66" t="str">
        <f>IF(J464&lt;&gt;"OK","",E464*(1+G464)*H464)</f>
        <v/>
      </c>
      <c r="J464" s="69" t="str">
        <f>IF(AND(A464="",B464=""),"",IF(A464="","Produit manquant",IF(COUNTIF(prod_ref,A464)=0,"Produit inconnu",IF(B464="","Matière manquante",IF(ISNA(MATCH(B464,mat_ref,0)),"Matière inconnue",IF(INDEX(mat_check,MATCH(B464,mat_ref,0))&lt;&gt;"OK","Matière à corriger",IF(OR(NOT(ISNUMBER(E464)),N(E464)&lt;=0),"Quantité invalide",IF(AND(F464&lt;&gt;"",OR(NOT(ISNUMBER(F464)),N(F464)&lt;0,N(F464)&gt;=1)),"Perte entre 0 et 99 %",IF(COUNTIFS(bom_prod,A464,bom_mat,B464)&gt;1,"Matière en double","OK")))))))))</f>
        <v/>
      </c>
      <c r="K464" s="71" t="str">
        <f>IF(AND(fiche_sel&lt;&gt;"",A464=fiche_sel),COUNTIF(A$6:A464,fiche_sel),"")</f>
        <v/>
      </c>
    </row>
    <row r="465">
      <c r="A465" s="60" t="n"/>
      <c r="B465" s="60" t="n"/>
      <c r="C465" s="71" t="str">
        <f>IF(B465="","",IFERROR(INDEX(mat_des,MATCH(B465,mat_ref,0))&amp;"","Matière inconnue"))</f>
        <v/>
      </c>
      <c r="D465" s="69" t="str">
        <f>IF(B465="","",IFERROR(INDEX(mat_unit,MATCH(B465,mat_ref,0))&amp;"",""))</f>
        <v/>
      </c>
      <c r="E465" s="72" t="n"/>
      <c r="F465" s="65" t="n"/>
      <c r="G465" s="68" t="str">
        <f>IF(J465&lt;&gt;"OK","",IF(F465="",N(INDEX(mat_loss,MATCH(B465,mat_ref,0))),F465))</f>
        <v/>
      </c>
      <c r="H465" s="66" t="str">
        <f>IF(J465&lt;&gt;"OK","",INDEX(mat_price,MATCH(B465,mat_ref,0)))</f>
        <v/>
      </c>
      <c r="I465" s="66" t="str">
        <f>IF(J465&lt;&gt;"OK","",E465*(1+G465)*H465)</f>
        <v/>
      </c>
      <c r="J465" s="69" t="str">
        <f>IF(AND(A465="",B465=""),"",IF(A465="","Produit manquant",IF(COUNTIF(prod_ref,A465)=0,"Produit inconnu",IF(B465="","Matière manquante",IF(ISNA(MATCH(B465,mat_ref,0)),"Matière inconnue",IF(INDEX(mat_check,MATCH(B465,mat_ref,0))&lt;&gt;"OK","Matière à corriger",IF(OR(NOT(ISNUMBER(E465)),N(E465)&lt;=0),"Quantité invalide",IF(AND(F465&lt;&gt;"",OR(NOT(ISNUMBER(F465)),N(F465)&lt;0,N(F465)&gt;=1)),"Perte entre 0 et 99 %",IF(COUNTIFS(bom_prod,A465,bom_mat,B465)&gt;1,"Matière en double","OK")))))))))</f>
        <v/>
      </c>
      <c r="K465" s="71" t="str">
        <f>IF(AND(fiche_sel&lt;&gt;"",A465=fiche_sel),COUNTIF(A$6:A465,fiche_sel),"")</f>
        <v/>
      </c>
    </row>
    <row r="466">
      <c r="A466" s="60" t="n"/>
      <c r="B466" s="60" t="n"/>
      <c r="C466" s="71" t="str">
        <f>IF(B466="","",IFERROR(INDEX(mat_des,MATCH(B466,mat_ref,0))&amp;"","Matière inconnue"))</f>
        <v/>
      </c>
      <c r="D466" s="69" t="str">
        <f>IF(B466="","",IFERROR(INDEX(mat_unit,MATCH(B466,mat_ref,0))&amp;"",""))</f>
        <v/>
      </c>
      <c r="E466" s="72" t="n"/>
      <c r="F466" s="65" t="n"/>
      <c r="G466" s="68" t="str">
        <f>IF(J466&lt;&gt;"OK","",IF(F466="",N(INDEX(mat_loss,MATCH(B466,mat_ref,0))),F466))</f>
        <v/>
      </c>
      <c r="H466" s="66" t="str">
        <f>IF(J466&lt;&gt;"OK","",INDEX(mat_price,MATCH(B466,mat_ref,0)))</f>
        <v/>
      </c>
      <c r="I466" s="66" t="str">
        <f>IF(J466&lt;&gt;"OK","",E466*(1+G466)*H466)</f>
        <v/>
      </c>
      <c r="J466" s="69" t="str">
        <f>IF(AND(A466="",B466=""),"",IF(A466="","Produit manquant",IF(COUNTIF(prod_ref,A466)=0,"Produit inconnu",IF(B466="","Matière manquante",IF(ISNA(MATCH(B466,mat_ref,0)),"Matière inconnue",IF(INDEX(mat_check,MATCH(B466,mat_ref,0))&lt;&gt;"OK","Matière à corriger",IF(OR(NOT(ISNUMBER(E466)),N(E466)&lt;=0),"Quantité invalide",IF(AND(F466&lt;&gt;"",OR(NOT(ISNUMBER(F466)),N(F466)&lt;0,N(F466)&gt;=1)),"Perte entre 0 et 99 %",IF(COUNTIFS(bom_prod,A466,bom_mat,B466)&gt;1,"Matière en double","OK")))))))))</f>
        <v/>
      </c>
      <c r="K466" s="71" t="str">
        <f>IF(AND(fiche_sel&lt;&gt;"",A466=fiche_sel),COUNTIF(A$6:A466,fiche_sel),"")</f>
        <v/>
      </c>
    </row>
    <row r="467">
      <c r="A467" s="60" t="n"/>
      <c r="B467" s="60" t="n"/>
      <c r="C467" s="71" t="str">
        <f>IF(B467="","",IFERROR(INDEX(mat_des,MATCH(B467,mat_ref,0))&amp;"","Matière inconnue"))</f>
        <v/>
      </c>
      <c r="D467" s="69" t="str">
        <f>IF(B467="","",IFERROR(INDEX(mat_unit,MATCH(B467,mat_ref,0))&amp;"",""))</f>
        <v/>
      </c>
      <c r="E467" s="72" t="n"/>
      <c r="F467" s="65" t="n"/>
      <c r="G467" s="68" t="str">
        <f>IF(J467&lt;&gt;"OK","",IF(F467="",N(INDEX(mat_loss,MATCH(B467,mat_ref,0))),F467))</f>
        <v/>
      </c>
      <c r="H467" s="66" t="str">
        <f>IF(J467&lt;&gt;"OK","",INDEX(mat_price,MATCH(B467,mat_ref,0)))</f>
        <v/>
      </c>
      <c r="I467" s="66" t="str">
        <f>IF(J467&lt;&gt;"OK","",E467*(1+G467)*H467)</f>
        <v/>
      </c>
      <c r="J467" s="69" t="str">
        <f>IF(AND(A467="",B467=""),"",IF(A467="","Produit manquant",IF(COUNTIF(prod_ref,A467)=0,"Produit inconnu",IF(B467="","Matière manquante",IF(ISNA(MATCH(B467,mat_ref,0)),"Matière inconnue",IF(INDEX(mat_check,MATCH(B467,mat_ref,0))&lt;&gt;"OK","Matière à corriger",IF(OR(NOT(ISNUMBER(E467)),N(E467)&lt;=0),"Quantité invalide",IF(AND(F467&lt;&gt;"",OR(NOT(ISNUMBER(F467)),N(F467)&lt;0,N(F467)&gt;=1)),"Perte entre 0 et 99 %",IF(COUNTIFS(bom_prod,A467,bom_mat,B467)&gt;1,"Matière en double","OK")))))))))</f>
        <v/>
      </c>
      <c r="K467" s="71" t="str">
        <f>IF(AND(fiche_sel&lt;&gt;"",A467=fiche_sel),COUNTIF(A$6:A467,fiche_sel),"")</f>
        <v/>
      </c>
    </row>
    <row r="468">
      <c r="A468" s="60" t="n"/>
      <c r="B468" s="60" t="n"/>
      <c r="C468" s="71" t="str">
        <f>IF(B468="","",IFERROR(INDEX(mat_des,MATCH(B468,mat_ref,0))&amp;"","Matière inconnue"))</f>
        <v/>
      </c>
      <c r="D468" s="69" t="str">
        <f>IF(B468="","",IFERROR(INDEX(mat_unit,MATCH(B468,mat_ref,0))&amp;"",""))</f>
        <v/>
      </c>
      <c r="E468" s="72" t="n"/>
      <c r="F468" s="65" t="n"/>
      <c r="G468" s="68" t="str">
        <f>IF(J468&lt;&gt;"OK","",IF(F468="",N(INDEX(mat_loss,MATCH(B468,mat_ref,0))),F468))</f>
        <v/>
      </c>
      <c r="H468" s="66" t="str">
        <f>IF(J468&lt;&gt;"OK","",INDEX(mat_price,MATCH(B468,mat_ref,0)))</f>
        <v/>
      </c>
      <c r="I468" s="66" t="str">
        <f>IF(J468&lt;&gt;"OK","",E468*(1+G468)*H468)</f>
        <v/>
      </c>
      <c r="J468" s="69" t="str">
        <f>IF(AND(A468="",B468=""),"",IF(A468="","Produit manquant",IF(COUNTIF(prod_ref,A468)=0,"Produit inconnu",IF(B468="","Matière manquante",IF(ISNA(MATCH(B468,mat_ref,0)),"Matière inconnue",IF(INDEX(mat_check,MATCH(B468,mat_ref,0))&lt;&gt;"OK","Matière à corriger",IF(OR(NOT(ISNUMBER(E468)),N(E468)&lt;=0),"Quantité invalide",IF(AND(F468&lt;&gt;"",OR(NOT(ISNUMBER(F468)),N(F468)&lt;0,N(F468)&gt;=1)),"Perte entre 0 et 99 %",IF(COUNTIFS(bom_prod,A468,bom_mat,B468)&gt;1,"Matière en double","OK")))))))))</f>
        <v/>
      </c>
      <c r="K468" s="71" t="str">
        <f>IF(AND(fiche_sel&lt;&gt;"",A468=fiche_sel),COUNTIF(A$6:A468,fiche_sel),"")</f>
        <v/>
      </c>
    </row>
    <row r="469">
      <c r="A469" s="60" t="n"/>
      <c r="B469" s="60" t="n"/>
      <c r="C469" s="71" t="str">
        <f>IF(B469="","",IFERROR(INDEX(mat_des,MATCH(B469,mat_ref,0))&amp;"","Matière inconnue"))</f>
        <v/>
      </c>
      <c r="D469" s="69" t="str">
        <f>IF(B469="","",IFERROR(INDEX(mat_unit,MATCH(B469,mat_ref,0))&amp;"",""))</f>
        <v/>
      </c>
      <c r="E469" s="72" t="n"/>
      <c r="F469" s="65" t="n"/>
      <c r="G469" s="68" t="str">
        <f>IF(J469&lt;&gt;"OK","",IF(F469="",N(INDEX(mat_loss,MATCH(B469,mat_ref,0))),F469))</f>
        <v/>
      </c>
      <c r="H469" s="66" t="str">
        <f>IF(J469&lt;&gt;"OK","",INDEX(mat_price,MATCH(B469,mat_ref,0)))</f>
        <v/>
      </c>
      <c r="I469" s="66" t="str">
        <f>IF(J469&lt;&gt;"OK","",E469*(1+G469)*H469)</f>
        <v/>
      </c>
      <c r="J469" s="69" t="str">
        <f>IF(AND(A469="",B469=""),"",IF(A469="","Produit manquant",IF(COUNTIF(prod_ref,A469)=0,"Produit inconnu",IF(B469="","Matière manquante",IF(ISNA(MATCH(B469,mat_ref,0)),"Matière inconnue",IF(INDEX(mat_check,MATCH(B469,mat_ref,0))&lt;&gt;"OK","Matière à corriger",IF(OR(NOT(ISNUMBER(E469)),N(E469)&lt;=0),"Quantité invalide",IF(AND(F469&lt;&gt;"",OR(NOT(ISNUMBER(F469)),N(F469)&lt;0,N(F469)&gt;=1)),"Perte entre 0 et 99 %",IF(COUNTIFS(bom_prod,A469,bom_mat,B469)&gt;1,"Matière en double","OK")))))))))</f>
        <v/>
      </c>
      <c r="K469" s="71" t="str">
        <f>IF(AND(fiche_sel&lt;&gt;"",A469=fiche_sel),COUNTIF(A$6:A469,fiche_sel),"")</f>
        <v/>
      </c>
    </row>
    <row r="470">
      <c r="A470" s="60" t="n"/>
      <c r="B470" s="60" t="n"/>
      <c r="C470" s="71" t="str">
        <f>IF(B470="","",IFERROR(INDEX(mat_des,MATCH(B470,mat_ref,0))&amp;"","Matière inconnue"))</f>
        <v/>
      </c>
      <c r="D470" s="69" t="str">
        <f>IF(B470="","",IFERROR(INDEX(mat_unit,MATCH(B470,mat_ref,0))&amp;"",""))</f>
        <v/>
      </c>
      <c r="E470" s="72" t="n"/>
      <c r="F470" s="65" t="n"/>
      <c r="G470" s="68" t="str">
        <f>IF(J470&lt;&gt;"OK","",IF(F470="",N(INDEX(mat_loss,MATCH(B470,mat_ref,0))),F470))</f>
        <v/>
      </c>
      <c r="H470" s="66" t="str">
        <f>IF(J470&lt;&gt;"OK","",INDEX(mat_price,MATCH(B470,mat_ref,0)))</f>
        <v/>
      </c>
      <c r="I470" s="66" t="str">
        <f>IF(J470&lt;&gt;"OK","",E470*(1+G470)*H470)</f>
        <v/>
      </c>
      <c r="J470" s="69" t="str">
        <f>IF(AND(A470="",B470=""),"",IF(A470="","Produit manquant",IF(COUNTIF(prod_ref,A470)=0,"Produit inconnu",IF(B470="","Matière manquante",IF(ISNA(MATCH(B470,mat_ref,0)),"Matière inconnue",IF(INDEX(mat_check,MATCH(B470,mat_ref,0))&lt;&gt;"OK","Matière à corriger",IF(OR(NOT(ISNUMBER(E470)),N(E470)&lt;=0),"Quantité invalide",IF(AND(F470&lt;&gt;"",OR(NOT(ISNUMBER(F470)),N(F470)&lt;0,N(F470)&gt;=1)),"Perte entre 0 et 99 %",IF(COUNTIFS(bom_prod,A470,bom_mat,B470)&gt;1,"Matière en double","OK")))))))))</f>
        <v/>
      </c>
      <c r="K470" s="71" t="str">
        <f>IF(AND(fiche_sel&lt;&gt;"",A470=fiche_sel),COUNTIF(A$6:A470,fiche_sel),"")</f>
        <v/>
      </c>
    </row>
    <row r="471">
      <c r="A471" s="60" t="n"/>
      <c r="B471" s="60" t="n"/>
      <c r="C471" s="71" t="str">
        <f>IF(B471="","",IFERROR(INDEX(mat_des,MATCH(B471,mat_ref,0))&amp;"","Matière inconnue"))</f>
        <v/>
      </c>
      <c r="D471" s="69" t="str">
        <f>IF(B471="","",IFERROR(INDEX(mat_unit,MATCH(B471,mat_ref,0))&amp;"",""))</f>
        <v/>
      </c>
      <c r="E471" s="72" t="n"/>
      <c r="F471" s="65" t="n"/>
      <c r="G471" s="68" t="str">
        <f>IF(J471&lt;&gt;"OK","",IF(F471="",N(INDEX(mat_loss,MATCH(B471,mat_ref,0))),F471))</f>
        <v/>
      </c>
      <c r="H471" s="66" t="str">
        <f>IF(J471&lt;&gt;"OK","",INDEX(mat_price,MATCH(B471,mat_ref,0)))</f>
        <v/>
      </c>
      <c r="I471" s="66" t="str">
        <f>IF(J471&lt;&gt;"OK","",E471*(1+G471)*H471)</f>
        <v/>
      </c>
      <c r="J471" s="69" t="str">
        <f>IF(AND(A471="",B471=""),"",IF(A471="","Produit manquant",IF(COUNTIF(prod_ref,A471)=0,"Produit inconnu",IF(B471="","Matière manquante",IF(ISNA(MATCH(B471,mat_ref,0)),"Matière inconnue",IF(INDEX(mat_check,MATCH(B471,mat_ref,0))&lt;&gt;"OK","Matière à corriger",IF(OR(NOT(ISNUMBER(E471)),N(E471)&lt;=0),"Quantité invalide",IF(AND(F471&lt;&gt;"",OR(NOT(ISNUMBER(F471)),N(F471)&lt;0,N(F471)&gt;=1)),"Perte entre 0 et 99 %",IF(COUNTIFS(bom_prod,A471,bom_mat,B471)&gt;1,"Matière en double","OK")))))))))</f>
        <v/>
      </c>
      <c r="K471" s="71" t="str">
        <f>IF(AND(fiche_sel&lt;&gt;"",A471=fiche_sel),COUNTIF(A$6:A471,fiche_sel),"")</f>
        <v/>
      </c>
    </row>
    <row r="472">
      <c r="A472" s="60" t="n"/>
      <c r="B472" s="60" t="n"/>
      <c r="C472" s="71" t="str">
        <f>IF(B472="","",IFERROR(INDEX(mat_des,MATCH(B472,mat_ref,0))&amp;"","Matière inconnue"))</f>
        <v/>
      </c>
      <c r="D472" s="69" t="str">
        <f>IF(B472="","",IFERROR(INDEX(mat_unit,MATCH(B472,mat_ref,0))&amp;"",""))</f>
        <v/>
      </c>
      <c r="E472" s="72" t="n"/>
      <c r="F472" s="65" t="n"/>
      <c r="G472" s="68" t="str">
        <f>IF(J472&lt;&gt;"OK","",IF(F472="",N(INDEX(mat_loss,MATCH(B472,mat_ref,0))),F472))</f>
        <v/>
      </c>
      <c r="H472" s="66" t="str">
        <f>IF(J472&lt;&gt;"OK","",INDEX(mat_price,MATCH(B472,mat_ref,0)))</f>
        <v/>
      </c>
      <c r="I472" s="66" t="str">
        <f>IF(J472&lt;&gt;"OK","",E472*(1+G472)*H472)</f>
        <v/>
      </c>
      <c r="J472" s="69" t="str">
        <f>IF(AND(A472="",B472=""),"",IF(A472="","Produit manquant",IF(COUNTIF(prod_ref,A472)=0,"Produit inconnu",IF(B472="","Matière manquante",IF(ISNA(MATCH(B472,mat_ref,0)),"Matière inconnue",IF(INDEX(mat_check,MATCH(B472,mat_ref,0))&lt;&gt;"OK","Matière à corriger",IF(OR(NOT(ISNUMBER(E472)),N(E472)&lt;=0),"Quantité invalide",IF(AND(F472&lt;&gt;"",OR(NOT(ISNUMBER(F472)),N(F472)&lt;0,N(F472)&gt;=1)),"Perte entre 0 et 99 %",IF(COUNTIFS(bom_prod,A472,bom_mat,B472)&gt;1,"Matière en double","OK")))))))))</f>
        <v/>
      </c>
      <c r="K472" s="71" t="str">
        <f>IF(AND(fiche_sel&lt;&gt;"",A472=fiche_sel),COUNTIF(A$6:A472,fiche_sel),"")</f>
        <v/>
      </c>
    </row>
    <row r="473">
      <c r="A473" s="60" t="n"/>
      <c r="B473" s="60" t="n"/>
      <c r="C473" s="71" t="str">
        <f>IF(B473="","",IFERROR(INDEX(mat_des,MATCH(B473,mat_ref,0))&amp;"","Matière inconnue"))</f>
        <v/>
      </c>
      <c r="D473" s="69" t="str">
        <f>IF(B473="","",IFERROR(INDEX(mat_unit,MATCH(B473,mat_ref,0))&amp;"",""))</f>
        <v/>
      </c>
      <c r="E473" s="72" t="n"/>
      <c r="F473" s="65" t="n"/>
      <c r="G473" s="68" t="str">
        <f>IF(J473&lt;&gt;"OK","",IF(F473="",N(INDEX(mat_loss,MATCH(B473,mat_ref,0))),F473))</f>
        <v/>
      </c>
      <c r="H473" s="66" t="str">
        <f>IF(J473&lt;&gt;"OK","",INDEX(mat_price,MATCH(B473,mat_ref,0)))</f>
        <v/>
      </c>
      <c r="I473" s="66" t="str">
        <f>IF(J473&lt;&gt;"OK","",E473*(1+G473)*H473)</f>
        <v/>
      </c>
      <c r="J473" s="69" t="str">
        <f>IF(AND(A473="",B473=""),"",IF(A473="","Produit manquant",IF(COUNTIF(prod_ref,A473)=0,"Produit inconnu",IF(B473="","Matière manquante",IF(ISNA(MATCH(B473,mat_ref,0)),"Matière inconnue",IF(INDEX(mat_check,MATCH(B473,mat_ref,0))&lt;&gt;"OK","Matière à corriger",IF(OR(NOT(ISNUMBER(E473)),N(E473)&lt;=0),"Quantité invalide",IF(AND(F473&lt;&gt;"",OR(NOT(ISNUMBER(F473)),N(F473)&lt;0,N(F473)&gt;=1)),"Perte entre 0 et 99 %",IF(COUNTIFS(bom_prod,A473,bom_mat,B473)&gt;1,"Matière en double","OK")))))))))</f>
        <v/>
      </c>
      <c r="K473" s="71" t="str">
        <f>IF(AND(fiche_sel&lt;&gt;"",A473=fiche_sel),COUNTIF(A$6:A473,fiche_sel),"")</f>
        <v/>
      </c>
    </row>
    <row r="474">
      <c r="A474" s="60" t="n"/>
      <c r="B474" s="60" t="n"/>
      <c r="C474" s="71" t="str">
        <f>IF(B474="","",IFERROR(INDEX(mat_des,MATCH(B474,mat_ref,0))&amp;"","Matière inconnue"))</f>
        <v/>
      </c>
      <c r="D474" s="69" t="str">
        <f>IF(B474="","",IFERROR(INDEX(mat_unit,MATCH(B474,mat_ref,0))&amp;"",""))</f>
        <v/>
      </c>
      <c r="E474" s="72" t="n"/>
      <c r="F474" s="65" t="n"/>
      <c r="G474" s="68" t="str">
        <f>IF(J474&lt;&gt;"OK","",IF(F474="",N(INDEX(mat_loss,MATCH(B474,mat_ref,0))),F474))</f>
        <v/>
      </c>
      <c r="H474" s="66" t="str">
        <f>IF(J474&lt;&gt;"OK","",INDEX(mat_price,MATCH(B474,mat_ref,0)))</f>
        <v/>
      </c>
      <c r="I474" s="66" t="str">
        <f>IF(J474&lt;&gt;"OK","",E474*(1+G474)*H474)</f>
        <v/>
      </c>
      <c r="J474" s="69" t="str">
        <f>IF(AND(A474="",B474=""),"",IF(A474="","Produit manquant",IF(COUNTIF(prod_ref,A474)=0,"Produit inconnu",IF(B474="","Matière manquante",IF(ISNA(MATCH(B474,mat_ref,0)),"Matière inconnue",IF(INDEX(mat_check,MATCH(B474,mat_ref,0))&lt;&gt;"OK","Matière à corriger",IF(OR(NOT(ISNUMBER(E474)),N(E474)&lt;=0),"Quantité invalide",IF(AND(F474&lt;&gt;"",OR(NOT(ISNUMBER(F474)),N(F474)&lt;0,N(F474)&gt;=1)),"Perte entre 0 et 99 %",IF(COUNTIFS(bom_prod,A474,bom_mat,B474)&gt;1,"Matière en double","OK")))))))))</f>
        <v/>
      </c>
      <c r="K474" s="71" t="str">
        <f>IF(AND(fiche_sel&lt;&gt;"",A474=fiche_sel),COUNTIF(A$6:A474,fiche_sel),"")</f>
        <v/>
      </c>
    </row>
    <row r="475">
      <c r="A475" s="60" t="n"/>
      <c r="B475" s="60" t="n"/>
      <c r="C475" s="71" t="str">
        <f>IF(B475="","",IFERROR(INDEX(mat_des,MATCH(B475,mat_ref,0))&amp;"","Matière inconnue"))</f>
        <v/>
      </c>
      <c r="D475" s="69" t="str">
        <f>IF(B475="","",IFERROR(INDEX(mat_unit,MATCH(B475,mat_ref,0))&amp;"",""))</f>
        <v/>
      </c>
      <c r="E475" s="72" t="n"/>
      <c r="F475" s="65" t="n"/>
      <c r="G475" s="68" t="str">
        <f>IF(J475&lt;&gt;"OK","",IF(F475="",N(INDEX(mat_loss,MATCH(B475,mat_ref,0))),F475))</f>
        <v/>
      </c>
      <c r="H475" s="66" t="str">
        <f>IF(J475&lt;&gt;"OK","",INDEX(mat_price,MATCH(B475,mat_ref,0)))</f>
        <v/>
      </c>
      <c r="I475" s="66" t="str">
        <f>IF(J475&lt;&gt;"OK","",E475*(1+G475)*H475)</f>
        <v/>
      </c>
      <c r="J475" s="69" t="str">
        <f>IF(AND(A475="",B475=""),"",IF(A475="","Produit manquant",IF(COUNTIF(prod_ref,A475)=0,"Produit inconnu",IF(B475="","Matière manquante",IF(ISNA(MATCH(B475,mat_ref,0)),"Matière inconnue",IF(INDEX(mat_check,MATCH(B475,mat_ref,0))&lt;&gt;"OK","Matière à corriger",IF(OR(NOT(ISNUMBER(E475)),N(E475)&lt;=0),"Quantité invalide",IF(AND(F475&lt;&gt;"",OR(NOT(ISNUMBER(F475)),N(F475)&lt;0,N(F475)&gt;=1)),"Perte entre 0 et 99 %",IF(COUNTIFS(bom_prod,A475,bom_mat,B475)&gt;1,"Matière en double","OK")))))))))</f>
        <v/>
      </c>
      <c r="K475" s="71" t="str">
        <f>IF(AND(fiche_sel&lt;&gt;"",A475=fiche_sel),COUNTIF(A$6:A475,fiche_sel),"")</f>
        <v/>
      </c>
    </row>
    <row r="476">
      <c r="A476" s="60" t="n"/>
      <c r="B476" s="60" t="n"/>
      <c r="C476" s="71" t="str">
        <f>IF(B476="","",IFERROR(INDEX(mat_des,MATCH(B476,mat_ref,0))&amp;"","Matière inconnue"))</f>
        <v/>
      </c>
      <c r="D476" s="69" t="str">
        <f>IF(B476="","",IFERROR(INDEX(mat_unit,MATCH(B476,mat_ref,0))&amp;"",""))</f>
        <v/>
      </c>
      <c r="E476" s="72" t="n"/>
      <c r="F476" s="65" t="n"/>
      <c r="G476" s="68" t="str">
        <f>IF(J476&lt;&gt;"OK","",IF(F476="",N(INDEX(mat_loss,MATCH(B476,mat_ref,0))),F476))</f>
        <v/>
      </c>
      <c r="H476" s="66" t="str">
        <f>IF(J476&lt;&gt;"OK","",INDEX(mat_price,MATCH(B476,mat_ref,0)))</f>
        <v/>
      </c>
      <c r="I476" s="66" t="str">
        <f>IF(J476&lt;&gt;"OK","",E476*(1+G476)*H476)</f>
        <v/>
      </c>
      <c r="J476" s="69" t="str">
        <f>IF(AND(A476="",B476=""),"",IF(A476="","Produit manquant",IF(COUNTIF(prod_ref,A476)=0,"Produit inconnu",IF(B476="","Matière manquante",IF(ISNA(MATCH(B476,mat_ref,0)),"Matière inconnue",IF(INDEX(mat_check,MATCH(B476,mat_ref,0))&lt;&gt;"OK","Matière à corriger",IF(OR(NOT(ISNUMBER(E476)),N(E476)&lt;=0),"Quantité invalide",IF(AND(F476&lt;&gt;"",OR(NOT(ISNUMBER(F476)),N(F476)&lt;0,N(F476)&gt;=1)),"Perte entre 0 et 99 %",IF(COUNTIFS(bom_prod,A476,bom_mat,B476)&gt;1,"Matière en double","OK")))))))))</f>
        <v/>
      </c>
      <c r="K476" s="71" t="str">
        <f>IF(AND(fiche_sel&lt;&gt;"",A476=fiche_sel),COUNTIF(A$6:A476,fiche_sel),"")</f>
        <v/>
      </c>
    </row>
    <row r="477">
      <c r="A477" s="60" t="n"/>
      <c r="B477" s="60" t="n"/>
      <c r="C477" s="71" t="str">
        <f>IF(B477="","",IFERROR(INDEX(mat_des,MATCH(B477,mat_ref,0))&amp;"","Matière inconnue"))</f>
        <v/>
      </c>
      <c r="D477" s="69" t="str">
        <f>IF(B477="","",IFERROR(INDEX(mat_unit,MATCH(B477,mat_ref,0))&amp;"",""))</f>
        <v/>
      </c>
      <c r="E477" s="72" t="n"/>
      <c r="F477" s="65" t="n"/>
      <c r="G477" s="68" t="str">
        <f>IF(J477&lt;&gt;"OK","",IF(F477="",N(INDEX(mat_loss,MATCH(B477,mat_ref,0))),F477))</f>
        <v/>
      </c>
      <c r="H477" s="66" t="str">
        <f>IF(J477&lt;&gt;"OK","",INDEX(mat_price,MATCH(B477,mat_ref,0)))</f>
        <v/>
      </c>
      <c r="I477" s="66" t="str">
        <f>IF(J477&lt;&gt;"OK","",E477*(1+G477)*H477)</f>
        <v/>
      </c>
      <c r="J477" s="69" t="str">
        <f>IF(AND(A477="",B477=""),"",IF(A477="","Produit manquant",IF(COUNTIF(prod_ref,A477)=0,"Produit inconnu",IF(B477="","Matière manquante",IF(ISNA(MATCH(B477,mat_ref,0)),"Matière inconnue",IF(INDEX(mat_check,MATCH(B477,mat_ref,0))&lt;&gt;"OK","Matière à corriger",IF(OR(NOT(ISNUMBER(E477)),N(E477)&lt;=0),"Quantité invalide",IF(AND(F477&lt;&gt;"",OR(NOT(ISNUMBER(F477)),N(F477)&lt;0,N(F477)&gt;=1)),"Perte entre 0 et 99 %",IF(COUNTIFS(bom_prod,A477,bom_mat,B477)&gt;1,"Matière en double","OK")))))))))</f>
        <v/>
      </c>
      <c r="K477" s="71" t="str">
        <f>IF(AND(fiche_sel&lt;&gt;"",A477=fiche_sel),COUNTIF(A$6:A477,fiche_sel),"")</f>
        <v/>
      </c>
    </row>
    <row r="478">
      <c r="A478" s="60" t="n"/>
      <c r="B478" s="60" t="n"/>
      <c r="C478" s="71" t="str">
        <f>IF(B478="","",IFERROR(INDEX(mat_des,MATCH(B478,mat_ref,0))&amp;"","Matière inconnue"))</f>
        <v/>
      </c>
      <c r="D478" s="69" t="str">
        <f>IF(B478="","",IFERROR(INDEX(mat_unit,MATCH(B478,mat_ref,0))&amp;"",""))</f>
        <v/>
      </c>
      <c r="E478" s="72" t="n"/>
      <c r="F478" s="65" t="n"/>
      <c r="G478" s="68" t="str">
        <f>IF(J478&lt;&gt;"OK","",IF(F478="",N(INDEX(mat_loss,MATCH(B478,mat_ref,0))),F478))</f>
        <v/>
      </c>
      <c r="H478" s="66" t="str">
        <f>IF(J478&lt;&gt;"OK","",INDEX(mat_price,MATCH(B478,mat_ref,0)))</f>
        <v/>
      </c>
      <c r="I478" s="66" t="str">
        <f>IF(J478&lt;&gt;"OK","",E478*(1+G478)*H478)</f>
        <v/>
      </c>
      <c r="J478" s="69" t="str">
        <f>IF(AND(A478="",B478=""),"",IF(A478="","Produit manquant",IF(COUNTIF(prod_ref,A478)=0,"Produit inconnu",IF(B478="","Matière manquante",IF(ISNA(MATCH(B478,mat_ref,0)),"Matière inconnue",IF(INDEX(mat_check,MATCH(B478,mat_ref,0))&lt;&gt;"OK","Matière à corriger",IF(OR(NOT(ISNUMBER(E478)),N(E478)&lt;=0),"Quantité invalide",IF(AND(F478&lt;&gt;"",OR(NOT(ISNUMBER(F478)),N(F478)&lt;0,N(F478)&gt;=1)),"Perte entre 0 et 99 %",IF(COUNTIFS(bom_prod,A478,bom_mat,B478)&gt;1,"Matière en double","OK")))))))))</f>
        <v/>
      </c>
      <c r="K478" s="71" t="str">
        <f>IF(AND(fiche_sel&lt;&gt;"",A478=fiche_sel),COUNTIF(A$6:A478,fiche_sel),"")</f>
        <v/>
      </c>
    </row>
    <row r="479">
      <c r="A479" s="60" t="n"/>
      <c r="B479" s="60" t="n"/>
      <c r="C479" s="71" t="str">
        <f>IF(B479="","",IFERROR(INDEX(mat_des,MATCH(B479,mat_ref,0))&amp;"","Matière inconnue"))</f>
        <v/>
      </c>
      <c r="D479" s="69" t="str">
        <f>IF(B479="","",IFERROR(INDEX(mat_unit,MATCH(B479,mat_ref,0))&amp;"",""))</f>
        <v/>
      </c>
      <c r="E479" s="72" t="n"/>
      <c r="F479" s="65" t="n"/>
      <c r="G479" s="68" t="str">
        <f>IF(J479&lt;&gt;"OK","",IF(F479="",N(INDEX(mat_loss,MATCH(B479,mat_ref,0))),F479))</f>
        <v/>
      </c>
      <c r="H479" s="66" t="str">
        <f>IF(J479&lt;&gt;"OK","",INDEX(mat_price,MATCH(B479,mat_ref,0)))</f>
        <v/>
      </c>
      <c r="I479" s="66" t="str">
        <f>IF(J479&lt;&gt;"OK","",E479*(1+G479)*H479)</f>
        <v/>
      </c>
      <c r="J479" s="69" t="str">
        <f>IF(AND(A479="",B479=""),"",IF(A479="","Produit manquant",IF(COUNTIF(prod_ref,A479)=0,"Produit inconnu",IF(B479="","Matière manquante",IF(ISNA(MATCH(B479,mat_ref,0)),"Matière inconnue",IF(INDEX(mat_check,MATCH(B479,mat_ref,0))&lt;&gt;"OK","Matière à corriger",IF(OR(NOT(ISNUMBER(E479)),N(E479)&lt;=0),"Quantité invalide",IF(AND(F479&lt;&gt;"",OR(NOT(ISNUMBER(F479)),N(F479)&lt;0,N(F479)&gt;=1)),"Perte entre 0 et 99 %",IF(COUNTIFS(bom_prod,A479,bom_mat,B479)&gt;1,"Matière en double","OK")))))))))</f>
        <v/>
      </c>
      <c r="K479" s="71" t="str">
        <f>IF(AND(fiche_sel&lt;&gt;"",A479=fiche_sel),COUNTIF(A$6:A479,fiche_sel),"")</f>
        <v/>
      </c>
    </row>
    <row r="480">
      <c r="A480" s="60" t="n"/>
      <c r="B480" s="60" t="n"/>
      <c r="C480" s="71" t="str">
        <f>IF(B480="","",IFERROR(INDEX(mat_des,MATCH(B480,mat_ref,0))&amp;"","Matière inconnue"))</f>
        <v/>
      </c>
      <c r="D480" s="69" t="str">
        <f>IF(B480="","",IFERROR(INDEX(mat_unit,MATCH(B480,mat_ref,0))&amp;"",""))</f>
        <v/>
      </c>
      <c r="E480" s="72" t="n"/>
      <c r="F480" s="65" t="n"/>
      <c r="G480" s="68" t="str">
        <f>IF(J480&lt;&gt;"OK","",IF(F480="",N(INDEX(mat_loss,MATCH(B480,mat_ref,0))),F480))</f>
        <v/>
      </c>
      <c r="H480" s="66" t="str">
        <f>IF(J480&lt;&gt;"OK","",INDEX(mat_price,MATCH(B480,mat_ref,0)))</f>
        <v/>
      </c>
      <c r="I480" s="66" t="str">
        <f>IF(J480&lt;&gt;"OK","",E480*(1+G480)*H480)</f>
        <v/>
      </c>
      <c r="J480" s="69" t="str">
        <f>IF(AND(A480="",B480=""),"",IF(A480="","Produit manquant",IF(COUNTIF(prod_ref,A480)=0,"Produit inconnu",IF(B480="","Matière manquante",IF(ISNA(MATCH(B480,mat_ref,0)),"Matière inconnue",IF(INDEX(mat_check,MATCH(B480,mat_ref,0))&lt;&gt;"OK","Matière à corriger",IF(OR(NOT(ISNUMBER(E480)),N(E480)&lt;=0),"Quantité invalide",IF(AND(F480&lt;&gt;"",OR(NOT(ISNUMBER(F480)),N(F480)&lt;0,N(F480)&gt;=1)),"Perte entre 0 et 99 %",IF(COUNTIFS(bom_prod,A480,bom_mat,B480)&gt;1,"Matière en double","OK")))))))))</f>
        <v/>
      </c>
      <c r="K480" s="71" t="str">
        <f>IF(AND(fiche_sel&lt;&gt;"",A480=fiche_sel),COUNTIF(A$6:A480,fiche_sel),"")</f>
        <v/>
      </c>
    </row>
    <row r="481">
      <c r="A481" s="60" t="n"/>
      <c r="B481" s="60" t="n"/>
      <c r="C481" s="71" t="str">
        <f>IF(B481="","",IFERROR(INDEX(mat_des,MATCH(B481,mat_ref,0))&amp;"","Matière inconnue"))</f>
        <v/>
      </c>
      <c r="D481" s="69" t="str">
        <f>IF(B481="","",IFERROR(INDEX(mat_unit,MATCH(B481,mat_ref,0))&amp;"",""))</f>
        <v/>
      </c>
      <c r="E481" s="72" t="n"/>
      <c r="F481" s="65" t="n"/>
      <c r="G481" s="68" t="str">
        <f>IF(J481&lt;&gt;"OK","",IF(F481="",N(INDEX(mat_loss,MATCH(B481,mat_ref,0))),F481))</f>
        <v/>
      </c>
      <c r="H481" s="66" t="str">
        <f>IF(J481&lt;&gt;"OK","",INDEX(mat_price,MATCH(B481,mat_ref,0)))</f>
        <v/>
      </c>
      <c r="I481" s="66" t="str">
        <f>IF(J481&lt;&gt;"OK","",E481*(1+G481)*H481)</f>
        <v/>
      </c>
      <c r="J481" s="69" t="str">
        <f>IF(AND(A481="",B481=""),"",IF(A481="","Produit manquant",IF(COUNTIF(prod_ref,A481)=0,"Produit inconnu",IF(B481="","Matière manquante",IF(ISNA(MATCH(B481,mat_ref,0)),"Matière inconnue",IF(INDEX(mat_check,MATCH(B481,mat_ref,0))&lt;&gt;"OK","Matière à corriger",IF(OR(NOT(ISNUMBER(E481)),N(E481)&lt;=0),"Quantité invalide",IF(AND(F481&lt;&gt;"",OR(NOT(ISNUMBER(F481)),N(F481)&lt;0,N(F481)&gt;=1)),"Perte entre 0 et 99 %",IF(COUNTIFS(bom_prod,A481,bom_mat,B481)&gt;1,"Matière en double","OK")))))))))</f>
        <v/>
      </c>
      <c r="K481" s="71" t="str">
        <f>IF(AND(fiche_sel&lt;&gt;"",A481=fiche_sel),COUNTIF(A$6:A481,fiche_sel),"")</f>
        <v/>
      </c>
    </row>
    <row r="482">
      <c r="A482" s="60" t="n"/>
      <c r="B482" s="60" t="n"/>
      <c r="C482" s="71" t="str">
        <f>IF(B482="","",IFERROR(INDEX(mat_des,MATCH(B482,mat_ref,0))&amp;"","Matière inconnue"))</f>
        <v/>
      </c>
      <c r="D482" s="69" t="str">
        <f>IF(B482="","",IFERROR(INDEX(mat_unit,MATCH(B482,mat_ref,0))&amp;"",""))</f>
        <v/>
      </c>
      <c r="E482" s="72" t="n"/>
      <c r="F482" s="65" t="n"/>
      <c r="G482" s="68" t="str">
        <f>IF(J482&lt;&gt;"OK","",IF(F482="",N(INDEX(mat_loss,MATCH(B482,mat_ref,0))),F482))</f>
        <v/>
      </c>
      <c r="H482" s="66" t="str">
        <f>IF(J482&lt;&gt;"OK","",INDEX(mat_price,MATCH(B482,mat_ref,0)))</f>
        <v/>
      </c>
      <c r="I482" s="66" t="str">
        <f>IF(J482&lt;&gt;"OK","",E482*(1+G482)*H482)</f>
        <v/>
      </c>
      <c r="J482" s="69" t="str">
        <f>IF(AND(A482="",B482=""),"",IF(A482="","Produit manquant",IF(COUNTIF(prod_ref,A482)=0,"Produit inconnu",IF(B482="","Matière manquante",IF(ISNA(MATCH(B482,mat_ref,0)),"Matière inconnue",IF(INDEX(mat_check,MATCH(B482,mat_ref,0))&lt;&gt;"OK","Matière à corriger",IF(OR(NOT(ISNUMBER(E482)),N(E482)&lt;=0),"Quantité invalide",IF(AND(F482&lt;&gt;"",OR(NOT(ISNUMBER(F482)),N(F482)&lt;0,N(F482)&gt;=1)),"Perte entre 0 et 99 %",IF(COUNTIFS(bom_prod,A482,bom_mat,B482)&gt;1,"Matière en double","OK")))))))))</f>
        <v/>
      </c>
      <c r="K482" s="71" t="str">
        <f>IF(AND(fiche_sel&lt;&gt;"",A482=fiche_sel),COUNTIF(A$6:A482,fiche_sel),"")</f>
        <v/>
      </c>
    </row>
    <row r="483">
      <c r="A483" s="60" t="n"/>
      <c r="B483" s="60" t="n"/>
      <c r="C483" s="71" t="str">
        <f>IF(B483="","",IFERROR(INDEX(mat_des,MATCH(B483,mat_ref,0))&amp;"","Matière inconnue"))</f>
        <v/>
      </c>
      <c r="D483" s="69" t="str">
        <f>IF(B483="","",IFERROR(INDEX(mat_unit,MATCH(B483,mat_ref,0))&amp;"",""))</f>
        <v/>
      </c>
      <c r="E483" s="72" t="n"/>
      <c r="F483" s="65" t="n"/>
      <c r="G483" s="68" t="str">
        <f>IF(J483&lt;&gt;"OK","",IF(F483="",N(INDEX(mat_loss,MATCH(B483,mat_ref,0))),F483))</f>
        <v/>
      </c>
      <c r="H483" s="66" t="str">
        <f>IF(J483&lt;&gt;"OK","",INDEX(mat_price,MATCH(B483,mat_ref,0)))</f>
        <v/>
      </c>
      <c r="I483" s="66" t="str">
        <f>IF(J483&lt;&gt;"OK","",E483*(1+G483)*H483)</f>
        <v/>
      </c>
      <c r="J483" s="69" t="str">
        <f>IF(AND(A483="",B483=""),"",IF(A483="","Produit manquant",IF(COUNTIF(prod_ref,A483)=0,"Produit inconnu",IF(B483="","Matière manquante",IF(ISNA(MATCH(B483,mat_ref,0)),"Matière inconnue",IF(INDEX(mat_check,MATCH(B483,mat_ref,0))&lt;&gt;"OK","Matière à corriger",IF(OR(NOT(ISNUMBER(E483)),N(E483)&lt;=0),"Quantité invalide",IF(AND(F483&lt;&gt;"",OR(NOT(ISNUMBER(F483)),N(F483)&lt;0,N(F483)&gt;=1)),"Perte entre 0 et 99 %",IF(COUNTIFS(bom_prod,A483,bom_mat,B483)&gt;1,"Matière en double","OK")))))))))</f>
        <v/>
      </c>
      <c r="K483" s="71" t="str">
        <f>IF(AND(fiche_sel&lt;&gt;"",A483=fiche_sel),COUNTIF(A$6:A483,fiche_sel),"")</f>
        <v/>
      </c>
    </row>
    <row r="484">
      <c r="A484" s="60" t="n"/>
      <c r="B484" s="60" t="n"/>
      <c r="C484" s="71" t="str">
        <f>IF(B484="","",IFERROR(INDEX(mat_des,MATCH(B484,mat_ref,0))&amp;"","Matière inconnue"))</f>
        <v/>
      </c>
      <c r="D484" s="69" t="str">
        <f>IF(B484="","",IFERROR(INDEX(mat_unit,MATCH(B484,mat_ref,0))&amp;"",""))</f>
        <v/>
      </c>
      <c r="E484" s="72" t="n"/>
      <c r="F484" s="65" t="n"/>
      <c r="G484" s="68" t="str">
        <f>IF(J484&lt;&gt;"OK","",IF(F484="",N(INDEX(mat_loss,MATCH(B484,mat_ref,0))),F484))</f>
        <v/>
      </c>
      <c r="H484" s="66" t="str">
        <f>IF(J484&lt;&gt;"OK","",INDEX(mat_price,MATCH(B484,mat_ref,0)))</f>
        <v/>
      </c>
      <c r="I484" s="66" t="str">
        <f>IF(J484&lt;&gt;"OK","",E484*(1+G484)*H484)</f>
        <v/>
      </c>
      <c r="J484" s="69" t="str">
        <f>IF(AND(A484="",B484=""),"",IF(A484="","Produit manquant",IF(COUNTIF(prod_ref,A484)=0,"Produit inconnu",IF(B484="","Matière manquante",IF(ISNA(MATCH(B484,mat_ref,0)),"Matière inconnue",IF(INDEX(mat_check,MATCH(B484,mat_ref,0))&lt;&gt;"OK","Matière à corriger",IF(OR(NOT(ISNUMBER(E484)),N(E484)&lt;=0),"Quantité invalide",IF(AND(F484&lt;&gt;"",OR(NOT(ISNUMBER(F484)),N(F484)&lt;0,N(F484)&gt;=1)),"Perte entre 0 et 99 %",IF(COUNTIFS(bom_prod,A484,bom_mat,B484)&gt;1,"Matière en double","OK")))))))))</f>
        <v/>
      </c>
      <c r="K484" s="71" t="str">
        <f>IF(AND(fiche_sel&lt;&gt;"",A484=fiche_sel),COUNTIF(A$6:A484,fiche_sel),"")</f>
        <v/>
      </c>
    </row>
    <row r="485">
      <c r="A485" s="60" t="n"/>
      <c r="B485" s="60" t="n"/>
      <c r="C485" s="71" t="str">
        <f>IF(B485="","",IFERROR(INDEX(mat_des,MATCH(B485,mat_ref,0))&amp;"","Matière inconnue"))</f>
        <v/>
      </c>
      <c r="D485" s="69" t="str">
        <f>IF(B485="","",IFERROR(INDEX(mat_unit,MATCH(B485,mat_ref,0))&amp;"",""))</f>
        <v/>
      </c>
      <c r="E485" s="72" t="n"/>
      <c r="F485" s="65" t="n"/>
      <c r="G485" s="68" t="str">
        <f>IF(J485&lt;&gt;"OK","",IF(F485="",N(INDEX(mat_loss,MATCH(B485,mat_ref,0))),F485))</f>
        <v/>
      </c>
      <c r="H485" s="66" t="str">
        <f>IF(J485&lt;&gt;"OK","",INDEX(mat_price,MATCH(B485,mat_ref,0)))</f>
        <v/>
      </c>
      <c r="I485" s="66" t="str">
        <f>IF(J485&lt;&gt;"OK","",E485*(1+G485)*H485)</f>
        <v/>
      </c>
      <c r="J485" s="69" t="str">
        <f>IF(AND(A485="",B485=""),"",IF(A485="","Produit manquant",IF(COUNTIF(prod_ref,A485)=0,"Produit inconnu",IF(B485="","Matière manquante",IF(ISNA(MATCH(B485,mat_ref,0)),"Matière inconnue",IF(INDEX(mat_check,MATCH(B485,mat_ref,0))&lt;&gt;"OK","Matière à corriger",IF(OR(NOT(ISNUMBER(E485)),N(E485)&lt;=0),"Quantité invalide",IF(AND(F485&lt;&gt;"",OR(NOT(ISNUMBER(F485)),N(F485)&lt;0,N(F485)&gt;=1)),"Perte entre 0 et 99 %",IF(COUNTIFS(bom_prod,A485,bom_mat,B485)&gt;1,"Matière en double","OK")))))))))</f>
        <v/>
      </c>
      <c r="K485" s="71" t="str">
        <f>IF(AND(fiche_sel&lt;&gt;"",A485=fiche_sel),COUNTIF(A$6:A485,fiche_sel),"")</f>
        <v/>
      </c>
    </row>
    <row r="486">
      <c r="A486" s="60" t="n"/>
      <c r="B486" s="60" t="n"/>
      <c r="C486" s="71" t="str">
        <f>IF(B486="","",IFERROR(INDEX(mat_des,MATCH(B486,mat_ref,0))&amp;"","Matière inconnue"))</f>
        <v/>
      </c>
      <c r="D486" s="69" t="str">
        <f>IF(B486="","",IFERROR(INDEX(mat_unit,MATCH(B486,mat_ref,0))&amp;"",""))</f>
        <v/>
      </c>
      <c r="E486" s="72" t="n"/>
      <c r="F486" s="65" t="n"/>
      <c r="G486" s="68" t="str">
        <f>IF(J486&lt;&gt;"OK","",IF(F486="",N(INDEX(mat_loss,MATCH(B486,mat_ref,0))),F486))</f>
        <v/>
      </c>
      <c r="H486" s="66" t="str">
        <f>IF(J486&lt;&gt;"OK","",INDEX(mat_price,MATCH(B486,mat_ref,0)))</f>
        <v/>
      </c>
      <c r="I486" s="66" t="str">
        <f>IF(J486&lt;&gt;"OK","",E486*(1+G486)*H486)</f>
        <v/>
      </c>
      <c r="J486" s="69" t="str">
        <f>IF(AND(A486="",B486=""),"",IF(A486="","Produit manquant",IF(COUNTIF(prod_ref,A486)=0,"Produit inconnu",IF(B486="","Matière manquante",IF(ISNA(MATCH(B486,mat_ref,0)),"Matière inconnue",IF(INDEX(mat_check,MATCH(B486,mat_ref,0))&lt;&gt;"OK","Matière à corriger",IF(OR(NOT(ISNUMBER(E486)),N(E486)&lt;=0),"Quantité invalide",IF(AND(F486&lt;&gt;"",OR(NOT(ISNUMBER(F486)),N(F486)&lt;0,N(F486)&gt;=1)),"Perte entre 0 et 99 %",IF(COUNTIFS(bom_prod,A486,bom_mat,B486)&gt;1,"Matière en double","OK")))))))))</f>
        <v/>
      </c>
      <c r="K486" s="71" t="str">
        <f>IF(AND(fiche_sel&lt;&gt;"",A486=fiche_sel),COUNTIF(A$6:A486,fiche_sel),"")</f>
        <v/>
      </c>
    </row>
    <row r="487">
      <c r="A487" s="60" t="n"/>
      <c r="B487" s="60" t="n"/>
      <c r="C487" s="71" t="str">
        <f>IF(B487="","",IFERROR(INDEX(mat_des,MATCH(B487,mat_ref,0))&amp;"","Matière inconnue"))</f>
        <v/>
      </c>
      <c r="D487" s="69" t="str">
        <f>IF(B487="","",IFERROR(INDEX(mat_unit,MATCH(B487,mat_ref,0))&amp;"",""))</f>
        <v/>
      </c>
      <c r="E487" s="72" t="n"/>
      <c r="F487" s="65" t="n"/>
      <c r="G487" s="68" t="str">
        <f>IF(J487&lt;&gt;"OK","",IF(F487="",N(INDEX(mat_loss,MATCH(B487,mat_ref,0))),F487))</f>
        <v/>
      </c>
      <c r="H487" s="66" t="str">
        <f>IF(J487&lt;&gt;"OK","",INDEX(mat_price,MATCH(B487,mat_ref,0)))</f>
        <v/>
      </c>
      <c r="I487" s="66" t="str">
        <f>IF(J487&lt;&gt;"OK","",E487*(1+G487)*H487)</f>
        <v/>
      </c>
      <c r="J487" s="69" t="str">
        <f>IF(AND(A487="",B487=""),"",IF(A487="","Produit manquant",IF(COUNTIF(prod_ref,A487)=0,"Produit inconnu",IF(B487="","Matière manquante",IF(ISNA(MATCH(B487,mat_ref,0)),"Matière inconnue",IF(INDEX(mat_check,MATCH(B487,mat_ref,0))&lt;&gt;"OK","Matière à corriger",IF(OR(NOT(ISNUMBER(E487)),N(E487)&lt;=0),"Quantité invalide",IF(AND(F487&lt;&gt;"",OR(NOT(ISNUMBER(F487)),N(F487)&lt;0,N(F487)&gt;=1)),"Perte entre 0 et 99 %",IF(COUNTIFS(bom_prod,A487,bom_mat,B487)&gt;1,"Matière en double","OK")))))))))</f>
        <v/>
      </c>
      <c r="K487" s="71" t="str">
        <f>IF(AND(fiche_sel&lt;&gt;"",A487=fiche_sel),COUNTIF(A$6:A487,fiche_sel),"")</f>
        <v/>
      </c>
    </row>
    <row r="488">
      <c r="A488" s="60" t="n"/>
      <c r="B488" s="60" t="n"/>
      <c r="C488" s="71" t="str">
        <f>IF(B488="","",IFERROR(INDEX(mat_des,MATCH(B488,mat_ref,0))&amp;"","Matière inconnue"))</f>
        <v/>
      </c>
      <c r="D488" s="69" t="str">
        <f>IF(B488="","",IFERROR(INDEX(mat_unit,MATCH(B488,mat_ref,0))&amp;"",""))</f>
        <v/>
      </c>
      <c r="E488" s="72" t="n"/>
      <c r="F488" s="65" t="n"/>
      <c r="G488" s="68" t="str">
        <f>IF(J488&lt;&gt;"OK","",IF(F488="",N(INDEX(mat_loss,MATCH(B488,mat_ref,0))),F488))</f>
        <v/>
      </c>
      <c r="H488" s="66" t="str">
        <f>IF(J488&lt;&gt;"OK","",INDEX(mat_price,MATCH(B488,mat_ref,0)))</f>
        <v/>
      </c>
      <c r="I488" s="66" t="str">
        <f>IF(J488&lt;&gt;"OK","",E488*(1+G488)*H488)</f>
        <v/>
      </c>
      <c r="J488" s="69" t="str">
        <f>IF(AND(A488="",B488=""),"",IF(A488="","Produit manquant",IF(COUNTIF(prod_ref,A488)=0,"Produit inconnu",IF(B488="","Matière manquante",IF(ISNA(MATCH(B488,mat_ref,0)),"Matière inconnue",IF(INDEX(mat_check,MATCH(B488,mat_ref,0))&lt;&gt;"OK","Matière à corriger",IF(OR(NOT(ISNUMBER(E488)),N(E488)&lt;=0),"Quantité invalide",IF(AND(F488&lt;&gt;"",OR(NOT(ISNUMBER(F488)),N(F488)&lt;0,N(F488)&gt;=1)),"Perte entre 0 et 99 %",IF(COUNTIFS(bom_prod,A488,bom_mat,B488)&gt;1,"Matière en double","OK")))))))))</f>
        <v/>
      </c>
      <c r="K488" s="71" t="str">
        <f>IF(AND(fiche_sel&lt;&gt;"",A488=fiche_sel),COUNTIF(A$6:A488,fiche_sel),"")</f>
        <v/>
      </c>
    </row>
    <row r="489">
      <c r="A489" s="60" t="n"/>
      <c r="B489" s="60" t="n"/>
      <c r="C489" s="71" t="str">
        <f>IF(B489="","",IFERROR(INDEX(mat_des,MATCH(B489,mat_ref,0))&amp;"","Matière inconnue"))</f>
        <v/>
      </c>
      <c r="D489" s="69" t="str">
        <f>IF(B489="","",IFERROR(INDEX(mat_unit,MATCH(B489,mat_ref,0))&amp;"",""))</f>
        <v/>
      </c>
      <c r="E489" s="72" t="n"/>
      <c r="F489" s="65" t="n"/>
      <c r="G489" s="68" t="str">
        <f>IF(J489&lt;&gt;"OK","",IF(F489="",N(INDEX(mat_loss,MATCH(B489,mat_ref,0))),F489))</f>
        <v/>
      </c>
      <c r="H489" s="66" t="str">
        <f>IF(J489&lt;&gt;"OK","",INDEX(mat_price,MATCH(B489,mat_ref,0)))</f>
        <v/>
      </c>
      <c r="I489" s="66" t="str">
        <f>IF(J489&lt;&gt;"OK","",E489*(1+G489)*H489)</f>
        <v/>
      </c>
      <c r="J489" s="69" t="str">
        <f>IF(AND(A489="",B489=""),"",IF(A489="","Produit manquant",IF(COUNTIF(prod_ref,A489)=0,"Produit inconnu",IF(B489="","Matière manquante",IF(ISNA(MATCH(B489,mat_ref,0)),"Matière inconnue",IF(INDEX(mat_check,MATCH(B489,mat_ref,0))&lt;&gt;"OK","Matière à corriger",IF(OR(NOT(ISNUMBER(E489)),N(E489)&lt;=0),"Quantité invalide",IF(AND(F489&lt;&gt;"",OR(NOT(ISNUMBER(F489)),N(F489)&lt;0,N(F489)&gt;=1)),"Perte entre 0 et 99 %",IF(COUNTIFS(bom_prod,A489,bom_mat,B489)&gt;1,"Matière en double","OK")))))))))</f>
        <v/>
      </c>
      <c r="K489" s="71" t="str">
        <f>IF(AND(fiche_sel&lt;&gt;"",A489=fiche_sel),COUNTIF(A$6:A489,fiche_sel),"")</f>
        <v/>
      </c>
    </row>
    <row r="490">
      <c r="A490" s="60" t="n"/>
      <c r="B490" s="60" t="n"/>
      <c r="C490" s="71" t="str">
        <f>IF(B490="","",IFERROR(INDEX(mat_des,MATCH(B490,mat_ref,0))&amp;"","Matière inconnue"))</f>
        <v/>
      </c>
      <c r="D490" s="69" t="str">
        <f>IF(B490="","",IFERROR(INDEX(mat_unit,MATCH(B490,mat_ref,0))&amp;"",""))</f>
        <v/>
      </c>
      <c r="E490" s="72" t="n"/>
      <c r="F490" s="65" t="n"/>
      <c r="G490" s="68" t="str">
        <f>IF(J490&lt;&gt;"OK","",IF(F490="",N(INDEX(mat_loss,MATCH(B490,mat_ref,0))),F490))</f>
        <v/>
      </c>
      <c r="H490" s="66" t="str">
        <f>IF(J490&lt;&gt;"OK","",INDEX(mat_price,MATCH(B490,mat_ref,0)))</f>
        <v/>
      </c>
      <c r="I490" s="66" t="str">
        <f>IF(J490&lt;&gt;"OK","",E490*(1+G490)*H490)</f>
        <v/>
      </c>
      <c r="J490" s="69" t="str">
        <f>IF(AND(A490="",B490=""),"",IF(A490="","Produit manquant",IF(COUNTIF(prod_ref,A490)=0,"Produit inconnu",IF(B490="","Matière manquante",IF(ISNA(MATCH(B490,mat_ref,0)),"Matière inconnue",IF(INDEX(mat_check,MATCH(B490,mat_ref,0))&lt;&gt;"OK","Matière à corriger",IF(OR(NOT(ISNUMBER(E490)),N(E490)&lt;=0),"Quantité invalide",IF(AND(F490&lt;&gt;"",OR(NOT(ISNUMBER(F490)),N(F490)&lt;0,N(F490)&gt;=1)),"Perte entre 0 et 99 %",IF(COUNTIFS(bom_prod,A490,bom_mat,B490)&gt;1,"Matière en double","OK")))))))))</f>
        <v/>
      </c>
      <c r="K490" s="71" t="str">
        <f>IF(AND(fiche_sel&lt;&gt;"",A490=fiche_sel),COUNTIF(A$6:A490,fiche_sel),"")</f>
        <v/>
      </c>
    </row>
    <row r="491">
      <c r="A491" s="60" t="n"/>
      <c r="B491" s="60" t="n"/>
      <c r="C491" s="71" t="str">
        <f>IF(B491="","",IFERROR(INDEX(mat_des,MATCH(B491,mat_ref,0))&amp;"","Matière inconnue"))</f>
        <v/>
      </c>
      <c r="D491" s="69" t="str">
        <f>IF(B491="","",IFERROR(INDEX(mat_unit,MATCH(B491,mat_ref,0))&amp;"",""))</f>
        <v/>
      </c>
      <c r="E491" s="72" t="n"/>
      <c r="F491" s="65" t="n"/>
      <c r="G491" s="68" t="str">
        <f>IF(J491&lt;&gt;"OK","",IF(F491="",N(INDEX(mat_loss,MATCH(B491,mat_ref,0))),F491))</f>
        <v/>
      </c>
      <c r="H491" s="66" t="str">
        <f>IF(J491&lt;&gt;"OK","",INDEX(mat_price,MATCH(B491,mat_ref,0)))</f>
        <v/>
      </c>
      <c r="I491" s="66" t="str">
        <f>IF(J491&lt;&gt;"OK","",E491*(1+G491)*H491)</f>
        <v/>
      </c>
      <c r="J491" s="69" t="str">
        <f>IF(AND(A491="",B491=""),"",IF(A491="","Produit manquant",IF(COUNTIF(prod_ref,A491)=0,"Produit inconnu",IF(B491="","Matière manquante",IF(ISNA(MATCH(B491,mat_ref,0)),"Matière inconnue",IF(INDEX(mat_check,MATCH(B491,mat_ref,0))&lt;&gt;"OK","Matière à corriger",IF(OR(NOT(ISNUMBER(E491)),N(E491)&lt;=0),"Quantité invalide",IF(AND(F491&lt;&gt;"",OR(NOT(ISNUMBER(F491)),N(F491)&lt;0,N(F491)&gt;=1)),"Perte entre 0 et 99 %",IF(COUNTIFS(bom_prod,A491,bom_mat,B491)&gt;1,"Matière en double","OK")))))))))</f>
        <v/>
      </c>
      <c r="K491" s="71" t="str">
        <f>IF(AND(fiche_sel&lt;&gt;"",A491=fiche_sel),COUNTIF(A$6:A491,fiche_sel),"")</f>
        <v/>
      </c>
    </row>
    <row r="492">
      <c r="A492" s="60" t="n"/>
      <c r="B492" s="60" t="n"/>
      <c r="C492" s="71" t="str">
        <f>IF(B492="","",IFERROR(INDEX(mat_des,MATCH(B492,mat_ref,0))&amp;"","Matière inconnue"))</f>
        <v/>
      </c>
      <c r="D492" s="69" t="str">
        <f>IF(B492="","",IFERROR(INDEX(mat_unit,MATCH(B492,mat_ref,0))&amp;"",""))</f>
        <v/>
      </c>
      <c r="E492" s="72" t="n"/>
      <c r="F492" s="65" t="n"/>
      <c r="G492" s="68" t="str">
        <f>IF(J492&lt;&gt;"OK","",IF(F492="",N(INDEX(mat_loss,MATCH(B492,mat_ref,0))),F492))</f>
        <v/>
      </c>
      <c r="H492" s="66" t="str">
        <f>IF(J492&lt;&gt;"OK","",INDEX(mat_price,MATCH(B492,mat_ref,0)))</f>
        <v/>
      </c>
      <c r="I492" s="66" t="str">
        <f>IF(J492&lt;&gt;"OK","",E492*(1+G492)*H492)</f>
        <v/>
      </c>
      <c r="J492" s="69" t="str">
        <f>IF(AND(A492="",B492=""),"",IF(A492="","Produit manquant",IF(COUNTIF(prod_ref,A492)=0,"Produit inconnu",IF(B492="","Matière manquante",IF(ISNA(MATCH(B492,mat_ref,0)),"Matière inconnue",IF(INDEX(mat_check,MATCH(B492,mat_ref,0))&lt;&gt;"OK","Matière à corriger",IF(OR(NOT(ISNUMBER(E492)),N(E492)&lt;=0),"Quantité invalide",IF(AND(F492&lt;&gt;"",OR(NOT(ISNUMBER(F492)),N(F492)&lt;0,N(F492)&gt;=1)),"Perte entre 0 et 99 %",IF(COUNTIFS(bom_prod,A492,bom_mat,B492)&gt;1,"Matière en double","OK")))))))))</f>
        <v/>
      </c>
      <c r="K492" s="71" t="str">
        <f>IF(AND(fiche_sel&lt;&gt;"",A492=fiche_sel),COUNTIF(A$6:A492,fiche_sel),"")</f>
        <v/>
      </c>
    </row>
    <row r="493">
      <c r="A493" s="60" t="n"/>
      <c r="B493" s="60" t="n"/>
      <c r="C493" s="71" t="str">
        <f>IF(B493="","",IFERROR(INDEX(mat_des,MATCH(B493,mat_ref,0))&amp;"","Matière inconnue"))</f>
        <v/>
      </c>
      <c r="D493" s="69" t="str">
        <f>IF(B493="","",IFERROR(INDEX(mat_unit,MATCH(B493,mat_ref,0))&amp;"",""))</f>
        <v/>
      </c>
      <c r="E493" s="72" t="n"/>
      <c r="F493" s="65" t="n"/>
      <c r="G493" s="68" t="str">
        <f>IF(J493&lt;&gt;"OK","",IF(F493="",N(INDEX(mat_loss,MATCH(B493,mat_ref,0))),F493))</f>
        <v/>
      </c>
      <c r="H493" s="66" t="str">
        <f>IF(J493&lt;&gt;"OK","",INDEX(mat_price,MATCH(B493,mat_ref,0)))</f>
        <v/>
      </c>
      <c r="I493" s="66" t="str">
        <f>IF(J493&lt;&gt;"OK","",E493*(1+G493)*H493)</f>
        <v/>
      </c>
      <c r="J493" s="69" t="str">
        <f>IF(AND(A493="",B493=""),"",IF(A493="","Produit manquant",IF(COUNTIF(prod_ref,A493)=0,"Produit inconnu",IF(B493="","Matière manquante",IF(ISNA(MATCH(B493,mat_ref,0)),"Matière inconnue",IF(INDEX(mat_check,MATCH(B493,mat_ref,0))&lt;&gt;"OK","Matière à corriger",IF(OR(NOT(ISNUMBER(E493)),N(E493)&lt;=0),"Quantité invalide",IF(AND(F493&lt;&gt;"",OR(NOT(ISNUMBER(F493)),N(F493)&lt;0,N(F493)&gt;=1)),"Perte entre 0 et 99 %",IF(COUNTIFS(bom_prod,A493,bom_mat,B493)&gt;1,"Matière en double","OK")))))))))</f>
        <v/>
      </c>
      <c r="K493" s="71" t="str">
        <f>IF(AND(fiche_sel&lt;&gt;"",A493=fiche_sel),COUNTIF(A$6:A493,fiche_sel),"")</f>
        <v/>
      </c>
    </row>
    <row r="494">
      <c r="A494" s="60" t="n"/>
      <c r="B494" s="60" t="n"/>
      <c r="C494" s="71" t="str">
        <f>IF(B494="","",IFERROR(INDEX(mat_des,MATCH(B494,mat_ref,0))&amp;"","Matière inconnue"))</f>
        <v/>
      </c>
      <c r="D494" s="69" t="str">
        <f>IF(B494="","",IFERROR(INDEX(mat_unit,MATCH(B494,mat_ref,0))&amp;"",""))</f>
        <v/>
      </c>
      <c r="E494" s="72" t="n"/>
      <c r="F494" s="65" t="n"/>
      <c r="G494" s="68" t="str">
        <f>IF(J494&lt;&gt;"OK","",IF(F494="",N(INDEX(mat_loss,MATCH(B494,mat_ref,0))),F494))</f>
        <v/>
      </c>
      <c r="H494" s="66" t="str">
        <f>IF(J494&lt;&gt;"OK","",INDEX(mat_price,MATCH(B494,mat_ref,0)))</f>
        <v/>
      </c>
      <c r="I494" s="66" t="str">
        <f>IF(J494&lt;&gt;"OK","",E494*(1+G494)*H494)</f>
        <v/>
      </c>
      <c r="J494" s="69" t="str">
        <f>IF(AND(A494="",B494=""),"",IF(A494="","Produit manquant",IF(COUNTIF(prod_ref,A494)=0,"Produit inconnu",IF(B494="","Matière manquante",IF(ISNA(MATCH(B494,mat_ref,0)),"Matière inconnue",IF(INDEX(mat_check,MATCH(B494,mat_ref,0))&lt;&gt;"OK","Matière à corriger",IF(OR(NOT(ISNUMBER(E494)),N(E494)&lt;=0),"Quantité invalide",IF(AND(F494&lt;&gt;"",OR(NOT(ISNUMBER(F494)),N(F494)&lt;0,N(F494)&gt;=1)),"Perte entre 0 et 99 %",IF(COUNTIFS(bom_prod,A494,bom_mat,B494)&gt;1,"Matière en double","OK")))))))))</f>
        <v/>
      </c>
      <c r="K494" s="71" t="str">
        <f>IF(AND(fiche_sel&lt;&gt;"",A494=fiche_sel),COUNTIF(A$6:A494,fiche_sel),"")</f>
        <v/>
      </c>
    </row>
    <row r="495">
      <c r="A495" s="60" t="n"/>
      <c r="B495" s="60" t="n"/>
      <c r="C495" s="71" t="str">
        <f>IF(B495="","",IFERROR(INDEX(mat_des,MATCH(B495,mat_ref,0))&amp;"","Matière inconnue"))</f>
        <v/>
      </c>
      <c r="D495" s="69" t="str">
        <f>IF(B495="","",IFERROR(INDEX(mat_unit,MATCH(B495,mat_ref,0))&amp;"",""))</f>
        <v/>
      </c>
      <c r="E495" s="72" t="n"/>
      <c r="F495" s="65" t="n"/>
      <c r="G495" s="68" t="str">
        <f>IF(J495&lt;&gt;"OK","",IF(F495="",N(INDEX(mat_loss,MATCH(B495,mat_ref,0))),F495))</f>
        <v/>
      </c>
      <c r="H495" s="66" t="str">
        <f>IF(J495&lt;&gt;"OK","",INDEX(mat_price,MATCH(B495,mat_ref,0)))</f>
        <v/>
      </c>
      <c r="I495" s="66" t="str">
        <f>IF(J495&lt;&gt;"OK","",E495*(1+G495)*H495)</f>
        <v/>
      </c>
      <c r="J495" s="69" t="str">
        <f>IF(AND(A495="",B495=""),"",IF(A495="","Produit manquant",IF(COUNTIF(prod_ref,A495)=0,"Produit inconnu",IF(B495="","Matière manquante",IF(ISNA(MATCH(B495,mat_ref,0)),"Matière inconnue",IF(INDEX(mat_check,MATCH(B495,mat_ref,0))&lt;&gt;"OK","Matière à corriger",IF(OR(NOT(ISNUMBER(E495)),N(E495)&lt;=0),"Quantité invalide",IF(AND(F495&lt;&gt;"",OR(NOT(ISNUMBER(F495)),N(F495)&lt;0,N(F495)&gt;=1)),"Perte entre 0 et 99 %",IF(COUNTIFS(bom_prod,A495,bom_mat,B495)&gt;1,"Matière en double","OK")))))))))</f>
        <v/>
      </c>
      <c r="K495" s="71" t="str">
        <f>IF(AND(fiche_sel&lt;&gt;"",A495=fiche_sel),COUNTIF(A$6:A495,fiche_sel),"")</f>
        <v/>
      </c>
    </row>
    <row r="496">
      <c r="A496" s="60" t="n"/>
      <c r="B496" s="60" t="n"/>
      <c r="C496" s="71" t="str">
        <f>IF(B496="","",IFERROR(INDEX(mat_des,MATCH(B496,mat_ref,0))&amp;"","Matière inconnue"))</f>
        <v/>
      </c>
      <c r="D496" s="69" t="str">
        <f>IF(B496="","",IFERROR(INDEX(mat_unit,MATCH(B496,mat_ref,0))&amp;"",""))</f>
        <v/>
      </c>
      <c r="E496" s="72" t="n"/>
      <c r="F496" s="65" t="n"/>
      <c r="G496" s="68" t="str">
        <f>IF(J496&lt;&gt;"OK","",IF(F496="",N(INDEX(mat_loss,MATCH(B496,mat_ref,0))),F496))</f>
        <v/>
      </c>
      <c r="H496" s="66" t="str">
        <f>IF(J496&lt;&gt;"OK","",INDEX(mat_price,MATCH(B496,mat_ref,0)))</f>
        <v/>
      </c>
      <c r="I496" s="66" t="str">
        <f>IF(J496&lt;&gt;"OK","",E496*(1+G496)*H496)</f>
        <v/>
      </c>
      <c r="J496" s="69" t="str">
        <f>IF(AND(A496="",B496=""),"",IF(A496="","Produit manquant",IF(COUNTIF(prod_ref,A496)=0,"Produit inconnu",IF(B496="","Matière manquante",IF(ISNA(MATCH(B496,mat_ref,0)),"Matière inconnue",IF(INDEX(mat_check,MATCH(B496,mat_ref,0))&lt;&gt;"OK","Matière à corriger",IF(OR(NOT(ISNUMBER(E496)),N(E496)&lt;=0),"Quantité invalide",IF(AND(F496&lt;&gt;"",OR(NOT(ISNUMBER(F496)),N(F496)&lt;0,N(F496)&gt;=1)),"Perte entre 0 et 99 %",IF(COUNTIFS(bom_prod,A496,bom_mat,B496)&gt;1,"Matière en double","OK")))))))))</f>
        <v/>
      </c>
      <c r="K496" s="71" t="str">
        <f>IF(AND(fiche_sel&lt;&gt;"",A496=fiche_sel),COUNTIF(A$6:A496,fiche_sel),"")</f>
        <v/>
      </c>
    </row>
    <row r="497">
      <c r="A497" s="60" t="n"/>
      <c r="B497" s="60" t="n"/>
      <c r="C497" s="71" t="str">
        <f>IF(B497="","",IFERROR(INDEX(mat_des,MATCH(B497,mat_ref,0))&amp;"","Matière inconnue"))</f>
        <v/>
      </c>
      <c r="D497" s="69" t="str">
        <f>IF(B497="","",IFERROR(INDEX(mat_unit,MATCH(B497,mat_ref,0))&amp;"",""))</f>
        <v/>
      </c>
      <c r="E497" s="72" t="n"/>
      <c r="F497" s="65" t="n"/>
      <c r="G497" s="68" t="str">
        <f>IF(J497&lt;&gt;"OK","",IF(F497="",N(INDEX(mat_loss,MATCH(B497,mat_ref,0))),F497))</f>
        <v/>
      </c>
      <c r="H497" s="66" t="str">
        <f>IF(J497&lt;&gt;"OK","",INDEX(mat_price,MATCH(B497,mat_ref,0)))</f>
        <v/>
      </c>
      <c r="I497" s="66" t="str">
        <f>IF(J497&lt;&gt;"OK","",E497*(1+G497)*H497)</f>
        <v/>
      </c>
      <c r="J497" s="69" t="str">
        <f>IF(AND(A497="",B497=""),"",IF(A497="","Produit manquant",IF(COUNTIF(prod_ref,A497)=0,"Produit inconnu",IF(B497="","Matière manquante",IF(ISNA(MATCH(B497,mat_ref,0)),"Matière inconnue",IF(INDEX(mat_check,MATCH(B497,mat_ref,0))&lt;&gt;"OK","Matière à corriger",IF(OR(NOT(ISNUMBER(E497)),N(E497)&lt;=0),"Quantité invalide",IF(AND(F497&lt;&gt;"",OR(NOT(ISNUMBER(F497)),N(F497)&lt;0,N(F497)&gt;=1)),"Perte entre 0 et 99 %",IF(COUNTIFS(bom_prod,A497,bom_mat,B497)&gt;1,"Matière en double","OK")))))))))</f>
        <v/>
      </c>
      <c r="K497" s="71" t="str">
        <f>IF(AND(fiche_sel&lt;&gt;"",A497=fiche_sel),COUNTIF(A$6:A497,fiche_sel),"")</f>
        <v/>
      </c>
    </row>
    <row r="498">
      <c r="A498" s="60" t="n"/>
      <c r="B498" s="60" t="n"/>
      <c r="C498" s="71" t="str">
        <f>IF(B498="","",IFERROR(INDEX(mat_des,MATCH(B498,mat_ref,0))&amp;"","Matière inconnue"))</f>
        <v/>
      </c>
      <c r="D498" s="69" t="str">
        <f>IF(B498="","",IFERROR(INDEX(mat_unit,MATCH(B498,mat_ref,0))&amp;"",""))</f>
        <v/>
      </c>
      <c r="E498" s="72" t="n"/>
      <c r="F498" s="65" t="n"/>
      <c r="G498" s="68" t="str">
        <f>IF(J498&lt;&gt;"OK","",IF(F498="",N(INDEX(mat_loss,MATCH(B498,mat_ref,0))),F498))</f>
        <v/>
      </c>
      <c r="H498" s="66" t="str">
        <f>IF(J498&lt;&gt;"OK","",INDEX(mat_price,MATCH(B498,mat_ref,0)))</f>
        <v/>
      </c>
      <c r="I498" s="66" t="str">
        <f>IF(J498&lt;&gt;"OK","",E498*(1+G498)*H498)</f>
        <v/>
      </c>
      <c r="J498" s="69" t="str">
        <f>IF(AND(A498="",B498=""),"",IF(A498="","Produit manquant",IF(COUNTIF(prod_ref,A498)=0,"Produit inconnu",IF(B498="","Matière manquante",IF(ISNA(MATCH(B498,mat_ref,0)),"Matière inconnue",IF(INDEX(mat_check,MATCH(B498,mat_ref,0))&lt;&gt;"OK","Matière à corriger",IF(OR(NOT(ISNUMBER(E498)),N(E498)&lt;=0),"Quantité invalide",IF(AND(F498&lt;&gt;"",OR(NOT(ISNUMBER(F498)),N(F498)&lt;0,N(F498)&gt;=1)),"Perte entre 0 et 99 %",IF(COUNTIFS(bom_prod,A498,bom_mat,B498)&gt;1,"Matière en double","OK")))))))))</f>
        <v/>
      </c>
      <c r="K498" s="71" t="str">
        <f>IF(AND(fiche_sel&lt;&gt;"",A498=fiche_sel),COUNTIF(A$6:A498,fiche_sel),"")</f>
        <v/>
      </c>
    </row>
    <row r="499">
      <c r="A499" s="60" t="n"/>
      <c r="B499" s="60" t="n"/>
      <c r="C499" s="71" t="str">
        <f>IF(B499="","",IFERROR(INDEX(mat_des,MATCH(B499,mat_ref,0))&amp;"","Matière inconnue"))</f>
        <v/>
      </c>
      <c r="D499" s="69" t="str">
        <f>IF(B499="","",IFERROR(INDEX(mat_unit,MATCH(B499,mat_ref,0))&amp;"",""))</f>
        <v/>
      </c>
      <c r="E499" s="72" t="n"/>
      <c r="F499" s="65" t="n"/>
      <c r="G499" s="68" t="str">
        <f>IF(J499&lt;&gt;"OK","",IF(F499="",N(INDEX(mat_loss,MATCH(B499,mat_ref,0))),F499))</f>
        <v/>
      </c>
      <c r="H499" s="66" t="str">
        <f>IF(J499&lt;&gt;"OK","",INDEX(mat_price,MATCH(B499,mat_ref,0)))</f>
        <v/>
      </c>
      <c r="I499" s="66" t="str">
        <f>IF(J499&lt;&gt;"OK","",E499*(1+G499)*H499)</f>
        <v/>
      </c>
      <c r="J499" s="69" t="str">
        <f>IF(AND(A499="",B499=""),"",IF(A499="","Produit manquant",IF(COUNTIF(prod_ref,A499)=0,"Produit inconnu",IF(B499="","Matière manquante",IF(ISNA(MATCH(B499,mat_ref,0)),"Matière inconnue",IF(INDEX(mat_check,MATCH(B499,mat_ref,0))&lt;&gt;"OK","Matière à corriger",IF(OR(NOT(ISNUMBER(E499)),N(E499)&lt;=0),"Quantité invalide",IF(AND(F499&lt;&gt;"",OR(NOT(ISNUMBER(F499)),N(F499)&lt;0,N(F499)&gt;=1)),"Perte entre 0 et 99 %",IF(COUNTIFS(bom_prod,A499,bom_mat,B499)&gt;1,"Matière en double","OK")))))))))</f>
        <v/>
      </c>
      <c r="K499" s="71" t="str">
        <f>IF(AND(fiche_sel&lt;&gt;"",A499=fiche_sel),COUNTIF(A$6:A499,fiche_sel),"")</f>
        <v/>
      </c>
    </row>
    <row r="500">
      <c r="A500" s="60" t="n"/>
      <c r="B500" s="60" t="n"/>
      <c r="C500" s="71" t="str">
        <f>IF(B500="","",IFERROR(INDEX(mat_des,MATCH(B500,mat_ref,0))&amp;"","Matière inconnue"))</f>
        <v/>
      </c>
      <c r="D500" s="69" t="str">
        <f>IF(B500="","",IFERROR(INDEX(mat_unit,MATCH(B500,mat_ref,0))&amp;"",""))</f>
        <v/>
      </c>
      <c r="E500" s="72" t="n"/>
      <c r="F500" s="65" t="n"/>
      <c r="G500" s="68" t="str">
        <f>IF(J500&lt;&gt;"OK","",IF(F500="",N(INDEX(mat_loss,MATCH(B500,mat_ref,0))),F500))</f>
        <v/>
      </c>
      <c r="H500" s="66" t="str">
        <f>IF(J500&lt;&gt;"OK","",INDEX(mat_price,MATCH(B500,mat_ref,0)))</f>
        <v/>
      </c>
      <c r="I500" s="66" t="str">
        <f>IF(J500&lt;&gt;"OK","",E500*(1+G500)*H500)</f>
        <v/>
      </c>
      <c r="J500" s="69" t="str">
        <f>IF(AND(A500="",B500=""),"",IF(A500="","Produit manquant",IF(COUNTIF(prod_ref,A500)=0,"Produit inconnu",IF(B500="","Matière manquante",IF(ISNA(MATCH(B500,mat_ref,0)),"Matière inconnue",IF(INDEX(mat_check,MATCH(B500,mat_ref,0))&lt;&gt;"OK","Matière à corriger",IF(OR(NOT(ISNUMBER(E500)),N(E500)&lt;=0),"Quantité invalide",IF(AND(F500&lt;&gt;"",OR(NOT(ISNUMBER(F500)),N(F500)&lt;0,N(F500)&gt;=1)),"Perte entre 0 et 99 %",IF(COUNTIFS(bom_prod,A500,bom_mat,B500)&gt;1,"Matière en double","OK")))))))))</f>
        <v/>
      </c>
      <c r="K500" s="71" t="str">
        <f>IF(AND(fiche_sel&lt;&gt;"",A500=fiche_sel),COUNTIF(A$6:A500,fiche_sel),"")</f>
        <v/>
      </c>
    </row>
    <row r="501">
      <c r="A501" s="60" t="n"/>
      <c r="B501" s="60" t="n"/>
      <c r="C501" s="71" t="str">
        <f>IF(B501="","",IFERROR(INDEX(mat_des,MATCH(B501,mat_ref,0))&amp;"","Matière inconnue"))</f>
        <v/>
      </c>
      <c r="D501" s="69" t="str">
        <f>IF(B501="","",IFERROR(INDEX(mat_unit,MATCH(B501,mat_ref,0))&amp;"",""))</f>
        <v/>
      </c>
      <c r="E501" s="72" t="n"/>
      <c r="F501" s="65" t="n"/>
      <c r="G501" s="68" t="str">
        <f>IF(J501&lt;&gt;"OK","",IF(F501="",N(INDEX(mat_loss,MATCH(B501,mat_ref,0))),F501))</f>
        <v/>
      </c>
      <c r="H501" s="66" t="str">
        <f>IF(J501&lt;&gt;"OK","",INDEX(mat_price,MATCH(B501,mat_ref,0)))</f>
        <v/>
      </c>
      <c r="I501" s="66" t="str">
        <f>IF(J501&lt;&gt;"OK","",E501*(1+G501)*H501)</f>
        <v/>
      </c>
      <c r="J501" s="69" t="str">
        <f>IF(AND(A501="",B501=""),"",IF(A501="","Produit manquant",IF(COUNTIF(prod_ref,A501)=0,"Produit inconnu",IF(B501="","Matière manquante",IF(ISNA(MATCH(B501,mat_ref,0)),"Matière inconnue",IF(INDEX(mat_check,MATCH(B501,mat_ref,0))&lt;&gt;"OK","Matière à corriger",IF(OR(NOT(ISNUMBER(E501)),N(E501)&lt;=0),"Quantité invalide",IF(AND(F501&lt;&gt;"",OR(NOT(ISNUMBER(F501)),N(F501)&lt;0,N(F501)&gt;=1)),"Perte entre 0 et 99 %",IF(COUNTIFS(bom_prod,A501,bom_mat,B501)&gt;1,"Matière en double","OK")))))))))</f>
        <v/>
      </c>
      <c r="K501" s="71" t="str">
        <f>IF(AND(fiche_sel&lt;&gt;"",A501=fiche_sel),COUNTIF(A$6:A501,fiche_sel),"")</f>
        <v/>
      </c>
    </row>
    <row r="502">
      <c r="A502" s="60" t="n"/>
      <c r="B502" s="60" t="n"/>
      <c r="C502" s="71" t="str">
        <f>IF(B502="","",IFERROR(INDEX(mat_des,MATCH(B502,mat_ref,0))&amp;"","Matière inconnue"))</f>
        <v/>
      </c>
      <c r="D502" s="69" t="str">
        <f>IF(B502="","",IFERROR(INDEX(mat_unit,MATCH(B502,mat_ref,0))&amp;"",""))</f>
        <v/>
      </c>
      <c r="E502" s="72" t="n"/>
      <c r="F502" s="65" t="n"/>
      <c r="G502" s="68" t="str">
        <f>IF(J502&lt;&gt;"OK","",IF(F502="",N(INDEX(mat_loss,MATCH(B502,mat_ref,0))),F502))</f>
        <v/>
      </c>
      <c r="H502" s="66" t="str">
        <f>IF(J502&lt;&gt;"OK","",INDEX(mat_price,MATCH(B502,mat_ref,0)))</f>
        <v/>
      </c>
      <c r="I502" s="66" t="str">
        <f>IF(J502&lt;&gt;"OK","",E502*(1+G502)*H502)</f>
        <v/>
      </c>
      <c r="J502" s="69" t="str">
        <f>IF(AND(A502="",B502=""),"",IF(A502="","Produit manquant",IF(COUNTIF(prod_ref,A502)=0,"Produit inconnu",IF(B502="","Matière manquante",IF(ISNA(MATCH(B502,mat_ref,0)),"Matière inconnue",IF(INDEX(mat_check,MATCH(B502,mat_ref,0))&lt;&gt;"OK","Matière à corriger",IF(OR(NOT(ISNUMBER(E502)),N(E502)&lt;=0),"Quantité invalide",IF(AND(F502&lt;&gt;"",OR(NOT(ISNUMBER(F502)),N(F502)&lt;0,N(F502)&gt;=1)),"Perte entre 0 et 99 %",IF(COUNTIFS(bom_prod,A502,bom_mat,B502)&gt;1,"Matière en double","OK")))))))))</f>
        <v/>
      </c>
      <c r="K502" s="71" t="str">
        <f>IF(AND(fiche_sel&lt;&gt;"",A502=fiche_sel),COUNTIF(A$6:A502,fiche_sel),"")</f>
        <v/>
      </c>
    </row>
    <row r="503">
      <c r="A503" s="60" t="n"/>
      <c r="B503" s="60" t="n"/>
      <c r="C503" s="71" t="str">
        <f>IF(B503="","",IFERROR(INDEX(mat_des,MATCH(B503,mat_ref,0))&amp;"","Matière inconnue"))</f>
        <v/>
      </c>
      <c r="D503" s="69" t="str">
        <f>IF(B503="","",IFERROR(INDEX(mat_unit,MATCH(B503,mat_ref,0))&amp;"",""))</f>
        <v/>
      </c>
      <c r="E503" s="72" t="n"/>
      <c r="F503" s="65" t="n"/>
      <c r="G503" s="68" t="str">
        <f>IF(J503&lt;&gt;"OK","",IF(F503="",N(INDEX(mat_loss,MATCH(B503,mat_ref,0))),F503))</f>
        <v/>
      </c>
      <c r="H503" s="66" t="str">
        <f>IF(J503&lt;&gt;"OK","",INDEX(mat_price,MATCH(B503,mat_ref,0)))</f>
        <v/>
      </c>
      <c r="I503" s="66" t="str">
        <f>IF(J503&lt;&gt;"OK","",E503*(1+G503)*H503)</f>
        <v/>
      </c>
      <c r="J503" s="69" t="str">
        <f>IF(AND(A503="",B503=""),"",IF(A503="","Produit manquant",IF(COUNTIF(prod_ref,A503)=0,"Produit inconnu",IF(B503="","Matière manquante",IF(ISNA(MATCH(B503,mat_ref,0)),"Matière inconnue",IF(INDEX(mat_check,MATCH(B503,mat_ref,0))&lt;&gt;"OK","Matière à corriger",IF(OR(NOT(ISNUMBER(E503)),N(E503)&lt;=0),"Quantité invalide",IF(AND(F503&lt;&gt;"",OR(NOT(ISNUMBER(F503)),N(F503)&lt;0,N(F503)&gt;=1)),"Perte entre 0 et 99 %",IF(COUNTIFS(bom_prod,A503,bom_mat,B503)&gt;1,"Matière en double","OK")))))))))</f>
        <v/>
      </c>
      <c r="K503" s="71" t="str">
        <f>IF(AND(fiche_sel&lt;&gt;"",A503=fiche_sel),COUNTIF(A$6:A503,fiche_sel),"")</f>
        <v/>
      </c>
    </row>
    <row r="504">
      <c r="A504" s="60" t="n"/>
      <c r="B504" s="60" t="n"/>
      <c r="C504" s="71" t="str">
        <f>IF(B504="","",IFERROR(INDEX(mat_des,MATCH(B504,mat_ref,0))&amp;"","Matière inconnue"))</f>
        <v/>
      </c>
      <c r="D504" s="69" t="str">
        <f>IF(B504="","",IFERROR(INDEX(mat_unit,MATCH(B504,mat_ref,0))&amp;"",""))</f>
        <v/>
      </c>
      <c r="E504" s="72" t="n"/>
      <c r="F504" s="65" t="n"/>
      <c r="G504" s="68" t="str">
        <f>IF(J504&lt;&gt;"OK","",IF(F504="",N(INDEX(mat_loss,MATCH(B504,mat_ref,0))),F504))</f>
        <v/>
      </c>
      <c r="H504" s="66" t="str">
        <f>IF(J504&lt;&gt;"OK","",INDEX(mat_price,MATCH(B504,mat_ref,0)))</f>
        <v/>
      </c>
      <c r="I504" s="66" t="str">
        <f>IF(J504&lt;&gt;"OK","",E504*(1+G504)*H504)</f>
        <v/>
      </c>
      <c r="J504" s="69" t="str">
        <f>IF(AND(A504="",B504=""),"",IF(A504="","Produit manquant",IF(COUNTIF(prod_ref,A504)=0,"Produit inconnu",IF(B504="","Matière manquante",IF(ISNA(MATCH(B504,mat_ref,0)),"Matière inconnue",IF(INDEX(mat_check,MATCH(B504,mat_ref,0))&lt;&gt;"OK","Matière à corriger",IF(OR(NOT(ISNUMBER(E504)),N(E504)&lt;=0),"Quantité invalide",IF(AND(F504&lt;&gt;"",OR(NOT(ISNUMBER(F504)),N(F504)&lt;0,N(F504)&gt;=1)),"Perte entre 0 et 99 %",IF(COUNTIFS(bom_prod,A504,bom_mat,B504)&gt;1,"Matière en double","OK")))))))))</f>
        <v/>
      </c>
      <c r="K504" s="71" t="str">
        <f>IF(AND(fiche_sel&lt;&gt;"",A504=fiche_sel),COUNTIF(A$6:A504,fiche_sel),"")</f>
        <v/>
      </c>
    </row>
    <row r="505">
      <c r="A505" s="60" t="n"/>
      <c r="B505" s="60" t="n"/>
      <c r="C505" s="71" t="str">
        <f>IF(B505="","",IFERROR(INDEX(mat_des,MATCH(B505,mat_ref,0))&amp;"","Matière inconnue"))</f>
        <v/>
      </c>
      <c r="D505" s="69" t="str">
        <f>IF(B505="","",IFERROR(INDEX(mat_unit,MATCH(B505,mat_ref,0))&amp;"",""))</f>
        <v/>
      </c>
      <c r="E505" s="72" t="n"/>
      <c r="F505" s="65" t="n"/>
      <c r="G505" s="68" t="str">
        <f>IF(J505&lt;&gt;"OK","",IF(F505="",N(INDEX(mat_loss,MATCH(B505,mat_ref,0))),F505))</f>
        <v/>
      </c>
      <c r="H505" s="66" t="str">
        <f>IF(J505&lt;&gt;"OK","",INDEX(mat_price,MATCH(B505,mat_ref,0)))</f>
        <v/>
      </c>
      <c r="I505" s="66" t="str">
        <f>IF(J505&lt;&gt;"OK","",E505*(1+G505)*H505)</f>
        <v/>
      </c>
      <c r="J505" s="69" t="str">
        <f>IF(AND(A505="",B505=""),"",IF(A505="","Produit manquant",IF(COUNTIF(prod_ref,A505)=0,"Produit inconnu",IF(B505="","Matière manquante",IF(ISNA(MATCH(B505,mat_ref,0)),"Matière inconnue",IF(INDEX(mat_check,MATCH(B505,mat_ref,0))&lt;&gt;"OK","Matière à corriger",IF(OR(NOT(ISNUMBER(E505)),N(E505)&lt;=0),"Quantité invalide",IF(AND(F505&lt;&gt;"",OR(NOT(ISNUMBER(F505)),N(F505)&lt;0,N(F505)&gt;=1)),"Perte entre 0 et 99 %",IF(COUNTIFS(bom_prod,A505,bom_mat,B505)&gt;1,"Matière en double","OK")))))))))</f>
        <v/>
      </c>
      <c r="K505" s="71" t="str">
        <f>IF(AND(fiche_sel&lt;&gt;"",A505=fiche_sel),COUNTIF(A$6:A505,fiche_sel),"")</f>
        <v/>
      </c>
    </row>
    <row r="506">
      <c r="A506" s="60" t="n"/>
      <c r="B506" s="60" t="n"/>
      <c r="C506" s="71" t="str">
        <f>IF(B506="","",IFERROR(INDEX(mat_des,MATCH(B506,mat_ref,0))&amp;"","Matière inconnue"))</f>
        <v/>
      </c>
      <c r="D506" s="69" t="str">
        <f>IF(B506="","",IFERROR(INDEX(mat_unit,MATCH(B506,mat_ref,0))&amp;"",""))</f>
        <v/>
      </c>
      <c r="E506" s="72" t="n"/>
      <c r="F506" s="65" t="n"/>
      <c r="G506" s="68" t="str">
        <f>IF(J506&lt;&gt;"OK","",IF(F506="",N(INDEX(mat_loss,MATCH(B506,mat_ref,0))),F506))</f>
        <v/>
      </c>
      <c r="H506" s="66" t="str">
        <f>IF(J506&lt;&gt;"OK","",INDEX(mat_price,MATCH(B506,mat_ref,0)))</f>
        <v/>
      </c>
      <c r="I506" s="66" t="str">
        <f>IF(J506&lt;&gt;"OK","",E506*(1+G506)*H506)</f>
        <v/>
      </c>
      <c r="J506" s="69" t="str">
        <f>IF(AND(A506="",B506=""),"",IF(A506="","Produit manquant",IF(COUNTIF(prod_ref,A506)=0,"Produit inconnu",IF(B506="","Matière manquante",IF(ISNA(MATCH(B506,mat_ref,0)),"Matière inconnue",IF(INDEX(mat_check,MATCH(B506,mat_ref,0))&lt;&gt;"OK","Matière à corriger",IF(OR(NOT(ISNUMBER(E506)),N(E506)&lt;=0),"Quantité invalide",IF(AND(F506&lt;&gt;"",OR(NOT(ISNUMBER(F506)),N(F506)&lt;0,N(F506)&gt;=1)),"Perte entre 0 et 99 %",IF(COUNTIFS(bom_prod,A506,bom_mat,B506)&gt;1,"Matière en double","OK")))))))))</f>
        <v/>
      </c>
      <c r="K506" s="71" t="str">
        <f>IF(AND(fiche_sel&lt;&gt;"",A506=fiche_sel),COUNTIF(A$6:A506,fiche_sel),"")</f>
        <v/>
      </c>
    </row>
    <row r="507">
      <c r="A507" s="60" t="n"/>
      <c r="B507" s="60" t="n"/>
      <c r="C507" s="71" t="str">
        <f>IF(B507="","",IFERROR(INDEX(mat_des,MATCH(B507,mat_ref,0))&amp;"","Matière inconnue"))</f>
        <v/>
      </c>
      <c r="D507" s="69" t="str">
        <f>IF(B507="","",IFERROR(INDEX(mat_unit,MATCH(B507,mat_ref,0))&amp;"",""))</f>
        <v/>
      </c>
      <c r="E507" s="72" t="n"/>
      <c r="F507" s="65" t="n"/>
      <c r="G507" s="68" t="str">
        <f>IF(J507&lt;&gt;"OK","",IF(F507="",N(INDEX(mat_loss,MATCH(B507,mat_ref,0))),F507))</f>
        <v/>
      </c>
      <c r="H507" s="66" t="str">
        <f>IF(J507&lt;&gt;"OK","",INDEX(mat_price,MATCH(B507,mat_ref,0)))</f>
        <v/>
      </c>
      <c r="I507" s="66" t="str">
        <f>IF(J507&lt;&gt;"OK","",E507*(1+G507)*H507)</f>
        <v/>
      </c>
      <c r="J507" s="69" t="str">
        <f>IF(AND(A507="",B507=""),"",IF(A507="","Produit manquant",IF(COUNTIF(prod_ref,A507)=0,"Produit inconnu",IF(B507="","Matière manquante",IF(ISNA(MATCH(B507,mat_ref,0)),"Matière inconnue",IF(INDEX(mat_check,MATCH(B507,mat_ref,0))&lt;&gt;"OK","Matière à corriger",IF(OR(NOT(ISNUMBER(E507)),N(E507)&lt;=0),"Quantité invalide",IF(AND(F507&lt;&gt;"",OR(NOT(ISNUMBER(F507)),N(F507)&lt;0,N(F507)&gt;=1)),"Perte entre 0 et 99 %",IF(COUNTIFS(bom_prod,A507,bom_mat,B507)&gt;1,"Matière en double","OK")))))))))</f>
        <v/>
      </c>
      <c r="K507" s="71" t="str">
        <f>IF(AND(fiche_sel&lt;&gt;"",A507=fiche_sel),COUNTIF(A$6:A507,fiche_sel),"")</f>
        <v/>
      </c>
    </row>
    <row r="508">
      <c r="A508" s="60" t="n"/>
      <c r="B508" s="60" t="n"/>
      <c r="C508" s="71" t="str">
        <f>IF(B508="","",IFERROR(INDEX(mat_des,MATCH(B508,mat_ref,0))&amp;"","Matière inconnue"))</f>
        <v/>
      </c>
      <c r="D508" s="69" t="str">
        <f>IF(B508="","",IFERROR(INDEX(mat_unit,MATCH(B508,mat_ref,0))&amp;"",""))</f>
        <v/>
      </c>
      <c r="E508" s="72" t="n"/>
      <c r="F508" s="65" t="n"/>
      <c r="G508" s="68" t="str">
        <f>IF(J508&lt;&gt;"OK","",IF(F508="",N(INDEX(mat_loss,MATCH(B508,mat_ref,0))),F508))</f>
        <v/>
      </c>
      <c r="H508" s="66" t="str">
        <f>IF(J508&lt;&gt;"OK","",INDEX(mat_price,MATCH(B508,mat_ref,0)))</f>
        <v/>
      </c>
      <c r="I508" s="66" t="str">
        <f>IF(J508&lt;&gt;"OK","",E508*(1+G508)*H508)</f>
        <v/>
      </c>
      <c r="J508" s="69" t="str">
        <f>IF(AND(A508="",B508=""),"",IF(A508="","Produit manquant",IF(COUNTIF(prod_ref,A508)=0,"Produit inconnu",IF(B508="","Matière manquante",IF(ISNA(MATCH(B508,mat_ref,0)),"Matière inconnue",IF(INDEX(mat_check,MATCH(B508,mat_ref,0))&lt;&gt;"OK","Matière à corriger",IF(OR(NOT(ISNUMBER(E508)),N(E508)&lt;=0),"Quantité invalide",IF(AND(F508&lt;&gt;"",OR(NOT(ISNUMBER(F508)),N(F508)&lt;0,N(F508)&gt;=1)),"Perte entre 0 et 99 %",IF(COUNTIFS(bom_prod,A508,bom_mat,B508)&gt;1,"Matière en double","OK")))))))))</f>
        <v/>
      </c>
      <c r="K508" s="71" t="str">
        <f>IF(AND(fiche_sel&lt;&gt;"",A508=fiche_sel),COUNTIF(A$6:A508,fiche_sel),"")</f>
        <v/>
      </c>
    </row>
    <row r="509">
      <c r="A509" s="60" t="n"/>
      <c r="B509" s="60" t="n"/>
      <c r="C509" s="71" t="str">
        <f>IF(B509="","",IFERROR(INDEX(mat_des,MATCH(B509,mat_ref,0))&amp;"","Matière inconnue"))</f>
        <v/>
      </c>
      <c r="D509" s="69" t="str">
        <f>IF(B509="","",IFERROR(INDEX(mat_unit,MATCH(B509,mat_ref,0))&amp;"",""))</f>
        <v/>
      </c>
      <c r="E509" s="72" t="n"/>
      <c r="F509" s="65" t="n"/>
      <c r="G509" s="68" t="str">
        <f>IF(J509&lt;&gt;"OK","",IF(F509="",N(INDEX(mat_loss,MATCH(B509,mat_ref,0))),F509))</f>
        <v/>
      </c>
      <c r="H509" s="66" t="str">
        <f>IF(J509&lt;&gt;"OK","",INDEX(mat_price,MATCH(B509,mat_ref,0)))</f>
        <v/>
      </c>
      <c r="I509" s="66" t="str">
        <f>IF(J509&lt;&gt;"OK","",E509*(1+G509)*H509)</f>
        <v/>
      </c>
      <c r="J509" s="69" t="str">
        <f>IF(AND(A509="",B509=""),"",IF(A509="","Produit manquant",IF(COUNTIF(prod_ref,A509)=0,"Produit inconnu",IF(B509="","Matière manquante",IF(ISNA(MATCH(B509,mat_ref,0)),"Matière inconnue",IF(INDEX(mat_check,MATCH(B509,mat_ref,0))&lt;&gt;"OK","Matière à corriger",IF(OR(NOT(ISNUMBER(E509)),N(E509)&lt;=0),"Quantité invalide",IF(AND(F509&lt;&gt;"",OR(NOT(ISNUMBER(F509)),N(F509)&lt;0,N(F509)&gt;=1)),"Perte entre 0 et 99 %",IF(COUNTIFS(bom_prod,A509,bom_mat,B509)&gt;1,"Matière en double","OK")))))))))</f>
        <v/>
      </c>
      <c r="K509" s="71" t="str">
        <f>IF(AND(fiche_sel&lt;&gt;"",A509=fiche_sel),COUNTIF(A$6:A509,fiche_sel),"")</f>
        <v/>
      </c>
    </row>
    <row r="510">
      <c r="A510" s="60" t="n"/>
      <c r="B510" s="60" t="n"/>
      <c r="C510" s="71" t="str">
        <f>IF(B510="","",IFERROR(INDEX(mat_des,MATCH(B510,mat_ref,0))&amp;"","Matière inconnue"))</f>
        <v/>
      </c>
      <c r="D510" s="69" t="str">
        <f>IF(B510="","",IFERROR(INDEX(mat_unit,MATCH(B510,mat_ref,0))&amp;"",""))</f>
        <v/>
      </c>
      <c r="E510" s="72" t="n"/>
      <c r="F510" s="65" t="n"/>
      <c r="G510" s="68" t="str">
        <f>IF(J510&lt;&gt;"OK","",IF(F510="",N(INDEX(mat_loss,MATCH(B510,mat_ref,0))),F510))</f>
        <v/>
      </c>
      <c r="H510" s="66" t="str">
        <f>IF(J510&lt;&gt;"OK","",INDEX(mat_price,MATCH(B510,mat_ref,0)))</f>
        <v/>
      </c>
      <c r="I510" s="66" t="str">
        <f>IF(J510&lt;&gt;"OK","",E510*(1+G510)*H510)</f>
        <v/>
      </c>
      <c r="J510" s="69" t="str">
        <f>IF(AND(A510="",B510=""),"",IF(A510="","Produit manquant",IF(COUNTIF(prod_ref,A510)=0,"Produit inconnu",IF(B510="","Matière manquante",IF(ISNA(MATCH(B510,mat_ref,0)),"Matière inconnue",IF(INDEX(mat_check,MATCH(B510,mat_ref,0))&lt;&gt;"OK","Matière à corriger",IF(OR(NOT(ISNUMBER(E510)),N(E510)&lt;=0),"Quantité invalide",IF(AND(F510&lt;&gt;"",OR(NOT(ISNUMBER(F510)),N(F510)&lt;0,N(F510)&gt;=1)),"Perte entre 0 et 99 %",IF(COUNTIFS(bom_prod,A510,bom_mat,B510)&gt;1,"Matière en double","OK")))))))))</f>
        <v/>
      </c>
      <c r="K510" s="71" t="str">
        <f>IF(AND(fiche_sel&lt;&gt;"",A510=fiche_sel),COUNTIF(A$6:A510,fiche_sel),"")</f>
        <v/>
      </c>
    </row>
    <row r="511">
      <c r="A511" s="60" t="n"/>
      <c r="B511" s="60" t="n"/>
      <c r="C511" s="71" t="str">
        <f>IF(B511="","",IFERROR(INDEX(mat_des,MATCH(B511,mat_ref,0))&amp;"","Matière inconnue"))</f>
        <v/>
      </c>
      <c r="D511" s="69" t="str">
        <f>IF(B511="","",IFERROR(INDEX(mat_unit,MATCH(B511,mat_ref,0))&amp;"",""))</f>
        <v/>
      </c>
      <c r="E511" s="72" t="n"/>
      <c r="F511" s="65" t="n"/>
      <c r="G511" s="68" t="str">
        <f>IF(J511&lt;&gt;"OK","",IF(F511="",N(INDEX(mat_loss,MATCH(B511,mat_ref,0))),F511))</f>
        <v/>
      </c>
      <c r="H511" s="66" t="str">
        <f>IF(J511&lt;&gt;"OK","",INDEX(mat_price,MATCH(B511,mat_ref,0)))</f>
        <v/>
      </c>
      <c r="I511" s="66" t="str">
        <f>IF(J511&lt;&gt;"OK","",E511*(1+G511)*H511)</f>
        <v/>
      </c>
      <c r="J511" s="69" t="str">
        <f>IF(AND(A511="",B511=""),"",IF(A511="","Produit manquant",IF(COUNTIF(prod_ref,A511)=0,"Produit inconnu",IF(B511="","Matière manquante",IF(ISNA(MATCH(B511,mat_ref,0)),"Matière inconnue",IF(INDEX(mat_check,MATCH(B511,mat_ref,0))&lt;&gt;"OK","Matière à corriger",IF(OR(NOT(ISNUMBER(E511)),N(E511)&lt;=0),"Quantité invalide",IF(AND(F511&lt;&gt;"",OR(NOT(ISNUMBER(F511)),N(F511)&lt;0,N(F511)&gt;=1)),"Perte entre 0 et 99 %",IF(COUNTIFS(bom_prod,A511,bom_mat,B511)&gt;1,"Matière en double","OK")))))))))</f>
        <v/>
      </c>
      <c r="K511" s="71" t="str">
        <f>IF(AND(fiche_sel&lt;&gt;"",A511=fiche_sel),COUNTIF(A$6:A511,fiche_sel),"")</f>
        <v/>
      </c>
    </row>
    <row r="512">
      <c r="A512" s="60" t="n"/>
      <c r="B512" s="60" t="n"/>
      <c r="C512" s="71" t="str">
        <f>IF(B512="","",IFERROR(INDEX(mat_des,MATCH(B512,mat_ref,0))&amp;"","Matière inconnue"))</f>
        <v/>
      </c>
      <c r="D512" s="69" t="str">
        <f>IF(B512="","",IFERROR(INDEX(mat_unit,MATCH(B512,mat_ref,0))&amp;"",""))</f>
        <v/>
      </c>
      <c r="E512" s="72" t="n"/>
      <c r="F512" s="65" t="n"/>
      <c r="G512" s="68" t="str">
        <f>IF(J512&lt;&gt;"OK","",IF(F512="",N(INDEX(mat_loss,MATCH(B512,mat_ref,0))),F512))</f>
        <v/>
      </c>
      <c r="H512" s="66" t="str">
        <f>IF(J512&lt;&gt;"OK","",INDEX(mat_price,MATCH(B512,mat_ref,0)))</f>
        <v/>
      </c>
      <c r="I512" s="66" t="str">
        <f>IF(J512&lt;&gt;"OK","",E512*(1+G512)*H512)</f>
        <v/>
      </c>
      <c r="J512" s="69" t="str">
        <f>IF(AND(A512="",B512=""),"",IF(A512="","Produit manquant",IF(COUNTIF(prod_ref,A512)=0,"Produit inconnu",IF(B512="","Matière manquante",IF(ISNA(MATCH(B512,mat_ref,0)),"Matière inconnue",IF(INDEX(mat_check,MATCH(B512,mat_ref,0))&lt;&gt;"OK","Matière à corriger",IF(OR(NOT(ISNUMBER(E512)),N(E512)&lt;=0),"Quantité invalide",IF(AND(F512&lt;&gt;"",OR(NOT(ISNUMBER(F512)),N(F512)&lt;0,N(F512)&gt;=1)),"Perte entre 0 et 99 %",IF(COUNTIFS(bom_prod,A512,bom_mat,B512)&gt;1,"Matière en double","OK")))))))))</f>
        <v/>
      </c>
      <c r="K512" s="71" t="str">
        <f>IF(AND(fiche_sel&lt;&gt;"",A512=fiche_sel),COUNTIF(A$6:A512,fiche_sel),"")</f>
        <v/>
      </c>
    </row>
    <row r="513">
      <c r="A513" s="60" t="n"/>
      <c r="B513" s="60" t="n"/>
      <c r="C513" s="71" t="str">
        <f>IF(B513="","",IFERROR(INDEX(mat_des,MATCH(B513,mat_ref,0))&amp;"","Matière inconnue"))</f>
        <v/>
      </c>
      <c r="D513" s="69" t="str">
        <f>IF(B513="","",IFERROR(INDEX(mat_unit,MATCH(B513,mat_ref,0))&amp;"",""))</f>
        <v/>
      </c>
      <c r="E513" s="72" t="n"/>
      <c r="F513" s="65" t="n"/>
      <c r="G513" s="68" t="str">
        <f>IF(J513&lt;&gt;"OK","",IF(F513="",N(INDEX(mat_loss,MATCH(B513,mat_ref,0))),F513))</f>
        <v/>
      </c>
      <c r="H513" s="66" t="str">
        <f>IF(J513&lt;&gt;"OK","",INDEX(mat_price,MATCH(B513,mat_ref,0)))</f>
        <v/>
      </c>
      <c r="I513" s="66" t="str">
        <f>IF(J513&lt;&gt;"OK","",E513*(1+G513)*H513)</f>
        <v/>
      </c>
      <c r="J513" s="69" t="str">
        <f>IF(AND(A513="",B513=""),"",IF(A513="","Produit manquant",IF(COUNTIF(prod_ref,A513)=0,"Produit inconnu",IF(B513="","Matière manquante",IF(ISNA(MATCH(B513,mat_ref,0)),"Matière inconnue",IF(INDEX(mat_check,MATCH(B513,mat_ref,0))&lt;&gt;"OK","Matière à corriger",IF(OR(NOT(ISNUMBER(E513)),N(E513)&lt;=0),"Quantité invalide",IF(AND(F513&lt;&gt;"",OR(NOT(ISNUMBER(F513)),N(F513)&lt;0,N(F513)&gt;=1)),"Perte entre 0 et 99 %",IF(COUNTIFS(bom_prod,A513,bom_mat,B513)&gt;1,"Matière en double","OK")))))))))</f>
        <v/>
      </c>
      <c r="K513" s="71" t="str">
        <f>IF(AND(fiche_sel&lt;&gt;"",A513=fiche_sel),COUNTIF(A$6:A513,fiche_sel),"")</f>
        <v/>
      </c>
    </row>
    <row r="514">
      <c r="A514" s="60" t="n"/>
      <c r="B514" s="60" t="n"/>
      <c r="C514" s="71" t="str">
        <f>IF(B514="","",IFERROR(INDEX(mat_des,MATCH(B514,mat_ref,0))&amp;"","Matière inconnue"))</f>
        <v/>
      </c>
      <c r="D514" s="69" t="str">
        <f>IF(B514="","",IFERROR(INDEX(mat_unit,MATCH(B514,mat_ref,0))&amp;"",""))</f>
        <v/>
      </c>
      <c r="E514" s="72" t="n"/>
      <c r="F514" s="65" t="n"/>
      <c r="G514" s="68" t="str">
        <f>IF(J514&lt;&gt;"OK","",IF(F514="",N(INDEX(mat_loss,MATCH(B514,mat_ref,0))),F514))</f>
        <v/>
      </c>
      <c r="H514" s="66" t="str">
        <f>IF(J514&lt;&gt;"OK","",INDEX(mat_price,MATCH(B514,mat_ref,0)))</f>
        <v/>
      </c>
      <c r="I514" s="66" t="str">
        <f>IF(J514&lt;&gt;"OK","",E514*(1+G514)*H514)</f>
        <v/>
      </c>
      <c r="J514" s="69" t="str">
        <f>IF(AND(A514="",B514=""),"",IF(A514="","Produit manquant",IF(COUNTIF(prod_ref,A514)=0,"Produit inconnu",IF(B514="","Matière manquante",IF(ISNA(MATCH(B514,mat_ref,0)),"Matière inconnue",IF(INDEX(mat_check,MATCH(B514,mat_ref,0))&lt;&gt;"OK","Matière à corriger",IF(OR(NOT(ISNUMBER(E514)),N(E514)&lt;=0),"Quantité invalide",IF(AND(F514&lt;&gt;"",OR(NOT(ISNUMBER(F514)),N(F514)&lt;0,N(F514)&gt;=1)),"Perte entre 0 et 99 %",IF(COUNTIFS(bom_prod,A514,bom_mat,B514)&gt;1,"Matière en double","OK")))))))))</f>
        <v/>
      </c>
      <c r="K514" s="71" t="str">
        <f>IF(AND(fiche_sel&lt;&gt;"",A514=fiche_sel),COUNTIF(A$6:A514,fiche_sel),"")</f>
        <v/>
      </c>
    </row>
    <row r="515">
      <c r="A515" s="60" t="n"/>
      <c r="B515" s="60" t="n"/>
      <c r="C515" s="71" t="str">
        <f>IF(B515="","",IFERROR(INDEX(mat_des,MATCH(B515,mat_ref,0))&amp;"","Matière inconnue"))</f>
        <v/>
      </c>
      <c r="D515" s="69" t="str">
        <f>IF(B515="","",IFERROR(INDEX(mat_unit,MATCH(B515,mat_ref,0))&amp;"",""))</f>
        <v/>
      </c>
      <c r="E515" s="72" t="n"/>
      <c r="F515" s="65" t="n"/>
      <c r="G515" s="68" t="str">
        <f>IF(J515&lt;&gt;"OK","",IF(F515="",N(INDEX(mat_loss,MATCH(B515,mat_ref,0))),F515))</f>
        <v/>
      </c>
      <c r="H515" s="66" t="str">
        <f>IF(J515&lt;&gt;"OK","",INDEX(mat_price,MATCH(B515,mat_ref,0)))</f>
        <v/>
      </c>
      <c r="I515" s="66" t="str">
        <f>IF(J515&lt;&gt;"OK","",E515*(1+G515)*H515)</f>
        <v/>
      </c>
      <c r="J515" s="69" t="str">
        <f>IF(AND(A515="",B515=""),"",IF(A515="","Produit manquant",IF(COUNTIF(prod_ref,A515)=0,"Produit inconnu",IF(B515="","Matière manquante",IF(ISNA(MATCH(B515,mat_ref,0)),"Matière inconnue",IF(INDEX(mat_check,MATCH(B515,mat_ref,0))&lt;&gt;"OK","Matière à corriger",IF(OR(NOT(ISNUMBER(E515)),N(E515)&lt;=0),"Quantité invalide",IF(AND(F515&lt;&gt;"",OR(NOT(ISNUMBER(F515)),N(F515)&lt;0,N(F515)&gt;=1)),"Perte entre 0 et 99 %",IF(COUNTIFS(bom_prod,A515,bom_mat,B515)&gt;1,"Matière en double","OK")))))))))</f>
        <v/>
      </c>
      <c r="K515" s="71" t="str">
        <f>IF(AND(fiche_sel&lt;&gt;"",A515=fiche_sel),COUNTIF(A$6:A515,fiche_sel),"")</f>
        <v/>
      </c>
    </row>
    <row r="516">
      <c r="A516" s="60" t="n"/>
      <c r="B516" s="60" t="n"/>
      <c r="C516" s="71" t="str">
        <f>IF(B516="","",IFERROR(INDEX(mat_des,MATCH(B516,mat_ref,0))&amp;"","Matière inconnue"))</f>
        <v/>
      </c>
      <c r="D516" s="69" t="str">
        <f>IF(B516="","",IFERROR(INDEX(mat_unit,MATCH(B516,mat_ref,0))&amp;"",""))</f>
        <v/>
      </c>
      <c r="E516" s="72" t="n"/>
      <c r="F516" s="65" t="n"/>
      <c r="G516" s="68" t="str">
        <f>IF(J516&lt;&gt;"OK","",IF(F516="",N(INDEX(mat_loss,MATCH(B516,mat_ref,0))),F516))</f>
        <v/>
      </c>
      <c r="H516" s="66" t="str">
        <f>IF(J516&lt;&gt;"OK","",INDEX(mat_price,MATCH(B516,mat_ref,0)))</f>
        <v/>
      </c>
      <c r="I516" s="66" t="str">
        <f>IF(J516&lt;&gt;"OK","",E516*(1+G516)*H516)</f>
        <v/>
      </c>
      <c r="J516" s="69" t="str">
        <f>IF(AND(A516="",B516=""),"",IF(A516="","Produit manquant",IF(COUNTIF(prod_ref,A516)=0,"Produit inconnu",IF(B516="","Matière manquante",IF(ISNA(MATCH(B516,mat_ref,0)),"Matière inconnue",IF(INDEX(mat_check,MATCH(B516,mat_ref,0))&lt;&gt;"OK","Matière à corriger",IF(OR(NOT(ISNUMBER(E516)),N(E516)&lt;=0),"Quantité invalide",IF(AND(F516&lt;&gt;"",OR(NOT(ISNUMBER(F516)),N(F516)&lt;0,N(F516)&gt;=1)),"Perte entre 0 et 99 %",IF(COUNTIFS(bom_prod,A516,bom_mat,B516)&gt;1,"Matière en double","OK")))))))))</f>
        <v/>
      </c>
      <c r="K516" s="71" t="str">
        <f>IF(AND(fiche_sel&lt;&gt;"",A516=fiche_sel),COUNTIF(A$6:A516,fiche_sel),"")</f>
        <v/>
      </c>
    </row>
    <row r="517">
      <c r="A517" s="60" t="n"/>
      <c r="B517" s="60" t="n"/>
      <c r="C517" s="71" t="str">
        <f>IF(B517="","",IFERROR(INDEX(mat_des,MATCH(B517,mat_ref,0))&amp;"","Matière inconnue"))</f>
        <v/>
      </c>
      <c r="D517" s="69" t="str">
        <f>IF(B517="","",IFERROR(INDEX(mat_unit,MATCH(B517,mat_ref,0))&amp;"",""))</f>
        <v/>
      </c>
      <c r="E517" s="72" t="n"/>
      <c r="F517" s="65" t="n"/>
      <c r="G517" s="68" t="str">
        <f>IF(J517&lt;&gt;"OK","",IF(F517="",N(INDEX(mat_loss,MATCH(B517,mat_ref,0))),F517))</f>
        <v/>
      </c>
      <c r="H517" s="66" t="str">
        <f>IF(J517&lt;&gt;"OK","",INDEX(mat_price,MATCH(B517,mat_ref,0)))</f>
        <v/>
      </c>
      <c r="I517" s="66" t="str">
        <f>IF(J517&lt;&gt;"OK","",E517*(1+G517)*H517)</f>
        <v/>
      </c>
      <c r="J517" s="69" t="str">
        <f>IF(AND(A517="",B517=""),"",IF(A517="","Produit manquant",IF(COUNTIF(prod_ref,A517)=0,"Produit inconnu",IF(B517="","Matière manquante",IF(ISNA(MATCH(B517,mat_ref,0)),"Matière inconnue",IF(INDEX(mat_check,MATCH(B517,mat_ref,0))&lt;&gt;"OK","Matière à corriger",IF(OR(NOT(ISNUMBER(E517)),N(E517)&lt;=0),"Quantité invalide",IF(AND(F517&lt;&gt;"",OR(NOT(ISNUMBER(F517)),N(F517)&lt;0,N(F517)&gt;=1)),"Perte entre 0 et 99 %",IF(COUNTIFS(bom_prod,A517,bom_mat,B517)&gt;1,"Matière en double","OK")))))))))</f>
        <v/>
      </c>
      <c r="K517" s="71" t="str">
        <f>IF(AND(fiche_sel&lt;&gt;"",A517=fiche_sel),COUNTIF(A$6:A517,fiche_sel),"")</f>
        <v/>
      </c>
    </row>
    <row r="518">
      <c r="A518" s="60" t="n"/>
      <c r="B518" s="60" t="n"/>
      <c r="C518" s="71" t="str">
        <f>IF(B518="","",IFERROR(INDEX(mat_des,MATCH(B518,mat_ref,0))&amp;"","Matière inconnue"))</f>
        <v/>
      </c>
      <c r="D518" s="69" t="str">
        <f>IF(B518="","",IFERROR(INDEX(mat_unit,MATCH(B518,mat_ref,0))&amp;"",""))</f>
        <v/>
      </c>
      <c r="E518" s="72" t="n"/>
      <c r="F518" s="65" t="n"/>
      <c r="G518" s="68" t="str">
        <f>IF(J518&lt;&gt;"OK","",IF(F518="",N(INDEX(mat_loss,MATCH(B518,mat_ref,0))),F518))</f>
        <v/>
      </c>
      <c r="H518" s="66" t="str">
        <f>IF(J518&lt;&gt;"OK","",INDEX(mat_price,MATCH(B518,mat_ref,0)))</f>
        <v/>
      </c>
      <c r="I518" s="66" t="str">
        <f>IF(J518&lt;&gt;"OK","",E518*(1+G518)*H518)</f>
        <v/>
      </c>
      <c r="J518" s="69" t="str">
        <f>IF(AND(A518="",B518=""),"",IF(A518="","Produit manquant",IF(COUNTIF(prod_ref,A518)=0,"Produit inconnu",IF(B518="","Matière manquante",IF(ISNA(MATCH(B518,mat_ref,0)),"Matière inconnue",IF(INDEX(mat_check,MATCH(B518,mat_ref,0))&lt;&gt;"OK","Matière à corriger",IF(OR(NOT(ISNUMBER(E518)),N(E518)&lt;=0),"Quantité invalide",IF(AND(F518&lt;&gt;"",OR(NOT(ISNUMBER(F518)),N(F518)&lt;0,N(F518)&gt;=1)),"Perte entre 0 et 99 %",IF(COUNTIFS(bom_prod,A518,bom_mat,B518)&gt;1,"Matière en double","OK")))))))))</f>
        <v/>
      </c>
      <c r="K518" s="71" t="str">
        <f>IF(AND(fiche_sel&lt;&gt;"",A518=fiche_sel),COUNTIF(A$6:A518,fiche_sel),"")</f>
        <v/>
      </c>
    </row>
    <row r="519">
      <c r="A519" s="60" t="n"/>
      <c r="B519" s="60" t="n"/>
      <c r="C519" s="71" t="str">
        <f>IF(B519="","",IFERROR(INDEX(mat_des,MATCH(B519,mat_ref,0))&amp;"","Matière inconnue"))</f>
        <v/>
      </c>
      <c r="D519" s="69" t="str">
        <f>IF(B519="","",IFERROR(INDEX(mat_unit,MATCH(B519,mat_ref,0))&amp;"",""))</f>
        <v/>
      </c>
      <c r="E519" s="72" t="n"/>
      <c r="F519" s="65" t="n"/>
      <c r="G519" s="68" t="str">
        <f>IF(J519&lt;&gt;"OK","",IF(F519="",N(INDEX(mat_loss,MATCH(B519,mat_ref,0))),F519))</f>
        <v/>
      </c>
      <c r="H519" s="66" t="str">
        <f>IF(J519&lt;&gt;"OK","",INDEX(mat_price,MATCH(B519,mat_ref,0)))</f>
        <v/>
      </c>
      <c r="I519" s="66" t="str">
        <f>IF(J519&lt;&gt;"OK","",E519*(1+G519)*H519)</f>
        <v/>
      </c>
      <c r="J519" s="69" t="str">
        <f>IF(AND(A519="",B519=""),"",IF(A519="","Produit manquant",IF(COUNTIF(prod_ref,A519)=0,"Produit inconnu",IF(B519="","Matière manquante",IF(ISNA(MATCH(B519,mat_ref,0)),"Matière inconnue",IF(INDEX(mat_check,MATCH(B519,mat_ref,0))&lt;&gt;"OK","Matière à corriger",IF(OR(NOT(ISNUMBER(E519)),N(E519)&lt;=0),"Quantité invalide",IF(AND(F519&lt;&gt;"",OR(NOT(ISNUMBER(F519)),N(F519)&lt;0,N(F519)&gt;=1)),"Perte entre 0 et 99 %",IF(COUNTIFS(bom_prod,A519,bom_mat,B519)&gt;1,"Matière en double","OK")))))))))</f>
        <v/>
      </c>
      <c r="K519" s="71" t="str">
        <f>IF(AND(fiche_sel&lt;&gt;"",A519=fiche_sel),COUNTIF(A$6:A519,fiche_sel),"")</f>
        <v/>
      </c>
    </row>
    <row r="520">
      <c r="A520" s="60" t="n"/>
      <c r="B520" s="60" t="n"/>
      <c r="C520" s="71" t="str">
        <f>IF(B520="","",IFERROR(INDEX(mat_des,MATCH(B520,mat_ref,0))&amp;"","Matière inconnue"))</f>
        <v/>
      </c>
      <c r="D520" s="69" t="str">
        <f>IF(B520="","",IFERROR(INDEX(mat_unit,MATCH(B520,mat_ref,0))&amp;"",""))</f>
        <v/>
      </c>
      <c r="E520" s="72" t="n"/>
      <c r="F520" s="65" t="n"/>
      <c r="G520" s="68" t="str">
        <f>IF(J520&lt;&gt;"OK","",IF(F520="",N(INDEX(mat_loss,MATCH(B520,mat_ref,0))),F520))</f>
        <v/>
      </c>
      <c r="H520" s="66" t="str">
        <f>IF(J520&lt;&gt;"OK","",INDEX(mat_price,MATCH(B520,mat_ref,0)))</f>
        <v/>
      </c>
      <c r="I520" s="66" t="str">
        <f>IF(J520&lt;&gt;"OK","",E520*(1+G520)*H520)</f>
        <v/>
      </c>
      <c r="J520" s="69" t="str">
        <f>IF(AND(A520="",B520=""),"",IF(A520="","Produit manquant",IF(COUNTIF(prod_ref,A520)=0,"Produit inconnu",IF(B520="","Matière manquante",IF(ISNA(MATCH(B520,mat_ref,0)),"Matière inconnue",IF(INDEX(mat_check,MATCH(B520,mat_ref,0))&lt;&gt;"OK","Matière à corriger",IF(OR(NOT(ISNUMBER(E520)),N(E520)&lt;=0),"Quantité invalide",IF(AND(F520&lt;&gt;"",OR(NOT(ISNUMBER(F520)),N(F520)&lt;0,N(F520)&gt;=1)),"Perte entre 0 et 99 %",IF(COUNTIFS(bom_prod,A520,bom_mat,B520)&gt;1,"Matière en double","OK")))))))))</f>
        <v/>
      </c>
      <c r="K520" s="71" t="str">
        <f>IF(AND(fiche_sel&lt;&gt;"",A520=fiche_sel),COUNTIF(A$6:A520,fiche_sel),"")</f>
        <v/>
      </c>
    </row>
    <row r="521">
      <c r="A521" s="60" t="n"/>
      <c r="B521" s="60" t="n"/>
      <c r="C521" s="71" t="str">
        <f>IF(B521="","",IFERROR(INDEX(mat_des,MATCH(B521,mat_ref,0))&amp;"","Matière inconnue"))</f>
        <v/>
      </c>
      <c r="D521" s="69" t="str">
        <f>IF(B521="","",IFERROR(INDEX(mat_unit,MATCH(B521,mat_ref,0))&amp;"",""))</f>
        <v/>
      </c>
      <c r="E521" s="72" t="n"/>
      <c r="F521" s="65" t="n"/>
      <c r="G521" s="68" t="str">
        <f>IF(J521&lt;&gt;"OK","",IF(F521="",N(INDEX(mat_loss,MATCH(B521,mat_ref,0))),F521))</f>
        <v/>
      </c>
      <c r="H521" s="66" t="str">
        <f>IF(J521&lt;&gt;"OK","",INDEX(mat_price,MATCH(B521,mat_ref,0)))</f>
        <v/>
      </c>
      <c r="I521" s="66" t="str">
        <f>IF(J521&lt;&gt;"OK","",E521*(1+G521)*H521)</f>
        <v/>
      </c>
      <c r="J521" s="69" t="str">
        <f>IF(AND(A521="",B521=""),"",IF(A521="","Produit manquant",IF(COUNTIF(prod_ref,A521)=0,"Produit inconnu",IF(B521="","Matière manquante",IF(ISNA(MATCH(B521,mat_ref,0)),"Matière inconnue",IF(INDEX(mat_check,MATCH(B521,mat_ref,0))&lt;&gt;"OK","Matière à corriger",IF(OR(NOT(ISNUMBER(E521)),N(E521)&lt;=0),"Quantité invalide",IF(AND(F521&lt;&gt;"",OR(NOT(ISNUMBER(F521)),N(F521)&lt;0,N(F521)&gt;=1)),"Perte entre 0 et 99 %",IF(COUNTIFS(bom_prod,A521,bom_mat,B521)&gt;1,"Matière en double","OK")))))))))</f>
        <v/>
      </c>
      <c r="K521" s="71" t="str">
        <f>IF(AND(fiche_sel&lt;&gt;"",A521=fiche_sel),COUNTIF(A$6:A521,fiche_sel),"")</f>
        <v/>
      </c>
    </row>
    <row r="522">
      <c r="A522" s="60" t="n"/>
      <c r="B522" s="60" t="n"/>
      <c r="C522" s="71" t="str">
        <f>IF(B522="","",IFERROR(INDEX(mat_des,MATCH(B522,mat_ref,0))&amp;"","Matière inconnue"))</f>
        <v/>
      </c>
      <c r="D522" s="69" t="str">
        <f>IF(B522="","",IFERROR(INDEX(mat_unit,MATCH(B522,mat_ref,0))&amp;"",""))</f>
        <v/>
      </c>
      <c r="E522" s="72" t="n"/>
      <c r="F522" s="65" t="n"/>
      <c r="G522" s="68" t="str">
        <f>IF(J522&lt;&gt;"OK","",IF(F522="",N(INDEX(mat_loss,MATCH(B522,mat_ref,0))),F522))</f>
        <v/>
      </c>
      <c r="H522" s="66" t="str">
        <f>IF(J522&lt;&gt;"OK","",INDEX(mat_price,MATCH(B522,mat_ref,0)))</f>
        <v/>
      </c>
      <c r="I522" s="66" t="str">
        <f>IF(J522&lt;&gt;"OK","",E522*(1+G522)*H522)</f>
        <v/>
      </c>
      <c r="J522" s="69" t="str">
        <f>IF(AND(A522="",B522=""),"",IF(A522="","Produit manquant",IF(COUNTIF(prod_ref,A522)=0,"Produit inconnu",IF(B522="","Matière manquante",IF(ISNA(MATCH(B522,mat_ref,0)),"Matière inconnue",IF(INDEX(mat_check,MATCH(B522,mat_ref,0))&lt;&gt;"OK","Matière à corriger",IF(OR(NOT(ISNUMBER(E522)),N(E522)&lt;=0),"Quantité invalide",IF(AND(F522&lt;&gt;"",OR(NOT(ISNUMBER(F522)),N(F522)&lt;0,N(F522)&gt;=1)),"Perte entre 0 et 99 %",IF(COUNTIFS(bom_prod,A522,bom_mat,B522)&gt;1,"Matière en double","OK")))))))))</f>
        <v/>
      </c>
      <c r="K522" s="71" t="str">
        <f>IF(AND(fiche_sel&lt;&gt;"",A522=fiche_sel),COUNTIF(A$6:A522,fiche_sel),"")</f>
        <v/>
      </c>
    </row>
    <row r="523">
      <c r="A523" s="60" t="n"/>
      <c r="B523" s="60" t="n"/>
      <c r="C523" s="71" t="str">
        <f>IF(B523="","",IFERROR(INDEX(mat_des,MATCH(B523,mat_ref,0))&amp;"","Matière inconnue"))</f>
        <v/>
      </c>
      <c r="D523" s="69" t="str">
        <f>IF(B523="","",IFERROR(INDEX(mat_unit,MATCH(B523,mat_ref,0))&amp;"",""))</f>
        <v/>
      </c>
      <c r="E523" s="72" t="n"/>
      <c r="F523" s="65" t="n"/>
      <c r="G523" s="68" t="str">
        <f>IF(J523&lt;&gt;"OK","",IF(F523="",N(INDEX(mat_loss,MATCH(B523,mat_ref,0))),F523))</f>
        <v/>
      </c>
      <c r="H523" s="66" t="str">
        <f>IF(J523&lt;&gt;"OK","",INDEX(mat_price,MATCH(B523,mat_ref,0)))</f>
        <v/>
      </c>
      <c r="I523" s="66" t="str">
        <f>IF(J523&lt;&gt;"OK","",E523*(1+G523)*H523)</f>
        <v/>
      </c>
      <c r="J523" s="69" t="str">
        <f>IF(AND(A523="",B523=""),"",IF(A523="","Produit manquant",IF(COUNTIF(prod_ref,A523)=0,"Produit inconnu",IF(B523="","Matière manquante",IF(ISNA(MATCH(B523,mat_ref,0)),"Matière inconnue",IF(INDEX(mat_check,MATCH(B523,mat_ref,0))&lt;&gt;"OK","Matière à corriger",IF(OR(NOT(ISNUMBER(E523)),N(E523)&lt;=0),"Quantité invalide",IF(AND(F523&lt;&gt;"",OR(NOT(ISNUMBER(F523)),N(F523)&lt;0,N(F523)&gt;=1)),"Perte entre 0 et 99 %",IF(COUNTIFS(bom_prod,A523,bom_mat,B523)&gt;1,"Matière en double","OK")))))))))</f>
        <v/>
      </c>
      <c r="K523" s="71" t="str">
        <f>IF(AND(fiche_sel&lt;&gt;"",A523=fiche_sel),COUNTIF(A$6:A523,fiche_sel),"")</f>
        <v/>
      </c>
    </row>
    <row r="524">
      <c r="A524" s="60" t="n"/>
      <c r="B524" s="60" t="n"/>
      <c r="C524" s="71" t="str">
        <f>IF(B524="","",IFERROR(INDEX(mat_des,MATCH(B524,mat_ref,0))&amp;"","Matière inconnue"))</f>
        <v/>
      </c>
      <c r="D524" s="69" t="str">
        <f>IF(B524="","",IFERROR(INDEX(mat_unit,MATCH(B524,mat_ref,0))&amp;"",""))</f>
        <v/>
      </c>
      <c r="E524" s="72" t="n"/>
      <c r="F524" s="65" t="n"/>
      <c r="G524" s="68" t="str">
        <f>IF(J524&lt;&gt;"OK","",IF(F524="",N(INDEX(mat_loss,MATCH(B524,mat_ref,0))),F524))</f>
        <v/>
      </c>
      <c r="H524" s="66" t="str">
        <f>IF(J524&lt;&gt;"OK","",INDEX(mat_price,MATCH(B524,mat_ref,0)))</f>
        <v/>
      </c>
      <c r="I524" s="66" t="str">
        <f>IF(J524&lt;&gt;"OK","",E524*(1+G524)*H524)</f>
        <v/>
      </c>
      <c r="J524" s="69" t="str">
        <f>IF(AND(A524="",B524=""),"",IF(A524="","Produit manquant",IF(COUNTIF(prod_ref,A524)=0,"Produit inconnu",IF(B524="","Matière manquante",IF(ISNA(MATCH(B524,mat_ref,0)),"Matière inconnue",IF(INDEX(mat_check,MATCH(B524,mat_ref,0))&lt;&gt;"OK","Matière à corriger",IF(OR(NOT(ISNUMBER(E524)),N(E524)&lt;=0),"Quantité invalide",IF(AND(F524&lt;&gt;"",OR(NOT(ISNUMBER(F524)),N(F524)&lt;0,N(F524)&gt;=1)),"Perte entre 0 et 99 %",IF(COUNTIFS(bom_prod,A524,bom_mat,B524)&gt;1,"Matière en double","OK")))))))))</f>
        <v/>
      </c>
      <c r="K524" s="71" t="str">
        <f>IF(AND(fiche_sel&lt;&gt;"",A524=fiche_sel),COUNTIF(A$6:A524,fiche_sel),"")</f>
        <v/>
      </c>
    </row>
    <row r="525">
      <c r="A525" s="60" t="n"/>
      <c r="B525" s="60" t="n"/>
      <c r="C525" s="71" t="str">
        <f>IF(B525="","",IFERROR(INDEX(mat_des,MATCH(B525,mat_ref,0))&amp;"","Matière inconnue"))</f>
        <v/>
      </c>
      <c r="D525" s="69" t="str">
        <f>IF(B525="","",IFERROR(INDEX(mat_unit,MATCH(B525,mat_ref,0))&amp;"",""))</f>
        <v/>
      </c>
      <c r="E525" s="72" t="n"/>
      <c r="F525" s="65" t="n"/>
      <c r="G525" s="68" t="str">
        <f>IF(J525&lt;&gt;"OK","",IF(F525="",N(INDEX(mat_loss,MATCH(B525,mat_ref,0))),F525))</f>
        <v/>
      </c>
      <c r="H525" s="66" t="str">
        <f>IF(J525&lt;&gt;"OK","",INDEX(mat_price,MATCH(B525,mat_ref,0)))</f>
        <v/>
      </c>
      <c r="I525" s="66" t="str">
        <f>IF(J525&lt;&gt;"OK","",E525*(1+G525)*H525)</f>
        <v/>
      </c>
      <c r="J525" s="69" t="str">
        <f>IF(AND(A525="",B525=""),"",IF(A525="","Produit manquant",IF(COUNTIF(prod_ref,A525)=0,"Produit inconnu",IF(B525="","Matière manquante",IF(ISNA(MATCH(B525,mat_ref,0)),"Matière inconnue",IF(INDEX(mat_check,MATCH(B525,mat_ref,0))&lt;&gt;"OK","Matière à corriger",IF(OR(NOT(ISNUMBER(E525)),N(E525)&lt;=0),"Quantité invalide",IF(AND(F525&lt;&gt;"",OR(NOT(ISNUMBER(F525)),N(F525)&lt;0,N(F525)&gt;=1)),"Perte entre 0 et 99 %",IF(COUNTIFS(bom_prod,A525,bom_mat,B525)&gt;1,"Matière en double","OK")))))))))</f>
        <v/>
      </c>
      <c r="K525" s="71" t="str">
        <f>IF(AND(fiche_sel&lt;&gt;"",A525=fiche_sel),COUNTIF(A$6:A525,fiche_sel),"")</f>
        <v/>
      </c>
    </row>
    <row r="526">
      <c r="A526" s="60" t="n"/>
      <c r="B526" s="60" t="n"/>
      <c r="C526" s="71" t="str">
        <f>IF(B526="","",IFERROR(INDEX(mat_des,MATCH(B526,mat_ref,0))&amp;"","Matière inconnue"))</f>
        <v/>
      </c>
      <c r="D526" s="69" t="str">
        <f>IF(B526="","",IFERROR(INDEX(mat_unit,MATCH(B526,mat_ref,0))&amp;"",""))</f>
        <v/>
      </c>
      <c r="E526" s="72" t="n"/>
      <c r="F526" s="65" t="n"/>
      <c r="G526" s="68" t="str">
        <f>IF(J526&lt;&gt;"OK","",IF(F526="",N(INDEX(mat_loss,MATCH(B526,mat_ref,0))),F526))</f>
        <v/>
      </c>
      <c r="H526" s="66" t="str">
        <f>IF(J526&lt;&gt;"OK","",INDEX(mat_price,MATCH(B526,mat_ref,0)))</f>
        <v/>
      </c>
      <c r="I526" s="66" t="str">
        <f>IF(J526&lt;&gt;"OK","",E526*(1+G526)*H526)</f>
        <v/>
      </c>
      <c r="J526" s="69" t="str">
        <f>IF(AND(A526="",B526=""),"",IF(A526="","Produit manquant",IF(COUNTIF(prod_ref,A526)=0,"Produit inconnu",IF(B526="","Matière manquante",IF(ISNA(MATCH(B526,mat_ref,0)),"Matière inconnue",IF(INDEX(mat_check,MATCH(B526,mat_ref,0))&lt;&gt;"OK","Matière à corriger",IF(OR(NOT(ISNUMBER(E526)),N(E526)&lt;=0),"Quantité invalide",IF(AND(F526&lt;&gt;"",OR(NOT(ISNUMBER(F526)),N(F526)&lt;0,N(F526)&gt;=1)),"Perte entre 0 et 99 %",IF(COUNTIFS(bom_prod,A526,bom_mat,B526)&gt;1,"Matière en double","OK")))))))))</f>
        <v/>
      </c>
      <c r="K526" s="71" t="str">
        <f>IF(AND(fiche_sel&lt;&gt;"",A526=fiche_sel),COUNTIF(A$6:A526,fiche_sel),"")</f>
        <v/>
      </c>
    </row>
    <row r="527">
      <c r="A527" s="60" t="n"/>
      <c r="B527" s="60" t="n"/>
      <c r="C527" s="71" t="str">
        <f>IF(B527="","",IFERROR(INDEX(mat_des,MATCH(B527,mat_ref,0))&amp;"","Matière inconnue"))</f>
        <v/>
      </c>
      <c r="D527" s="69" t="str">
        <f>IF(B527="","",IFERROR(INDEX(mat_unit,MATCH(B527,mat_ref,0))&amp;"",""))</f>
        <v/>
      </c>
      <c r="E527" s="72" t="n"/>
      <c r="F527" s="65" t="n"/>
      <c r="G527" s="68" t="str">
        <f>IF(J527&lt;&gt;"OK","",IF(F527="",N(INDEX(mat_loss,MATCH(B527,mat_ref,0))),F527))</f>
        <v/>
      </c>
      <c r="H527" s="66" t="str">
        <f>IF(J527&lt;&gt;"OK","",INDEX(mat_price,MATCH(B527,mat_ref,0)))</f>
        <v/>
      </c>
      <c r="I527" s="66" t="str">
        <f>IF(J527&lt;&gt;"OK","",E527*(1+G527)*H527)</f>
        <v/>
      </c>
      <c r="J527" s="69" t="str">
        <f>IF(AND(A527="",B527=""),"",IF(A527="","Produit manquant",IF(COUNTIF(prod_ref,A527)=0,"Produit inconnu",IF(B527="","Matière manquante",IF(ISNA(MATCH(B527,mat_ref,0)),"Matière inconnue",IF(INDEX(mat_check,MATCH(B527,mat_ref,0))&lt;&gt;"OK","Matière à corriger",IF(OR(NOT(ISNUMBER(E527)),N(E527)&lt;=0),"Quantité invalide",IF(AND(F527&lt;&gt;"",OR(NOT(ISNUMBER(F527)),N(F527)&lt;0,N(F527)&gt;=1)),"Perte entre 0 et 99 %",IF(COUNTIFS(bom_prod,A527,bom_mat,B527)&gt;1,"Matière en double","OK")))))))))</f>
        <v/>
      </c>
      <c r="K527" s="71" t="str">
        <f>IF(AND(fiche_sel&lt;&gt;"",A527=fiche_sel),COUNTIF(A$6:A527,fiche_sel),"")</f>
        <v/>
      </c>
    </row>
    <row r="528">
      <c r="A528" s="60" t="n"/>
      <c r="B528" s="60" t="n"/>
      <c r="C528" s="71" t="str">
        <f>IF(B528="","",IFERROR(INDEX(mat_des,MATCH(B528,mat_ref,0))&amp;"","Matière inconnue"))</f>
        <v/>
      </c>
      <c r="D528" s="69" t="str">
        <f>IF(B528="","",IFERROR(INDEX(mat_unit,MATCH(B528,mat_ref,0))&amp;"",""))</f>
        <v/>
      </c>
      <c r="E528" s="72" t="n"/>
      <c r="F528" s="65" t="n"/>
      <c r="G528" s="68" t="str">
        <f>IF(J528&lt;&gt;"OK","",IF(F528="",N(INDEX(mat_loss,MATCH(B528,mat_ref,0))),F528))</f>
        <v/>
      </c>
      <c r="H528" s="66" t="str">
        <f>IF(J528&lt;&gt;"OK","",INDEX(mat_price,MATCH(B528,mat_ref,0)))</f>
        <v/>
      </c>
      <c r="I528" s="66" t="str">
        <f>IF(J528&lt;&gt;"OK","",E528*(1+G528)*H528)</f>
        <v/>
      </c>
      <c r="J528" s="69" t="str">
        <f>IF(AND(A528="",B528=""),"",IF(A528="","Produit manquant",IF(COUNTIF(prod_ref,A528)=0,"Produit inconnu",IF(B528="","Matière manquante",IF(ISNA(MATCH(B528,mat_ref,0)),"Matière inconnue",IF(INDEX(mat_check,MATCH(B528,mat_ref,0))&lt;&gt;"OK","Matière à corriger",IF(OR(NOT(ISNUMBER(E528)),N(E528)&lt;=0),"Quantité invalide",IF(AND(F528&lt;&gt;"",OR(NOT(ISNUMBER(F528)),N(F528)&lt;0,N(F528)&gt;=1)),"Perte entre 0 et 99 %",IF(COUNTIFS(bom_prod,A528,bom_mat,B528)&gt;1,"Matière en double","OK")))))))))</f>
        <v/>
      </c>
      <c r="K528" s="71" t="str">
        <f>IF(AND(fiche_sel&lt;&gt;"",A528=fiche_sel),COUNTIF(A$6:A528,fiche_sel),"")</f>
        <v/>
      </c>
    </row>
    <row r="529">
      <c r="A529" s="60" t="n"/>
      <c r="B529" s="60" t="n"/>
      <c r="C529" s="71" t="str">
        <f>IF(B529="","",IFERROR(INDEX(mat_des,MATCH(B529,mat_ref,0))&amp;"","Matière inconnue"))</f>
        <v/>
      </c>
      <c r="D529" s="69" t="str">
        <f>IF(B529="","",IFERROR(INDEX(mat_unit,MATCH(B529,mat_ref,0))&amp;"",""))</f>
        <v/>
      </c>
      <c r="E529" s="72" t="n"/>
      <c r="F529" s="65" t="n"/>
      <c r="G529" s="68" t="str">
        <f>IF(J529&lt;&gt;"OK","",IF(F529="",N(INDEX(mat_loss,MATCH(B529,mat_ref,0))),F529))</f>
        <v/>
      </c>
      <c r="H529" s="66" t="str">
        <f>IF(J529&lt;&gt;"OK","",INDEX(mat_price,MATCH(B529,mat_ref,0)))</f>
        <v/>
      </c>
      <c r="I529" s="66" t="str">
        <f>IF(J529&lt;&gt;"OK","",E529*(1+G529)*H529)</f>
        <v/>
      </c>
      <c r="J529" s="69" t="str">
        <f>IF(AND(A529="",B529=""),"",IF(A529="","Produit manquant",IF(COUNTIF(prod_ref,A529)=0,"Produit inconnu",IF(B529="","Matière manquante",IF(ISNA(MATCH(B529,mat_ref,0)),"Matière inconnue",IF(INDEX(mat_check,MATCH(B529,mat_ref,0))&lt;&gt;"OK","Matière à corriger",IF(OR(NOT(ISNUMBER(E529)),N(E529)&lt;=0),"Quantité invalide",IF(AND(F529&lt;&gt;"",OR(NOT(ISNUMBER(F529)),N(F529)&lt;0,N(F529)&gt;=1)),"Perte entre 0 et 99 %",IF(COUNTIFS(bom_prod,A529,bom_mat,B529)&gt;1,"Matière en double","OK")))))))))</f>
        <v/>
      </c>
      <c r="K529" s="71" t="str">
        <f>IF(AND(fiche_sel&lt;&gt;"",A529=fiche_sel),COUNTIF(A$6:A529,fiche_sel),"")</f>
        <v/>
      </c>
    </row>
    <row r="530">
      <c r="A530" s="60" t="n"/>
      <c r="B530" s="60" t="n"/>
      <c r="C530" s="71" t="str">
        <f>IF(B530="","",IFERROR(INDEX(mat_des,MATCH(B530,mat_ref,0))&amp;"","Matière inconnue"))</f>
        <v/>
      </c>
      <c r="D530" s="69" t="str">
        <f>IF(B530="","",IFERROR(INDEX(mat_unit,MATCH(B530,mat_ref,0))&amp;"",""))</f>
        <v/>
      </c>
      <c r="E530" s="72" t="n"/>
      <c r="F530" s="65" t="n"/>
      <c r="G530" s="68" t="str">
        <f>IF(J530&lt;&gt;"OK","",IF(F530="",N(INDEX(mat_loss,MATCH(B530,mat_ref,0))),F530))</f>
        <v/>
      </c>
      <c r="H530" s="66" t="str">
        <f>IF(J530&lt;&gt;"OK","",INDEX(mat_price,MATCH(B530,mat_ref,0)))</f>
        <v/>
      </c>
      <c r="I530" s="66" t="str">
        <f>IF(J530&lt;&gt;"OK","",E530*(1+G530)*H530)</f>
        <v/>
      </c>
      <c r="J530" s="69" t="str">
        <f>IF(AND(A530="",B530=""),"",IF(A530="","Produit manquant",IF(COUNTIF(prod_ref,A530)=0,"Produit inconnu",IF(B530="","Matière manquante",IF(ISNA(MATCH(B530,mat_ref,0)),"Matière inconnue",IF(INDEX(mat_check,MATCH(B530,mat_ref,0))&lt;&gt;"OK","Matière à corriger",IF(OR(NOT(ISNUMBER(E530)),N(E530)&lt;=0),"Quantité invalide",IF(AND(F530&lt;&gt;"",OR(NOT(ISNUMBER(F530)),N(F530)&lt;0,N(F530)&gt;=1)),"Perte entre 0 et 99 %",IF(COUNTIFS(bom_prod,A530,bom_mat,B530)&gt;1,"Matière en double","OK")))))))))</f>
        <v/>
      </c>
      <c r="K530" s="71" t="str">
        <f>IF(AND(fiche_sel&lt;&gt;"",A530=fiche_sel),COUNTIF(A$6:A530,fiche_sel),"")</f>
        <v/>
      </c>
    </row>
    <row r="531">
      <c r="A531" s="60" t="n"/>
      <c r="B531" s="60" t="n"/>
      <c r="C531" s="71" t="str">
        <f>IF(B531="","",IFERROR(INDEX(mat_des,MATCH(B531,mat_ref,0))&amp;"","Matière inconnue"))</f>
        <v/>
      </c>
      <c r="D531" s="69" t="str">
        <f>IF(B531="","",IFERROR(INDEX(mat_unit,MATCH(B531,mat_ref,0))&amp;"",""))</f>
        <v/>
      </c>
      <c r="E531" s="72" t="n"/>
      <c r="F531" s="65" t="n"/>
      <c r="G531" s="68" t="str">
        <f>IF(J531&lt;&gt;"OK","",IF(F531="",N(INDEX(mat_loss,MATCH(B531,mat_ref,0))),F531))</f>
        <v/>
      </c>
      <c r="H531" s="66" t="str">
        <f>IF(J531&lt;&gt;"OK","",INDEX(mat_price,MATCH(B531,mat_ref,0)))</f>
        <v/>
      </c>
      <c r="I531" s="66" t="str">
        <f>IF(J531&lt;&gt;"OK","",E531*(1+G531)*H531)</f>
        <v/>
      </c>
      <c r="J531" s="69" t="str">
        <f>IF(AND(A531="",B531=""),"",IF(A531="","Produit manquant",IF(COUNTIF(prod_ref,A531)=0,"Produit inconnu",IF(B531="","Matière manquante",IF(ISNA(MATCH(B531,mat_ref,0)),"Matière inconnue",IF(INDEX(mat_check,MATCH(B531,mat_ref,0))&lt;&gt;"OK","Matière à corriger",IF(OR(NOT(ISNUMBER(E531)),N(E531)&lt;=0),"Quantité invalide",IF(AND(F531&lt;&gt;"",OR(NOT(ISNUMBER(F531)),N(F531)&lt;0,N(F531)&gt;=1)),"Perte entre 0 et 99 %",IF(COUNTIFS(bom_prod,A531,bom_mat,B531)&gt;1,"Matière en double","OK")))))))))</f>
        <v/>
      </c>
      <c r="K531" s="71" t="str">
        <f>IF(AND(fiche_sel&lt;&gt;"",A531=fiche_sel),COUNTIF(A$6:A531,fiche_sel),"")</f>
        <v/>
      </c>
    </row>
    <row r="532">
      <c r="A532" s="60" t="n"/>
      <c r="B532" s="60" t="n"/>
      <c r="C532" s="71" t="str">
        <f>IF(B532="","",IFERROR(INDEX(mat_des,MATCH(B532,mat_ref,0))&amp;"","Matière inconnue"))</f>
        <v/>
      </c>
      <c r="D532" s="69" t="str">
        <f>IF(B532="","",IFERROR(INDEX(mat_unit,MATCH(B532,mat_ref,0))&amp;"",""))</f>
        <v/>
      </c>
      <c r="E532" s="72" t="n"/>
      <c r="F532" s="65" t="n"/>
      <c r="G532" s="68" t="str">
        <f>IF(J532&lt;&gt;"OK","",IF(F532="",N(INDEX(mat_loss,MATCH(B532,mat_ref,0))),F532))</f>
        <v/>
      </c>
      <c r="H532" s="66" t="str">
        <f>IF(J532&lt;&gt;"OK","",INDEX(mat_price,MATCH(B532,mat_ref,0)))</f>
        <v/>
      </c>
      <c r="I532" s="66" t="str">
        <f>IF(J532&lt;&gt;"OK","",E532*(1+G532)*H532)</f>
        <v/>
      </c>
      <c r="J532" s="69" t="str">
        <f>IF(AND(A532="",B532=""),"",IF(A532="","Produit manquant",IF(COUNTIF(prod_ref,A532)=0,"Produit inconnu",IF(B532="","Matière manquante",IF(ISNA(MATCH(B532,mat_ref,0)),"Matière inconnue",IF(INDEX(mat_check,MATCH(B532,mat_ref,0))&lt;&gt;"OK","Matière à corriger",IF(OR(NOT(ISNUMBER(E532)),N(E532)&lt;=0),"Quantité invalide",IF(AND(F532&lt;&gt;"",OR(NOT(ISNUMBER(F532)),N(F532)&lt;0,N(F532)&gt;=1)),"Perte entre 0 et 99 %",IF(COUNTIFS(bom_prod,A532,bom_mat,B532)&gt;1,"Matière en double","OK")))))))))</f>
        <v/>
      </c>
      <c r="K532" s="71" t="str">
        <f>IF(AND(fiche_sel&lt;&gt;"",A532=fiche_sel),COUNTIF(A$6:A532,fiche_sel),"")</f>
        <v/>
      </c>
    </row>
    <row r="533">
      <c r="A533" s="60" t="n"/>
      <c r="B533" s="60" t="n"/>
      <c r="C533" s="71" t="str">
        <f>IF(B533="","",IFERROR(INDEX(mat_des,MATCH(B533,mat_ref,0))&amp;"","Matière inconnue"))</f>
        <v/>
      </c>
      <c r="D533" s="69" t="str">
        <f>IF(B533="","",IFERROR(INDEX(mat_unit,MATCH(B533,mat_ref,0))&amp;"",""))</f>
        <v/>
      </c>
      <c r="E533" s="72" t="n"/>
      <c r="F533" s="65" t="n"/>
      <c r="G533" s="68" t="str">
        <f>IF(J533&lt;&gt;"OK","",IF(F533="",N(INDEX(mat_loss,MATCH(B533,mat_ref,0))),F533))</f>
        <v/>
      </c>
      <c r="H533" s="66" t="str">
        <f>IF(J533&lt;&gt;"OK","",INDEX(mat_price,MATCH(B533,mat_ref,0)))</f>
        <v/>
      </c>
      <c r="I533" s="66" t="str">
        <f>IF(J533&lt;&gt;"OK","",E533*(1+G533)*H533)</f>
        <v/>
      </c>
      <c r="J533" s="69" t="str">
        <f>IF(AND(A533="",B533=""),"",IF(A533="","Produit manquant",IF(COUNTIF(prod_ref,A533)=0,"Produit inconnu",IF(B533="","Matière manquante",IF(ISNA(MATCH(B533,mat_ref,0)),"Matière inconnue",IF(INDEX(mat_check,MATCH(B533,mat_ref,0))&lt;&gt;"OK","Matière à corriger",IF(OR(NOT(ISNUMBER(E533)),N(E533)&lt;=0),"Quantité invalide",IF(AND(F533&lt;&gt;"",OR(NOT(ISNUMBER(F533)),N(F533)&lt;0,N(F533)&gt;=1)),"Perte entre 0 et 99 %",IF(COUNTIFS(bom_prod,A533,bom_mat,B533)&gt;1,"Matière en double","OK")))))))))</f>
        <v/>
      </c>
      <c r="K533" s="71" t="str">
        <f>IF(AND(fiche_sel&lt;&gt;"",A533=fiche_sel),COUNTIF(A$6:A533,fiche_sel),"")</f>
        <v/>
      </c>
    </row>
    <row r="534">
      <c r="A534" s="60" t="n"/>
      <c r="B534" s="60" t="n"/>
      <c r="C534" s="71" t="str">
        <f>IF(B534="","",IFERROR(INDEX(mat_des,MATCH(B534,mat_ref,0))&amp;"","Matière inconnue"))</f>
        <v/>
      </c>
      <c r="D534" s="69" t="str">
        <f>IF(B534="","",IFERROR(INDEX(mat_unit,MATCH(B534,mat_ref,0))&amp;"",""))</f>
        <v/>
      </c>
      <c r="E534" s="72" t="n"/>
      <c r="F534" s="65" t="n"/>
      <c r="G534" s="68" t="str">
        <f>IF(J534&lt;&gt;"OK","",IF(F534="",N(INDEX(mat_loss,MATCH(B534,mat_ref,0))),F534))</f>
        <v/>
      </c>
      <c r="H534" s="66" t="str">
        <f>IF(J534&lt;&gt;"OK","",INDEX(mat_price,MATCH(B534,mat_ref,0)))</f>
        <v/>
      </c>
      <c r="I534" s="66" t="str">
        <f>IF(J534&lt;&gt;"OK","",E534*(1+G534)*H534)</f>
        <v/>
      </c>
      <c r="J534" s="69" t="str">
        <f>IF(AND(A534="",B534=""),"",IF(A534="","Produit manquant",IF(COUNTIF(prod_ref,A534)=0,"Produit inconnu",IF(B534="","Matière manquante",IF(ISNA(MATCH(B534,mat_ref,0)),"Matière inconnue",IF(INDEX(mat_check,MATCH(B534,mat_ref,0))&lt;&gt;"OK","Matière à corriger",IF(OR(NOT(ISNUMBER(E534)),N(E534)&lt;=0),"Quantité invalide",IF(AND(F534&lt;&gt;"",OR(NOT(ISNUMBER(F534)),N(F534)&lt;0,N(F534)&gt;=1)),"Perte entre 0 et 99 %",IF(COUNTIFS(bom_prod,A534,bom_mat,B534)&gt;1,"Matière en double","OK")))))))))</f>
        <v/>
      </c>
      <c r="K534" s="71" t="str">
        <f>IF(AND(fiche_sel&lt;&gt;"",A534=fiche_sel),COUNTIF(A$6:A534,fiche_sel),"")</f>
        <v/>
      </c>
    </row>
    <row r="535">
      <c r="A535" s="60" t="n"/>
      <c r="B535" s="60" t="n"/>
      <c r="C535" s="71" t="str">
        <f>IF(B535="","",IFERROR(INDEX(mat_des,MATCH(B535,mat_ref,0))&amp;"","Matière inconnue"))</f>
        <v/>
      </c>
      <c r="D535" s="69" t="str">
        <f>IF(B535="","",IFERROR(INDEX(mat_unit,MATCH(B535,mat_ref,0))&amp;"",""))</f>
        <v/>
      </c>
      <c r="E535" s="72" t="n"/>
      <c r="F535" s="65" t="n"/>
      <c r="G535" s="68" t="str">
        <f>IF(J535&lt;&gt;"OK","",IF(F535="",N(INDEX(mat_loss,MATCH(B535,mat_ref,0))),F535))</f>
        <v/>
      </c>
      <c r="H535" s="66" t="str">
        <f>IF(J535&lt;&gt;"OK","",INDEX(mat_price,MATCH(B535,mat_ref,0)))</f>
        <v/>
      </c>
      <c r="I535" s="66" t="str">
        <f>IF(J535&lt;&gt;"OK","",E535*(1+G535)*H535)</f>
        <v/>
      </c>
      <c r="J535" s="69" t="str">
        <f>IF(AND(A535="",B535=""),"",IF(A535="","Produit manquant",IF(COUNTIF(prod_ref,A535)=0,"Produit inconnu",IF(B535="","Matière manquante",IF(ISNA(MATCH(B535,mat_ref,0)),"Matière inconnue",IF(INDEX(mat_check,MATCH(B535,mat_ref,0))&lt;&gt;"OK","Matière à corriger",IF(OR(NOT(ISNUMBER(E535)),N(E535)&lt;=0),"Quantité invalide",IF(AND(F535&lt;&gt;"",OR(NOT(ISNUMBER(F535)),N(F535)&lt;0,N(F535)&gt;=1)),"Perte entre 0 et 99 %",IF(COUNTIFS(bom_prod,A535,bom_mat,B535)&gt;1,"Matière en double","OK")))))))))</f>
        <v/>
      </c>
      <c r="K535" s="71" t="str">
        <f>IF(AND(fiche_sel&lt;&gt;"",A535=fiche_sel),COUNTIF(A$6:A535,fiche_sel),"")</f>
        <v/>
      </c>
    </row>
    <row r="536">
      <c r="A536" s="60" t="n"/>
      <c r="B536" s="60" t="n"/>
      <c r="C536" s="71" t="str">
        <f>IF(B536="","",IFERROR(INDEX(mat_des,MATCH(B536,mat_ref,0))&amp;"","Matière inconnue"))</f>
        <v/>
      </c>
      <c r="D536" s="69" t="str">
        <f>IF(B536="","",IFERROR(INDEX(mat_unit,MATCH(B536,mat_ref,0))&amp;"",""))</f>
        <v/>
      </c>
      <c r="E536" s="72" t="n"/>
      <c r="F536" s="65" t="n"/>
      <c r="G536" s="68" t="str">
        <f>IF(J536&lt;&gt;"OK","",IF(F536="",N(INDEX(mat_loss,MATCH(B536,mat_ref,0))),F536))</f>
        <v/>
      </c>
      <c r="H536" s="66" t="str">
        <f>IF(J536&lt;&gt;"OK","",INDEX(mat_price,MATCH(B536,mat_ref,0)))</f>
        <v/>
      </c>
      <c r="I536" s="66" t="str">
        <f>IF(J536&lt;&gt;"OK","",E536*(1+G536)*H536)</f>
        <v/>
      </c>
      <c r="J536" s="69" t="str">
        <f>IF(AND(A536="",B536=""),"",IF(A536="","Produit manquant",IF(COUNTIF(prod_ref,A536)=0,"Produit inconnu",IF(B536="","Matière manquante",IF(ISNA(MATCH(B536,mat_ref,0)),"Matière inconnue",IF(INDEX(mat_check,MATCH(B536,mat_ref,0))&lt;&gt;"OK","Matière à corriger",IF(OR(NOT(ISNUMBER(E536)),N(E536)&lt;=0),"Quantité invalide",IF(AND(F536&lt;&gt;"",OR(NOT(ISNUMBER(F536)),N(F536)&lt;0,N(F536)&gt;=1)),"Perte entre 0 et 99 %",IF(COUNTIFS(bom_prod,A536,bom_mat,B536)&gt;1,"Matière en double","OK")))))))))</f>
        <v/>
      </c>
      <c r="K536" s="71" t="str">
        <f>IF(AND(fiche_sel&lt;&gt;"",A536=fiche_sel),COUNTIF(A$6:A536,fiche_sel),"")</f>
        <v/>
      </c>
    </row>
    <row r="537">
      <c r="A537" s="60" t="n"/>
      <c r="B537" s="60" t="n"/>
      <c r="C537" s="71" t="str">
        <f>IF(B537="","",IFERROR(INDEX(mat_des,MATCH(B537,mat_ref,0))&amp;"","Matière inconnue"))</f>
        <v/>
      </c>
      <c r="D537" s="69" t="str">
        <f>IF(B537="","",IFERROR(INDEX(mat_unit,MATCH(B537,mat_ref,0))&amp;"",""))</f>
        <v/>
      </c>
      <c r="E537" s="72" t="n"/>
      <c r="F537" s="65" t="n"/>
      <c r="G537" s="68" t="str">
        <f>IF(J537&lt;&gt;"OK","",IF(F537="",N(INDEX(mat_loss,MATCH(B537,mat_ref,0))),F537))</f>
        <v/>
      </c>
      <c r="H537" s="66" t="str">
        <f>IF(J537&lt;&gt;"OK","",INDEX(mat_price,MATCH(B537,mat_ref,0)))</f>
        <v/>
      </c>
      <c r="I537" s="66" t="str">
        <f>IF(J537&lt;&gt;"OK","",E537*(1+G537)*H537)</f>
        <v/>
      </c>
      <c r="J537" s="69" t="str">
        <f>IF(AND(A537="",B537=""),"",IF(A537="","Produit manquant",IF(COUNTIF(prod_ref,A537)=0,"Produit inconnu",IF(B537="","Matière manquante",IF(ISNA(MATCH(B537,mat_ref,0)),"Matière inconnue",IF(INDEX(mat_check,MATCH(B537,mat_ref,0))&lt;&gt;"OK","Matière à corriger",IF(OR(NOT(ISNUMBER(E537)),N(E537)&lt;=0),"Quantité invalide",IF(AND(F537&lt;&gt;"",OR(NOT(ISNUMBER(F537)),N(F537)&lt;0,N(F537)&gt;=1)),"Perte entre 0 et 99 %",IF(COUNTIFS(bom_prod,A537,bom_mat,B537)&gt;1,"Matière en double","OK")))))))))</f>
        <v/>
      </c>
      <c r="K537" s="71" t="str">
        <f>IF(AND(fiche_sel&lt;&gt;"",A537=fiche_sel),COUNTIF(A$6:A537,fiche_sel),"")</f>
        <v/>
      </c>
    </row>
    <row r="538">
      <c r="A538" s="60" t="n"/>
      <c r="B538" s="60" t="n"/>
      <c r="C538" s="71" t="str">
        <f>IF(B538="","",IFERROR(INDEX(mat_des,MATCH(B538,mat_ref,0))&amp;"","Matière inconnue"))</f>
        <v/>
      </c>
      <c r="D538" s="69" t="str">
        <f>IF(B538="","",IFERROR(INDEX(mat_unit,MATCH(B538,mat_ref,0))&amp;"",""))</f>
        <v/>
      </c>
      <c r="E538" s="72" t="n"/>
      <c r="F538" s="65" t="n"/>
      <c r="G538" s="68" t="str">
        <f>IF(J538&lt;&gt;"OK","",IF(F538="",N(INDEX(mat_loss,MATCH(B538,mat_ref,0))),F538))</f>
        <v/>
      </c>
      <c r="H538" s="66" t="str">
        <f>IF(J538&lt;&gt;"OK","",INDEX(mat_price,MATCH(B538,mat_ref,0)))</f>
        <v/>
      </c>
      <c r="I538" s="66" t="str">
        <f>IF(J538&lt;&gt;"OK","",E538*(1+G538)*H538)</f>
        <v/>
      </c>
      <c r="J538" s="69" t="str">
        <f>IF(AND(A538="",B538=""),"",IF(A538="","Produit manquant",IF(COUNTIF(prod_ref,A538)=0,"Produit inconnu",IF(B538="","Matière manquante",IF(ISNA(MATCH(B538,mat_ref,0)),"Matière inconnue",IF(INDEX(mat_check,MATCH(B538,mat_ref,0))&lt;&gt;"OK","Matière à corriger",IF(OR(NOT(ISNUMBER(E538)),N(E538)&lt;=0),"Quantité invalide",IF(AND(F538&lt;&gt;"",OR(NOT(ISNUMBER(F538)),N(F538)&lt;0,N(F538)&gt;=1)),"Perte entre 0 et 99 %",IF(COUNTIFS(bom_prod,A538,bom_mat,B538)&gt;1,"Matière en double","OK")))))))))</f>
        <v/>
      </c>
      <c r="K538" s="71" t="str">
        <f>IF(AND(fiche_sel&lt;&gt;"",A538=fiche_sel),COUNTIF(A$6:A538,fiche_sel),"")</f>
        <v/>
      </c>
    </row>
    <row r="539">
      <c r="A539" s="60" t="n"/>
      <c r="B539" s="60" t="n"/>
      <c r="C539" s="71" t="str">
        <f>IF(B539="","",IFERROR(INDEX(mat_des,MATCH(B539,mat_ref,0))&amp;"","Matière inconnue"))</f>
        <v/>
      </c>
      <c r="D539" s="69" t="str">
        <f>IF(B539="","",IFERROR(INDEX(mat_unit,MATCH(B539,mat_ref,0))&amp;"",""))</f>
        <v/>
      </c>
      <c r="E539" s="72" t="n"/>
      <c r="F539" s="65" t="n"/>
      <c r="G539" s="68" t="str">
        <f>IF(J539&lt;&gt;"OK","",IF(F539="",N(INDEX(mat_loss,MATCH(B539,mat_ref,0))),F539))</f>
        <v/>
      </c>
      <c r="H539" s="66" t="str">
        <f>IF(J539&lt;&gt;"OK","",INDEX(mat_price,MATCH(B539,mat_ref,0)))</f>
        <v/>
      </c>
      <c r="I539" s="66" t="str">
        <f>IF(J539&lt;&gt;"OK","",E539*(1+G539)*H539)</f>
        <v/>
      </c>
      <c r="J539" s="69" t="str">
        <f>IF(AND(A539="",B539=""),"",IF(A539="","Produit manquant",IF(COUNTIF(prod_ref,A539)=0,"Produit inconnu",IF(B539="","Matière manquante",IF(ISNA(MATCH(B539,mat_ref,0)),"Matière inconnue",IF(INDEX(mat_check,MATCH(B539,mat_ref,0))&lt;&gt;"OK","Matière à corriger",IF(OR(NOT(ISNUMBER(E539)),N(E539)&lt;=0),"Quantité invalide",IF(AND(F539&lt;&gt;"",OR(NOT(ISNUMBER(F539)),N(F539)&lt;0,N(F539)&gt;=1)),"Perte entre 0 et 99 %",IF(COUNTIFS(bom_prod,A539,bom_mat,B539)&gt;1,"Matière en double","OK")))))))))</f>
        <v/>
      </c>
      <c r="K539" s="71" t="str">
        <f>IF(AND(fiche_sel&lt;&gt;"",A539=fiche_sel),COUNTIF(A$6:A539,fiche_sel),"")</f>
        <v/>
      </c>
    </row>
    <row r="540">
      <c r="A540" s="60" t="n"/>
      <c r="B540" s="60" t="n"/>
      <c r="C540" s="71" t="str">
        <f>IF(B540="","",IFERROR(INDEX(mat_des,MATCH(B540,mat_ref,0))&amp;"","Matière inconnue"))</f>
        <v/>
      </c>
      <c r="D540" s="69" t="str">
        <f>IF(B540="","",IFERROR(INDEX(mat_unit,MATCH(B540,mat_ref,0))&amp;"",""))</f>
        <v/>
      </c>
      <c r="E540" s="72" t="n"/>
      <c r="F540" s="65" t="n"/>
      <c r="G540" s="68" t="str">
        <f>IF(J540&lt;&gt;"OK","",IF(F540="",N(INDEX(mat_loss,MATCH(B540,mat_ref,0))),F540))</f>
        <v/>
      </c>
      <c r="H540" s="66" t="str">
        <f>IF(J540&lt;&gt;"OK","",INDEX(mat_price,MATCH(B540,mat_ref,0)))</f>
        <v/>
      </c>
      <c r="I540" s="66" t="str">
        <f>IF(J540&lt;&gt;"OK","",E540*(1+G540)*H540)</f>
        <v/>
      </c>
      <c r="J540" s="69" t="str">
        <f>IF(AND(A540="",B540=""),"",IF(A540="","Produit manquant",IF(COUNTIF(prod_ref,A540)=0,"Produit inconnu",IF(B540="","Matière manquante",IF(ISNA(MATCH(B540,mat_ref,0)),"Matière inconnue",IF(INDEX(mat_check,MATCH(B540,mat_ref,0))&lt;&gt;"OK","Matière à corriger",IF(OR(NOT(ISNUMBER(E540)),N(E540)&lt;=0),"Quantité invalide",IF(AND(F540&lt;&gt;"",OR(NOT(ISNUMBER(F540)),N(F540)&lt;0,N(F540)&gt;=1)),"Perte entre 0 et 99 %",IF(COUNTIFS(bom_prod,A540,bom_mat,B540)&gt;1,"Matière en double","OK")))))))))</f>
        <v/>
      </c>
      <c r="K540" s="71" t="str">
        <f>IF(AND(fiche_sel&lt;&gt;"",A540=fiche_sel),COUNTIF(A$6:A540,fiche_sel),"")</f>
        <v/>
      </c>
    </row>
    <row r="541">
      <c r="A541" s="60" t="n"/>
      <c r="B541" s="60" t="n"/>
      <c r="C541" s="71" t="str">
        <f>IF(B541="","",IFERROR(INDEX(mat_des,MATCH(B541,mat_ref,0))&amp;"","Matière inconnue"))</f>
        <v/>
      </c>
      <c r="D541" s="69" t="str">
        <f>IF(B541="","",IFERROR(INDEX(mat_unit,MATCH(B541,mat_ref,0))&amp;"",""))</f>
        <v/>
      </c>
      <c r="E541" s="72" t="n"/>
      <c r="F541" s="65" t="n"/>
      <c r="G541" s="68" t="str">
        <f>IF(J541&lt;&gt;"OK","",IF(F541="",N(INDEX(mat_loss,MATCH(B541,mat_ref,0))),F541))</f>
        <v/>
      </c>
      <c r="H541" s="66" t="str">
        <f>IF(J541&lt;&gt;"OK","",INDEX(mat_price,MATCH(B541,mat_ref,0)))</f>
        <v/>
      </c>
      <c r="I541" s="66" t="str">
        <f>IF(J541&lt;&gt;"OK","",E541*(1+G541)*H541)</f>
        <v/>
      </c>
      <c r="J541" s="69" t="str">
        <f>IF(AND(A541="",B541=""),"",IF(A541="","Produit manquant",IF(COUNTIF(prod_ref,A541)=0,"Produit inconnu",IF(B541="","Matière manquante",IF(ISNA(MATCH(B541,mat_ref,0)),"Matière inconnue",IF(INDEX(mat_check,MATCH(B541,mat_ref,0))&lt;&gt;"OK","Matière à corriger",IF(OR(NOT(ISNUMBER(E541)),N(E541)&lt;=0),"Quantité invalide",IF(AND(F541&lt;&gt;"",OR(NOT(ISNUMBER(F541)),N(F541)&lt;0,N(F541)&gt;=1)),"Perte entre 0 et 99 %",IF(COUNTIFS(bom_prod,A541,bom_mat,B541)&gt;1,"Matière en double","OK")))))))))</f>
        <v/>
      </c>
      <c r="K541" s="71" t="str">
        <f>IF(AND(fiche_sel&lt;&gt;"",A541=fiche_sel),COUNTIF(A$6:A541,fiche_sel),"")</f>
        <v/>
      </c>
    </row>
    <row r="542">
      <c r="A542" s="60" t="n"/>
      <c r="B542" s="60" t="n"/>
      <c r="C542" s="71" t="str">
        <f>IF(B542="","",IFERROR(INDEX(mat_des,MATCH(B542,mat_ref,0))&amp;"","Matière inconnue"))</f>
        <v/>
      </c>
      <c r="D542" s="69" t="str">
        <f>IF(B542="","",IFERROR(INDEX(mat_unit,MATCH(B542,mat_ref,0))&amp;"",""))</f>
        <v/>
      </c>
      <c r="E542" s="72" t="n"/>
      <c r="F542" s="65" t="n"/>
      <c r="G542" s="68" t="str">
        <f>IF(J542&lt;&gt;"OK","",IF(F542="",N(INDEX(mat_loss,MATCH(B542,mat_ref,0))),F542))</f>
        <v/>
      </c>
      <c r="H542" s="66" t="str">
        <f>IF(J542&lt;&gt;"OK","",INDEX(mat_price,MATCH(B542,mat_ref,0)))</f>
        <v/>
      </c>
      <c r="I542" s="66" t="str">
        <f>IF(J542&lt;&gt;"OK","",E542*(1+G542)*H542)</f>
        <v/>
      </c>
      <c r="J542" s="69" t="str">
        <f>IF(AND(A542="",B542=""),"",IF(A542="","Produit manquant",IF(COUNTIF(prod_ref,A542)=0,"Produit inconnu",IF(B542="","Matière manquante",IF(ISNA(MATCH(B542,mat_ref,0)),"Matière inconnue",IF(INDEX(mat_check,MATCH(B542,mat_ref,0))&lt;&gt;"OK","Matière à corriger",IF(OR(NOT(ISNUMBER(E542)),N(E542)&lt;=0),"Quantité invalide",IF(AND(F542&lt;&gt;"",OR(NOT(ISNUMBER(F542)),N(F542)&lt;0,N(F542)&gt;=1)),"Perte entre 0 et 99 %",IF(COUNTIFS(bom_prod,A542,bom_mat,B542)&gt;1,"Matière en double","OK")))))))))</f>
        <v/>
      </c>
      <c r="K542" s="71" t="str">
        <f>IF(AND(fiche_sel&lt;&gt;"",A542=fiche_sel),COUNTIF(A$6:A542,fiche_sel),"")</f>
        <v/>
      </c>
    </row>
    <row r="543">
      <c r="A543" s="60" t="n"/>
      <c r="B543" s="60" t="n"/>
      <c r="C543" s="71" t="str">
        <f>IF(B543="","",IFERROR(INDEX(mat_des,MATCH(B543,mat_ref,0))&amp;"","Matière inconnue"))</f>
        <v/>
      </c>
      <c r="D543" s="69" t="str">
        <f>IF(B543="","",IFERROR(INDEX(mat_unit,MATCH(B543,mat_ref,0))&amp;"",""))</f>
        <v/>
      </c>
      <c r="E543" s="72" t="n"/>
      <c r="F543" s="65" t="n"/>
      <c r="G543" s="68" t="str">
        <f>IF(J543&lt;&gt;"OK","",IF(F543="",N(INDEX(mat_loss,MATCH(B543,mat_ref,0))),F543))</f>
        <v/>
      </c>
      <c r="H543" s="66" t="str">
        <f>IF(J543&lt;&gt;"OK","",INDEX(mat_price,MATCH(B543,mat_ref,0)))</f>
        <v/>
      </c>
      <c r="I543" s="66" t="str">
        <f>IF(J543&lt;&gt;"OK","",E543*(1+G543)*H543)</f>
        <v/>
      </c>
      <c r="J543" s="69" t="str">
        <f>IF(AND(A543="",B543=""),"",IF(A543="","Produit manquant",IF(COUNTIF(prod_ref,A543)=0,"Produit inconnu",IF(B543="","Matière manquante",IF(ISNA(MATCH(B543,mat_ref,0)),"Matière inconnue",IF(INDEX(mat_check,MATCH(B543,mat_ref,0))&lt;&gt;"OK","Matière à corriger",IF(OR(NOT(ISNUMBER(E543)),N(E543)&lt;=0),"Quantité invalide",IF(AND(F543&lt;&gt;"",OR(NOT(ISNUMBER(F543)),N(F543)&lt;0,N(F543)&gt;=1)),"Perte entre 0 et 99 %",IF(COUNTIFS(bom_prod,A543,bom_mat,B543)&gt;1,"Matière en double","OK")))))))))</f>
        <v/>
      </c>
      <c r="K543" s="71" t="str">
        <f>IF(AND(fiche_sel&lt;&gt;"",A543=fiche_sel),COUNTIF(A$6:A543,fiche_sel),"")</f>
        <v/>
      </c>
    </row>
    <row r="544">
      <c r="A544" s="60" t="n"/>
      <c r="B544" s="60" t="n"/>
      <c r="C544" s="71" t="str">
        <f>IF(B544="","",IFERROR(INDEX(mat_des,MATCH(B544,mat_ref,0))&amp;"","Matière inconnue"))</f>
        <v/>
      </c>
      <c r="D544" s="69" t="str">
        <f>IF(B544="","",IFERROR(INDEX(mat_unit,MATCH(B544,mat_ref,0))&amp;"",""))</f>
        <v/>
      </c>
      <c r="E544" s="72" t="n"/>
      <c r="F544" s="65" t="n"/>
      <c r="G544" s="68" t="str">
        <f>IF(J544&lt;&gt;"OK","",IF(F544="",N(INDEX(mat_loss,MATCH(B544,mat_ref,0))),F544))</f>
        <v/>
      </c>
      <c r="H544" s="66" t="str">
        <f>IF(J544&lt;&gt;"OK","",INDEX(mat_price,MATCH(B544,mat_ref,0)))</f>
        <v/>
      </c>
      <c r="I544" s="66" t="str">
        <f>IF(J544&lt;&gt;"OK","",E544*(1+G544)*H544)</f>
        <v/>
      </c>
      <c r="J544" s="69" t="str">
        <f>IF(AND(A544="",B544=""),"",IF(A544="","Produit manquant",IF(COUNTIF(prod_ref,A544)=0,"Produit inconnu",IF(B544="","Matière manquante",IF(ISNA(MATCH(B544,mat_ref,0)),"Matière inconnue",IF(INDEX(mat_check,MATCH(B544,mat_ref,0))&lt;&gt;"OK","Matière à corriger",IF(OR(NOT(ISNUMBER(E544)),N(E544)&lt;=0),"Quantité invalide",IF(AND(F544&lt;&gt;"",OR(NOT(ISNUMBER(F544)),N(F544)&lt;0,N(F544)&gt;=1)),"Perte entre 0 et 99 %",IF(COUNTIFS(bom_prod,A544,bom_mat,B544)&gt;1,"Matière en double","OK")))))))))</f>
        <v/>
      </c>
      <c r="K544" s="71" t="str">
        <f>IF(AND(fiche_sel&lt;&gt;"",A544=fiche_sel),COUNTIF(A$6:A544,fiche_sel),"")</f>
        <v/>
      </c>
    </row>
    <row r="545">
      <c r="A545" s="60" t="n"/>
      <c r="B545" s="60" t="n"/>
      <c r="C545" s="71" t="str">
        <f>IF(B545="","",IFERROR(INDEX(mat_des,MATCH(B545,mat_ref,0))&amp;"","Matière inconnue"))</f>
        <v/>
      </c>
      <c r="D545" s="69" t="str">
        <f>IF(B545="","",IFERROR(INDEX(mat_unit,MATCH(B545,mat_ref,0))&amp;"",""))</f>
        <v/>
      </c>
      <c r="E545" s="72" t="n"/>
      <c r="F545" s="65" t="n"/>
      <c r="G545" s="68" t="str">
        <f>IF(J545&lt;&gt;"OK","",IF(F545="",N(INDEX(mat_loss,MATCH(B545,mat_ref,0))),F545))</f>
        <v/>
      </c>
      <c r="H545" s="66" t="str">
        <f>IF(J545&lt;&gt;"OK","",INDEX(mat_price,MATCH(B545,mat_ref,0)))</f>
        <v/>
      </c>
      <c r="I545" s="66" t="str">
        <f>IF(J545&lt;&gt;"OK","",E545*(1+G545)*H545)</f>
        <v/>
      </c>
      <c r="J545" s="69" t="str">
        <f>IF(AND(A545="",B545=""),"",IF(A545="","Produit manquant",IF(COUNTIF(prod_ref,A545)=0,"Produit inconnu",IF(B545="","Matière manquante",IF(ISNA(MATCH(B545,mat_ref,0)),"Matière inconnue",IF(INDEX(mat_check,MATCH(B545,mat_ref,0))&lt;&gt;"OK","Matière à corriger",IF(OR(NOT(ISNUMBER(E545)),N(E545)&lt;=0),"Quantité invalide",IF(AND(F545&lt;&gt;"",OR(NOT(ISNUMBER(F545)),N(F545)&lt;0,N(F545)&gt;=1)),"Perte entre 0 et 99 %",IF(COUNTIFS(bom_prod,A545,bom_mat,B545)&gt;1,"Matière en double","OK")))))))))</f>
        <v/>
      </c>
      <c r="K545" s="71" t="str">
        <f>IF(AND(fiche_sel&lt;&gt;"",A545=fiche_sel),COUNTIF(A$6:A545,fiche_sel),"")</f>
        <v/>
      </c>
    </row>
    <row r="546">
      <c r="A546" s="60" t="n"/>
      <c r="B546" s="60" t="n"/>
      <c r="C546" s="71" t="str">
        <f>IF(B546="","",IFERROR(INDEX(mat_des,MATCH(B546,mat_ref,0))&amp;"","Matière inconnue"))</f>
        <v/>
      </c>
      <c r="D546" s="69" t="str">
        <f>IF(B546="","",IFERROR(INDEX(mat_unit,MATCH(B546,mat_ref,0))&amp;"",""))</f>
        <v/>
      </c>
      <c r="E546" s="72" t="n"/>
      <c r="F546" s="65" t="n"/>
      <c r="G546" s="68" t="str">
        <f>IF(J546&lt;&gt;"OK","",IF(F546="",N(INDEX(mat_loss,MATCH(B546,mat_ref,0))),F546))</f>
        <v/>
      </c>
      <c r="H546" s="66" t="str">
        <f>IF(J546&lt;&gt;"OK","",INDEX(mat_price,MATCH(B546,mat_ref,0)))</f>
        <v/>
      </c>
      <c r="I546" s="66" t="str">
        <f>IF(J546&lt;&gt;"OK","",E546*(1+G546)*H546)</f>
        <v/>
      </c>
      <c r="J546" s="69" t="str">
        <f>IF(AND(A546="",B546=""),"",IF(A546="","Produit manquant",IF(COUNTIF(prod_ref,A546)=0,"Produit inconnu",IF(B546="","Matière manquante",IF(ISNA(MATCH(B546,mat_ref,0)),"Matière inconnue",IF(INDEX(mat_check,MATCH(B546,mat_ref,0))&lt;&gt;"OK","Matière à corriger",IF(OR(NOT(ISNUMBER(E546)),N(E546)&lt;=0),"Quantité invalide",IF(AND(F546&lt;&gt;"",OR(NOT(ISNUMBER(F546)),N(F546)&lt;0,N(F546)&gt;=1)),"Perte entre 0 et 99 %",IF(COUNTIFS(bom_prod,A546,bom_mat,B546)&gt;1,"Matière en double","OK")))))))))</f>
        <v/>
      </c>
      <c r="K546" s="71" t="str">
        <f>IF(AND(fiche_sel&lt;&gt;"",A546=fiche_sel),COUNTIF(A$6:A546,fiche_sel),"")</f>
        <v/>
      </c>
    </row>
    <row r="547">
      <c r="A547" s="60" t="n"/>
      <c r="B547" s="60" t="n"/>
      <c r="C547" s="71" t="str">
        <f>IF(B547="","",IFERROR(INDEX(mat_des,MATCH(B547,mat_ref,0))&amp;"","Matière inconnue"))</f>
        <v/>
      </c>
      <c r="D547" s="69" t="str">
        <f>IF(B547="","",IFERROR(INDEX(mat_unit,MATCH(B547,mat_ref,0))&amp;"",""))</f>
        <v/>
      </c>
      <c r="E547" s="72" t="n"/>
      <c r="F547" s="65" t="n"/>
      <c r="G547" s="68" t="str">
        <f>IF(J547&lt;&gt;"OK","",IF(F547="",N(INDEX(mat_loss,MATCH(B547,mat_ref,0))),F547))</f>
        <v/>
      </c>
      <c r="H547" s="66" t="str">
        <f>IF(J547&lt;&gt;"OK","",INDEX(mat_price,MATCH(B547,mat_ref,0)))</f>
        <v/>
      </c>
      <c r="I547" s="66" t="str">
        <f>IF(J547&lt;&gt;"OK","",E547*(1+G547)*H547)</f>
        <v/>
      </c>
      <c r="J547" s="69" t="str">
        <f>IF(AND(A547="",B547=""),"",IF(A547="","Produit manquant",IF(COUNTIF(prod_ref,A547)=0,"Produit inconnu",IF(B547="","Matière manquante",IF(ISNA(MATCH(B547,mat_ref,0)),"Matière inconnue",IF(INDEX(mat_check,MATCH(B547,mat_ref,0))&lt;&gt;"OK","Matière à corriger",IF(OR(NOT(ISNUMBER(E547)),N(E547)&lt;=0),"Quantité invalide",IF(AND(F547&lt;&gt;"",OR(NOT(ISNUMBER(F547)),N(F547)&lt;0,N(F547)&gt;=1)),"Perte entre 0 et 99 %",IF(COUNTIFS(bom_prod,A547,bom_mat,B547)&gt;1,"Matière en double","OK")))))))))</f>
        <v/>
      </c>
      <c r="K547" s="71" t="str">
        <f>IF(AND(fiche_sel&lt;&gt;"",A547=fiche_sel),COUNTIF(A$6:A547,fiche_sel),"")</f>
        <v/>
      </c>
    </row>
    <row r="548">
      <c r="A548" s="60" t="n"/>
      <c r="B548" s="60" t="n"/>
      <c r="C548" s="71" t="str">
        <f>IF(B548="","",IFERROR(INDEX(mat_des,MATCH(B548,mat_ref,0))&amp;"","Matière inconnue"))</f>
        <v/>
      </c>
      <c r="D548" s="69" t="str">
        <f>IF(B548="","",IFERROR(INDEX(mat_unit,MATCH(B548,mat_ref,0))&amp;"",""))</f>
        <v/>
      </c>
      <c r="E548" s="72" t="n"/>
      <c r="F548" s="65" t="n"/>
      <c r="G548" s="68" t="str">
        <f>IF(J548&lt;&gt;"OK","",IF(F548="",N(INDEX(mat_loss,MATCH(B548,mat_ref,0))),F548))</f>
        <v/>
      </c>
      <c r="H548" s="66" t="str">
        <f>IF(J548&lt;&gt;"OK","",INDEX(mat_price,MATCH(B548,mat_ref,0)))</f>
        <v/>
      </c>
      <c r="I548" s="66" t="str">
        <f>IF(J548&lt;&gt;"OK","",E548*(1+G548)*H548)</f>
        <v/>
      </c>
      <c r="J548" s="69" t="str">
        <f>IF(AND(A548="",B548=""),"",IF(A548="","Produit manquant",IF(COUNTIF(prod_ref,A548)=0,"Produit inconnu",IF(B548="","Matière manquante",IF(ISNA(MATCH(B548,mat_ref,0)),"Matière inconnue",IF(INDEX(mat_check,MATCH(B548,mat_ref,0))&lt;&gt;"OK","Matière à corriger",IF(OR(NOT(ISNUMBER(E548)),N(E548)&lt;=0),"Quantité invalide",IF(AND(F548&lt;&gt;"",OR(NOT(ISNUMBER(F548)),N(F548)&lt;0,N(F548)&gt;=1)),"Perte entre 0 et 99 %",IF(COUNTIFS(bom_prod,A548,bom_mat,B548)&gt;1,"Matière en double","OK")))))))))</f>
        <v/>
      </c>
      <c r="K548" s="71" t="str">
        <f>IF(AND(fiche_sel&lt;&gt;"",A548=fiche_sel),COUNTIF(A$6:A548,fiche_sel),"")</f>
        <v/>
      </c>
    </row>
    <row r="549">
      <c r="A549" s="60" t="n"/>
      <c r="B549" s="60" t="n"/>
      <c r="C549" s="71" t="str">
        <f>IF(B549="","",IFERROR(INDEX(mat_des,MATCH(B549,mat_ref,0))&amp;"","Matière inconnue"))</f>
        <v/>
      </c>
      <c r="D549" s="69" t="str">
        <f>IF(B549="","",IFERROR(INDEX(mat_unit,MATCH(B549,mat_ref,0))&amp;"",""))</f>
        <v/>
      </c>
      <c r="E549" s="72" t="n"/>
      <c r="F549" s="65" t="n"/>
      <c r="G549" s="68" t="str">
        <f>IF(J549&lt;&gt;"OK","",IF(F549="",N(INDEX(mat_loss,MATCH(B549,mat_ref,0))),F549))</f>
        <v/>
      </c>
      <c r="H549" s="66" t="str">
        <f>IF(J549&lt;&gt;"OK","",INDEX(mat_price,MATCH(B549,mat_ref,0)))</f>
        <v/>
      </c>
      <c r="I549" s="66" t="str">
        <f>IF(J549&lt;&gt;"OK","",E549*(1+G549)*H549)</f>
        <v/>
      </c>
      <c r="J549" s="69" t="str">
        <f>IF(AND(A549="",B549=""),"",IF(A549="","Produit manquant",IF(COUNTIF(prod_ref,A549)=0,"Produit inconnu",IF(B549="","Matière manquante",IF(ISNA(MATCH(B549,mat_ref,0)),"Matière inconnue",IF(INDEX(mat_check,MATCH(B549,mat_ref,0))&lt;&gt;"OK","Matière à corriger",IF(OR(NOT(ISNUMBER(E549)),N(E549)&lt;=0),"Quantité invalide",IF(AND(F549&lt;&gt;"",OR(NOT(ISNUMBER(F549)),N(F549)&lt;0,N(F549)&gt;=1)),"Perte entre 0 et 99 %",IF(COUNTIFS(bom_prod,A549,bom_mat,B549)&gt;1,"Matière en double","OK")))))))))</f>
        <v/>
      </c>
      <c r="K549" s="71" t="str">
        <f>IF(AND(fiche_sel&lt;&gt;"",A549=fiche_sel),COUNTIF(A$6:A549,fiche_sel),"")</f>
        <v/>
      </c>
    </row>
    <row r="550">
      <c r="A550" s="60" t="n"/>
      <c r="B550" s="60" t="n"/>
      <c r="C550" s="71" t="str">
        <f>IF(B550="","",IFERROR(INDEX(mat_des,MATCH(B550,mat_ref,0))&amp;"","Matière inconnue"))</f>
        <v/>
      </c>
      <c r="D550" s="69" t="str">
        <f>IF(B550="","",IFERROR(INDEX(mat_unit,MATCH(B550,mat_ref,0))&amp;"",""))</f>
        <v/>
      </c>
      <c r="E550" s="72" t="n"/>
      <c r="F550" s="65" t="n"/>
      <c r="G550" s="68" t="str">
        <f>IF(J550&lt;&gt;"OK","",IF(F550="",N(INDEX(mat_loss,MATCH(B550,mat_ref,0))),F550))</f>
        <v/>
      </c>
      <c r="H550" s="66" t="str">
        <f>IF(J550&lt;&gt;"OK","",INDEX(mat_price,MATCH(B550,mat_ref,0)))</f>
        <v/>
      </c>
      <c r="I550" s="66" t="str">
        <f>IF(J550&lt;&gt;"OK","",E550*(1+G550)*H550)</f>
        <v/>
      </c>
      <c r="J550" s="69" t="str">
        <f>IF(AND(A550="",B550=""),"",IF(A550="","Produit manquant",IF(COUNTIF(prod_ref,A550)=0,"Produit inconnu",IF(B550="","Matière manquante",IF(ISNA(MATCH(B550,mat_ref,0)),"Matière inconnue",IF(INDEX(mat_check,MATCH(B550,mat_ref,0))&lt;&gt;"OK","Matière à corriger",IF(OR(NOT(ISNUMBER(E550)),N(E550)&lt;=0),"Quantité invalide",IF(AND(F550&lt;&gt;"",OR(NOT(ISNUMBER(F550)),N(F550)&lt;0,N(F550)&gt;=1)),"Perte entre 0 et 99 %",IF(COUNTIFS(bom_prod,A550,bom_mat,B550)&gt;1,"Matière en double","OK")))))))))</f>
        <v/>
      </c>
      <c r="K550" s="71" t="str">
        <f>IF(AND(fiche_sel&lt;&gt;"",A550=fiche_sel),COUNTIF(A$6:A550,fiche_sel),"")</f>
        <v/>
      </c>
    </row>
    <row r="551">
      <c r="A551" s="60" t="n"/>
      <c r="B551" s="60" t="n"/>
      <c r="C551" s="71" t="str">
        <f>IF(B551="","",IFERROR(INDEX(mat_des,MATCH(B551,mat_ref,0))&amp;"","Matière inconnue"))</f>
        <v/>
      </c>
      <c r="D551" s="69" t="str">
        <f>IF(B551="","",IFERROR(INDEX(mat_unit,MATCH(B551,mat_ref,0))&amp;"",""))</f>
        <v/>
      </c>
      <c r="E551" s="72" t="n"/>
      <c r="F551" s="65" t="n"/>
      <c r="G551" s="68" t="str">
        <f>IF(J551&lt;&gt;"OK","",IF(F551="",N(INDEX(mat_loss,MATCH(B551,mat_ref,0))),F551))</f>
        <v/>
      </c>
      <c r="H551" s="66" t="str">
        <f>IF(J551&lt;&gt;"OK","",INDEX(mat_price,MATCH(B551,mat_ref,0)))</f>
        <v/>
      </c>
      <c r="I551" s="66" t="str">
        <f>IF(J551&lt;&gt;"OK","",E551*(1+G551)*H551)</f>
        <v/>
      </c>
      <c r="J551" s="69" t="str">
        <f>IF(AND(A551="",B551=""),"",IF(A551="","Produit manquant",IF(COUNTIF(prod_ref,A551)=0,"Produit inconnu",IF(B551="","Matière manquante",IF(ISNA(MATCH(B551,mat_ref,0)),"Matière inconnue",IF(INDEX(mat_check,MATCH(B551,mat_ref,0))&lt;&gt;"OK","Matière à corriger",IF(OR(NOT(ISNUMBER(E551)),N(E551)&lt;=0),"Quantité invalide",IF(AND(F551&lt;&gt;"",OR(NOT(ISNUMBER(F551)),N(F551)&lt;0,N(F551)&gt;=1)),"Perte entre 0 et 99 %",IF(COUNTIFS(bom_prod,A551,bom_mat,B551)&gt;1,"Matière en double","OK")))))))))</f>
        <v/>
      </c>
      <c r="K551" s="71" t="str">
        <f>IF(AND(fiche_sel&lt;&gt;"",A551=fiche_sel),COUNTIF(A$6:A551,fiche_sel),"")</f>
        <v/>
      </c>
    </row>
    <row r="552">
      <c r="A552" s="60" t="n"/>
      <c r="B552" s="60" t="n"/>
      <c r="C552" s="71" t="str">
        <f>IF(B552="","",IFERROR(INDEX(mat_des,MATCH(B552,mat_ref,0))&amp;"","Matière inconnue"))</f>
        <v/>
      </c>
      <c r="D552" s="69" t="str">
        <f>IF(B552="","",IFERROR(INDEX(mat_unit,MATCH(B552,mat_ref,0))&amp;"",""))</f>
        <v/>
      </c>
      <c r="E552" s="72" t="n"/>
      <c r="F552" s="65" t="n"/>
      <c r="G552" s="68" t="str">
        <f>IF(J552&lt;&gt;"OK","",IF(F552="",N(INDEX(mat_loss,MATCH(B552,mat_ref,0))),F552))</f>
        <v/>
      </c>
      <c r="H552" s="66" t="str">
        <f>IF(J552&lt;&gt;"OK","",INDEX(mat_price,MATCH(B552,mat_ref,0)))</f>
        <v/>
      </c>
      <c r="I552" s="66" t="str">
        <f>IF(J552&lt;&gt;"OK","",E552*(1+G552)*H552)</f>
        <v/>
      </c>
      <c r="J552" s="69" t="str">
        <f>IF(AND(A552="",B552=""),"",IF(A552="","Produit manquant",IF(COUNTIF(prod_ref,A552)=0,"Produit inconnu",IF(B552="","Matière manquante",IF(ISNA(MATCH(B552,mat_ref,0)),"Matière inconnue",IF(INDEX(mat_check,MATCH(B552,mat_ref,0))&lt;&gt;"OK","Matière à corriger",IF(OR(NOT(ISNUMBER(E552)),N(E552)&lt;=0),"Quantité invalide",IF(AND(F552&lt;&gt;"",OR(NOT(ISNUMBER(F552)),N(F552)&lt;0,N(F552)&gt;=1)),"Perte entre 0 et 99 %",IF(COUNTIFS(bom_prod,A552,bom_mat,B552)&gt;1,"Matière en double","OK")))))))))</f>
        <v/>
      </c>
      <c r="K552" s="71" t="str">
        <f>IF(AND(fiche_sel&lt;&gt;"",A552=fiche_sel),COUNTIF(A$6:A552,fiche_sel),"")</f>
        <v/>
      </c>
    </row>
    <row r="553">
      <c r="A553" s="60" t="n"/>
      <c r="B553" s="60" t="n"/>
      <c r="C553" s="71" t="str">
        <f>IF(B553="","",IFERROR(INDEX(mat_des,MATCH(B553,mat_ref,0))&amp;"","Matière inconnue"))</f>
        <v/>
      </c>
      <c r="D553" s="69" t="str">
        <f>IF(B553="","",IFERROR(INDEX(mat_unit,MATCH(B553,mat_ref,0))&amp;"",""))</f>
        <v/>
      </c>
      <c r="E553" s="72" t="n"/>
      <c r="F553" s="65" t="n"/>
      <c r="G553" s="68" t="str">
        <f>IF(J553&lt;&gt;"OK","",IF(F553="",N(INDEX(mat_loss,MATCH(B553,mat_ref,0))),F553))</f>
        <v/>
      </c>
      <c r="H553" s="66" t="str">
        <f>IF(J553&lt;&gt;"OK","",INDEX(mat_price,MATCH(B553,mat_ref,0)))</f>
        <v/>
      </c>
      <c r="I553" s="66" t="str">
        <f>IF(J553&lt;&gt;"OK","",E553*(1+G553)*H553)</f>
        <v/>
      </c>
      <c r="J553" s="69" t="str">
        <f>IF(AND(A553="",B553=""),"",IF(A553="","Produit manquant",IF(COUNTIF(prod_ref,A553)=0,"Produit inconnu",IF(B553="","Matière manquante",IF(ISNA(MATCH(B553,mat_ref,0)),"Matière inconnue",IF(INDEX(mat_check,MATCH(B553,mat_ref,0))&lt;&gt;"OK","Matière à corriger",IF(OR(NOT(ISNUMBER(E553)),N(E553)&lt;=0),"Quantité invalide",IF(AND(F553&lt;&gt;"",OR(NOT(ISNUMBER(F553)),N(F553)&lt;0,N(F553)&gt;=1)),"Perte entre 0 et 99 %",IF(COUNTIFS(bom_prod,A553,bom_mat,B553)&gt;1,"Matière en double","OK")))))))))</f>
        <v/>
      </c>
      <c r="K553" s="71" t="str">
        <f>IF(AND(fiche_sel&lt;&gt;"",A553=fiche_sel),COUNTIF(A$6:A553,fiche_sel),"")</f>
        <v/>
      </c>
    </row>
    <row r="554">
      <c r="A554" s="60" t="n"/>
      <c r="B554" s="60" t="n"/>
      <c r="C554" s="71" t="str">
        <f>IF(B554="","",IFERROR(INDEX(mat_des,MATCH(B554,mat_ref,0))&amp;"","Matière inconnue"))</f>
        <v/>
      </c>
      <c r="D554" s="69" t="str">
        <f>IF(B554="","",IFERROR(INDEX(mat_unit,MATCH(B554,mat_ref,0))&amp;"",""))</f>
        <v/>
      </c>
      <c r="E554" s="72" t="n"/>
      <c r="F554" s="65" t="n"/>
      <c r="G554" s="68" t="str">
        <f>IF(J554&lt;&gt;"OK","",IF(F554="",N(INDEX(mat_loss,MATCH(B554,mat_ref,0))),F554))</f>
        <v/>
      </c>
      <c r="H554" s="66" t="str">
        <f>IF(J554&lt;&gt;"OK","",INDEX(mat_price,MATCH(B554,mat_ref,0)))</f>
        <v/>
      </c>
      <c r="I554" s="66" t="str">
        <f>IF(J554&lt;&gt;"OK","",E554*(1+G554)*H554)</f>
        <v/>
      </c>
      <c r="J554" s="69" t="str">
        <f>IF(AND(A554="",B554=""),"",IF(A554="","Produit manquant",IF(COUNTIF(prod_ref,A554)=0,"Produit inconnu",IF(B554="","Matière manquante",IF(ISNA(MATCH(B554,mat_ref,0)),"Matière inconnue",IF(INDEX(mat_check,MATCH(B554,mat_ref,0))&lt;&gt;"OK","Matière à corriger",IF(OR(NOT(ISNUMBER(E554)),N(E554)&lt;=0),"Quantité invalide",IF(AND(F554&lt;&gt;"",OR(NOT(ISNUMBER(F554)),N(F554)&lt;0,N(F554)&gt;=1)),"Perte entre 0 et 99 %",IF(COUNTIFS(bom_prod,A554,bom_mat,B554)&gt;1,"Matière en double","OK")))))))))</f>
        <v/>
      </c>
      <c r="K554" s="71" t="str">
        <f>IF(AND(fiche_sel&lt;&gt;"",A554=fiche_sel),COUNTIF(A$6:A554,fiche_sel),"")</f>
        <v/>
      </c>
    </row>
    <row r="555">
      <c r="A555" s="60" t="n"/>
      <c r="B555" s="60" t="n"/>
      <c r="C555" s="71" t="str">
        <f>IF(B555="","",IFERROR(INDEX(mat_des,MATCH(B555,mat_ref,0))&amp;"","Matière inconnue"))</f>
        <v/>
      </c>
      <c r="D555" s="69" t="str">
        <f>IF(B555="","",IFERROR(INDEX(mat_unit,MATCH(B555,mat_ref,0))&amp;"",""))</f>
        <v/>
      </c>
      <c r="E555" s="72" t="n"/>
      <c r="F555" s="65" t="n"/>
      <c r="G555" s="68" t="str">
        <f>IF(J555&lt;&gt;"OK","",IF(F555="",N(INDEX(mat_loss,MATCH(B555,mat_ref,0))),F555))</f>
        <v/>
      </c>
      <c r="H555" s="66" t="str">
        <f>IF(J555&lt;&gt;"OK","",INDEX(mat_price,MATCH(B555,mat_ref,0)))</f>
        <v/>
      </c>
      <c r="I555" s="66" t="str">
        <f>IF(J555&lt;&gt;"OK","",E555*(1+G555)*H555)</f>
        <v/>
      </c>
      <c r="J555" s="69" t="str">
        <f>IF(AND(A555="",B555=""),"",IF(A555="","Produit manquant",IF(COUNTIF(prod_ref,A555)=0,"Produit inconnu",IF(B555="","Matière manquante",IF(ISNA(MATCH(B555,mat_ref,0)),"Matière inconnue",IF(INDEX(mat_check,MATCH(B555,mat_ref,0))&lt;&gt;"OK","Matière à corriger",IF(OR(NOT(ISNUMBER(E555)),N(E555)&lt;=0),"Quantité invalide",IF(AND(F555&lt;&gt;"",OR(NOT(ISNUMBER(F555)),N(F555)&lt;0,N(F555)&gt;=1)),"Perte entre 0 et 99 %",IF(COUNTIFS(bom_prod,A555,bom_mat,B555)&gt;1,"Matière en double","OK")))))))))</f>
        <v/>
      </c>
      <c r="K555" s="71" t="str">
        <f>IF(AND(fiche_sel&lt;&gt;"",A555=fiche_sel),COUNTIF(A$6:A555,fiche_sel),"")</f>
        <v/>
      </c>
    </row>
    <row r="556">
      <c r="A556" s="60" t="n"/>
      <c r="B556" s="60" t="n"/>
      <c r="C556" s="71" t="str">
        <f>IF(B556="","",IFERROR(INDEX(mat_des,MATCH(B556,mat_ref,0))&amp;"","Matière inconnue"))</f>
        <v/>
      </c>
      <c r="D556" s="69" t="str">
        <f>IF(B556="","",IFERROR(INDEX(mat_unit,MATCH(B556,mat_ref,0))&amp;"",""))</f>
        <v/>
      </c>
      <c r="E556" s="72" t="n"/>
      <c r="F556" s="65" t="n"/>
      <c r="G556" s="68" t="str">
        <f>IF(J556&lt;&gt;"OK","",IF(F556="",N(INDEX(mat_loss,MATCH(B556,mat_ref,0))),F556))</f>
        <v/>
      </c>
      <c r="H556" s="66" t="str">
        <f>IF(J556&lt;&gt;"OK","",INDEX(mat_price,MATCH(B556,mat_ref,0)))</f>
        <v/>
      </c>
      <c r="I556" s="66" t="str">
        <f>IF(J556&lt;&gt;"OK","",E556*(1+G556)*H556)</f>
        <v/>
      </c>
      <c r="J556" s="69" t="str">
        <f>IF(AND(A556="",B556=""),"",IF(A556="","Produit manquant",IF(COUNTIF(prod_ref,A556)=0,"Produit inconnu",IF(B556="","Matière manquante",IF(ISNA(MATCH(B556,mat_ref,0)),"Matière inconnue",IF(INDEX(mat_check,MATCH(B556,mat_ref,0))&lt;&gt;"OK","Matière à corriger",IF(OR(NOT(ISNUMBER(E556)),N(E556)&lt;=0),"Quantité invalide",IF(AND(F556&lt;&gt;"",OR(NOT(ISNUMBER(F556)),N(F556)&lt;0,N(F556)&gt;=1)),"Perte entre 0 et 99 %",IF(COUNTIFS(bom_prod,A556,bom_mat,B556)&gt;1,"Matière en double","OK")))))))))</f>
        <v/>
      </c>
      <c r="K556" s="71" t="str">
        <f>IF(AND(fiche_sel&lt;&gt;"",A556=fiche_sel),COUNTIF(A$6:A556,fiche_sel),"")</f>
        <v/>
      </c>
    </row>
    <row r="557">
      <c r="A557" s="60" t="n"/>
      <c r="B557" s="60" t="n"/>
      <c r="C557" s="71" t="str">
        <f>IF(B557="","",IFERROR(INDEX(mat_des,MATCH(B557,mat_ref,0))&amp;"","Matière inconnue"))</f>
        <v/>
      </c>
      <c r="D557" s="69" t="str">
        <f>IF(B557="","",IFERROR(INDEX(mat_unit,MATCH(B557,mat_ref,0))&amp;"",""))</f>
        <v/>
      </c>
      <c r="E557" s="72" t="n"/>
      <c r="F557" s="65" t="n"/>
      <c r="G557" s="68" t="str">
        <f>IF(J557&lt;&gt;"OK","",IF(F557="",N(INDEX(mat_loss,MATCH(B557,mat_ref,0))),F557))</f>
        <v/>
      </c>
      <c r="H557" s="66" t="str">
        <f>IF(J557&lt;&gt;"OK","",INDEX(mat_price,MATCH(B557,mat_ref,0)))</f>
        <v/>
      </c>
      <c r="I557" s="66" t="str">
        <f>IF(J557&lt;&gt;"OK","",E557*(1+G557)*H557)</f>
        <v/>
      </c>
      <c r="J557" s="69" t="str">
        <f>IF(AND(A557="",B557=""),"",IF(A557="","Produit manquant",IF(COUNTIF(prod_ref,A557)=0,"Produit inconnu",IF(B557="","Matière manquante",IF(ISNA(MATCH(B557,mat_ref,0)),"Matière inconnue",IF(INDEX(mat_check,MATCH(B557,mat_ref,0))&lt;&gt;"OK","Matière à corriger",IF(OR(NOT(ISNUMBER(E557)),N(E557)&lt;=0),"Quantité invalide",IF(AND(F557&lt;&gt;"",OR(NOT(ISNUMBER(F557)),N(F557)&lt;0,N(F557)&gt;=1)),"Perte entre 0 et 99 %",IF(COUNTIFS(bom_prod,A557,bom_mat,B557)&gt;1,"Matière en double","OK")))))))))</f>
        <v/>
      </c>
      <c r="K557" s="71" t="str">
        <f>IF(AND(fiche_sel&lt;&gt;"",A557=fiche_sel),COUNTIF(A$6:A557,fiche_sel),"")</f>
        <v/>
      </c>
    </row>
    <row r="558">
      <c r="A558" s="60" t="n"/>
      <c r="B558" s="60" t="n"/>
      <c r="C558" s="71" t="str">
        <f>IF(B558="","",IFERROR(INDEX(mat_des,MATCH(B558,mat_ref,0))&amp;"","Matière inconnue"))</f>
        <v/>
      </c>
      <c r="D558" s="69" t="str">
        <f>IF(B558="","",IFERROR(INDEX(mat_unit,MATCH(B558,mat_ref,0))&amp;"",""))</f>
        <v/>
      </c>
      <c r="E558" s="72" t="n"/>
      <c r="F558" s="65" t="n"/>
      <c r="G558" s="68" t="str">
        <f>IF(J558&lt;&gt;"OK","",IF(F558="",N(INDEX(mat_loss,MATCH(B558,mat_ref,0))),F558))</f>
        <v/>
      </c>
      <c r="H558" s="66" t="str">
        <f>IF(J558&lt;&gt;"OK","",INDEX(mat_price,MATCH(B558,mat_ref,0)))</f>
        <v/>
      </c>
      <c r="I558" s="66" t="str">
        <f>IF(J558&lt;&gt;"OK","",E558*(1+G558)*H558)</f>
        <v/>
      </c>
      <c r="J558" s="69" t="str">
        <f>IF(AND(A558="",B558=""),"",IF(A558="","Produit manquant",IF(COUNTIF(prod_ref,A558)=0,"Produit inconnu",IF(B558="","Matière manquante",IF(ISNA(MATCH(B558,mat_ref,0)),"Matière inconnue",IF(INDEX(mat_check,MATCH(B558,mat_ref,0))&lt;&gt;"OK","Matière à corriger",IF(OR(NOT(ISNUMBER(E558)),N(E558)&lt;=0),"Quantité invalide",IF(AND(F558&lt;&gt;"",OR(NOT(ISNUMBER(F558)),N(F558)&lt;0,N(F558)&gt;=1)),"Perte entre 0 et 99 %",IF(COUNTIFS(bom_prod,A558,bom_mat,B558)&gt;1,"Matière en double","OK")))))))))</f>
        <v/>
      </c>
      <c r="K558" s="71" t="str">
        <f>IF(AND(fiche_sel&lt;&gt;"",A558=fiche_sel),COUNTIF(A$6:A558,fiche_sel),"")</f>
        <v/>
      </c>
    </row>
    <row r="559">
      <c r="A559" s="60" t="n"/>
      <c r="B559" s="60" t="n"/>
      <c r="C559" s="71" t="str">
        <f>IF(B559="","",IFERROR(INDEX(mat_des,MATCH(B559,mat_ref,0))&amp;"","Matière inconnue"))</f>
        <v/>
      </c>
      <c r="D559" s="69" t="str">
        <f>IF(B559="","",IFERROR(INDEX(mat_unit,MATCH(B559,mat_ref,0))&amp;"",""))</f>
        <v/>
      </c>
      <c r="E559" s="72" t="n"/>
      <c r="F559" s="65" t="n"/>
      <c r="G559" s="68" t="str">
        <f>IF(J559&lt;&gt;"OK","",IF(F559="",N(INDEX(mat_loss,MATCH(B559,mat_ref,0))),F559))</f>
        <v/>
      </c>
      <c r="H559" s="66" t="str">
        <f>IF(J559&lt;&gt;"OK","",INDEX(mat_price,MATCH(B559,mat_ref,0)))</f>
        <v/>
      </c>
      <c r="I559" s="66" t="str">
        <f>IF(J559&lt;&gt;"OK","",E559*(1+G559)*H559)</f>
        <v/>
      </c>
      <c r="J559" s="69" t="str">
        <f>IF(AND(A559="",B559=""),"",IF(A559="","Produit manquant",IF(COUNTIF(prod_ref,A559)=0,"Produit inconnu",IF(B559="","Matière manquante",IF(ISNA(MATCH(B559,mat_ref,0)),"Matière inconnue",IF(INDEX(mat_check,MATCH(B559,mat_ref,0))&lt;&gt;"OK","Matière à corriger",IF(OR(NOT(ISNUMBER(E559)),N(E559)&lt;=0),"Quantité invalide",IF(AND(F559&lt;&gt;"",OR(NOT(ISNUMBER(F559)),N(F559)&lt;0,N(F559)&gt;=1)),"Perte entre 0 et 99 %",IF(COUNTIFS(bom_prod,A559,bom_mat,B559)&gt;1,"Matière en double","OK")))))))))</f>
        <v/>
      </c>
      <c r="K559" s="71" t="str">
        <f>IF(AND(fiche_sel&lt;&gt;"",A559=fiche_sel),COUNTIF(A$6:A559,fiche_sel),"")</f>
        <v/>
      </c>
    </row>
    <row r="560">
      <c r="A560" s="60" t="n"/>
      <c r="B560" s="60" t="n"/>
      <c r="C560" s="71" t="str">
        <f>IF(B560="","",IFERROR(INDEX(mat_des,MATCH(B560,mat_ref,0))&amp;"","Matière inconnue"))</f>
        <v/>
      </c>
      <c r="D560" s="69" t="str">
        <f>IF(B560="","",IFERROR(INDEX(mat_unit,MATCH(B560,mat_ref,0))&amp;"",""))</f>
        <v/>
      </c>
      <c r="E560" s="72" t="n"/>
      <c r="F560" s="65" t="n"/>
      <c r="G560" s="68" t="str">
        <f>IF(J560&lt;&gt;"OK","",IF(F560="",N(INDEX(mat_loss,MATCH(B560,mat_ref,0))),F560))</f>
        <v/>
      </c>
      <c r="H560" s="66" t="str">
        <f>IF(J560&lt;&gt;"OK","",INDEX(mat_price,MATCH(B560,mat_ref,0)))</f>
        <v/>
      </c>
      <c r="I560" s="66" t="str">
        <f>IF(J560&lt;&gt;"OK","",E560*(1+G560)*H560)</f>
        <v/>
      </c>
      <c r="J560" s="69" t="str">
        <f>IF(AND(A560="",B560=""),"",IF(A560="","Produit manquant",IF(COUNTIF(prod_ref,A560)=0,"Produit inconnu",IF(B560="","Matière manquante",IF(ISNA(MATCH(B560,mat_ref,0)),"Matière inconnue",IF(INDEX(mat_check,MATCH(B560,mat_ref,0))&lt;&gt;"OK","Matière à corriger",IF(OR(NOT(ISNUMBER(E560)),N(E560)&lt;=0),"Quantité invalide",IF(AND(F560&lt;&gt;"",OR(NOT(ISNUMBER(F560)),N(F560)&lt;0,N(F560)&gt;=1)),"Perte entre 0 et 99 %",IF(COUNTIFS(bom_prod,A560,bom_mat,B560)&gt;1,"Matière en double","OK")))))))))</f>
        <v/>
      </c>
      <c r="K560" s="71" t="str">
        <f>IF(AND(fiche_sel&lt;&gt;"",A560=fiche_sel),COUNTIF(A$6:A560,fiche_sel),"")</f>
        <v/>
      </c>
    </row>
    <row r="561">
      <c r="A561" s="60" t="n"/>
      <c r="B561" s="60" t="n"/>
      <c r="C561" s="71" t="str">
        <f>IF(B561="","",IFERROR(INDEX(mat_des,MATCH(B561,mat_ref,0))&amp;"","Matière inconnue"))</f>
        <v/>
      </c>
      <c r="D561" s="69" t="str">
        <f>IF(B561="","",IFERROR(INDEX(mat_unit,MATCH(B561,mat_ref,0))&amp;"",""))</f>
        <v/>
      </c>
      <c r="E561" s="72" t="n"/>
      <c r="F561" s="65" t="n"/>
      <c r="G561" s="68" t="str">
        <f>IF(J561&lt;&gt;"OK","",IF(F561="",N(INDEX(mat_loss,MATCH(B561,mat_ref,0))),F561))</f>
        <v/>
      </c>
      <c r="H561" s="66" t="str">
        <f>IF(J561&lt;&gt;"OK","",INDEX(mat_price,MATCH(B561,mat_ref,0)))</f>
        <v/>
      </c>
      <c r="I561" s="66" t="str">
        <f>IF(J561&lt;&gt;"OK","",E561*(1+G561)*H561)</f>
        <v/>
      </c>
      <c r="J561" s="69" t="str">
        <f>IF(AND(A561="",B561=""),"",IF(A561="","Produit manquant",IF(COUNTIF(prod_ref,A561)=0,"Produit inconnu",IF(B561="","Matière manquante",IF(ISNA(MATCH(B561,mat_ref,0)),"Matière inconnue",IF(INDEX(mat_check,MATCH(B561,mat_ref,0))&lt;&gt;"OK","Matière à corriger",IF(OR(NOT(ISNUMBER(E561)),N(E561)&lt;=0),"Quantité invalide",IF(AND(F561&lt;&gt;"",OR(NOT(ISNUMBER(F561)),N(F561)&lt;0,N(F561)&gt;=1)),"Perte entre 0 et 99 %",IF(COUNTIFS(bom_prod,A561,bom_mat,B561)&gt;1,"Matière en double","OK")))))))))</f>
        <v/>
      </c>
      <c r="K561" s="71" t="str">
        <f>IF(AND(fiche_sel&lt;&gt;"",A561=fiche_sel),COUNTIF(A$6:A561,fiche_sel),"")</f>
        <v/>
      </c>
    </row>
    <row r="562">
      <c r="A562" s="60" t="n"/>
      <c r="B562" s="60" t="n"/>
      <c r="C562" s="71" t="str">
        <f>IF(B562="","",IFERROR(INDEX(mat_des,MATCH(B562,mat_ref,0))&amp;"","Matière inconnue"))</f>
        <v/>
      </c>
      <c r="D562" s="69" t="str">
        <f>IF(B562="","",IFERROR(INDEX(mat_unit,MATCH(B562,mat_ref,0))&amp;"",""))</f>
        <v/>
      </c>
      <c r="E562" s="72" t="n"/>
      <c r="F562" s="65" t="n"/>
      <c r="G562" s="68" t="str">
        <f>IF(J562&lt;&gt;"OK","",IF(F562="",N(INDEX(mat_loss,MATCH(B562,mat_ref,0))),F562))</f>
        <v/>
      </c>
      <c r="H562" s="66" t="str">
        <f>IF(J562&lt;&gt;"OK","",INDEX(mat_price,MATCH(B562,mat_ref,0)))</f>
        <v/>
      </c>
      <c r="I562" s="66" t="str">
        <f>IF(J562&lt;&gt;"OK","",E562*(1+G562)*H562)</f>
        <v/>
      </c>
      <c r="J562" s="69" t="str">
        <f>IF(AND(A562="",B562=""),"",IF(A562="","Produit manquant",IF(COUNTIF(prod_ref,A562)=0,"Produit inconnu",IF(B562="","Matière manquante",IF(ISNA(MATCH(B562,mat_ref,0)),"Matière inconnue",IF(INDEX(mat_check,MATCH(B562,mat_ref,0))&lt;&gt;"OK","Matière à corriger",IF(OR(NOT(ISNUMBER(E562)),N(E562)&lt;=0),"Quantité invalide",IF(AND(F562&lt;&gt;"",OR(NOT(ISNUMBER(F562)),N(F562)&lt;0,N(F562)&gt;=1)),"Perte entre 0 et 99 %",IF(COUNTIFS(bom_prod,A562,bom_mat,B562)&gt;1,"Matière en double","OK")))))))))</f>
        <v/>
      </c>
      <c r="K562" s="71" t="str">
        <f>IF(AND(fiche_sel&lt;&gt;"",A562=fiche_sel),COUNTIF(A$6:A562,fiche_sel),"")</f>
        <v/>
      </c>
    </row>
    <row r="563">
      <c r="A563" s="60" t="n"/>
      <c r="B563" s="60" t="n"/>
      <c r="C563" s="71" t="str">
        <f>IF(B563="","",IFERROR(INDEX(mat_des,MATCH(B563,mat_ref,0))&amp;"","Matière inconnue"))</f>
        <v/>
      </c>
      <c r="D563" s="69" t="str">
        <f>IF(B563="","",IFERROR(INDEX(mat_unit,MATCH(B563,mat_ref,0))&amp;"",""))</f>
        <v/>
      </c>
      <c r="E563" s="72" t="n"/>
      <c r="F563" s="65" t="n"/>
      <c r="G563" s="68" t="str">
        <f>IF(J563&lt;&gt;"OK","",IF(F563="",N(INDEX(mat_loss,MATCH(B563,mat_ref,0))),F563))</f>
        <v/>
      </c>
      <c r="H563" s="66" t="str">
        <f>IF(J563&lt;&gt;"OK","",INDEX(mat_price,MATCH(B563,mat_ref,0)))</f>
        <v/>
      </c>
      <c r="I563" s="66" t="str">
        <f>IF(J563&lt;&gt;"OK","",E563*(1+G563)*H563)</f>
        <v/>
      </c>
      <c r="J563" s="69" t="str">
        <f>IF(AND(A563="",B563=""),"",IF(A563="","Produit manquant",IF(COUNTIF(prod_ref,A563)=0,"Produit inconnu",IF(B563="","Matière manquante",IF(ISNA(MATCH(B563,mat_ref,0)),"Matière inconnue",IF(INDEX(mat_check,MATCH(B563,mat_ref,0))&lt;&gt;"OK","Matière à corriger",IF(OR(NOT(ISNUMBER(E563)),N(E563)&lt;=0),"Quantité invalide",IF(AND(F563&lt;&gt;"",OR(NOT(ISNUMBER(F563)),N(F563)&lt;0,N(F563)&gt;=1)),"Perte entre 0 et 99 %",IF(COUNTIFS(bom_prod,A563,bom_mat,B563)&gt;1,"Matière en double","OK")))))))))</f>
        <v/>
      </c>
      <c r="K563" s="71" t="str">
        <f>IF(AND(fiche_sel&lt;&gt;"",A563=fiche_sel),COUNTIF(A$6:A563,fiche_sel),"")</f>
        <v/>
      </c>
    </row>
    <row r="564">
      <c r="A564" s="60" t="n"/>
      <c r="B564" s="60" t="n"/>
      <c r="C564" s="71" t="str">
        <f>IF(B564="","",IFERROR(INDEX(mat_des,MATCH(B564,mat_ref,0))&amp;"","Matière inconnue"))</f>
        <v/>
      </c>
      <c r="D564" s="69" t="str">
        <f>IF(B564="","",IFERROR(INDEX(mat_unit,MATCH(B564,mat_ref,0))&amp;"",""))</f>
        <v/>
      </c>
      <c r="E564" s="72" t="n"/>
      <c r="F564" s="65" t="n"/>
      <c r="G564" s="68" t="str">
        <f>IF(J564&lt;&gt;"OK","",IF(F564="",N(INDEX(mat_loss,MATCH(B564,mat_ref,0))),F564))</f>
        <v/>
      </c>
      <c r="H564" s="66" t="str">
        <f>IF(J564&lt;&gt;"OK","",INDEX(mat_price,MATCH(B564,mat_ref,0)))</f>
        <v/>
      </c>
      <c r="I564" s="66" t="str">
        <f>IF(J564&lt;&gt;"OK","",E564*(1+G564)*H564)</f>
        <v/>
      </c>
      <c r="J564" s="69" t="str">
        <f>IF(AND(A564="",B564=""),"",IF(A564="","Produit manquant",IF(COUNTIF(prod_ref,A564)=0,"Produit inconnu",IF(B564="","Matière manquante",IF(ISNA(MATCH(B564,mat_ref,0)),"Matière inconnue",IF(INDEX(mat_check,MATCH(B564,mat_ref,0))&lt;&gt;"OK","Matière à corriger",IF(OR(NOT(ISNUMBER(E564)),N(E564)&lt;=0),"Quantité invalide",IF(AND(F564&lt;&gt;"",OR(NOT(ISNUMBER(F564)),N(F564)&lt;0,N(F564)&gt;=1)),"Perte entre 0 et 99 %",IF(COUNTIFS(bom_prod,A564,bom_mat,B564)&gt;1,"Matière en double","OK")))))))))</f>
        <v/>
      </c>
      <c r="K564" s="71" t="str">
        <f>IF(AND(fiche_sel&lt;&gt;"",A564=fiche_sel),COUNTIF(A$6:A564,fiche_sel),"")</f>
        <v/>
      </c>
    </row>
    <row r="565">
      <c r="A565" s="60" t="n"/>
      <c r="B565" s="60" t="n"/>
      <c r="C565" s="71" t="str">
        <f>IF(B565="","",IFERROR(INDEX(mat_des,MATCH(B565,mat_ref,0))&amp;"","Matière inconnue"))</f>
        <v/>
      </c>
      <c r="D565" s="69" t="str">
        <f>IF(B565="","",IFERROR(INDEX(mat_unit,MATCH(B565,mat_ref,0))&amp;"",""))</f>
        <v/>
      </c>
      <c r="E565" s="72" t="n"/>
      <c r="F565" s="65" t="n"/>
      <c r="G565" s="68" t="str">
        <f>IF(J565&lt;&gt;"OK","",IF(F565="",N(INDEX(mat_loss,MATCH(B565,mat_ref,0))),F565))</f>
        <v/>
      </c>
      <c r="H565" s="66" t="str">
        <f>IF(J565&lt;&gt;"OK","",INDEX(mat_price,MATCH(B565,mat_ref,0)))</f>
        <v/>
      </c>
      <c r="I565" s="66" t="str">
        <f>IF(J565&lt;&gt;"OK","",E565*(1+G565)*H565)</f>
        <v/>
      </c>
      <c r="J565" s="69" t="str">
        <f>IF(AND(A565="",B565=""),"",IF(A565="","Produit manquant",IF(COUNTIF(prod_ref,A565)=0,"Produit inconnu",IF(B565="","Matière manquante",IF(ISNA(MATCH(B565,mat_ref,0)),"Matière inconnue",IF(INDEX(mat_check,MATCH(B565,mat_ref,0))&lt;&gt;"OK","Matière à corriger",IF(OR(NOT(ISNUMBER(E565)),N(E565)&lt;=0),"Quantité invalide",IF(AND(F565&lt;&gt;"",OR(NOT(ISNUMBER(F565)),N(F565)&lt;0,N(F565)&gt;=1)),"Perte entre 0 et 99 %",IF(COUNTIFS(bom_prod,A565,bom_mat,B565)&gt;1,"Matière en double","OK")))))))))</f>
        <v/>
      </c>
      <c r="K565" s="71" t="str">
        <f>IF(AND(fiche_sel&lt;&gt;"",A565=fiche_sel),COUNTIF(A$6:A565,fiche_sel),"")</f>
        <v/>
      </c>
    </row>
    <row r="566">
      <c r="A566" s="60" t="n"/>
      <c r="B566" s="60" t="n"/>
      <c r="C566" s="71" t="str">
        <f>IF(B566="","",IFERROR(INDEX(mat_des,MATCH(B566,mat_ref,0))&amp;"","Matière inconnue"))</f>
        <v/>
      </c>
      <c r="D566" s="69" t="str">
        <f>IF(B566="","",IFERROR(INDEX(mat_unit,MATCH(B566,mat_ref,0))&amp;"",""))</f>
        <v/>
      </c>
      <c r="E566" s="72" t="n"/>
      <c r="F566" s="65" t="n"/>
      <c r="G566" s="68" t="str">
        <f>IF(J566&lt;&gt;"OK","",IF(F566="",N(INDEX(mat_loss,MATCH(B566,mat_ref,0))),F566))</f>
        <v/>
      </c>
      <c r="H566" s="66" t="str">
        <f>IF(J566&lt;&gt;"OK","",INDEX(mat_price,MATCH(B566,mat_ref,0)))</f>
        <v/>
      </c>
      <c r="I566" s="66" t="str">
        <f>IF(J566&lt;&gt;"OK","",E566*(1+G566)*H566)</f>
        <v/>
      </c>
      <c r="J566" s="69" t="str">
        <f>IF(AND(A566="",B566=""),"",IF(A566="","Produit manquant",IF(COUNTIF(prod_ref,A566)=0,"Produit inconnu",IF(B566="","Matière manquante",IF(ISNA(MATCH(B566,mat_ref,0)),"Matière inconnue",IF(INDEX(mat_check,MATCH(B566,mat_ref,0))&lt;&gt;"OK","Matière à corriger",IF(OR(NOT(ISNUMBER(E566)),N(E566)&lt;=0),"Quantité invalide",IF(AND(F566&lt;&gt;"",OR(NOT(ISNUMBER(F566)),N(F566)&lt;0,N(F566)&gt;=1)),"Perte entre 0 et 99 %",IF(COUNTIFS(bom_prod,A566,bom_mat,B566)&gt;1,"Matière en double","OK")))))))))</f>
        <v/>
      </c>
      <c r="K566" s="71" t="str">
        <f>IF(AND(fiche_sel&lt;&gt;"",A566=fiche_sel),COUNTIF(A$6:A566,fiche_sel),"")</f>
        <v/>
      </c>
    </row>
    <row r="567">
      <c r="A567" s="60" t="n"/>
      <c r="B567" s="60" t="n"/>
      <c r="C567" s="71" t="str">
        <f>IF(B567="","",IFERROR(INDEX(mat_des,MATCH(B567,mat_ref,0))&amp;"","Matière inconnue"))</f>
        <v/>
      </c>
      <c r="D567" s="69" t="str">
        <f>IF(B567="","",IFERROR(INDEX(mat_unit,MATCH(B567,mat_ref,0))&amp;"",""))</f>
        <v/>
      </c>
      <c r="E567" s="72" t="n"/>
      <c r="F567" s="65" t="n"/>
      <c r="G567" s="68" t="str">
        <f>IF(J567&lt;&gt;"OK","",IF(F567="",N(INDEX(mat_loss,MATCH(B567,mat_ref,0))),F567))</f>
        <v/>
      </c>
      <c r="H567" s="66" t="str">
        <f>IF(J567&lt;&gt;"OK","",INDEX(mat_price,MATCH(B567,mat_ref,0)))</f>
        <v/>
      </c>
      <c r="I567" s="66" t="str">
        <f>IF(J567&lt;&gt;"OK","",E567*(1+G567)*H567)</f>
        <v/>
      </c>
      <c r="J567" s="69" t="str">
        <f>IF(AND(A567="",B567=""),"",IF(A567="","Produit manquant",IF(COUNTIF(prod_ref,A567)=0,"Produit inconnu",IF(B567="","Matière manquante",IF(ISNA(MATCH(B567,mat_ref,0)),"Matière inconnue",IF(INDEX(mat_check,MATCH(B567,mat_ref,0))&lt;&gt;"OK","Matière à corriger",IF(OR(NOT(ISNUMBER(E567)),N(E567)&lt;=0),"Quantité invalide",IF(AND(F567&lt;&gt;"",OR(NOT(ISNUMBER(F567)),N(F567)&lt;0,N(F567)&gt;=1)),"Perte entre 0 et 99 %",IF(COUNTIFS(bom_prod,A567,bom_mat,B567)&gt;1,"Matière en double","OK")))))))))</f>
        <v/>
      </c>
      <c r="K567" s="71" t="str">
        <f>IF(AND(fiche_sel&lt;&gt;"",A567=fiche_sel),COUNTIF(A$6:A567,fiche_sel),"")</f>
        <v/>
      </c>
    </row>
    <row r="568">
      <c r="A568" s="60" t="n"/>
      <c r="B568" s="60" t="n"/>
      <c r="C568" s="71" t="str">
        <f>IF(B568="","",IFERROR(INDEX(mat_des,MATCH(B568,mat_ref,0))&amp;"","Matière inconnue"))</f>
        <v/>
      </c>
      <c r="D568" s="69" t="str">
        <f>IF(B568="","",IFERROR(INDEX(mat_unit,MATCH(B568,mat_ref,0))&amp;"",""))</f>
        <v/>
      </c>
      <c r="E568" s="72" t="n"/>
      <c r="F568" s="65" t="n"/>
      <c r="G568" s="68" t="str">
        <f>IF(J568&lt;&gt;"OK","",IF(F568="",N(INDEX(mat_loss,MATCH(B568,mat_ref,0))),F568))</f>
        <v/>
      </c>
      <c r="H568" s="66" t="str">
        <f>IF(J568&lt;&gt;"OK","",INDEX(mat_price,MATCH(B568,mat_ref,0)))</f>
        <v/>
      </c>
      <c r="I568" s="66" t="str">
        <f>IF(J568&lt;&gt;"OK","",E568*(1+G568)*H568)</f>
        <v/>
      </c>
      <c r="J568" s="69" t="str">
        <f>IF(AND(A568="",B568=""),"",IF(A568="","Produit manquant",IF(COUNTIF(prod_ref,A568)=0,"Produit inconnu",IF(B568="","Matière manquante",IF(ISNA(MATCH(B568,mat_ref,0)),"Matière inconnue",IF(INDEX(mat_check,MATCH(B568,mat_ref,0))&lt;&gt;"OK","Matière à corriger",IF(OR(NOT(ISNUMBER(E568)),N(E568)&lt;=0),"Quantité invalide",IF(AND(F568&lt;&gt;"",OR(NOT(ISNUMBER(F568)),N(F568)&lt;0,N(F568)&gt;=1)),"Perte entre 0 et 99 %",IF(COUNTIFS(bom_prod,A568,bom_mat,B568)&gt;1,"Matière en double","OK")))))))))</f>
        <v/>
      </c>
      <c r="K568" s="71" t="str">
        <f>IF(AND(fiche_sel&lt;&gt;"",A568=fiche_sel),COUNTIF(A$6:A568,fiche_sel),"")</f>
        <v/>
      </c>
    </row>
    <row r="569">
      <c r="A569" s="60" t="n"/>
      <c r="B569" s="60" t="n"/>
      <c r="C569" s="71" t="str">
        <f>IF(B569="","",IFERROR(INDEX(mat_des,MATCH(B569,mat_ref,0))&amp;"","Matière inconnue"))</f>
        <v/>
      </c>
      <c r="D569" s="69" t="str">
        <f>IF(B569="","",IFERROR(INDEX(mat_unit,MATCH(B569,mat_ref,0))&amp;"",""))</f>
        <v/>
      </c>
      <c r="E569" s="72" t="n"/>
      <c r="F569" s="65" t="n"/>
      <c r="G569" s="68" t="str">
        <f>IF(J569&lt;&gt;"OK","",IF(F569="",N(INDEX(mat_loss,MATCH(B569,mat_ref,0))),F569))</f>
        <v/>
      </c>
      <c r="H569" s="66" t="str">
        <f>IF(J569&lt;&gt;"OK","",INDEX(mat_price,MATCH(B569,mat_ref,0)))</f>
        <v/>
      </c>
      <c r="I569" s="66" t="str">
        <f>IF(J569&lt;&gt;"OK","",E569*(1+G569)*H569)</f>
        <v/>
      </c>
      <c r="J569" s="69" t="str">
        <f>IF(AND(A569="",B569=""),"",IF(A569="","Produit manquant",IF(COUNTIF(prod_ref,A569)=0,"Produit inconnu",IF(B569="","Matière manquante",IF(ISNA(MATCH(B569,mat_ref,0)),"Matière inconnue",IF(INDEX(mat_check,MATCH(B569,mat_ref,0))&lt;&gt;"OK","Matière à corriger",IF(OR(NOT(ISNUMBER(E569)),N(E569)&lt;=0),"Quantité invalide",IF(AND(F569&lt;&gt;"",OR(NOT(ISNUMBER(F569)),N(F569)&lt;0,N(F569)&gt;=1)),"Perte entre 0 et 99 %",IF(COUNTIFS(bom_prod,A569,bom_mat,B569)&gt;1,"Matière en double","OK")))))))))</f>
        <v/>
      </c>
      <c r="K569" s="71" t="str">
        <f>IF(AND(fiche_sel&lt;&gt;"",A569=fiche_sel),COUNTIF(A$6:A569,fiche_sel),"")</f>
        <v/>
      </c>
    </row>
    <row r="570">
      <c r="A570" s="60" t="n"/>
      <c r="B570" s="60" t="n"/>
      <c r="C570" s="71" t="str">
        <f>IF(B570="","",IFERROR(INDEX(mat_des,MATCH(B570,mat_ref,0))&amp;"","Matière inconnue"))</f>
        <v/>
      </c>
      <c r="D570" s="69" t="str">
        <f>IF(B570="","",IFERROR(INDEX(mat_unit,MATCH(B570,mat_ref,0))&amp;"",""))</f>
        <v/>
      </c>
      <c r="E570" s="72" t="n"/>
      <c r="F570" s="65" t="n"/>
      <c r="G570" s="68" t="str">
        <f>IF(J570&lt;&gt;"OK","",IF(F570="",N(INDEX(mat_loss,MATCH(B570,mat_ref,0))),F570))</f>
        <v/>
      </c>
      <c r="H570" s="66" t="str">
        <f>IF(J570&lt;&gt;"OK","",INDEX(mat_price,MATCH(B570,mat_ref,0)))</f>
        <v/>
      </c>
      <c r="I570" s="66" t="str">
        <f>IF(J570&lt;&gt;"OK","",E570*(1+G570)*H570)</f>
        <v/>
      </c>
      <c r="J570" s="69" t="str">
        <f>IF(AND(A570="",B570=""),"",IF(A570="","Produit manquant",IF(COUNTIF(prod_ref,A570)=0,"Produit inconnu",IF(B570="","Matière manquante",IF(ISNA(MATCH(B570,mat_ref,0)),"Matière inconnue",IF(INDEX(mat_check,MATCH(B570,mat_ref,0))&lt;&gt;"OK","Matière à corriger",IF(OR(NOT(ISNUMBER(E570)),N(E570)&lt;=0),"Quantité invalide",IF(AND(F570&lt;&gt;"",OR(NOT(ISNUMBER(F570)),N(F570)&lt;0,N(F570)&gt;=1)),"Perte entre 0 et 99 %",IF(COUNTIFS(bom_prod,A570,bom_mat,B570)&gt;1,"Matière en double","OK")))))))))</f>
        <v/>
      </c>
      <c r="K570" s="71" t="str">
        <f>IF(AND(fiche_sel&lt;&gt;"",A570=fiche_sel),COUNTIF(A$6:A570,fiche_sel),"")</f>
        <v/>
      </c>
    </row>
    <row r="571">
      <c r="A571" s="60" t="n"/>
      <c r="B571" s="60" t="n"/>
      <c r="C571" s="71" t="str">
        <f>IF(B571="","",IFERROR(INDEX(mat_des,MATCH(B571,mat_ref,0))&amp;"","Matière inconnue"))</f>
        <v/>
      </c>
      <c r="D571" s="69" t="str">
        <f>IF(B571="","",IFERROR(INDEX(mat_unit,MATCH(B571,mat_ref,0))&amp;"",""))</f>
        <v/>
      </c>
      <c r="E571" s="72" t="n"/>
      <c r="F571" s="65" t="n"/>
      <c r="G571" s="68" t="str">
        <f>IF(J571&lt;&gt;"OK","",IF(F571="",N(INDEX(mat_loss,MATCH(B571,mat_ref,0))),F571))</f>
        <v/>
      </c>
      <c r="H571" s="66" t="str">
        <f>IF(J571&lt;&gt;"OK","",INDEX(mat_price,MATCH(B571,mat_ref,0)))</f>
        <v/>
      </c>
      <c r="I571" s="66" t="str">
        <f>IF(J571&lt;&gt;"OK","",E571*(1+G571)*H571)</f>
        <v/>
      </c>
      <c r="J571" s="69" t="str">
        <f>IF(AND(A571="",B571=""),"",IF(A571="","Produit manquant",IF(COUNTIF(prod_ref,A571)=0,"Produit inconnu",IF(B571="","Matière manquante",IF(ISNA(MATCH(B571,mat_ref,0)),"Matière inconnue",IF(INDEX(mat_check,MATCH(B571,mat_ref,0))&lt;&gt;"OK","Matière à corriger",IF(OR(NOT(ISNUMBER(E571)),N(E571)&lt;=0),"Quantité invalide",IF(AND(F571&lt;&gt;"",OR(NOT(ISNUMBER(F571)),N(F571)&lt;0,N(F571)&gt;=1)),"Perte entre 0 et 99 %",IF(COUNTIFS(bom_prod,A571,bom_mat,B571)&gt;1,"Matière en double","OK")))))))))</f>
        <v/>
      </c>
      <c r="K571" s="71" t="str">
        <f>IF(AND(fiche_sel&lt;&gt;"",A571=fiche_sel),COUNTIF(A$6:A571,fiche_sel),"")</f>
        <v/>
      </c>
    </row>
    <row r="572">
      <c r="A572" s="60" t="n"/>
      <c r="B572" s="60" t="n"/>
      <c r="C572" s="71" t="str">
        <f>IF(B572="","",IFERROR(INDEX(mat_des,MATCH(B572,mat_ref,0))&amp;"","Matière inconnue"))</f>
        <v/>
      </c>
      <c r="D572" s="69" t="str">
        <f>IF(B572="","",IFERROR(INDEX(mat_unit,MATCH(B572,mat_ref,0))&amp;"",""))</f>
        <v/>
      </c>
      <c r="E572" s="72" t="n"/>
      <c r="F572" s="65" t="n"/>
      <c r="G572" s="68" t="str">
        <f>IF(J572&lt;&gt;"OK","",IF(F572="",N(INDEX(mat_loss,MATCH(B572,mat_ref,0))),F572))</f>
        <v/>
      </c>
      <c r="H572" s="66" t="str">
        <f>IF(J572&lt;&gt;"OK","",INDEX(mat_price,MATCH(B572,mat_ref,0)))</f>
        <v/>
      </c>
      <c r="I572" s="66" t="str">
        <f>IF(J572&lt;&gt;"OK","",E572*(1+G572)*H572)</f>
        <v/>
      </c>
      <c r="J572" s="69" t="str">
        <f>IF(AND(A572="",B572=""),"",IF(A572="","Produit manquant",IF(COUNTIF(prod_ref,A572)=0,"Produit inconnu",IF(B572="","Matière manquante",IF(ISNA(MATCH(B572,mat_ref,0)),"Matière inconnue",IF(INDEX(mat_check,MATCH(B572,mat_ref,0))&lt;&gt;"OK","Matière à corriger",IF(OR(NOT(ISNUMBER(E572)),N(E572)&lt;=0),"Quantité invalide",IF(AND(F572&lt;&gt;"",OR(NOT(ISNUMBER(F572)),N(F572)&lt;0,N(F572)&gt;=1)),"Perte entre 0 et 99 %",IF(COUNTIFS(bom_prod,A572,bom_mat,B572)&gt;1,"Matière en double","OK")))))))))</f>
        <v/>
      </c>
      <c r="K572" s="71" t="str">
        <f>IF(AND(fiche_sel&lt;&gt;"",A572=fiche_sel),COUNTIF(A$6:A572,fiche_sel),"")</f>
        <v/>
      </c>
    </row>
    <row r="573">
      <c r="A573" s="60" t="n"/>
      <c r="B573" s="60" t="n"/>
      <c r="C573" s="71" t="str">
        <f>IF(B573="","",IFERROR(INDEX(mat_des,MATCH(B573,mat_ref,0))&amp;"","Matière inconnue"))</f>
        <v/>
      </c>
      <c r="D573" s="69" t="str">
        <f>IF(B573="","",IFERROR(INDEX(mat_unit,MATCH(B573,mat_ref,0))&amp;"",""))</f>
        <v/>
      </c>
      <c r="E573" s="72" t="n"/>
      <c r="F573" s="65" t="n"/>
      <c r="G573" s="68" t="str">
        <f>IF(J573&lt;&gt;"OK","",IF(F573="",N(INDEX(mat_loss,MATCH(B573,mat_ref,0))),F573))</f>
        <v/>
      </c>
      <c r="H573" s="66" t="str">
        <f>IF(J573&lt;&gt;"OK","",INDEX(mat_price,MATCH(B573,mat_ref,0)))</f>
        <v/>
      </c>
      <c r="I573" s="66" t="str">
        <f>IF(J573&lt;&gt;"OK","",E573*(1+G573)*H573)</f>
        <v/>
      </c>
      <c r="J573" s="69" t="str">
        <f>IF(AND(A573="",B573=""),"",IF(A573="","Produit manquant",IF(COUNTIF(prod_ref,A573)=0,"Produit inconnu",IF(B573="","Matière manquante",IF(ISNA(MATCH(B573,mat_ref,0)),"Matière inconnue",IF(INDEX(mat_check,MATCH(B573,mat_ref,0))&lt;&gt;"OK","Matière à corriger",IF(OR(NOT(ISNUMBER(E573)),N(E573)&lt;=0),"Quantité invalide",IF(AND(F573&lt;&gt;"",OR(NOT(ISNUMBER(F573)),N(F573)&lt;0,N(F573)&gt;=1)),"Perte entre 0 et 99 %",IF(COUNTIFS(bom_prod,A573,bom_mat,B573)&gt;1,"Matière en double","OK")))))))))</f>
        <v/>
      </c>
      <c r="K573" s="71" t="str">
        <f>IF(AND(fiche_sel&lt;&gt;"",A573=fiche_sel),COUNTIF(A$6:A573,fiche_sel),"")</f>
        <v/>
      </c>
    </row>
    <row r="574">
      <c r="A574" s="60" t="n"/>
      <c r="B574" s="60" t="n"/>
      <c r="C574" s="71" t="str">
        <f>IF(B574="","",IFERROR(INDEX(mat_des,MATCH(B574,mat_ref,0))&amp;"","Matière inconnue"))</f>
        <v/>
      </c>
      <c r="D574" s="69" t="str">
        <f>IF(B574="","",IFERROR(INDEX(mat_unit,MATCH(B574,mat_ref,0))&amp;"",""))</f>
        <v/>
      </c>
      <c r="E574" s="72" t="n"/>
      <c r="F574" s="65" t="n"/>
      <c r="G574" s="68" t="str">
        <f>IF(J574&lt;&gt;"OK","",IF(F574="",N(INDEX(mat_loss,MATCH(B574,mat_ref,0))),F574))</f>
        <v/>
      </c>
      <c r="H574" s="66" t="str">
        <f>IF(J574&lt;&gt;"OK","",INDEX(mat_price,MATCH(B574,mat_ref,0)))</f>
        <v/>
      </c>
      <c r="I574" s="66" t="str">
        <f>IF(J574&lt;&gt;"OK","",E574*(1+G574)*H574)</f>
        <v/>
      </c>
      <c r="J574" s="69" t="str">
        <f>IF(AND(A574="",B574=""),"",IF(A574="","Produit manquant",IF(COUNTIF(prod_ref,A574)=0,"Produit inconnu",IF(B574="","Matière manquante",IF(ISNA(MATCH(B574,mat_ref,0)),"Matière inconnue",IF(INDEX(mat_check,MATCH(B574,mat_ref,0))&lt;&gt;"OK","Matière à corriger",IF(OR(NOT(ISNUMBER(E574)),N(E574)&lt;=0),"Quantité invalide",IF(AND(F574&lt;&gt;"",OR(NOT(ISNUMBER(F574)),N(F574)&lt;0,N(F574)&gt;=1)),"Perte entre 0 et 99 %",IF(COUNTIFS(bom_prod,A574,bom_mat,B574)&gt;1,"Matière en double","OK")))))))))</f>
        <v/>
      </c>
      <c r="K574" s="71" t="str">
        <f>IF(AND(fiche_sel&lt;&gt;"",A574=fiche_sel),COUNTIF(A$6:A574,fiche_sel),"")</f>
        <v/>
      </c>
    </row>
    <row r="575">
      <c r="A575" s="60" t="n"/>
      <c r="B575" s="60" t="n"/>
      <c r="C575" s="71" t="str">
        <f>IF(B575="","",IFERROR(INDEX(mat_des,MATCH(B575,mat_ref,0))&amp;"","Matière inconnue"))</f>
        <v/>
      </c>
      <c r="D575" s="69" t="str">
        <f>IF(B575="","",IFERROR(INDEX(mat_unit,MATCH(B575,mat_ref,0))&amp;"",""))</f>
        <v/>
      </c>
      <c r="E575" s="72" t="n"/>
      <c r="F575" s="65" t="n"/>
      <c r="G575" s="68" t="str">
        <f>IF(J575&lt;&gt;"OK","",IF(F575="",N(INDEX(mat_loss,MATCH(B575,mat_ref,0))),F575))</f>
        <v/>
      </c>
      <c r="H575" s="66" t="str">
        <f>IF(J575&lt;&gt;"OK","",INDEX(mat_price,MATCH(B575,mat_ref,0)))</f>
        <v/>
      </c>
      <c r="I575" s="66" t="str">
        <f>IF(J575&lt;&gt;"OK","",E575*(1+G575)*H575)</f>
        <v/>
      </c>
      <c r="J575" s="69" t="str">
        <f>IF(AND(A575="",B575=""),"",IF(A575="","Produit manquant",IF(COUNTIF(prod_ref,A575)=0,"Produit inconnu",IF(B575="","Matière manquante",IF(ISNA(MATCH(B575,mat_ref,0)),"Matière inconnue",IF(INDEX(mat_check,MATCH(B575,mat_ref,0))&lt;&gt;"OK","Matière à corriger",IF(OR(NOT(ISNUMBER(E575)),N(E575)&lt;=0),"Quantité invalide",IF(AND(F575&lt;&gt;"",OR(NOT(ISNUMBER(F575)),N(F575)&lt;0,N(F575)&gt;=1)),"Perte entre 0 et 99 %",IF(COUNTIFS(bom_prod,A575,bom_mat,B575)&gt;1,"Matière en double","OK")))))))))</f>
        <v/>
      </c>
      <c r="K575" s="71" t="str">
        <f>IF(AND(fiche_sel&lt;&gt;"",A575=fiche_sel),COUNTIF(A$6:A575,fiche_sel),"")</f>
        <v/>
      </c>
    </row>
    <row r="576">
      <c r="A576" s="60" t="n"/>
      <c r="B576" s="60" t="n"/>
      <c r="C576" s="71" t="str">
        <f>IF(B576="","",IFERROR(INDEX(mat_des,MATCH(B576,mat_ref,0))&amp;"","Matière inconnue"))</f>
        <v/>
      </c>
      <c r="D576" s="69" t="str">
        <f>IF(B576="","",IFERROR(INDEX(mat_unit,MATCH(B576,mat_ref,0))&amp;"",""))</f>
        <v/>
      </c>
      <c r="E576" s="72" t="n"/>
      <c r="F576" s="65" t="n"/>
      <c r="G576" s="68" t="str">
        <f>IF(J576&lt;&gt;"OK","",IF(F576="",N(INDEX(mat_loss,MATCH(B576,mat_ref,0))),F576))</f>
        <v/>
      </c>
      <c r="H576" s="66" t="str">
        <f>IF(J576&lt;&gt;"OK","",INDEX(mat_price,MATCH(B576,mat_ref,0)))</f>
        <v/>
      </c>
      <c r="I576" s="66" t="str">
        <f>IF(J576&lt;&gt;"OK","",E576*(1+G576)*H576)</f>
        <v/>
      </c>
      <c r="J576" s="69" t="str">
        <f>IF(AND(A576="",B576=""),"",IF(A576="","Produit manquant",IF(COUNTIF(prod_ref,A576)=0,"Produit inconnu",IF(B576="","Matière manquante",IF(ISNA(MATCH(B576,mat_ref,0)),"Matière inconnue",IF(INDEX(mat_check,MATCH(B576,mat_ref,0))&lt;&gt;"OK","Matière à corriger",IF(OR(NOT(ISNUMBER(E576)),N(E576)&lt;=0),"Quantité invalide",IF(AND(F576&lt;&gt;"",OR(NOT(ISNUMBER(F576)),N(F576)&lt;0,N(F576)&gt;=1)),"Perte entre 0 et 99 %",IF(COUNTIFS(bom_prod,A576,bom_mat,B576)&gt;1,"Matière en double","OK")))))))))</f>
        <v/>
      </c>
      <c r="K576" s="71" t="str">
        <f>IF(AND(fiche_sel&lt;&gt;"",A576=fiche_sel),COUNTIF(A$6:A576,fiche_sel),"")</f>
        <v/>
      </c>
    </row>
    <row r="577">
      <c r="A577" s="60" t="n"/>
      <c r="B577" s="60" t="n"/>
      <c r="C577" s="71" t="str">
        <f>IF(B577="","",IFERROR(INDEX(mat_des,MATCH(B577,mat_ref,0))&amp;"","Matière inconnue"))</f>
        <v/>
      </c>
      <c r="D577" s="69" t="str">
        <f>IF(B577="","",IFERROR(INDEX(mat_unit,MATCH(B577,mat_ref,0))&amp;"",""))</f>
        <v/>
      </c>
      <c r="E577" s="72" t="n"/>
      <c r="F577" s="65" t="n"/>
      <c r="G577" s="68" t="str">
        <f>IF(J577&lt;&gt;"OK","",IF(F577="",N(INDEX(mat_loss,MATCH(B577,mat_ref,0))),F577))</f>
        <v/>
      </c>
      <c r="H577" s="66" t="str">
        <f>IF(J577&lt;&gt;"OK","",INDEX(mat_price,MATCH(B577,mat_ref,0)))</f>
        <v/>
      </c>
      <c r="I577" s="66" t="str">
        <f>IF(J577&lt;&gt;"OK","",E577*(1+G577)*H577)</f>
        <v/>
      </c>
      <c r="J577" s="69" t="str">
        <f>IF(AND(A577="",B577=""),"",IF(A577="","Produit manquant",IF(COUNTIF(prod_ref,A577)=0,"Produit inconnu",IF(B577="","Matière manquante",IF(ISNA(MATCH(B577,mat_ref,0)),"Matière inconnue",IF(INDEX(mat_check,MATCH(B577,mat_ref,0))&lt;&gt;"OK","Matière à corriger",IF(OR(NOT(ISNUMBER(E577)),N(E577)&lt;=0),"Quantité invalide",IF(AND(F577&lt;&gt;"",OR(NOT(ISNUMBER(F577)),N(F577)&lt;0,N(F577)&gt;=1)),"Perte entre 0 et 99 %",IF(COUNTIFS(bom_prod,A577,bom_mat,B577)&gt;1,"Matière en double","OK")))))))))</f>
        <v/>
      </c>
      <c r="K577" s="71" t="str">
        <f>IF(AND(fiche_sel&lt;&gt;"",A577=fiche_sel),COUNTIF(A$6:A577,fiche_sel),"")</f>
        <v/>
      </c>
    </row>
    <row r="578">
      <c r="A578" s="60" t="n"/>
      <c r="B578" s="60" t="n"/>
      <c r="C578" s="71" t="str">
        <f>IF(B578="","",IFERROR(INDEX(mat_des,MATCH(B578,mat_ref,0))&amp;"","Matière inconnue"))</f>
        <v/>
      </c>
      <c r="D578" s="69" t="str">
        <f>IF(B578="","",IFERROR(INDEX(mat_unit,MATCH(B578,mat_ref,0))&amp;"",""))</f>
        <v/>
      </c>
      <c r="E578" s="72" t="n"/>
      <c r="F578" s="65" t="n"/>
      <c r="G578" s="68" t="str">
        <f>IF(J578&lt;&gt;"OK","",IF(F578="",N(INDEX(mat_loss,MATCH(B578,mat_ref,0))),F578))</f>
        <v/>
      </c>
      <c r="H578" s="66" t="str">
        <f>IF(J578&lt;&gt;"OK","",INDEX(mat_price,MATCH(B578,mat_ref,0)))</f>
        <v/>
      </c>
      <c r="I578" s="66" t="str">
        <f>IF(J578&lt;&gt;"OK","",E578*(1+G578)*H578)</f>
        <v/>
      </c>
      <c r="J578" s="69" t="str">
        <f>IF(AND(A578="",B578=""),"",IF(A578="","Produit manquant",IF(COUNTIF(prod_ref,A578)=0,"Produit inconnu",IF(B578="","Matière manquante",IF(ISNA(MATCH(B578,mat_ref,0)),"Matière inconnue",IF(INDEX(mat_check,MATCH(B578,mat_ref,0))&lt;&gt;"OK","Matière à corriger",IF(OR(NOT(ISNUMBER(E578)),N(E578)&lt;=0),"Quantité invalide",IF(AND(F578&lt;&gt;"",OR(NOT(ISNUMBER(F578)),N(F578)&lt;0,N(F578)&gt;=1)),"Perte entre 0 et 99 %",IF(COUNTIFS(bom_prod,A578,bom_mat,B578)&gt;1,"Matière en double","OK")))))))))</f>
        <v/>
      </c>
      <c r="K578" s="71" t="str">
        <f>IF(AND(fiche_sel&lt;&gt;"",A578=fiche_sel),COUNTIF(A$6:A578,fiche_sel),"")</f>
        <v/>
      </c>
    </row>
    <row r="579">
      <c r="A579" s="60" t="n"/>
      <c r="B579" s="60" t="n"/>
      <c r="C579" s="71" t="str">
        <f>IF(B579="","",IFERROR(INDEX(mat_des,MATCH(B579,mat_ref,0))&amp;"","Matière inconnue"))</f>
        <v/>
      </c>
      <c r="D579" s="69" t="str">
        <f>IF(B579="","",IFERROR(INDEX(mat_unit,MATCH(B579,mat_ref,0))&amp;"",""))</f>
        <v/>
      </c>
      <c r="E579" s="72" t="n"/>
      <c r="F579" s="65" t="n"/>
      <c r="G579" s="68" t="str">
        <f>IF(J579&lt;&gt;"OK","",IF(F579="",N(INDEX(mat_loss,MATCH(B579,mat_ref,0))),F579))</f>
        <v/>
      </c>
      <c r="H579" s="66" t="str">
        <f>IF(J579&lt;&gt;"OK","",INDEX(mat_price,MATCH(B579,mat_ref,0)))</f>
        <v/>
      </c>
      <c r="I579" s="66" t="str">
        <f>IF(J579&lt;&gt;"OK","",E579*(1+G579)*H579)</f>
        <v/>
      </c>
      <c r="J579" s="69" t="str">
        <f>IF(AND(A579="",B579=""),"",IF(A579="","Produit manquant",IF(COUNTIF(prod_ref,A579)=0,"Produit inconnu",IF(B579="","Matière manquante",IF(ISNA(MATCH(B579,mat_ref,0)),"Matière inconnue",IF(INDEX(mat_check,MATCH(B579,mat_ref,0))&lt;&gt;"OK","Matière à corriger",IF(OR(NOT(ISNUMBER(E579)),N(E579)&lt;=0),"Quantité invalide",IF(AND(F579&lt;&gt;"",OR(NOT(ISNUMBER(F579)),N(F579)&lt;0,N(F579)&gt;=1)),"Perte entre 0 et 99 %",IF(COUNTIFS(bom_prod,A579,bom_mat,B579)&gt;1,"Matière en double","OK")))))))))</f>
        <v/>
      </c>
      <c r="K579" s="71" t="str">
        <f>IF(AND(fiche_sel&lt;&gt;"",A579=fiche_sel),COUNTIF(A$6:A579,fiche_sel),"")</f>
        <v/>
      </c>
    </row>
    <row r="580">
      <c r="A580" s="60" t="n"/>
      <c r="B580" s="60" t="n"/>
      <c r="C580" s="71" t="str">
        <f>IF(B580="","",IFERROR(INDEX(mat_des,MATCH(B580,mat_ref,0))&amp;"","Matière inconnue"))</f>
        <v/>
      </c>
      <c r="D580" s="69" t="str">
        <f>IF(B580="","",IFERROR(INDEX(mat_unit,MATCH(B580,mat_ref,0))&amp;"",""))</f>
        <v/>
      </c>
      <c r="E580" s="72" t="n"/>
      <c r="F580" s="65" t="n"/>
      <c r="G580" s="68" t="str">
        <f>IF(J580&lt;&gt;"OK","",IF(F580="",N(INDEX(mat_loss,MATCH(B580,mat_ref,0))),F580))</f>
        <v/>
      </c>
      <c r="H580" s="66" t="str">
        <f>IF(J580&lt;&gt;"OK","",INDEX(mat_price,MATCH(B580,mat_ref,0)))</f>
        <v/>
      </c>
      <c r="I580" s="66" t="str">
        <f>IF(J580&lt;&gt;"OK","",E580*(1+G580)*H580)</f>
        <v/>
      </c>
      <c r="J580" s="69" t="str">
        <f>IF(AND(A580="",B580=""),"",IF(A580="","Produit manquant",IF(COUNTIF(prod_ref,A580)=0,"Produit inconnu",IF(B580="","Matière manquante",IF(ISNA(MATCH(B580,mat_ref,0)),"Matière inconnue",IF(INDEX(mat_check,MATCH(B580,mat_ref,0))&lt;&gt;"OK","Matière à corriger",IF(OR(NOT(ISNUMBER(E580)),N(E580)&lt;=0),"Quantité invalide",IF(AND(F580&lt;&gt;"",OR(NOT(ISNUMBER(F580)),N(F580)&lt;0,N(F580)&gt;=1)),"Perte entre 0 et 99 %",IF(COUNTIFS(bom_prod,A580,bom_mat,B580)&gt;1,"Matière en double","OK")))))))))</f>
        <v/>
      </c>
      <c r="K580" s="71" t="str">
        <f>IF(AND(fiche_sel&lt;&gt;"",A580=fiche_sel),COUNTIF(A$6:A580,fiche_sel),"")</f>
        <v/>
      </c>
    </row>
    <row r="581">
      <c r="A581" s="60" t="n"/>
      <c r="B581" s="60" t="n"/>
      <c r="C581" s="71" t="str">
        <f>IF(B581="","",IFERROR(INDEX(mat_des,MATCH(B581,mat_ref,0))&amp;"","Matière inconnue"))</f>
        <v/>
      </c>
      <c r="D581" s="69" t="str">
        <f>IF(B581="","",IFERROR(INDEX(mat_unit,MATCH(B581,mat_ref,0))&amp;"",""))</f>
        <v/>
      </c>
      <c r="E581" s="72" t="n"/>
      <c r="F581" s="65" t="n"/>
      <c r="G581" s="68" t="str">
        <f>IF(J581&lt;&gt;"OK","",IF(F581="",N(INDEX(mat_loss,MATCH(B581,mat_ref,0))),F581))</f>
        <v/>
      </c>
      <c r="H581" s="66" t="str">
        <f>IF(J581&lt;&gt;"OK","",INDEX(mat_price,MATCH(B581,mat_ref,0)))</f>
        <v/>
      </c>
      <c r="I581" s="66" t="str">
        <f>IF(J581&lt;&gt;"OK","",E581*(1+G581)*H581)</f>
        <v/>
      </c>
      <c r="J581" s="69" t="str">
        <f>IF(AND(A581="",B581=""),"",IF(A581="","Produit manquant",IF(COUNTIF(prod_ref,A581)=0,"Produit inconnu",IF(B581="","Matière manquante",IF(ISNA(MATCH(B581,mat_ref,0)),"Matière inconnue",IF(INDEX(mat_check,MATCH(B581,mat_ref,0))&lt;&gt;"OK","Matière à corriger",IF(OR(NOT(ISNUMBER(E581)),N(E581)&lt;=0),"Quantité invalide",IF(AND(F581&lt;&gt;"",OR(NOT(ISNUMBER(F581)),N(F581)&lt;0,N(F581)&gt;=1)),"Perte entre 0 et 99 %",IF(COUNTIFS(bom_prod,A581,bom_mat,B581)&gt;1,"Matière en double","OK")))))))))</f>
        <v/>
      </c>
      <c r="K581" s="71" t="str">
        <f>IF(AND(fiche_sel&lt;&gt;"",A581=fiche_sel),COUNTIF(A$6:A581,fiche_sel),"")</f>
        <v/>
      </c>
    </row>
    <row r="582">
      <c r="A582" s="60" t="n"/>
      <c r="B582" s="60" t="n"/>
      <c r="C582" s="71" t="str">
        <f>IF(B582="","",IFERROR(INDEX(mat_des,MATCH(B582,mat_ref,0))&amp;"","Matière inconnue"))</f>
        <v/>
      </c>
      <c r="D582" s="69" t="str">
        <f>IF(B582="","",IFERROR(INDEX(mat_unit,MATCH(B582,mat_ref,0))&amp;"",""))</f>
        <v/>
      </c>
      <c r="E582" s="72" t="n"/>
      <c r="F582" s="65" t="n"/>
      <c r="G582" s="68" t="str">
        <f>IF(J582&lt;&gt;"OK","",IF(F582="",N(INDEX(mat_loss,MATCH(B582,mat_ref,0))),F582))</f>
        <v/>
      </c>
      <c r="H582" s="66" t="str">
        <f>IF(J582&lt;&gt;"OK","",INDEX(mat_price,MATCH(B582,mat_ref,0)))</f>
        <v/>
      </c>
      <c r="I582" s="66" t="str">
        <f>IF(J582&lt;&gt;"OK","",E582*(1+G582)*H582)</f>
        <v/>
      </c>
      <c r="J582" s="69" t="str">
        <f>IF(AND(A582="",B582=""),"",IF(A582="","Produit manquant",IF(COUNTIF(prod_ref,A582)=0,"Produit inconnu",IF(B582="","Matière manquante",IF(ISNA(MATCH(B582,mat_ref,0)),"Matière inconnue",IF(INDEX(mat_check,MATCH(B582,mat_ref,0))&lt;&gt;"OK","Matière à corriger",IF(OR(NOT(ISNUMBER(E582)),N(E582)&lt;=0),"Quantité invalide",IF(AND(F582&lt;&gt;"",OR(NOT(ISNUMBER(F582)),N(F582)&lt;0,N(F582)&gt;=1)),"Perte entre 0 et 99 %",IF(COUNTIFS(bom_prod,A582,bom_mat,B582)&gt;1,"Matière en double","OK")))))))))</f>
        <v/>
      </c>
      <c r="K582" s="71" t="str">
        <f>IF(AND(fiche_sel&lt;&gt;"",A582=fiche_sel),COUNTIF(A$6:A582,fiche_sel),"")</f>
        <v/>
      </c>
    </row>
    <row r="583">
      <c r="A583" s="60" t="n"/>
      <c r="B583" s="60" t="n"/>
      <c r="C583" s="71" t="str">
        <f>IF(B583="","",IFERROR(INDEX(mat_des,MATCH(B583,mat_ref,0))&amp;"","Matière inconnue"))</f>
        <v/>
      </c>
      <c r="D583" s="69" t="str">
        <f>IF(B583="","",IFERROR(INDEX(mat_unit,MATCH(B583,mat_ref,0))&amp;"",""))</f>
        <v/>
      </c>
      <c r="E583" s="72" t="n"/>
      <c r="F583" s="65" t="n"/>
      <c r="G583" s="68" t="str">
        <f>IF(J583&lt;&gt;"OK","",IF(F583="",N(INDEX(mat_loss,MATCH(B583,mat_ref,0))),F583))</f>
        <v/>
      </c>
      <c r="H583" s="66" t="str">
        <f>IF(J583&lt;&gt;"OK","",INDEX(mat_price,MATCH(B583,mat_ref,0)))</f>
        <v/>
      </c>
      <c r="I583" s="66" t="str">
        <f>IF(J583&lt;&gt;"OK","",E583*(1+G583)*H583)</f>
        <v/>
      </c>
      <c r="J583" s="69" t="str">
        <f>IF(AND(A583="",B583=""),"",IF(A583="","Produit manquant",IF(COUNTIF(prod_ref,A583)=0,"Produit inconnu",IF(B583="","Matière manquante",IF(ISNA(MATCH(B583,mat_ref,0)),"Matière inconnue",IF(INDEX(mat_check,MATCH(B583,mat_ref,0))&lt;&gt;"OK","Matière à corriger",IF(OR(NOT(ISNUMBER(E583)),N(E583)&lt;=0),"Quantité invalide",IF(AND(F583&lt;&gt;"",OR(NOT(ISNUMBER(F583)),N(F583)&lt;0,N(F583)&gt;=1)),"Perte entre 0 et 99 %",IF(COUNTIFS(bom_prod,A583,bom_mat,B583)&gt;1,"Matière en double","OK")))))))))</f>
        <v/>
      </c>
      <c r="K583" s="71" t="str">
        <f>IF(AND(fiche_sel&lt;&gt;"",A583=fiche_sel),COUNTIF(A$6:A583,fiche_sel),"")</f>
        <v/>
      </c>
    </row>
    <row r="584">
      <c r="A584" s="60" t="n"/>
      <c r="B584" s="60" t="n"/>
      <c r="C584" s="71" t="str">
        <f>IF(B584="","",IFERROR(INDEX(mat_des,MATCH(B584,mat_ref,0))&amp;"","Matière inconnue"))</f>
        <v/>
      </c>
      <c r="D584" s="69" t="str">
        <f>IF(B584="","",IFERROR(INDEX(mat_unit,MATCH(B584,mat_ref,0))&amp;"",""))</f>
        <v/>
      </c>
      <c r="E584" s="72" t="n"/>
      <c r="F584" s="65" t="n"/>
      <c r="G584" s="68" t="str">
        <f>IF(J584&lt;&gt;"OK","",IF(F584="",N(INDEX(mat_loss,MATCH(B584,mat_ref,0))),F584))</f>
        <v/>
      </c>
      <c r="H584" s="66" t="str">
        <f>IF(J584&lt;&gt;"OK","",INDEX(mat_price,MATCH(B584,mat_ref,0)))</f>
        <v/>
      </c>
      <c r="I584" s="66" t="str">
        <f>IF(J584&lt;&gt;"OK","",E584*(1+G584)*H584)</f>
        <v/>
      </c>
      <c r="J584" s="69" t="str">
        <f>IF(AND(A584="",B584=""),"",IF(A584="","Produit manquant",IF(COUNTIF(prod_ref,A584)=0,"Produit inconnu",IF(B584="","Matière manquante",IF(ISNA(MATCH(B584,mat_ref,0)),"Matière inconnue",IF(INDEX(mat_check,MATCH(B584,mat_ref,0))&lt;&gt;"OK","Matière à corriger",IF(OR(NOT(ISNUMBER(E584)),N(E584)&lt;=0),"Quantité invalide",IF(AND(F584&lt;&gt;"",OR(NOT(ISNUMBER(F584)),N(F584)&lt;0,N(F584)&gt;=1)),"Perte entre 0 et 99 %",IF(COUNTIFS(bom_prod,A584,bom_mat,B584)&gt;1,"Matière en double","OK")))))))))</f>
        <v/>
      </c>
      <c r="K584" s="71" t="str">
        <f>IF(AND(fiche_sel&lt;&gt;"",A584=fiche_sel),COUNTIF(A$6:A584,fiche_sel),"")</f>
        <v/>
      </c>
    </row>
    <row r="585">
      <c r="A585" s="60" t="n"/>
      <c r="B585" s="60" t="n"/>
      <c r="C585" s="71" t="str">
        <f>IF(B585="","",IFERROR(INDEX(mat_des,MATCH(B585,mat_ref,0))&amp;"","Matière inconnue"))</f>
        <v/>
      </c>
      <c r="D585" s="69" t="str">
        <f>IF(B585="","",IFERROR(INDEX(mat_unit,MATCH(B585,mat_ref,0))&amp;"",""))</f>
        <v/>
      </c>
      <c r="E585" s="72" t="n"/>
      <c r="F585" s="65" t="n"/>
      <c r="G585" s="68" t="str">
        <f>IF(J585&lt;&gt;"OK","",IF(F585="",N(INDEX(mat_loss,MATCH(B585,mat_ref,0))),F585))</f>
        <v/>
      </c>
      <c r="H585" s="66" t="str">
        <f>IF(J585&lt;&gt;"OK","",INDEX(mat_price,MATCH(B585,mat_ref,0)))</f>
        <v/>
      </c>
      <c r="I585" s="66" t="str">
        <f>IF(J585&lt;&gt;"OK","",E585*(1+G585)*H585)</f>
        <v/>
      </c>
      <c r="J585" s="69" t="str">
        <f>IF(AND(A585="",B585=""),"",IF(A585="","Produit manquant",IF(COUNTIF(prod_ref,A585)=0,"Produit inconnu",IF(B585="","Matière manquante",IF(ISNA(MATCH(B585,mat_ref,0)),"Matière inconnue",IF(INDEX(mat_check,MATCH(B585,mat_ref,0))&lt;&gt;"OK","Matière à corriger",IF(OR(NOT(ISNUMBER(E585)),N(E585)&lt;=0),"Quantité invalide",IF(AND(F585&lt;&gt;"",OR(NOT(ISNUMBER(F585)),N(F585)&lt;0,N(F585)&gt;=1)),"Perte entre 0 et 99 %",IF(COUNTIFS(bom_prod,A585,bom_mat,B585)&gt;1,"Matière en double","OK")))))))))</f>
        <v/>
      </c>
      <c r="K585" s="71" t="str">
        <f>IF(AND(fiche_sel&lt;&gt;"",A585=fiche_sel),COUNTIF(A$6:A585,fiche_sel),"")</f>
        <v/>
      </c>
    </row>
    <row r="586">
      <c r="A586" s="60" t="n"/>
      <c r="B586" s="60" t="n"/>
      <c r="C586" s="71" t="str">
        <f>IF(B586="","",IFERROR(INDEX(mat_des,MATCH(B586,mat_ref,0))&amp;"","Matière inconnue"))</f>
        <v/>
      </c>
      <c r="D586" s="69" t="str">
        <f>IF(B586="","",IFERROR(INDEX(mat_unit,MATCH(B586,mat_ref,0))&amp;"",""))</f>
        <v/>
      </c>
      <c r="E586" s="72" t="n"/>
      <c r="F586" s="65" t="n"/>
      <c r="G586" s="68" t="str">
        <f>IF(J586&lt;&gt;"OK","",IF(F586="",N(INDEX(mat_loss,MATCH(B586,mat_ref,0))),F586))</f>
        <v/>
      </c>
      <c r="H586" s="66" t="str">
        <f>IF(J586&lt;&gt;"OK","",INDEX(mat_price,MATCH(B586,mat_ref,0)))</f>
        <v/>
      </c>
      <c r="I586" s="66" t="str">
        <f>IF(J586&lt;&gt;"OK","",E586*(1+G586)*H586)</f>
        <v/>
      </c>
      <c r="J586" s="69" t="str">
        <f>IF(AND(A586="",B586=""),"",IF(A586="","Produit manquant",IF(COUNTIF(prod_ref,A586)=0,"Produit inconnu",IF(B586="","Matière manquante",IF(ISNA(MATCH(B586,mat_ref,0)),"Matière inconnue",IF(INDEX(mat_check,MATCH(B586,mat_ref,0))&lt;&gt;"OK","Matière à corriger",IF(OR(NOT(ISNUMBER(E586)),N(E586)&lt;=0),"Quantité invalide",IF(AND(F586&lt;&gt;"",OR(NOT(ISNUMBER(F586)),N(F586)&lt;0,N(F586)&gt;=1)),"Perte entre 0 et 99 %",IF(COUNTIFS(bom_prod,A586,bom_mat,B586)&gt;1,"Matière en double","OK")))))))))</f>
        <v/>
      </c>
      <c r="K586" s="71" t="str">
        <f>IF(AND(fiche_sel&lt;&gt;"",A586=fiche_sel),COUNTIF(A$6:A586,fiche_sel),"")</f>
        <v/>
      </c>
    </row>
    <row r="587">
      <c r="A587" s="60" t="n"/>
      <c r="B587" s="60" t="n"/>
      <c r="C587" s="71" t="str">
        <f>IF(B587="","",IFERROR(INDEX(mat_des,MATCH(B587,mat_ref,0))&amp;"","Matière inconnue"))</f>
        <v/>
      </c>
      <c r="D587" s="69" t="str">
        <f>IF(B587="","",IFERROR(INDEX(mat_unit,MATCH(B587,mat_ref,0))&amp;"",""))</f>
        <v/>
      </c>
      <c r="E587" s="72" t="n"/>
      <c r="F587" s="65" t="n"/>
      <c r="G587" s="68" t="str">
        <f>IF(J587&lt;&gt;"OK","",IF(F587="",N(INDEX(mat_loss,MATCH(B587,mat_ref,0))),F587))</f>
        <v/>
      </c>
      <c r="H587" s="66" t="str">
        <f>IF(J587&lt;&gt;"OK","",INDEX(mat_price,MATCH(B587,mat_ref,0)))</f>
        <v/>
      </c>
      <c r="I587" s="66" t="str">
        <f>IF(J587&lt;&gt;"OK","",E587*(1+G587)*H587)</f>
        <v/>
      </c>
      <c r="J587" s="69" t="str">
        <f>IF(AND(A587="",B587=""),"",IF(A587="","Produit manquant",IF(COUNTIF(prod_ref,A587)=0,"Produit inconnu",IF(B587="","Matière manquante",IF(ISNA(MATCH(B587,mat_ref,0)),"Matière inconnue",IF(INDEX(mat_check,MATCH(B587,mat_ref,0))&lt;&gt;"OK","Matière à corriger",IF(OR(NOT(ISNUMBER(E587)),N(E587)&lt;=0),"Quantité invalide",IF(AND(F587&lt;&gt;"",OR(NOT(ISNUMBER(F587)),N(F587)&lt;0,N(F587)&gt;=1)),"Perte entre 0 et 99 %",IF(COUNTIFS(bom_prod,A587,bom_mat,B587)&gt;1,"Matière en double","OK")))))))))</f>
        <v/>
      </c>
      <c r="K587" s="71" t="str">
        <f>IF(AND(fiche_sel&lt;&gt;"",A587=fiche_sel),COUNTIF(A$6:A587,fiche_sel),"")</f>
        <v/>
      </c>
    </row>
    <row r="588">
      <c r="A588" s="60" t="n"/>
      <c r="B588" s="60" t="n"/>
      <c r="C588" s="71" t="str">
        <f>IF(B588="","",IFERROR(INDEX(mat_des,MATCH(B588,mat_ref,0))&amp;"","Matière inconnue"))</f>
        <v/>
      </c>
      <c r="D588" s="69" t="str">
        <f>IF(B588="","",IFERROR(INDEX(mat_unit,MATCH(B588,mat_ref,0))&amp;"",""))</f>
        <v/>
      </c>
      <c r="E588" s="72" t="n"/>
      <c r="F588" s="65" t="n"/>
      <c r="G588" s="68" t="str">
        <f>IF(J588&lt;&gt;"OK","",IF(F588="",N(INDEX(mat_loss,MATCH(B588,mat_ref,0))),F588))</f>
        <v/>
      </c>
      <c r="H588" s="66" t="str">
        <f>IF(J588&lt;&gt;"OK","",INDEX(mat_price,MATCH(B588,mat_ref,0)))</f>
        <v/>
      </c>
      <c r="I588" s="66" t="str">
        <f>IF(J588&lt;&gt;"OK","",E588*(1+G588)*H588)</f>
        <v/>
      </c>
      <c r="J588" s="69" t="str">
        <f>IF(AND(A588="",B588=""),"",IF(A588="","Produit manquant",IF(COUNTIF(prod_ref,A588)=0,"Produit inconnu",IF(B588="","Matière manquante",IF(ISNA(MATCH(B588,mat_ref,0)),"Matière inconnue",IF(INDEX(mat_check,MATCH(B588,mat_ref,0))&lt;&gt;"OK","Matière à corriger",IF(OR(NOT(ISNUMBER(E588)),N(E588)&lt;=0),"Quantité invalide",IF(AND(F588&lt;&gt;"",OR(NOT(ISNUMBER(F588)),N(F588)&lt;0,N(F588)&gt;=1)),"Perte entre 0 et 99 %",IF(COUNTIFS(bom_prod,A588,bom_mat,B588)&gt;1,"Matière en double","OK")))))))))</f>
        <v/>
      </c>
      <c r="K588" s="71" t="str">
        <f>IF(AND(fiche_sel&lt;&gt;"",A588=fiche_sel),COUNTIF(A$6:A588,fiche_sel),"")</f>
        <v/>
      </c>
    </row>
    <row r="589">
      <c r="A589" s="60" t="n"/>
      <c r="B589" s="60" t="n"/>
      <c r="C589" s="71" t="str">
        <f>IF(B589="","",IFERROR(INDEX(mat_des,MATCH(B589,mat_ref,0))&amp;"","Matière inconnue"))</f>
        <v/>
      </c>
      <c r="D589" s="69" t="str">
        <f>IF(B589="","",IFERROR(INDEX(mat_unit,MATCH(B589,mat_ref,0))&amp;"",""))</f>
        <v/>
      </c>
      <c r="E589" s="72" t="n"/>
      <c r="F589" s="65" t="n"/>
      <c r="G589" s="68" t="str">
        <f>IF(J589&lt;&gt;"OK","",IF(F589="",N(INDEX(mat_loss,MATCH(B589,mat_ref,0))),F589))</f>
        <v/>
      </c>
      <c r="H589" s="66" t="str">
        <f>IF(J589&lt;&gt;"OK","",INDEX(mat_price,MATCH(B589,mat_ref,0)))</f>
        <v/>
      </c>
      <c r="I589" s="66" t="str">
        <f>IF(J589&lt;&gt;"OK","",E589*(1+G589)*H589)</f>
        <v/>
      </c>
      <c r="J589" s="69" t="str">
        <f>IF(AND(A589="",B589=""),"",IF(A589="","Produit manquant",IF(COUNTIF(prod_ref,A589)=0,"Produit inconnu",IF(B589="","Matière manquante",IF(ISNA(MATCH(B589,mat_ref,0)),"Matière inconnue",IF(INDEX(mat_check,MATCH(B589,mat_ref,0))&lt;&gt;"OK","Matière à corriger",IF(OR(NOT(ISNUMBER(E589)),N(E589)&lt;=0),"Quantité invalide",IF(AND(F589&lt;&gt;"",OR(NOT(ISNUMBER(F589)),N(F589)&lt;0,N(F589)&gt;=1)),"Perte entre 0 et 99 %",IF(COUNTIFS(bom_prod,A589,bom_mat,B589)&gt;1,"Matière en double","OK")))))))))</f>
        <v/>
      </c>
      <c r="K589" s="71" t="str">
        <f>IF(AND(fiche_sel&lt;&gt;"",A589=fiche_sel),COUNTIF(A$6:A589,fiche_sel),"")</f>
        <v/>
      </c>
    </row>
    <row r="590">
      <c r="A590" s="60" t="n"/>
      <c r="B590" s="60" t="n"/>
      <c r="C590" s="71" t="str">
        <f>IF(B590="","",IFERROR(INDEX(mat_des,MATCH(B590,mat_ref,0))&amp;"","Matière inconnue"))</f>
        <v/>
      </c>
      <c r="D590" s="69" t="str">
        <f>IF(B590="","",IFERROR(INDEX(mat_unit,MATCH(B590,mat_ref,0))&amp;"",""))</f>
        <v/>
      </c>
      <c r="E590" s="72" t="n"/>
      <c r="F590" s="65" t="n"/>
      <c r="G590" s="68" t="str">
        <f>IF(J590&lt;&gt;"OK","",IF(F590="",N(INDEX(mat_loss,MATCH(B590,mat_ref,0))),F590))</f>
        <v/>
      </c>
      <c r="H590" s="66" t="str">
        <f>IF(J590&lt;&gt;"OK","",INDEX(mat_price,MATCH(B590,mat_ref,0)))</f>
        <v/>
      </c>
      <c r="I590" s="66" t="str">
        <f>IF(J590&lt;&gt;"OK","",E590*(1+G590)*H590)</f>
        <v/>
      </c>
      <c r="J590" s="69" t="str">
        <f>IF(AND(A590="",B590=""),"",IF(A590="","Produit manquant",IF(COUNTIF(prod_ref,A590)=0,"Produit inconnu",IF(B590="","Matière manquante",IF(ISNA(MATCH(B590,mat_ref,0)),"Matière inconnue",IF(INDEX(mat_check,MATCH(B590,mat_ref,0))&lt;&gt;"OK","Matière à corriger",IF(OR(NOT(ISNUMBER(E590)),N(E590)&lt;=0),"Quantité invalide",IF(AND(F590&lt;&gt;"",OR(NOT(ISNUMBER(F590)),N(F590)&lt;0,N(F590)&gt;=1)),"Perte entre 0 et 99 %",IF(COUNTIFS(bom_prod,A590,bom_mat,B590)&gt;1,"Matière en double","OK")))))))))</f>
        <v/>
      </c>
      <c r="K590" s="71" t="str">
        <f>IF(AND(fiche_sel&lt;&gt;"",A590=fiche_sel),COUNTIF(A$6:A590,fiche_sel),"")</f>
        <v/>
      </c>
    </row>
    <row r="591">
      <c r="A591" s="60" t="n"/>
      <c r="B591" s="60" t="n"/>
      <c r="C591" s="71" t="str">
        <f>IF(B591="","",IFERROR(INDEX(mat_des,MATCH(B591,mat_ref,0))&amp;"","Matière inconnue"))</f>
        <v/>
      </c>
      <c r="D591" s="69" t="str">
        <f>IF(B591="","",IFERROR(INDEX(mat_unit,MATCH(B591,mat_ref,0))&amp;"",""))</f>
        <v/>
      </c>
      <c r="E591" s="72" t="n"/>
      <c r="F591" s="65" t="n"/>
      <c r="G591" s="68" t="str">
        <f>IF(J591&lt;&gt;"OK","",IF(F591="",N(INDEX(mat_loss,MATCH(B591,mat_ref,0))),F591))</f>
        <v/>
      </c>
      <c r="H591" s="66" t="str">
        <f>IF(J591&lt;&gt;"OK","",INDEX(mat_price,MATCH(B591,mat_ref,0)))</f>
        <v/>
      </c>
      <c r="I591" s="66" t="str">
        <f>IF(J591&lt;&gt;"OK","",E591*(1+G591)*H591)</f>
        <v/>
      </c>
      <c r="J591" s="69" t="str">
        <f>IF(AND(A591="",B591=""),"",IF(A591="","Produit manquant",IF(COUNTIF(prod_ref,A591)=0,"Produit inconnu",IF(B591="","Matière manquante",IF(ISNA(MATCH(B591,mat_ref,0)),"Matière inconnue",IF(INDEX(mat_check,MATCH(B591,mat_ref,0))&lt;&gt;"OK","Matière à corriger",IF(OR(NOT(ISNUMBER(E591)),N(E591)&lt;=0),"Quantité invalide",IF(AND(F591&lt;&gt;"",OR(NOT(ISNUMBER(F591)),N(F591)&lt;0,N(F591)&gt;=1)),"Perte entre 0 et 99 %",IF(COUNTIFS(bom_prod,A591,bom_mat,B591)&gt;1,"Matière en double","OK")))))))))</f>
        <v/>
      </c>
      <c r="K591" s="71" t="str">
        <f>IF(AND(fiche_sel&lt;&gt;"",A591=fiche_sel),COUNTIF(A$6:A591,fiche_sel),"")</f>
        <v/>
      </c>
    </row>
    <row r="592">
      <c r="A592" s="60" t="n"/>
      <c r="B592" s="60" t="n"/>
      <c r="C592" s="71" t="str">
        <f>IF(B592="","",IFERROR(INDEX(mat_des,MATCH(B592,mat_ref,0))&amp;"","Matière inconnue"))</f>
        <v/>
      </c>
      <c r="D592" s="69" t="str">
        <f>IF(B592="","",IFERROR(INDEX(mat_unit,MATCH(B592,mat_ref,0))&amp;"",""))</f>
        <v/>
      </c>
      <c r="E592" s="72" t="n"/>
      <c r="F592" s="65" t="n"/>
      <c r="G592" s="68" t="str">
        <f>IF(J592&lt;&gt;"OK","",IF(F592="",N(INDEX(mat_loss,MATCH(B592,mat_ref,0))),F592))</f>
        <v/>
      </c>
      <c r="H592" s="66" t="str">
        <f>IF(J592&lt;&gt;"OK","",INDEX(mat_price,MATCH(B592,mat_ref,0)))</f>
        <v/>
      </c>
      <c r="I592" s="66" t="str">
        <f>IF(J592&lt;&gt;"OK","",E592*(1+G592)*H592)</f>
        <v/>
      </c>
      <c r="J592" s="69" t="str">
        <f>IF(AND(A592="",B592=""),"",IF(A592="","Produit manquant",IF(COUNTIF(prod_ref,A592)=0,"Produit inconnu",IF(B592="","Matière manquante",IF(ISNA(MATCH(B592,mat_ref,0)),"Matière inconnue",IF(INDEX(mat_check,MATCH(B592,mat_ref,0))&lt;&gt;"OK","Matière à corriger",IF(OR(NOT(ISNUMBER(E592)),N(E592)&lt;=0),"Quantité invalide",IF(AND(F592&lt;&gt;"",OR(NOT(ISNUMBER(F592)),N(F592)&lt;0,N(F592)&gt;=1)),"Perte entre 0 et 99 %",IF(COUNTIFS(bom_prod,A592,bom_mat,B592)&gt;1,"Matière en double","OK")))))))))</f>
        <v/>
      </c>
      <c r="K592" s="71" t="str">
        <f>IF(AND(fiche_sel&lt;&gt;"",A592=fiche_sel),COUNTIF(A$6:A592,fiche_sel),"")</f>
        <v/>
      </c>
    </row>
    <row r="593">
      <c r="A593" s="60" t="n"/>
      <c r="B593" s="60" t="n"/>
      <c r="C593" s="71" t="str">
        <f>IF(B593="","",IFERROR(INDEX(mat_des,MATCH(B593,mat_ref,0))&amp;"","Matière inconnue"))</f>
        <v/>
      </c>
      <c r="D593" s="69" t="str">
        <f>IF(B593="","",IFERROR(INDEX(mat_unit,MATCH(B593,mat_ref,0))&amp;"",""))</f>
        <v/>
      </c>
      <c r="E593" s="72" t="n"/>
      <c r="F593" s="65" t="n"/>
      <c r="G593" s="68" t="str">
        <f>IF(J593&lt;&gt;"OK","",IF(F593="",N(INDEX(mat_loss,MATCH(B593,mat_ref,0))),F593))</f>
        <v/>
      </c>
      <c r="H593" s="66" t="str">
        <f>IF(J593&lt;&gt;"OK","",INDEX(mat_price,MATCH(B593,mat_ref,0)))</f>
        <v/>
      </c>
      <c r="I593" s="66" t="str">
        <f>IF(J593&lt;&gt;"OK","",E593*(1+G593)*H593)</f>
        <v/>
      </c>
      <c r="J593" s="69" t="str">
        <f>IF(AND(A593="",B593=""),"",IF(A593="","Produit manquant",IF(COUNTIF(prod_ref,A593)=0,"Produit inconnu",IF(B593="","Matière manquante",IF(ISNA(MATCH(B593,mat_ref,0)),"Matière inconnue",IF(INDEX(mat_check,MATCH(B593,mat_ref,0))&lt;&gt;"OK","Matière à corriger",IF(OR(NOT(ISNUMBER(E593)),N(E593)&lt;=0),"Quantité invalide",IF(AND(F593&lt;&gt;"",OR(NOT(ISNUMBER(F593)),N(F593)&lt;0,N(F593)&gt;=1)),"Perte entre 0 et 99 %",IF(COUNTIFS(bom_prod,A593,bom_mat,B593)&gt;1,"Matière en double","OK")))))))))</f>
        <v/>
      </c>
      <c r="K593" s="71" t="str">
        <f>IF(AND(fiche_sel&lt;&gt;"",A593=fiche_sel),COUNTIF(A$6:A593,fiche_sel),"")</f>
        <v/>
      </c>
    </row>
    <row r="594">
      <c r="A594" s="60" t="n"/>
      <c r="B594" s="60" t="n"/>
      <c r="C594" s="71" t="str">
        <f>IF(B594="","",IFERROR(INDEX(mat_des,MATCH(B594,mat_ref,0))&amp;"","Matière inconnue"))</f>
        <v/>
      </c>
      <c r="D594" s="69" t="str">
        <f>IF(B594="","",IFERROR(INDEX(mat_unit,MATCH(B594,mat_ref,0))&amp;"",""))</f>
        <v/>
      </c>
      <c r="E594" s="72" t="n"/>
      <c r="F594" s="65" t="n"/>
      <c r="G594" s="68" t="str">
        <f>IF(J594&lt;&gt;"OK","",IF(F594="",N(INDEX(mat_loss,MATCH(B594,mat_ref,0))),F594))</f>
        <v/>
      </c>
      <c r="H594" s="66" t="str">
        <f>IF(J594&lt;&gt;"OK","",INDEX(mat_price,MATCH(B594,mat_ref,0)))</f>
        <v/>
      </c>
      <c r="I594" s="66" t="str">
        <f>IF(J594&lt;&gt;"OK","",E594*(1+G594)*H594)</f>
        <v/>
      </c>
      <c r="J594" s="69" t="str">
        <f>IF(AND(A594="",B594=""),"",IF(A594="","Produit manquant",IF(COUNTIF(prod_ref,A594)=0,"Produit inconnu",IF(B594="","Matière manquante",IF(ISNA(MATCH(B594,mat_ref,0)),"Matière inconnue",IF(INDEX(mat_check,MATCH(B594,mat_ref,0))&lt;&gt;"OK","Matière à corriger",IF(OR(NOT(ISNUMBER(E594)),N(E594)&lt;=0),"Quantité invalide",IF(AND(F594&lt;&gt;"",OR(NOT(ISNUMBER(F594)),N(F594)&lt;0,N(F594)&gt;=1)),"Perte entre 0 et 99 %",IF(COUNTIFS(bom_prod,A594,bom_mat,B594)&gt;1,"Matière en double","OK")))))))))</f>
        <v/>
      </c>
      <c r="K594" s="71" t="str">
        <f>IF(AND(fiche_sel&lt;&gt;"",A594=fiche_sel),COUNTIF(A$6:A594,fiche_sel),"")</f>
        <v/>
      </c>
    </row>
    <row r="595">
      <c r="A595" s="60" t="n"/>
      <c r="B595" s="60" t="n"/>
      <c r="C595" s="71" t="str">
        <f>IF(B595="","",IFERROR(INDEX(mat_des,MATCH(B595,mat_ref,0))&amp;"","Matière inconnue"))</f>
        <v/>
      </c>
      <c r="D595" s="69" t="str">
        <f>IF(B595="","",IFERROR(INDEX(mat_unit,MATCH(B595,mat_ref,0))&amp;"",""))</f>
        <v/>
      </c>
      <c r="E595" s="72" t="n"/>
      <c r="F595" s="65" t="n"/>
      <c r="G595" s="68" t="str">
        <f>IF(J595&lt;&gt;"OK","",IF(F595="",N(INDEX(mat_loss,MATCH(B595,mat_ref,0))),F595))</f>
        <v/>
      </c>
      <c r="H595" s="66" t="str">
        <f>IF(J595&lt;&gt;"OK","",INDEX(mat_price,MATCH(B595,mat_ref,0)))</f>
        <v/>
      </c>
      <c r="I595" s="66" t="str">
        <f>IF(J595&lt;&gt;"OK","",E595*(1+G595)*H595)</f>
        <v/>
      </c>
      <c r="J595" s="69" t="str">
        <f>IF(AND(A595="",B595=""),"",IF(A595="","Produit manquant",IF(COUNTIF(prod_ref,A595)=0,"Produit inconnu",IF(B595="","Matière manquante",IF(ISNA(MATCH(B595,mat_ref,0)),"Matière inconnue",IF(INDEX(mat_check,MATCH(B595,mat_ref,0))&lt;&gt;"OK","Matière à corriger",IF(OR(NOT(ISNUMBER(E595)),N(E595)&lt;=0),"Quantité invalide",IF(AND(F595&lt;&gt;"",OR(NOT(ISNUMBER(F595)),N(F595)&lt;0,N(F595)&gt;=1)),"Perte entre 0 et 99 %",IF(COUNTIFS(bom_prod,A595,bom_mat,B595)&gt;1,"Matière en double","OK")))))))))</f>
        <v/>
      </c>
      <c r="K595" s="71" t="str">
        <f>IF(AND(fiche_sel&lt;&gt;"",A595=fiche_sel),COUNTIF(A$6:A595,fiche_sel),"")</f>
        <v/>
      </c>
    </row>
    <row r="596">
      <c r="A596" s="60" t="n"/>
      <c r="B596" s="60" t="n"/>
      <c r="C596" s="71" t="str">
        <f>IF(B596="","",IFERROR(INDEX(mat_des,MATCH(B596,mat_ref,0))&amp;"","Matière inconnue"))</f>
        <v/>
      </c>
      <c r="D596" s="69" t="str">
        <f>IF(B596="","",IFERROR(INDEX(mat_unit,MATCH(B596,mat_ref,0))&amp;"",""))</f>
        <v/>
      </c>
      <c r="E596" s="72" t="n"/>
      <c r="F596" s="65" t="n"/>
      <c r="G596" s="68" t="str">
        <f>IF(J596&lt;&gt;"OK","",IF(F596="",N(INDEX(mat_loss,MATCH(B596,mat_ref,0))),F596))</f>
        <v/>
      </c>
      <c r="H596" s="66" t="str">
        <f>IF(J596&lt;&gt;"OK","",INDEX(mat_price,MATCH(B596,mat_ref,0)))</f>
        <v/>
      </c>
      <c r="I596" s="66" t="str">
        <f>IF(J596&lt;&gt;"OK","",E596*(1+G596)*H596)</f>
        <v/>
      </c>
      <c r="J596" s="69" t="str">
        <f>IF(AND(A596="",B596=""),"",IF(A596="","Produit manquant",IF(COUNTIF(prod_ref,A596)=0,"Produit inconnu",IF(B596="","Matière manquante",IF(ISNA(MATCH(B596,mat_ref,0)),"Matière inconnue",IF(INDEX(mat_check,MATCH(B596,mat_ref,0))&lt;&gt;"OK","Matière à corriger",IF(OR(NOT(ISNUMBER(E596)),N(E596)&lt;=0),"Quantité invalide",IF(AND(F596&lt;&gt;"",OR(NOT(ISNUMBER(F596)),N(F596)&lt;0,N(F596)&gt;=1)),"Perte entre 0 et 99 %",IF(COUNTIFS(bom_prod,A596,bom_mat,B596)&gt;1,"Matière en double","OK")))))))))</f>
        <v/>
      </c>
      <c r="K596" s="71" t="str">
        <f>IF(AND(fiche_sel&lt;&gt;"",A596=fiche_sel),COUNTIF(A$6:A596,fiche_sel),"")</f>
        <v/>
      </c>
    </row>
    <row r="597">
      <c r="A597" s="60" t="n"/>
      <c r="B597" s="60" t="n"/>
      <c r="C597" s="71" t="str">
        <f>IF(B597="","",IFERROR(INDEX(mat_des,MATCH(B597,mat_ref,0))&amp;"","Matière inconnue"))</f>
        <v/>
      </c>
      <c r="D597" s="69" t="str">
        <f>IF(B597="","",IFERROR(INDEX(mat_unit,MATCH(B597,mat_ref,0))&amp;"",""))</f>
        <v/>
      </c>
      <c r="E597" s="72" t="n"/>
      <c r="F597" s="65" t="n"/>
      <c r="G597" s="68" t="str">
        <f>IF(J597&lt;&gt;"OK","",IF(F597="",N(INDEX(mat_loss,MATCH(B597,mat_ref,0))),F597))</f>
        <v/>
      </c>
      <c r="H597" s="66" t="str">
        <f>IF(J597&lt;&gt;"OK","",INDEX(mat_price,MATCH(B597,mat_ref,0)))</f>
        <v/>
      </c>
      <c r="I597" s="66" t="str">
        <f>IF(J597&lt;&gt;"OK","",E597*(1+G597)*H597)</f>
        <v/>
      </c>
      <c r="J597" s="69" t="str">
        <f>IF(AND(A597="",B597=""),"",IF(A597="","Produit manquant",IF(COUNTIF(prod_ref,A597)=0,"Produit inconnu",IF(B597="","Matière manquante",IF(ISNA(MATCH(B597,mat_ref,0)),"Matière inconnue",IF(INDEX(mat_check,MATCH(B597,mat_ref,0))&lt;&gt;"OK","Matière à corriger",IF(OR(NOT(ISNUMBER(E597)),N(E597)&lt;=0),"Quantité invalide",IF(AND(F597&lt;&gt;"",OR(NOT(ISNUMBER(F597)),N(F597)&lt;0,N(F597)&gt;=1)),"Perte entre 0 et 99 %",IF(COUNTIFS(bom_prod,A597,bom_mat,B597)&gt;1,"Matière en double","OK")))))))))</f>
        <v/>
      </c>
      <c r="K597" s="71" t="str">
        <f>IF(AND(fiche_sel&lt;&gt;"",A597=fiche_sel),COUNTIF(A$6:A597,fiche_sel),"")</f>
        <v/>
      </c>
    </row>
    <row r="598">
      <c r="A598" s="60" t="n"/>
      <c r="B598" s="60" t="n"/>
      <c r="C598" s="71" t="str">
        <f>IF(B598="","",IFERROR(INDEX(mat_des,MATCH(B598,mat_ref,0))&amp;"","Matière inconnue"))</f>
        <v/>
      </c>
      <c r="D598" s="69" t="str">
        <f>IF(B598="","",IFERROR(INDEX(mat_unit,MATCH(B598,mat_ref,0))&amp;"",""))</f>
        <v/>
      </c>
      <c r="E598" s="72" t="n"/>
      <c r="F598" s="65" t="n"/>
      <c r="G598" s="68" t="str">
        <f>IF(J598&lt;&gt;"OK","",IF(F598="",N(INDEX(mat_loss,MATCH(B598,mat_ref,0))),F598))</f>
        <v/>
      </c>
      <c r="H598" s="66" t="str">
        <f>IF(J598&lt;&gt;"OK","",INDEX(mat_price,MATCH(B598,mat_ref,0)))</f>
        <v/>
      </c>
      <c r="I598" s="66" t="str">
        <f>IF(J598&lt;&gt;"OK","",E598*(1+G598)*H598)</f>
        <v/>
      </c>
      <c r="J598" s="69" t="str">
        <f>IF(AND(A598="",B598=""),"",IF(A598="","Produit manquant",IF(COUNTIF(prod_ref,A598)=0,"Produit inconnu",IF(B598="","Matière manquante",IF(ISNA(MATCH(B598,mat_ref,0)),"Matière inconnue",IF(INDEX(mat_check,MATCH(B598,mat_ref,0))&lt;&gt;"OK","Matière à corriger",IF(OR(NOT(ISNUMBER(E598)),N(E598)&lt;=0),"Quantité invalide",IF(AND(F598&lt;&gt;"",OR(NOT(ISNUMBER(F598)),N(F598)&lt;0,N(F598)&gt;=1)),"Perte entre 0 et 99 %",IF(COUNTIFS(bom_prod,A598,bom_mat,B598)&gt;1,"Matière en double","OK")))))))))</f>
        <v/>
      </c>
      <c r="K598" s="71" t="str">
        <f>IF(AND(fiche_sel&lt;&gt;"",A598=fiche_sel),COUNTIF(A$6:A598,fiche_sel),"")</f>
        <v/>
      </c>
    </row>
    <row r="599">
      <c r="A599" s="60" t="n"/>
      <c r="B599" s="60" t="n"/>
      <c r="C599" s="71" t="str">
        <f>IF(B599="","",IFERROR(INDEX(mat_des,MATCH(B599,mat_ref,0))&amp;"","Matière inconnue"))</f>
        <v/>
      </c>
      <c r="D599" s="69" t="str">
        <f>IF(B599="","",IFERROR(INDEX(mat_unit,MATCH(B599,mat_ref,0))&amp;"",""))</f>
        <v/>
      </c>
      <c r="E599" s="72" t="n"/>
      <c r="F599" s="65" t="n"/>
      <c r="G599" s="68" t="str">
        <f>IF(J599&lt;&gt;"OK","",IF(F599="",N(INDEX(mat_loss,MATCH(B599,mat_ref,0))),F599))</f>
        <v/>
      </c>
      <c r="H599" s="66" t="str">
        <f>IF(J599&lt;&gt;"OK","",INDEX(mat_price,MATCH(B599,mat_ref,0)))</f>
        <v/>
      </c>
      <c r="I599" s="66" t="str">
        <f>IF(J599&lt;&gt;"OK","",E599*(1+G599)*H599)</f>
        <v/>
      </c>
      <c r="J599" s="69" t="str">
        <f>IF(AND(A599="",B599=""),"",IF(A599="","Produit manquant",IF(COUNTIF(prod_ref,A599)=0,"Produit inconnu",IF(B599="","Matière manquante",IF(ISNA(MATCH(B599,mat_ref,0)),"Matière inconnue",IF(INDEX(mat_check,MATCH(B599,mat_ref,0))&lt;&gt;"OK","Matière à corriger",IF(OR(NOT(ISNUMBER(E599)),N(E599)&lt;=0),"Quantité invalide",IF(AND(F599&lt;&gt;"",OR(NOT(ISNUMBER(F599)),N(F599)&lt;0,N(F599)&gt;=1)),"Perte entre 0 et 99 %",IF(COUNTIFS(bom_prod,A599,bom_mat,B599)&gt;1,"Matière en double","OK")))))))))</f>
        <v/>
      </c>
      <c r="K599" s="71" t="str">
        <f>IF(AND(fiche_sel&lt;&gt;"",A599=fiche_sel),COUNTIF(A$6:A599,fiche_sel),"")</f>
        <v/>
      </c>
    </row>
    <row r="600">
      <c r="A600" s="60" t="n"/>
      <c r="B600" s="60" t="n"/>
      <c r="C600" s="71" t="str">
        <f>IF(B600="","",IFERROR(INDEX(mat_des,MATCH(B600,mat_ref,0))&amp;"","Matière inconnue"))</f>
        <v/>
      </c>
      <c r="D600" s="69" t="str">
        <f>IF(B600="","",IFERROR(INDEX(mat_unit,MATCH(B600,mat_ref,0))&amp;"",""))</f>
        <v/>
      </c>
      <c r="E600" s="72" t="n"/>
      <c r="F600" s="65" t="n"/>
      <c r="G600" s="68" t="str">
        <f>IF(J600&lt;&gt;"OK","",IF(F600="",N(INDEX(mat_loss,MATCH(B600,mat_ref,0))),F600))</f>
        <v/>
      </c>
      <c r="H600" s="66" t="str">
        <f>IF(J600&lt;&gt;"OK","",INDEX(mat_price,MATCH(B600,mat_ref,0)))</f>
        <v/>
      </c>
      <c r="I600" s="66" t="str">
        <f>IF(J600&lt;&gt;"OK","",E600*(1+G600)*H600)</f>
        <v/>
      </c>
      <c r="J600" s="69" t="str">
        <f>IF(AND(A600="",B600=""),"",IF(A600="","Produit manquant",IF(COUNTIF(prod_ref,A600)=0,"Produit inconnu",IF(B600="","Matière manquante",IF(ISNA(MATCH(B600,mat_ref,0)),"Matière inconnue",IF(INDEX(mat_check,MATCH(B600,mat_ref,0))&lt;&gt;"OK","Matière à corriger",IF(OR(NOT(ISNUMBER(E600)),N(E600)&lt;=0),"Quantité invalide",IF(AND(F600&lt;&gt;"",OR(NOT(ISNUMBER(F600)),N(F600)&lt;0,N(F600)&gt;=1)),"Perte entre 0 et 99 %",IF(COUNTIFS(bom_prod,A600,bom_mat,B600)&gt;1,"Matière en double","OK")))))))))</f>
        <v/>
      </c>
      <c r="K600" s="71" t="str">
        <f>IF(AND(fiche_sel&lt;&gt;"",A600=fiche_sel),COUNTIF(A$6:A600,fiche_sel),"")</f>
        <v/>
      </c>
    </row>
    <row r="601">
      <c r="A601" s="60" t="n"/>
      <c r="B601" s="60" t="n"/>
      <c r="C601" s="71" t="str">
        <f>IF(B601="","",IFERROR(INDEX(mat_des,MATCH(B601,mat_ref,0))&amp;"","Matière inconnue"))</f>
        <v/>
      </c>
      <c r="D601" s="69" t="str">
        <f>IF(B601="","",IFERROR(INDEX(mat_unit,MATCH(B601,mat_ref,0))&amp;"",""))</f>
        <v/>
      </c>
      <c r="E601" s="72" t="n"/>
      <c r="F601" s="65" t="n"/>
      <c r="G601" s="68" t="str">
        <f>IF(J601&lt;&gt;"OK","",IF(F601="",N(INDEX(mat_loss,MATCH(B601,mat_ref,0))),F601))</f>
        <v/>
      </c>
      <c r="H601" s="66" t="str">
        <f>IF(J601&lt;&gt;"OK","",INDEX(mat_price,MATCH(B601,mat_ref,0)))</f>
        <v/>
      </c>
      <c r="I601" s="66" t="str">
        <f>IF(J601&lt;&gt;"OK","",E601*(1+G601)*H601)</f>
        <v/>
      </c>
      <c r="J601" s="69" t="str">
        <f>IF(AND(A601="",B601=""),"",IF(A601="","Produit manquant",IF(COUNTIF(prod_ref,A601)=0,"Produit inconnu",IF(B601="","Matière manquante",IF(ISNA(MATCH(B601,mat_ref,0)),"Matière inconnue",IF(INDEX(mat_check,MATCH(B601,mat_ref,0))&lt;&gt;"OK","Matière à corriger",IF(OR(NOT(ISNUMBER(E601)),N(E601)&lt;=0),"Quantité invalide",IF(AND(F601&lt;&gt;"",OR(NOT(ISNUMBER(F601)),N(F601)&lt;0,N(F601)&gt;=1)),"Perte entre 0 et 99 %",IF(COUNTIFS(bom_prod,A601,bom_mat,B601)&gt;1,"Matière en double","OK")))))))))</f>
        <v/>
      </c>
      <c r="K601" s="71" t="str">
        <f>IF(AND(fiche_sel&lt;&gt;"",A601=fiche_sel),COUNTIF(A$6:A601,fiche_sel),"")</f>
        <v/>
      </c>
    </row>
    <row r="602">
      <c r="A602" s="60" t="n"/>
      <c r="B602" s="60" t="n"/>
      <c r="C602" s="71" t="str">
        <f>IF(B602="","",IFERROR(INDEX(mat_des,MATCH(B602,mat_ref,0))&amp;"","Matière inconnue"))</f>
        <v/>
      </c>
      <c r="D602" s="69" t="str">
        <f>IF(B602="","",IFERROR(INDEX(mat_unit,MATCH(B602,mat_ref,0))&amp;"",""))</f>
        <v/>
      </c>
      <c r="E602" s="72" t="n"/>
      <c r="F602" s="65" t="n"/>
      <c r="G602" s="68" t="str">
        <f>IF(J602&lt;&gt;"OK","",IF(F602="",N(INDEX(mat_loss,MATCH(B602,mat_ref,0))),F602))</f>
        <v/>
      </c>
      <c r="H602" s="66" t="str">
        <f>IF(J602&lt;&gt;"OK","",INDEX(mat_price,MATCH(B602,mat_ref,0)))</f>
        <v/>
      </c>
      <c r="I602" s="66" t="str">
        <f>IF(J602&lt;&gt;"OK","",E602*(1+G602)*H602)</f>
        <v/>
      </c>
      <c r="J602" s="69" t="str">
        <f>IF(AND(A602="",B602=""),"",IF(A602="","Produit manquant",IF(COUNTIF(prod_ref,A602)=0,"Produit inconnu",IF(B602="","Matière manquante",IF(ISNA(MATCH(B602,mat_ref,0)),"Matière inconnue",IF(INDEX(mat_check,MATCH(B602,mat_ref,0))&lt;&gt;"OK","Matière à corriger",IF(OR(NOT(ISNUMBER(E602)),N(E602)&lt;=0),"Quantité invalide",IF(AND(F602&lt;&gt;"",OR(NOT(ISNUMBER(F602)),N(F602)&lt;0,N(F602)&gt;=1)),"Perte entre 0 et 99 %",IF(COUNTIFS(bom_prod,A602,bom_mat,B602)&gt;1,"Matière en double","OK")))))))))</f>
        <v/>
      </c>
      <c r="K602" s="71" t="str">
        <f>IF(AND(fiche_sel&lt;&gt;"",A602=fiche_sel),COUNTIF(A$6:A602,fiche_sel),"")</f>
        <v/>
      </c>
    </row>
    <row r="603">
      <c r="A603" s="60" t="n"/>
      <c r="B603" s="60" t="n"/>
      <c r="C603" s="71" t="str">
        <f>IF(B603="","",IFERROR(INDEX(mat_des,MATCH(B603,mat_ref,0))&amp;"","Matière inconnue"))</f>
        <v/>
      </c>
      <c r="D603" s="69" t="str">
        <f>IF(B603="","",IFERROR(INDEX(mat_unit,MATCH(B603,mat_ref,0))&amp;"",""))</f>
        <v/>
      </c>
      <c r="E603" s="72" t="n"/>
      <c r="F603" s="65" t="n"/>
      <c r="G603" s="68" t="str">
        <f>IF(J603&lt;&gt;"OK","",IF(F603="",N(INDEX(mat_loss,MATCH(B603,mat_ref,0))),F603))</f>
        <v/>
      </c>
      <c r="H603" s="66" t="str">
        <f>IF(J603&lt;&gt;"OK","",INDEX(mat_price,MATCH(B603,mat_ref,0)))</f>
        <v/>
      </c>
      <c r="I603" s="66" t="str">
        <f>IF(J603&lt;&gt;"OK","",E603*(1+G603)*H603)</f>
        <v/>
      </c>
      <c r="J603" s="69" t="str">
        <f>IF(AND(A603="",B603=""),"",IF(A603="","Produit manquant",IF(COUNTIF(prod_ref,A603)=0,"Produit inconnu",IF(B603="","Matière manquante",IF(ISNA(MATCH(B603,mat_ref,0)),"Matière inconnue",IF(INDEX(mat_check,MATCH(B603,mat_ref,0))&lt;&gt;"OK","Matière à corriger",IF(OR(NOT(ISNUMBER(E603)),N(E603)&lt;=0),"Quantité invalide",IF(AND(F603&lt;&gt;"",OR(NOT(ISNUMBER(F603)),N(F603)&lt;0,N(F603)&gt;=1)),"Perte entre 0 et 99 %",IF(COUNTIFS(bom_prod,A603,bom_mat,B603)&gt;1,"Matière en double","OK")))))))))</f>
        <v/>
      </c>
      <c r="K603" s="71" t="str">
        <f>IF(AND(fiche_sel&lt;&gt;"",A603=fiche_sel),COUNTIF(A$6:A603,fiche_sel),"")</f>
        <v/>
      </c>
    </row>
    <row r="604">
      <c r="A604" s="60" t="n"/>
      <c r="B604" s="60" t="n"/>
      <c r="C604" s="71" t="str">
        <f>IF(B604="","",IFERROR(INDEX(mat_des,MATCH(B604,mat_ref,0))&amp;"","Matière inconnue"))</f>
        <v/>
      </c>
      <c r="D604" s="69" t="str">
        <f>IF(B604="","",IFERROR(INDEX(mat_unit,MATCH(B604,mat_ref,0))&amp;"",""))</f>
        <v/>
      </c>
      <c r="E604" s="72" t="n"/>
      <c r="F604" s="65" t="n"/>
      <c r="G604" s="68" t="str">
        <f>IF(J604&lt;&gt;"OK","",IF(F604="",N(INDEX(mat_loss,MATCH(B604,mat_ref,0))),F604))</f>
        <v/>
      </c>
      <c r="H604" s="66" t="str">
        <f>IF(J604&lt;&gt;"OK","",INDEX(mat_price,MATCH(B604,mat_ref,0)))</f>
        <v/>
      </c>
      <c r="I604" s="66" t="str">
        <f>IF(J604&lt;&gt;"OK","",E604*(1+G604)*H604)</f>
        <v/>
      </c>
      <c r="J604" s="69" t="str">
        <f>IF(AND(A604="",B604=""),"",IF(A604="","Produit manquant",IF(COUNTIF(prod_ref,A604)=0,"Produit inconnu",IF(B604="","Matière manquante",IF(ISNA(MATCH(B604,mat_ref,0)),"Matière inconnue",IF(INDEX(mat_check,MATCH(B604,mat_ref,0))&lt;&gt;"OK","Matière à corriger",IF(OR(NOT(ISNUMBER(E604)),N(E604)&lt;=0),"Quantité invalide",IF(AND(F604&lt;&gt;"",OR(NOT(ISNUMBER(F604)),N(F604)&lt;0,N(F604)&gt;=1)),"Perte entre 0 et 99 %",IF(COUNTIFS(bom_prod,A604,bom_mat,B604)&gt;1,"Matière en double","OK")))))))))</f>
        <v/>
      </c>
      <c r="K604" s="71" t="str">
        <f>IF(AND(fiche_sel&lt;&gt;"",A604=fiche_sel),COUNTIF(A$6:A604,fiche_sel),"")</f>
        <v/>
      </c>
    </row>
    <row r="605">
      <c r="A605" s="60" t="n"/>
      <c r="B605" s="60" t="n"/>
      <c r="C605" s="71" t="str">
        <f>IF(B605="","",IFERROR(INDEX(mat_des,MATCH(B605,mat_ref,0))&amp;"","Matière inconnue"))</f>
        <v/>
      </c>
      <c r="D605" s="69" t="str">
        <f>IF(B605="","",IFERROR(INDEX(mat_unit,MATCH(B605,mat_ref,0))&amp;"",""))</f>
        <v/>
      </c>
      <c r="E605" s="72" t="n"/>
      <c r="F605" s="65" t="n"/>
      <c r="G605" s="68" t="str">
        <f>IF(J605&lt;&gt;"OK","",IF(F605="",N(INDEX(mat_loss,MATCH(B605,mat_ref,0))),F605))</f>
        <v/>
      </c>
      <c r="H605" s="66" t="str">
        <f>IF(J605&lt;&gt;"OK","",INDEX(mat_price,MATCH(B605,mat_ref,0)))</f>
        <v/>
      </c>
      <c r="I605" s="66" t="str">
        <f>IF(J605&lt;&gt;"OK","",E605*(1+G605)*H605)</f>
        <v/>
      </c>
      <c r="J605" s="69" t="str">
        <f>IF(AND(A605="",B605=""),"",IF(A605="","Produit manquant",IF(COUNTIF(prod_ref,A605)=0,"Produit inconnu",IF(B605="","Matière manquante",IF(ISNA(MATCH(B605,mat_ref,0)),"Matière inconnue",IF(INDEX(mat_check,MATCH(B605,mat_ref,0))&lt;&gt;"OK","Matière à corriger",IF(OR(NOT(ISNUMBER(E605)),N(E605)&lt;=0),"Quantité invalide",IF(AND(F605&lt;&gt;"",OR(NOT(ISNUMBER(F605)),N(F605)&lt;0,N(F605)&gt;=1)),"Perte entre 0 et 99 %",IF(COUNTIFS(bom_prod,A605,bom_mat,B605)&gt;1,"Matière en double","OK")))))))))</f>
        <v/>
      </c>
      <c r="K605" s="71" t="str">
        <f>IF(AND(fiche_sel&lt;&gt;"",A605=fiche_sel),COUNTIF(A$6:A605,fiche_sel),"")</f>
        <v/>
      </c>
    </row>
    <row r="606">
      <c r="A606" s="60" t="n"/>
      <c r="B606" s="60" t="n"/>
      <c r="C606" s="71" t="str">
        <f>IF(B606="","",IFERROR(INDEX(mat_des,MATCH(B606,mat_ref,0))&amp;"","Matière inconnue"))</f>
        <v/>
      </c>
      <c r="D606" s="69" t="str">
        <f>IF(B606="","",IFERROR(INDEX(mat_unit,MATCH(B606,mat_ref,0))&amp;"",""))</f>
        <v/>
      </c>
      <c r="E606" s="72" t="n"/>
      <c r="F606" s="65" t="n"/>
      <c r="G606" s="68" t="str">
        <f>IF(J606&lt;&gt;"OK","",IF(F606="",N(INDEX(mat_loss,MATCH(B606,mat_ref,0))),F606))</f>
        <v/>
      </c>
      <c r="H606" s="66" t="str">
        <f>IF(J606&lt;&gt;"OK","",INDEX(mat_price,MATCH(B606,mat_ref,0)))</f>
        <v/>
      </c>
      <c r="I606" s="66" t="str">
        <f>IF(J606&lt;&gt;"OK","",E606*(1+G606)*H606)</f>
        <v/>
      </c>
      <c r="J606" s="69" t="str">
        <f>IF(AND(A606="",B606=""),"",IF(A606="","Produit manquant",IF(COUNTIF(prod_ref,A606)=0,"Produit inconnu",IF(B606="","Matière manquante",IF(ISNA(MATCH(B606,mat_ref,0)),"Matière inconnue",IF(INDEX(mat_check,MATCH(B606,mat_ref,0))&lt;&gt;"OK","Matière à corriger",IF(OR(NOT(ISNUMBER(E606)),N(E606)&lt;=0),"Quantité invalide",IF(AND(F606&lt;&gt;"",OR(NOT(ISNUMBER(F606)),N(F606)&lt;0,N(F606)&gt;=1)),"Perte entre 0 et 99 %",IF(COUNTIFS(bom_prod,A606,bom_mat,B606)&gt;1,"Matière en double","OK")))))))))</f>
        <v/>
      </c>
      <c r="K606" s="71" t="str">
        <f>IF(AND(fiche_sel&lt;&gt;"",A606=fiche_sel),COUNTIF(A$6:A606,fiche_sel),"")</f>
        <v/>
      </c>
    </row>
    <row r="607">
      <c r="A607" s="60" t="n"/>
      <c r="B607" s="60" t="n"/>
      <c r="C607" s="71" t="str">
        <f>IF(B607="","",IFERROR(INDEX(mat_des,MATCH(B607,mat_ref,0))&amp;"","Matière inconnue"))</f>
        <v/>
      </c>
      <c r="D607" s="69" t="str">
        <f>IF(B607="","",IFERROR(INDEX(mat_unit,MATCH(B607,mat_ref,0))&amp;"",""))</f>
        <v/>
      </c>
      <c r="E607" s="72" t="n"/>
      <c r="F607" s="65" t="n"/>
      <c r="G607" s="68" t="str">
        <f>IF(J607&lt;&gt;"OK","",IF(F607="",N(INDEX(mat_loss,MATCH(B607,mat_ref,0))),F607))</f>
        <v/>
      </c>
      <c r="H607" s="66" t="str">
        <f>IF(J607&lt;&gt;"OK","",INDEX(mat_price,MATCH(B607,mat_ref,0)))</f>
        <v/>
      </c>
      <c r="I607" s="66" t="str">
        <f>IF(J607&lt;&gt;"OK","",E607*(1+G607)*H607)</f>
        <v/>
      </c>
      <c r="J607" s="69" t="str">
        <f>IF(AND(A607="",B607=""),"",IF(A607="","Produit manquant",IF(COUNTIF(prod_ref,A607)=0,"Produit inconnu",IF(B607="","Matière manquante",IF(ISNA(MATCH(B607,mat_ref,0)),"Matière inconnue",IF(INDEX(mat_check,MATCH(B607,mat_ref,0))&lt;&gt;"OK","Matière à corriger",IF(OR(NOT(ISNUMBER(E607)),N(E607)&lt;=0),"Quantité invalide",IF(AND(F607&lt;&gt;"",OR(NOT(ISNUMBER(F607)),N(F607)&lt;0,N(F607)&gt;=1)),"Perte entre 0 et 99 %",IF(COUNTIFS(bom_prod,A607,bom_mat,B607)&gt;1,"Matière en double","OK")))))))))</f>
        <v/>
      </c>
      <c r="K607" s="71" t="str">
        <f>IF(AND(fiche_sel&lt;&gt;"",A607=fiche_sel),COUNTIF(A$6:A607,fiche_sel),"")</f>
        <v/>
      </c>
    </row>
    <row r="608">
      <c r="A608" s="60" t="n"/>
      <c r="B608" s="60" t="n"/>
      <c r="C608" s="71" t="str">
        <f>IF(B608="","",IFERROR(INDEX(mat_des,MATCH(B608,mat_ref,0))&amp;"","Matière inconnue"))</f>
        <v/>
      </c>
      <c r="D608" s="69" t="str">
        <f>IF(B608="","",IFERROR(INDEX(mat_unit,MATCH(B608,mat_ref,0))&amp;"",""))</f>
        <v/>
      </c>
      <c r="E608" s="72" t="n"/>
      <c r="F608" s="65" t="n"/>
      <c r="G608" s="68" t="str">
        <f>IF(J608&lt;&gt;"OK","",IF(F608="",N(INDEX(mat_loss,MATCH(B608,mat_ref,0))),F608))</f>
        <v/>
      </c>
      <c r="H608" s="66" t="str">
        <f>IF(J608&lt;&gt;"OK","",INDEX(mat_price,MATCH(B608,mat_ref,0)))</f>
        <v/>
      </c>
      <c r="I608" s="66" t="str">
        <f>IF(J608&lt;&gt;"OK","",E608*(1+G608)*H608)</f>
        <v/>
      </c>
      <c r="J608" s="69" t="str">
        <f>IF(AND(A608="",B608=""),"",IF(A608="","Produit manquant",IF(COUNTIF(prod_ref,A608)=0,"Produit inconnu",IF(B608="","Matière manquante",IF(ISNA(MATCH(B608,mat_ref,0)),"Matière inconnue",IF(INDEX(mat_check,MATCH(B608,mat_ref,0))&lt;&gt;"OK","Matière à corriger",IF(OR(NOT(ISNUMBER(E608)),N(E608)&lt;=0),"Quantité invalide",IF(AND(F608&lt;&gt;"",OR(NOT(ISNUMBER(F608)),N(F608)&lt;0,N(F608)&gt;=1)),"Perte entre 0 et 99 %",IF(COUNTIFS(bom_prod,A608,bom_mat,B608)&gt;1,"Matière en double","OK")))))))))</f>
        <v/>
      </c>
      <c r="K608" s="71" t="str">
        <f>IF(AND(fiche_sel&lt;&gt;"",A608=fiche_sel),COUNTIF(A$6:A608,fiche_sel),"")</f>
        <v/>
      </c>
    </row>
    <row r="609">
      <c r="A609" s="60" t="n"/>
      <c r="B609" s="60" t="n"/>
      <c r="C609" s="71" t="str">
        <f>IF(B609="","",IFERROR(INDEX(mat_des,MATCH(B609,mat_ref,0))&amp;"","Matière inconnue"))</f>
        <v/>
      </c>
      <c r="D609" s="69" t="str">
        <f>IF(B609="","",IFERROR(INDEX(mat_unit,MATCH(B609,mat_ref,0))&amp;"",""))</f>
        <v/>
      </c>
      <c r="E609" s="72" t="n"/>
      <c r="F609" s="65" t="n"/>
      <c r="G609" s="68" t="str">
        <f>IF(J609&lt;&gt;"OK","",IF(F609="",N(INDEX(mat_loss,MATCH(B609,mat_ref,0))),F609))</f>
        <v/>
      </c>
      <c r="H609" s="66" t="str">
        <f>IF(J609&lt;&gt;"OK","",INDEX(mat_price,MATCH(B609,mat_ref,0)))</f>
        <v/>
      </c>
      <c r="I609" s="66" t="str">
        <f>IF(J609&lt;&gt;"OK","",E609*(1+G609)*H609)</f>
        <v/>
      </c>
      <c r="J609" s="69" t="str">
        <f>IF(AND(A609="",B609=""),"",IF(A609="","Produit manquant",IF(COUNTIF(prod_ref,A609)=0,"Produit inconnu",IF(B609="","Matière manquante",IF(ISNA(MATCH(B609,mat_ref,0)),"Matière inconnue",IF(INDEX(mat_check,MATCH(B609,mat_ref,0))&lt;&gt;"OK","Matière à corriger",IF(OR(NOT(ISNUMBER(E609)),N(E609)&lt;=0),"Quantité invalide",IF(AND(F609&lt;&gt;"",OR(NOT(ISNUMBER(F609)),N(F609)&lt;0,N(F609)&gt;=1)),"Perte entre 0 et 99 %",IF(COUNTIFS(bom_prod,A609,bom_mat,B609)&gt;1,"Matière en double","OK")))))))))</f>
        <v/>
      </c>
      <c r="K609" s="71" t="str">
        <f>IF(AND(fiche_sel&lt;&gt;"",A609=fiche_sel),COUNTIF(A$6:A609,fiche_sel),"")</f>
        <v/>
      </c>
    </row>
    <row r="610">
      <c r="A610" s="60" t="n"/>
      <c r="B610" s="60" t="n"/>
      <c r="C610" s="71" t="str">
        <f>IF(B610="","",IFERROR(INDEX(mat_des,MATCH(B610,mat_ref,0))&amp;"","Matière inconnue"))</f>
        <v/>
      </c>
      <c r="D610" s="69" t="str">
        <f>IF(B610="","",IFERROR(INDEX(mat_unit,MATCH(B610,mat_ref,0))&amp;"",""))</f>
        <v/>
      </c>
      <c r="E610" s="72" t="n"/>
      <c r="F610" s="65" t="n"/>
      <c r="G610" s="68" t="str">
        <f>IF(J610&lt;&gt;"OK","",IF(F610="",N(INDEX(mat_loss,MATCH(B610,mat_ref,0))),F610))</f>
        <v/>
      </c>
      <c r="H610" s="66" t="str">
        <f>IF(J610&lt;&gt;"OK","",INDEX(mat_price,MATCH(B610,mat_ref,0)))</f>
        <v/>
      </c>
      <c r="I610" s="66" t="str">
        <f>IF(J610&lt;&gt;"OK","",E610*(1+G610)*H610)</f>
        <v/>
      </c>
      <c r="J610" s="69" t="str">
        <f>IF(AND(A610="",B610=""),"",IF(A610="","Produit manquant",IF(COUNTIF(prod_ref,A610)=0,"Produit inconnu",IF(B610="","Matière manquante",IF(ISNA(MATCH(B610,mat_ref,0)),"Matière inconnue",IF(INDEX(mat_check,MATCH(B610,mat_ref,0))&lt;&gt;"OK","Matière à corriger",IF(OR(NOT(ISNUMBER(E610)),N(E610)&lt;=0),"Quantité invalide",IF(AND(F610&lt;&gt;"",OR(NOT(ISNUMBER(F610)),N(F610)&lt;0,N(F610)&gt;=1)),"Perte entre 0 et 99 %",IF(COUNTIFS(bom_prod,A610,bom_mat,B610)&gt;1,"Matière en double","OK")))))))))</f>
        <v/>
      </c>
      <c r="K610" s="71" t="str">
        <f>IF(AND(fiche_sel&lt;&gt;"",A610=fiche_sel),COUNTIF(A$6:A610,fiche_sel),"")</f>
        <v/>
      </c>
    </row>
    <row r="611">
      <c r="A611" s="60" t="n"/>
      <c r="B611" s="60" t="n"/>
      <c r="C611" s="71" t="str">
        <f>IF(B611="","",IFERROR(INDEX(mat_des,MATCH(B611,mat_ref,0))&amp;"","Matière inconnue"))</f>
        <v/>
      </c>
      <c r="D611" s="69" t="str">
        <f>IF(B611="","",IFERROR(INDEX(mat_unit,MATCH(B611,mat_ref,0))&amp;"",""))</f>
        <v/>
      </c>
      <c r="E611" s="72" t="n"/>
      <c r="F611" s="65" t="n"/>
      <c r="G611" s="68" t="str">
        <f>IF(J611&lt;&gt;"OK","",IF(F611="",N(INDEX(mat_loss,MATCH(B611,mat_ref,0))),F611))</f>
        <v/>
      </c>
      <c r="H611" s="66" t="str">
        <f>IF(J611&lt;&gt;"OK","",INDEX(mat_price,MATCH(B611,mat_ref,0)))</f>
        <v/>
      </c>
      <c r="I611" s="66" t="str">
        <f>IF(J611&lt;&gt;"OK","",E611*(1+G611)*H611)</f>
        <v/>
      </c>
      <c r="J611" s="69" t="str">
        <f>IF(AND(A611="",B611=""),"",IF(A611="","Produit manquant",IF(COUNTIF(prod_ref,A611)=0,"Produit inconnu",IF(B611="","Matière manquante",IF(ISNA(MATCH(B611,mat_ref,0)),"Matière inconnue",IF(INDEX(mat_check,MATCH(B611,mat_ref,0))&lt;&gt;"OK","Matière à corriger",IF(OR(NOT(ISNUMBER(E611)),N(E611)&lt;=0),"Quantité invalide",IF(AND(F611&lt;&gt;"",OR(NOT(ISNUMBER(F611)),N(F611)&lt;0,N(F611)&gt;=1)),"Perte entre 0 et 99 %",IF(COUNTIFS(bom_prod,A611,bom_mat,B611)&gt;1,"Matière en double","OK")))))))))</f>
        <v/>
      </c>
      <c r="K611" s="71" t="str">
        <f>IF(AND(fiche_sel&lt;&gt;"",A611=fiche_sel),COUNTIF(A$6:A611,fiche_sel),"")</f>
        <v/>
      </c>
    </row>
    <row r="612">
      <c r="A612" s="60" t="n"/>
      <c r="B612" s="60" t="n"/>
      <c r="C612" s="71" t="str">
        <f>IF(B612="","",IFERROR(INDEX(mat_des,MATCH(B612,mat_ref,0))&amp;"","Matière inconnue"))</f>
        <v/>
      </c>
      <c r="D612" s="69" t="str">
        <f>IF(B612="","",IFERROR(INDEX(mat_unit,MATCH(B612,mat_ref,0))&amp;"",""))</f>
        <v/>
      </c>
      <c r="E612" s="72" t="n"/>
      <c r="F612" s="65" t="n"/>
      <c r="G612" s="68" t="str">
        <f>IF(J612&lt;&gt;"OK","",IF(F612="",N(INDEX(mat_loss,MATCH(B612,mat_ref,0))),F612))</f>
        <v/>
      </c>
      <c r="H612" s="66" t="str">
        <f>IF(J612&lt;&gt;"OK","",INDEX(mat_price,MATCH(B612,mat_ref,0)))</f>
        <v/>
      </c>
      <c r="I612" s="66" t="str">
        <f>IF(J612&lt;&gt;"OK","",E612*(1+G612)*H612)</f>
        <v/>
      </c>
      <c r="J612" s="69" t="str">
        <f>IF(AND(A612="",B612=""),"",IF(A612="","Produit manquant",IF(COUNTIF(prod_ref,A612)=0,"Produit inconnu",IF(B612="","Matière manquante",IF(ISNA(MATCH(B612,mat_ref,0)),"Matière inconnue",IF(INDEX(mat_check,MATCH(B612,mat_ref,0))&lt;&gt;"OK","Matière à corriger",IF(OR(NOT(ISNUMBER(E612)),N(E612)&lt;=0),"Quantité invalide",IF(AND(F612&lt;&gt;"",OR(NOT(ISNUMBER(F612)),N(F612)&lt;0,N(F612)&gt;=1)),"Perte entre 0 et 99 %",IF(COUNTIFS(bom_prod,A612,bom_mat,B612)&gt;1,"Matière en double","OK")))))))))</f>
        <v/>
      </c>
      <c r="K612" s="71" t="str">
        <f>IF(AND(fiche_sel&lt;&gt;"",A612=fiche_sel),COUNTIF(A$6:A612,fiche_sel),"")</f>
        <v/>
      </c>
    </row>
    <row r="613">
      <c r="A613" s="60" t="n"/>
      <c r="B613" s="60" t="n"/>
      <c r="C613" s="71" t="str">
        <f>IF(B613="","",IFERROR(INDEX(mat_des,MATCH(B613,mat_ref,0))&amp;"","Matière inconnue"))</f>
        <v/>
      </c>
      <c r="D613" s="69" t="str">
        <f>IF(B613="","",IFERROR(INDEX(mat_unit,MATCH(B613,mat_ref,0))&amp;"",""))</f>
        <v/>
      </c>
      <c r="E613" s="72" t="n"/>
      <c r="F613" s="65" t="n"/>
      <c r="G613" s="68" t="str">
        <f>IF(J613&lt;&gt;"OK","",IF(F613="",N(INDEX(mat_loss,MATCH(B613,mat_ref,0))),F613))</f>
        <v/>
      </c>
      <c r="H613" s="66" t="str">
        <f>IF(J613&lt;&gt;"OK","",INDEX(mat_price,MATCH(B613,mat_ref,0)))</f>
        <v/>
      </c>
      <c r="I613" s="66" t="str">
        <f>IF(J613&lt;&gt;"OK","",E613*(1+G613)*H613)</f>
        <v/>
      </c>
      <c r="J613" s="69" t="str">
        <f>IF(AND(A613="",B613=""),"",IF(A613="","Produit manquant",IF(COUNTIF(prod_ref,A613)=0,"Produit inconnu",IF(B613="","Matière manquante",IF(ISNA(MATCH(B613,mat_ref,0)),"Matière inconnue",IF(INDEX(mat_check,MATCH(B613,mat_ref,0))&lt;&gt;"OK","Matière à corriger",IF(OR(NOT(ISNUMBER(E613)),N(E613)&lt;=0),"Quantité invalide",IF(AND(F613&lt;&gt;"",OR(NOT(ISNUMBER(F613)),N(F613)&lt;0,N(F613)&gt;=1)),"Perte entre 0 et 99 %",IF(COUNTIFS(bom_prod,A613,bom_mat,B613)&gt;1,"Matière en double","OK")))))))))</f>
        <v/>
      </c>
      <c r="K613" s="71" t="str">
        <f>IF(AND(fiche_sel&lt;&gt;"",A613=fiche_sel),COUNTIF(A$6:A613,fiche_sel),"")</f>
        <v/>
      </c>
    </row>
    <row r="614">
      <c r="A614" s="60" t="n"/>
      <c r="B614" s="60" t="n"/>
      <c r="C614" s="71" t="str">
        <f>IF(B614="","",IFERROR(INDEX(mat_des,MATCH(B614,mat_ref,0))&amp;"","Matière inconnue"))</f>
        <v/>
      </c>
      <c r="D614" s="69" t="str">
        <f>IF(B614="","",IFERROR(INDEX(mat_unit,MATCH(B614,mat_ref,0))&amp;"",""))</f>
        <v/>
      </c>
      <c r="E614" s="72" t="n"/>
      <c r="F614" s="65" t="n"/>
      <c r="G614" s="68" t="str">
        <f>IF(J614&lt;&gt;"OK","",IF(F614="",N(INDEX(mat_loss,MATCH(B614,mat_ref,0))),F614))</f>
        <v/>
      </c>
      <c r="H614" s="66" t="str">
        <f>IF(J614&lt;&gt;"OK","",INDEX(mat_price,MATCH(B614,mat_ref,0)))</f>
        <v/>
      </c>
      <c r="I614" s="66" t="str">
        <f>IF(J614&lt;&gt;"OK","",E614*(1+G614)*H614)</f>
        <v/>
      </c>
      <c r="J614" s="69" t="str">
        <f>IF(AND(A614="",B614=""),"",IF(A614="","Produit manquant",IF(COUNTIF(prod_ref,A614)=0,"Produit inconnu",IF(B614="","Matière manquante",IF(ISNA(MATCH(B614,mat_ref,0)),"Matière inconnue",IF(INDEX(mat_check,MATCH(B614,mat_ref,0))&lt;&gt;"OK","Matière à corriger",IF(OR(NOT(ISNUMBER(E614)),N(E614)&lt;=0),"Quantité invalide",IF(AND(F614&lt;&gt;"",OR(NOT(ISNUMBER(F614)),N(F614)&lt;0,N(F614)&gt;=1)),"Perte entre 0 et 99 %",IF(COUNTIFS(bom_prod,A614,bom_mat,B614)&gt;1,"Matière en double","OK")))))))))</f>
        <v/>
      </c>
      <c r="K614" s="71" t="str">
        <f>IF(AND(fiche_sel&lt;&gt;"",A614=fiche_sel),COUNTIF(A$6:A614,fiche_sel),"")</f>
        <v/>
      </c>
    </row>
    <row r="615">
      <c r="A615" s="60" t="n"/>
      <c r="B615" s="60" t="n"/>
      <c r="C615" s="71" t="str">
        <f>IF(B615="","",IFERROR(INDEX(mat_des,MATCH(B615,mat_ref,0))&amp;"","Matière inconnue"))</f>
        <v/>
      </c>
      <c r="D615" s="69" t="str">
        <f>IF(B615="","",IFERROR(INDEX(mat_unit,MATCH(B615,mat_ref,0))&amp;"",""))</f>
        <v/>
      </c>
      <c r="E615" s="72" t="n"/>
      <c r="F615" s="65" t="n"/>
      <c r="G615" s="68" t="str">
        <f>IF(J615&lt;&gt;"OK","",IF(F615="",N(INDEX(mat_loss,MATCH(B615,mat_ref,0))),F615))</f>
        <v/>
      </c>
      <c r="H615" s="66" t="str">
        <f>IF(J615&lt;&gt;"OK","",INDEX(mat_price,MATCH(B615,mat_ref,0)))</f>
        <v/>
      </c>
      <c r="I615" s="66" t="str">
        <f>IF(J615&lt;&gt;"OK","",E615*(1+G615)*H615)</f>
        <v/>
      </c>
      <c r="J615" s="69" t="str">
        <f>IF(AND(A615="",B615=""),"",IF(A615="","Produit manquant",IF(COUNTIF(prod_ref,A615)=0,"Produit inconnu",IF(B615="","Matière manquante",IF(ISNA(MATCH(B615,mat_ref,0)),"Matière inconnue",IF(INDEX(mat_check,MATCH(B615,mat_ref,0))&lt;&gt;"OK","Matière à corriger",IF(OR(NOT(ISNUMBER(E615)),N(E615)&lt;=0),"Quantité invalide",IF(AND(F615&lt;&gt;"",OR(NOT(ISNUMBER(F615)),N(F615)&lt;0,N(F615)&gt;=1)),"Perte entre 0 et 99 %",IF(COUNTIFS(bom_prod,A615,bom_mat,B615)&gt;1,"Matière en double","OK")))))))))</f>
        <v/>
      </c>
      <c r="K615" s="71" t="str">
        <f>IF(AND(fiche_sel&lt;&gt;"",A615=fiche_sel),COUNTIF(A$6:A615,fiche_sel),"")</f>
        <v/>
      </c>
    </row>
    <row r="616">
      <c r="A616" s="60" t="n"/>
      <c r="B616" s="60" t="n"/>
      <c r="C616" s="71" t="str">
        <f>IF(B616="","",IFERROR(INDEX(mat_des,MATCH(B616,mat_ref,0))&amp;"","Matière inconnue"))</f>
        <v/>
      </c>
      <c r="D616" s="69" t="str">
        <f>IF(B616="","",IFERROR(INDEX(mat_unit,MATCH(B616,mat_ref,0))&amp;"",""))</f>
        <v/>
      </c>
      <c r="E616" s="72" t="n"/>
      <c r="F616" s="65" t="n"/>
      <c r="G616" s="68" t="str">
        <f>IF(J616&lt;&gt;"OK","",IF(F616="",N(INDEX(mat_loss,MATCH(B616,mat_ref,0))),F616))</f>
        <v/>
      </c>
      <c r="H616" s="66" t="str">
        <f>IF(J616&lt;&gt;"OK","",INDEX(mat_price,MATCH(B616,mat_ref,0)))</f>
        <v/>
      </c>
      <c r="I616" s="66" t="str">
        <f>IF(J616&lt;&gt;"OK","",E616*(1+G616)*H616)</f>
        <v/>
      </c>
      <c r="J616" s="69" t="str">
        <f>IF(AND(A616="",B616=""),"",IF(A616="","Produit manquant",IF(COUNTIF(prod_ref,A616)=0,"Produit inconnu",IF(B616="","Matière manquante",IF(ISNA(MATCH(B616,mat_ref,0)),"Matière inconnue",IF(INDEX(mat_check,MATCH(B616,mat_ref,0))&lt;&gt;"OK","Matière à corriger",IF(OR(NOT(ISNUMBER(E616)),N(E616)&lt;=0),"Quantité invalide",IF(AND(F616&lt;&gt;"",OR(NOT(ISNUMBER(F616)),N(F616)&lt;0,N(F616)&gt;=1)),"Perte entre 0 et 99 %",IF(COUNTIFS(bom_prod,A616,bom_mat,B616)&gt;1,"Matière en double","OK")))))))))</f>
        <v/>
      </c>
      <c r="K616" s="71" t="str">
        <f>IF(AND(fiche_sel&lt;&gt;"",A616=fiche_sel),COUNTIF(A$6:A616,fiche_sel),"")</f>
        <v/>
      </c>
    </row>
    <row r="617">
      <c r="A617" s="60" t="n"/>
      <c r="B617" s="60" t="n"/>
      <c r="C617" s="71" t="str">
        <f>IF(B617="","",IFERROR(INDEX(mat_des,MATCH(B617,mat_ref,0))&amp;"","Matière inconnue"))</f>
        <v/>
      </c>
      <c r="D617" s="69" t="str">
        <f>IF(B617="","",IFERROR(INDEX(mat_unit,MATCH(B617,mat_ref,0))&amp;"",""))</f>
        <v/>
      </c>
      <c r="E617" s="72" t="n"/>
      <c r="F617" s="65" t="n"/>
      <c r="G617" s="68" t="str">
        <f>IF(J617&lt;&gt;"OK","",IF(F617="",N(INDEX(mat_loss,MATCH(B617,mat_ref,0))),F617))</f>
        <v/>
      </c>
      <c r="H617" s="66" t="str">
        <f>IF(J617&lt;&gt;"OK","",INDEX(mat_price,MATCH(B617,mat_ref,0)))</f>
        <v/>
      </c>
      <c r="I617" s="66" t="str">
        <f>IF(J617&lt;&gt;"OK","",E617*(1+G617)*H617)</f>
        <v/>
      </c>
      <c r="J617" s="69" t="str">
        <f>IF(AND(A617="",B617=""),"",IF(A617="","Produit manquant",IF(COUNTIF(prod_ref,A617)=0,"Produit inconnu",IF(B617="","Matière manquante",IF(ISNA(MATCH(B617,mat_ref,0)),"Matière inconnue",IF(INDEX(mat_check,MATCH(B617,mat_ref,0))&lt;&gt;"OK","Matière à corriger",IF(OR(NOT(ISNUMBER(E617)),N(E617)&lt;=0),"Quantité invalide",IF(AND(F617&lt;&gt;"",OR(NOT(ISNUMBER(F617)),N(F617)&lt;0,N(F617)&gt;=1)),"Perte entre 0 et 99 %",IF(COUNTIFS(bom_prod,A617,bom_mat,B617)&gt;1,"Matière en double","OK")))))))))</f>
        <v/>
      </c>
      <c r="K617" s="71" t="str">
        <f>IF(AND(fiche_sel&lt;&gt;"",A617=fiche_sel),COUNTIF(A$6:A617,fiche_sel),"")</f>
        <v/>
      </c>
    </row>
    <row r="618">
      <c r="A618" s="60" t="n"/>
      <c r="B618" s="60" t="n"/>
      <c r="C618" s="71" t="str">
        <f>IF(B618="","",IFERROR(INDEX(mat_des,MATCH(B618,mat_ref,0))&amp;"","Matière inconnue"))</f>
        <v/>
      </c>
      <c r="D618" s="69" t="str">
        <f>IF(B618="","",IFERROR(INDEX(mat_unit,MATCH(B618,mat_ref,0))&amp;"",""))</f>
        <v/>
      </c>
      <c r="E618" s="72" t="n"/>
      <c r="F618" s="65" t="n"/>
      <c r="G618" s="68" t="str">
        <f>IF(J618&lt;&gt;"OK","",IF(F618="",N(INDEX(mat_loss,MATCH(B618,mat_ref,0))),F618))</f>
        <v/>
      </c>
      <c r="H618" s="66" t="str">
        <f>IF(J618&lt;&gt;"OK","",INDEX(mat_price,MATCH(B618,mat_ref,0)))</f>
        <v/>
      </c>
      <c r="I618" s="66" t="str">
        <f>IF(J618&lt;&gt;"OK","",E618*(1+G618)*H618)</f>
        <v/>
      </c>
      <c r="J618" s="69" t="str">
        <f>IF(AND(A618="",B618=""),"",IF(A618="","Produit manquant",IF(COUNTIF(prod_ref,A618)=0,"Produit inconnu",IF(B618="","Matière manquante",IF(ISNA(MATCH(B618,mat_ref,0)),"Matière inconnue",IF(INDEX(mat_check,MATCH(B618,mat_ref,0))&lt;&gt;"OK","Matière à corriger",IF(OR(NOT(ISNUMBER(E618)),N(E618)&lt;=0),"Quantité invalide",IF(AND(F618&lt;&gt;"",OR(NOT(ISNUMBER(F618)),N(F618)&lt;0,N(F618)&gt;=1)),"Perte entre 0 et 99 %",IF(COUNTIFS(bom_prod,A618,bom_mat,B618)&gt;1,"Matière en double","OK")))))))))</f>
        <v/>
      </c>
      <c r="K618" s="71" t="str">
        <f>IF(AND(fiche_sel&lt;&gt;"",A618=fiche_sel),COUNTIF(A$6:A618,fiche_sel),"")</f>
        <v/>
      </c>
    </row>
    <row r="619">
      <c r="A619" s="60" t="n"/>
      <c r="B619" s="60" t="n"/>
      <c r="C619" s="71" t="str">
        <f>IF(B619="","",IFERROR(INDEX(mat_des,MATCH(B619,mat_ref,0))&amp;"","Matière inconnue"))</f>
        <v/>
      </c>
      <c r="D619" s="69" t="str">
        <f>IF(B619="","",IFERROR(INDEX(mat_unit,MATCH(B619,mat_ref,0))&amp;"",""))</f>
        <v/>
      </c>
      <c r="E619" s="72" t="n"/>
      <c r="F619" s="65" t="n"/>
      <c r="G619" s="68" t="str">
        <f>IF(J619&lt;&gt;"OK","",IF(F619="",N(INDEX(mat_loss,MATCH(B619,mat_ref,0))),F619))</f>
        <v/>
      </c>
      <c r="H619" s="66" t="str">
        <f>IF(J619&lt;&gt;"OK","",INDEX(mat_price,MATCH(B619,mat_ref,0)))</f>
        <v/>
      </c>
      <c r="I619" s="66" t="str">
        <f>IF(J619&lt;&gt;"OK","",E619*(1+G619)*H619)</f>
        <v/>
      </c>
      <c r="J619" s="69" t="str">
        <f>IF(AND(A619="",B619=""),"",IF(A619="","Produit manquant",IF(COUNTIF(prod_ref,A619)=0,"Produit inconnu",IF(B619="","Matière manquante",IF(ISNA(MATCH(B619,mat_ref,0)),"Matière inconnue",IF(INDEX(mat_check,MATCH(B619,mat_ref,0))&lt;&gt;"OK","Matière à corriger",IF(OR(NOT(ISNUMBER(E619)),N(E619)&lt;=0),"Quantité invalide",IF(AND(F619&lt;&gt;"",OR(NOT(ISNUMBER(F619)),N(F619)&lt;0,N(F619)&gt;=1)),"Perte entre 0 et 99 %",IF(COUNTIFS(bom_prod,A619,bom_mat,B619)&gt;1,"Matière en double","OK")))))))))</f>
        <v/>
      </c>
      <c r="K619" s="71" t="str">
        <f>IF(AND(fiche_sel&lt;&gt;"",A619=fiche_sel),COUNTIF(A$6:A619,fiche_sel),"")</f>
        <v/>
      </c>
    </row>
    <row r="620">
      <c r="A620" s="60" t="n"/>
      <c r="B620" s="60" t="n"/>
      <c r="C620" s="71" t="str">
        <f>IF(B620="","",IFERROR(INDEX(mat_des,MATCH(B620,mat_ref,0))&amp;"","Matière inconnue"))</f>
        <v/>
      </c>
      <c r="D620" s="69" t="str">
        <f>IF(B620="","",IFERROR(INDEX(mat_unit,MATCH(B620,mat_ref,0))&amp;"",""))</f>
        <v/>
      </c>
      <c r="E620" s="72" t="n"/>
      <c r="F620" s="65" t="n"/>
      <c r="G620" s="68" t="str">
        <f>IF(J620&lt;&gt;"OK","",IF(F620="",N(INDEX(mat_loss,MATCH(B620,mat_ref,0))),F620))</f>
        <v/>
      </c>
      <c r="H620" s="66" t="str">
        <f>IF(J620&lt;&gt;"OK","",INDEX(mat_price,MATCH(B620,mat_ref,0)))</f>
        <v/>
      </c>
      <c r="I620" s="66" t="str">
        <f>IF(J620&lt;&gt;"OK","",E620*(1+G620)*H620)</f>
        <v/>
      </c>
      <c r="J620" s="69" t="str">
        <f>IF(AND(A620="",B620=""),"",IF(A620="","Produit manquant",IF(COUNTIF(prod_ref,A620)=0,"Produit inconnu",IF(B620="","Matière manquante",IF(ISNA(MATCH(B620,mat_ref,0)),"Matière inconnue",IF(INDEX(mat_check,MATCH(B620,mat_ref,0))&lt;&gt;"OK","Matière à corriger",IF(OR(NOT(ISNUMBER(E620)),N(E620)&lt;=0),"Quantité invalide",IF(AND(F620&lt;&gt;"",OR(NOT(ISNUMBER(F620)),N(F620)&lt;0,N(F620)&gt;=1)),"Perte entre 0 et 99 %",IF(COUNTIFS(bom_prod,A620,bom_mat,B620)&gt;1,"Matière en double","OK")))))))))</f>
        <v/>
      </c>
      <c r="K620" s="71" t="str">
        <f>IF(AND(fiche_sel&lt;&gt;"",A620=fiche_sel),COUNTIF(A$6:A620,fiche_sel),"")</f>
        <v/>
      </c>
    </row>
    <row r="621">
      <c r="A621" s="60" t="n"/>
      <c r="B621" s="60" t="n"/>
      <c r="C621" s="71" t="str">
        <f>IF(B621="","",IFERROR(INDEX(mat_des,MATCH(B621,mat_ref,0))&amp;"","Matière inconnue"))</f>
        <v/>
      </c>
      <c r="D621" s="69" t="str">
        <f>IF(B621="","",IFERROR(INDEX(mat_unit,MATCH(B621,mat_ref,0))&amp;"",""))</f>
        <v/>
      </c>
      <c r="E621" s="72" t="n"/>
      <c r="F621" s="65" t="n"/>
      <c r="G621" s="68" t="str">
        <f>IF(J621&lt;&gt;"OK","",IF(F621="",N(INDEX(mat_loss,MATCH(B621,mat_ref,0))),F621))</f>
        <v/>
      </c>
      <c r="H621" s="66" t="str">
        <f>IF(J621&lt;&gt;"OK","",INDEX(mat_price,MATCH(B621,mat_ref,0)))</f>
        <v/>
      </c>
      <c r="I621" s="66" t="str">
        <f>IF(J621&lt;&gt;"OK","",E621*(1+G621)*H621)</f>
        <v/>
      </c>
      <c r="J621" s="69" t="str">
        <f>IF(AND(A621="",B621=""),"",IF(A621="","Produit manquant",IF(COUNTIF(prod_ref,A621)=0,"Produit inconnu",IF(B621="","Matière manquante",IF(ISNA(MATCH(B621,mat_ref,0)),"Matière inconnue",IF(INDEX(mat_check,MATCH(B621,mat_ref,0))&lt;&gt;"OK","Matière à corriger",IF(OR(NOT(ISNUMBER(E621)),N(E621)&lt;=0),"Quantité invalide",IF(AND(F621&lt;&gt;"",OR(NOT(ISNUMBER(F621)),N(F621)&lt;0,N(F621)&gt;=1)),"Perte entre 0 et 99 %",IF(COUNTIFS(bom_prod,A621,bom_mat,B621)&gt;1,"Matière en double","OK")))))))))</f>
        <v/>
      </c>
      <c r="K621" s="71" t="str">
        <f>IF(AND(fiche_sel&lt;&gt;"",A621=fiche_sel),COUNTIF(A$6:A621,fiche_sel),"")</f>
        <v/>
      </c>
    </row>
    <row r="622">
      <c r="A622" s="60" t="n"/>
      <c r="B622" s="60" t="n"/>
      <c r="C622" s="71" t="str">
        <f>IF(B622="","",IFERROR(INDEX(mat_des,MATCH(B622,mat_ref,0))&amp;"","Matière inconnue"))</f>
        <v/>
      </c>
      <c r="D622" s="69" t="str">
        <f>IF(B622="","",IFERROR(INDEX(mat_unit,MATCH(B622,mat_ref,0))&amp;"",""))</f>
        <v/>
      </c>
      <c r="E622" s="72" t="n"/>
      <c r="F622" s="65" t="n"/>
      <c r="G622" s="68" t="str">
        <f>IF(J622&lt;&gt;"OK","",IF(F622="",N(INDEX(mat_loss,MATCH(B622,mat_ref,0))),F622))</f>
        <v/>
      </c>
      <c r="H622" s="66" t="str">
        <f>IF(J622&lt;&gt;"OK","",INDEX(mat_price,MATCH(B622,mat_ref,0)))</f>
        <v/>
      </c>
      <c r="I622" s="66" t="str">
        <f>IF(J622&lt;&gt;"OK","",E622*(1+G622)*H622)</f>
        <v/>
      </c>
      <c r="J622" s="69" t="str">
        <f>IF(AND(A622="",B622=""),"",IF(A622="","Produit manquant",IF(COUNTIF(prod_ref,A622)=0,"Produit inconnu",IF(B622="","Matière manquante",IF(ISNA(MATCH(B622,mat_ref,0)),"Matière inconnue",IF(INDEX(mat_check,MATCH(B622,mat_ref,0))&lt;&gt;"OK","Matière à corriger",IF(OR(NOT(ISNUMBER(E622)),N(E622)&lt;=0),"Quantité invalide",IF(AND(F622&lt;&gt;"",OR(NOT(ISNUMBER(F622)),N(F622)&lt;0,N(F622)&gt;=1)),"Perte entre 0 et 99 %",IF(COUNTIFS(bom_prod,A622,bom_mat,B622)&gt;1,"Matière en double","OK")))))))))</f>
        <v/>
      </c>
      <c r="K622" s="71" t="str">
        <f>IF(AND(fiche_sel&lt;&gt;"",A622=fiche_sel),COUNTIF(A$6:A622,fiche_sel),"")</f>
        <v/>
      </c>
    </row>
    <row r="623">
      <c r="A623" s="60" t="n"/>
      <c r="B623" s="60" t="n"/>
      <c r="C623" s="71" t="str">
        <f>IF(B623="","",IFERROR(INDEX(mat_des,MATCH(B623,mat_ref,0))&amp;"","Matière inconnue"))</f>
        <v/>
      </c>
      <c r="D623" s="69" t="str">
        <f>IF(B623="","",IFERROR(INDEX(mat_unit,MATCH(B623,mat_ref,0))&amp;"",""))</f>
        <v/>
      </c>
      <c r="E623" s="72" t="n"/>
      <c r="F623" s="65" t="n"/>
      <c r="G623" s="68" t="str">
        <f>IF(J623&lt;&gt;"OK","",IF(F623="",N(INDEX(mat_loss,MATCH(B623,mat_ref,0))),F623))</f>
        <v/>
      </c>
      <c r="H623" s="66" t="str">
        <f>IF(J623&lt;&gt;"OK","",INDEX(mat_price,MATCH(B623,mat_ref,0)))</f>
        <v/>
      </c>
      <c r="I623" s="66" t="str">
        <f>IF(J623&lt;&gt;"OK","",E623*(1+G623)*H623)</f>
        <v/>
      </c>
      <c r="J623" s="69" t="str">
        <f>IF(AND(A623="",B623=""),"",IF(A623="","Produit manquant",IF(COUNTIF(prod_ref,A623)=0,"Produit inconnu",IF(B623="","Matière manquante",IF(ISNA(MATCH(B623,mat_ref,0)),"Matière inconnue",IF(INDEX(mat_check,MATCH(B623,mat_ref,0))&lt;&gt;"OK","Matière à corriger",IF(OR(NOT(ISNUMBER(E623)),N(E623)&lt;=0),"Quantité invalide",IF(AND(F623&lt;&gt;"",OR(NOT(ISNUMBER(F623)),N(F623)&lt;0,N(F623)&gt;=1)),"Perte entre 0 et 99 %",IF(COUNTIFS(bom_prod,A623,bom_mat,B623)&gt;1,"Matière en double","OK")))))))))</f>
        <v/>
      </c>
      <c r="K623" s="71" t="str">
        <f>IF(AND(fiche_sel&lt;&gt;"",A623=fiche_sel),COUNTIF(A$6:A623,fiche_sel),"")</f>
        <v/>
      </c>
    </row>
    <row r="624">
      <c r="A624" s="60" t="n"/>
      <c r="B624" s="60" t="n"/>
      <c r="C624" s="71" t="str">
        <f>IF(B624="","",IFERROR(INDEX(mat_des,MATCH(B624,mat_ref,0))&amp;"","Matière inconnue"))</f>
        <v/>
      </c>
      <c r="D624" s="69" t="str">
        <f>IF(B624="","",IFERROR(INDEX(mat_unit,MATCH(B624,mat_ref,0))&amp;"",""))</f>
        <v/>
      </c>
      <c r="E624" s="72" t="n"/>
      <c r="F624" s="65" t="n"/>
      <c r="G624" s="68" t="str">
        <f>IF(J624&lt;&gt;"OK","",IF(F624="",N(INDEX(mat_loss,MATCH(B624,mat_ref,0))),F624))</f>
        <v/>
      </c>
      <c r="H624" s="66" t="str">
        <f>IF(J624&lt;&gt;"OK","",INDEX(mat_price,MATCH(B624,mat_ref,0)))</f>
        <v/>
      </c>
      <c r="I624" s="66" t="str">
        <f>IF(J624&lt;&gt;"OK","",E624*(1+G624)*H624)</f>
        <v/>
      </c>
      <c r="J624" s="69" t="str">
        <f>IF(AND(A624="",B624=""),"",IF(A624="","Produit manquant",IF(COUNTIF(prod_ref,A624)=0,"Produit inconnu",IF(B624="","Matière manquante",IF(ISNA(MATCH(B624,mat_ref,0)),"Matière inconnue",IF(INDEX(mat_check,MATCH(B624,mat_ref,0))&lt;&gt;"OK","Matière à corriger",IF(OR(NOT(ISNUMBER(E624)),N(E624)&lt;=0),"Quantité invalide",IF(AND(F624&lt;&gt;"",OR(NOT(ISNUMBER(F624)),N(F624)&lt;0,N(F624)&gt;=1)),"Perte entre 0 et 99 %",IF(COUNTIFS(bom_prod,A624,bom_mat,B624)&gt;1,"Matière en double","OK")))))))))</f>
        <v/>
      </c>
      <c r="K624" s="71" t="str">
        <f>IF(AND(fiche_sel&lt;&gt;"",A624=fiche_sel),COUNTIF(A$6:A624,fiche_sel),"")</f>
        <v/>
      </c>
    </row>
    <row r="625">
      <c r="A625" s="60" t="n"/>
      <c r="B625" s="60" t="n"/>
      <c r="C625" s="71" t="str">
        <f>IF(B625="","",IFERROR(INDEX(mat_des,MATCH(B625,mat_ref,0))&amp;"","Matière inconnue"))</f>
        <v/>
      </c>
      <c r="D625" s="69" t="str">
        <f>IF(B625="","",IFERROR(INDEX(mat_unit,MATCH(B625,mat_ref,0))&amp;"",""))</f>
        <v/>
      </c>
      <c r="E625" s="72" t="n"/>
      <c r="F625" s="65" t="n"/>
      <c r="G625" s="68" t="str">
        <f>IF(J625&lt;&gt;"OK","",IF(F625="",N(INDEX(mat_loss,MATCH(B625,mat_ref,0))),F625))</f>
        <v/>
      </c>
      <c r="H625" s="66" t="str">
        <f>IF(J625&lt;&gt;"OK","",INDEX(mat_price,MATCH(B625,mat_ref,0)))</f>
        <v/>
      </c>
      <c r="I625" s="66" t="str">
        <f>IF(J625&lt;&gt;"OK","",E625*(1+G625)*H625)</f>
        <v/>
      </c>
      <c r="J625" s="69" t="str">
        <f>IF(AND(A625="",B625=""),"",IF(A625="","Produit manquant",IF(COUNTIF(prod_ref,A625)=0,"Produit inconnu",IF(B625="","Matière manquante",IF(ISNA(MATCH(B625,mat_ref,0)),"Matière inconnue",IF(INDEX(mat_check,MATCH(B625,mat_ref,0))&lt;&gt;"OK","Matière à corriger",IF(OR(NOT(ISNUMBER(E625)),N(E625)&lt;=0),"Quantité invalide",IF(AND(F625&lt;&gt;"",OR(NOT(ISNUMBER(F625)),N(F625)&lt;0,N(F625)&gt;=1)),"Perte entre 0 et 99 %",IF(COUNTIFS(bom_prod,A625,bom_mat,B625)&gt;1,"Matière en double","OK")))))))))</f>
        <v/>
      </c>
      <c r="K625" s="71" t="str">
        <f>IF(AND(fiche_sel&lt;&gt;"",A625=fiche_sel),COUNTIF(A$6:A625,fiche_sel),"")</f>
        <v/>
      </c>
    </row>
    <row r="626">
      <c r="A626" s="60" t="n"/>
      <c r="B626" s="60" t="n"/>
      <c r="C626" s="71" t="str">
        <f>IF(B626="","",IFERROR(INDEX(mat_des,MATCH(B626,mat_ref,0))&amp;"","Matière inconnue"))</f>
        <v/>
      </c>
      <c r="D626" s="69" t="str">
        <f>IF(B626="","",IFERROR(INDEX(mat_unit,MATCH(B626,mat_ref,0))&amp;"",""))</f>
        <v/>
      </c>
      <c r="E626" s="72" t="n"/>
      <c r="F626" s="65" t="n"/>
      <c r="G626" s="68" t="str">
        <f>IF(J626&lt;&gt;"OK","",IF(F626="",N(INDEX(mat_loss,MATCH(B626,mat_ref,0))),F626))</f>
        <v/>
      </c>
      <c r="H626" s="66" t="str">
        <f>IF(J626&lt;&gt;"OK","",INDEX(mat_price,MATCH(B626,mat_ref,0)))</f>
        <v/>
      </c>
      <c r="I626" s="66" t="str">
        <f>IF(J626&lt;&gt;"OK","",E626*(1+G626)*H626)</f>
        <v/>
      </c>
      <c r="J626" s="69" t="str">
        <f>IF(AND(A626="",B626=""),"",IF(A626="","Produit manquant",IF(COUNTIF(prod_ref,A626)=0,"Produit inconnu",IF(B626="","Matière manquante",IF(ISNA(MATCH(B626,mat_ref,0)),"Matière inconnue",IF(INDEX(mat_check,MATCH(B626,mat_ref,0))&lt;&gt;"OK","Matière à corriger",IF(OR(NOT(ISNUMBER(E626)),N(E626)&lt;=0),"Quantité invalide",IF(AND(F626&lt;&gt;"",OR(NOT(ISNUMBER(F626)),N(F626)&lt;0,N(F626)&gt;=1)),"Perte entre 0 et 99 %",IF(COUNTIFS(bom_prod,A626,bom_mat,B626)&gt;1,"Matière en double","OK")))))))))</f>
        <v/>
      </c>
      <c r="K626" s="71" t="str">
        <f>IF(AND(fiche_sel&lt;&gt;"",A626=fiche_sel),COUNTIF(A$6:A626,fiche_sel),"")</f>
        <v/>
      </c>
    </row>
    <row r="627">
      <c r="A627" s="60" t="n"/>
      <c r="B627" s="60" t="n"/>
      <c r="C627" s="71" t="str">
        <f>IF(B627="","",IFERROR(INDEX(mat_des,MATCH(B627,mat_ref,0))&amp;"","Matière inconnue"))</f>
        <v/>
      </c>
      <c r="D627" s="69" t="str">
        <f>IF(B627="","",IFERROR(INDEX(mat_unit,MATCH(B627,mat_ref,0))&amp;"",""))</f>
        <v/>
      </c>
      <c r="E627" s="72" t="n"/>
      <c r="F627" s="65" t="n"/>
      <c r="G627" s="68" t="str">
        <f>IF(J627&lt;&gt;"OK","",IF(F627="",N(INDEX(mat_loss,MATCH(B627,mat_ref,0))),F627))</f>
        <v/>
      </c>
      <c r="H627" s="66" t="str">
        <f>IF(J627&lt;&gt;"OK","",INDEX(mat_price,MATCH(B627,mat_ref,0)))</f>
        <v/>
      </c>
      <c r="I627" s="66" t="str">
        <f>IF(J627&lt;&gt;"OK","",E627*(1+G627)*H627)</f>
        <v/>
      </c>
      <c r="J627" s="69" t="str">
        <f>IF(AND(A627="",B627=""),"",IF(A627="","Produit manquant",IF(COUNTIF(prod_ref,A627)=0,"Produit inconnu",IF(B627="","Matière manquante",IF(ISNA(MATCH(B627,mat_ref,0)),"Matière inconnue",IF(INDEX(mat_check,MATCH(B627,mat_ref,0))&lt;&gt;"OK","Matière à corriger",IF(OR(NOT(ISNUMBER(E627)),N(E627)&lt;=0),"Quantité invalide",IF(AND(F627&lt;&gt;"",OR(NOT(ISNUMBER(F627)),N(F627)&lt;0,N(F627)&gt;=1)),"Perte entre 0 et 99 %",IF(COUNTIFS(bom_prod,A627,bom_mat,B627)&gt;1,"Matière en double","OK")))))))))</f>
        <v/>
      </c>
      <c r="K627" s="71" t="str">
        <f>IF(AND(fiche_sel&lt;&gt;"",A627=fiche_sel),COUNTIF(A$6:A627,fiche_sel),"")</f>
        <v/>
      </c>
    </row>
    <row r="628">
      <c r="A628" s="60" t="n"/>
      <c r="B628" s="60" t="n"/>
      <c r="C628" s="71" t="str">
        <f>IF(B628="","",IFERROR(INDEX(mat_des,MATCH(B628,mat_ref,0))&amp;"","Matière inconnue"))</f>
        <v/>
      </c>
      <c r="D628" s="69" t="str">
        <f>IF(B628="","",IFERROR(INDEX(mat_unit,MATCH(B628,mat_ref,0))&amp;"",""))</f>
        <v/>
      </c>
      <c r="E628" s="72" t="n"/>
      <c r="F628" s="65" t="n"/>
      <c r="G628" s="68" t="str">
        <f>IF(J628&lt;&gt;"OK","",IF(F628="",N(INDEX(mat_loss,MATCH(B628,mat_ref,0))),F628))</f>
        <v/>
      </c>
      <c r="H628" s="66" t="str">
        <f>IF(J628&lt;&gt;"OK","",INDEX(mat_price,MATCH(B628,mat_ref,0)))</f>
        <v/>
      </c>
      <c r="I628" s="66" t="str">
        <f>IF(J628&lt;&gt;"OK","",E628*(1+G628)*H628)</f>
        <v/>
      </c>
      <c r="J628" s="69" t="str">
        <f>IF(AND(A628="",B628=""),"",IF(A628="","Produit manquant",IF(COUNTIF(prod_ref,A628)=0,"Produit inconnu",IF(B628="","Matière manquante",IF(ISNA(MATCH(B628,mat_ref,0)),"Matière inconnue",IF(INDEX(mat_check,MATCH(B628,mat_ref,0))&lt;&gt;"OK","Matière à corriger",IF(OR(NOT(ISNUMBER(E628)),N(E628)&lt;=0),"Quantité invalide",IF(AND(F628&lt;&gt;"",OR(NOT(ISNUMBER(F628)),N(F628)&lt;0,N(F628)&gt;=1)),"Perte entre 0 et 99 %",IF(COUNTIFS(bom_prod,A628,bom_mat,B628)&gt;1,"Matière en double","OK")))))))))</f>
        <v/>
      </c>
      <c r="K628" s="71" t="str">
        <f>IF(AND(fiche_sel&lt;&gt;"",A628=fiche_sel),COUNTIF(A$6:A628,fiche_sel),"")</f>
        <v/>
      </c>
    </row>
    <row r="629">
      <c r="A629" s="60" t="n"/>
      <c r="B629" s="60" t="n"/>
      <c r="C629" s="71" t="str">
        <f>IF(B629="","",IFERROR(INDEX(mat_des,MATCH(B629,mat_ref,0))&amp;"","Matière inconnue"))</f>
        <v/>
      </c>
      <c r="D629" s="69" t="str">
        <f>IF(B629="","",IFERROR(INDEX(mat_unit,MATCH(B629,mat_ref,0))&amp;"",""))</f>
        <v/>
      </c>
      <c r="E629" s="72" t="n"/>
      <c r="F629" s="65" t="n"/>
      <c r="G629" s="68" t="str">
        <f>IF(J629&lt;&gt;"OK","",IF(F629="",N(INDEX(mat_loss,MATCH(B629,mat_ref,0))),F629))</f>
        <v/>
      </c>
      <c r="H629" s="66" t="str">
        <f>IF(J629&lt;&gt;"OK","",INDEX(mat_price,MATCH(B629,mat_ref,0)))</f>
        <v/>
      </c>
      <c r="I629" s="66" t="str">
        <f>IF(J629&lt;&gt;"OK","",E629*(1+G629)*H629)</f>
        <v/>
      </c>
      <c r="J629" s="69" t="str">
        <f>IF(AND(A629="",B629=""),"",IF(A629="","Produit manquant",IF(COUNTIF(prod_ref,A629)=0,"Produit inconnu",IF(B629="","Matière manquante",IF(ISNA(MATCH(B629,mat_ref,0)),"Matière inconnue",IF(INDEX(mat_check,MATCH(B629,mat_ref,0))&lt;&gt;"OK","Matière à corriger",IF(OR(NOT(ISNUMBER(E629)),N(E629)&lt;=0),"Quantité invalide",IF(AND(F629&lt;&gt;"",OR(NOT(ISNUMBER(F629)),N(F629)&lt;0,N(F629)&gt;=1)),"Perte entre 0 et 99 %",IF(COUNTIFS(bom_prod,A629,bom_mat,B629)&gt;1,"Matière en double","OK")))))))))</f>
        <v/>
      </c>
      <c r="K629" s="71" t="str">
        <f>IF(AND(fiche_sel&lt;&gt;"",A629=fiche_sel),COUNTIF(A$6:A629,fiche_sel),"")</f>
        <v/>
      </c>
    </row>
    <row r="630">
      <c r="A630" s="60" t="n"/>
      <c r="B630" s="60" t="n"/>
      <c r="C630" s="71" t="str">
        <f>IF(B630="","",IFERROR(INDEX(mat_des,MATCH(B630,mat_ref,0))&amp;"","Matière inconnue"))</f>
        <v/>
      </c>
      <c r="D630" s="69" t="str">
        <f>IF(B630="","",IFERROR(INDEX(mat_unit,MATCH(B630,mat_ref,0))&amp;"",""))</f>
        <v/>
      </c>
      <c r="E630" s="72" t="n"/>
      <c r="F630" s="65" t="n"/>
      <c r="G630" s="68" t="str">
        <f>IF(J630&lt;&gt;"OK","",IF(F630="",N(INDEX(mat_loss,MATCH(B630,mat_ref,0))),F630))</f>
        <v/>
      </c>
      <c r="H630" s="66" t="str">
        <f>IF(J630&lt;&gt;"OK","",INDEX(mat_price,MATCH(B630,mat_ref,0)))</f>
        <v/>
      </c>
      <c r="I630" s="66" t="str">
        <f>IF(J630&lt;&gt;"OK","",E630*(1+G630)*H630)</f>
        <v/>
      </c>
      <c r="J630" s="69" t="str">
        <f>IF(AND(A630="",B630=""),"",IF(A630="","Produit manquant",IF(COUNTIF(prod_ref,A630)=0,"Produit inconnu",IF(B630="","Matière manquante",IF(ISNA(MATCH(B630,mat_ref,0)),"Matière inconnue",IF(INDEX(mat_check,MATCH(B630,mat_ref,0))&lt;&gt;"OK","Matière à corriger",IF(OR(NOT(ISNUMBER(E630)),N(E630)&lt;=0),"Quantité invalide",IF(AND(F630&lt;&gt;"",OR(NOT(ISNUMBER(F630)),N(F630)&lt;0,N(F630)&gt;=1)),"Perte entre 0 et 99 %",IF(COUNTIFS(bom_prod,A630,bom_mat,B630)&gt;1,"Matière en double","OK")))))))))</f>
        <v/>
      </c>
      <c r="K630" s="71" t="str">
        <f>IF(AND(fiche_sel&lt;&gt;"",A630=fiche_sel),COUNTIF(A$6:A630,fiche_sel),"")</f>
        <v/>
      </c>
    </row>
    <row r="631">
      <c r="A631" s="60" t="n"/>
      <c r="B631" s="60" t="n"/>
      <c r="C631" s="71" t="str">
        <f>IF(B631="","",IFERROR(INDEX(mat_des,MATCH(B631,mat_ref,0))&amp;"","Matière inconnue"))</f>
        <v/>
      </c>
      <c r="D631" s="69" t="str">
        <f>IF(B631="","",IFERROR(INDEX(mat_unit,MATCH(B631,mat_ref,0))&amp;"",""))</f>
        <v/>
      </c>
      <c r="E631" s="72" t="n"/>
      <c r="F631" s="65" t="n"/>
      <c r="G631" s="68" t="str">
        <f>IF(J631&lt;&gt;"OK","",IF(F631="",N(INDEX(mat_loss,MATCH(B631,mat_ref,0))),F631))</f>
        <v/>
      </c>
      <c r="H631" s="66" t="str">
        <f>IF(J631&lt;&gt;"OK","",INDEX(mat_price,MATCH(B631,mat_ref,0)))</f>
        <v/>
      </c>
      <c r="I631" s="66" t="str">
        <f>IF(J631&lt;&gt;"OK","",E631*(1+G631)*H631)</f>
        <v/>
      </c>
      <c r="J631" s="69" t="str">
        <f>IF(AND(A631="",B631=""),"",IF(A631="","Produit manquant",IF(COUNTIF(prod_ref,A631)=0,"Produit inconnu",IF(B631="","Matière manquante",IF(ISNA(MATCH(B631,mat_ref,0)),"Matière inconnue",IF(INDEX(mat_check,MATCH(B631,mat_ref,0))&lt;&gt;"OK","Matière à corriger",IF(OR(NOT(ISNUMBER(E631)),N(E631)&lt;=0),"Quantité invalide",IF(AND(F631&lt;&gt;"",OR(NOT(ISNUMBER(F631)),N(F631)&lt;0,N(F631)&gt;=1)),"Perte entre 0 et 99 %",IF(COUNTIFS(bom_prod,A631,bom_mat,B631)&gt;1,"Matière en double","OK")))))))))</f>
        <v/>
      </c>
      <c r="K631" s="71" t="str">
        <f>IF(AND(fiche_sel&lt;&gt;"",A631=fiche_sel),COUNTIF(A$6:A631,fiche_sel),"")</f>
        <v/>
      </c>
    </row>
    <row r="632">
      <c r="A632" s="60" t="n"/>
      <c r="B632" s="60" t="n"/>
      <c r="C632" s="71" t="str">
        <f>IF(B632="","",IFERROR(INDEX(mat_des,MATCH(B632,mat_ref,0))&amp;"","Matière inconnue"))</f>
        <v/>
      </c>
      <c r="D632" s="69" t="str">
        <f>IF(B632="","",IFERROR(INDEX(mat_unit,MATCH(B632,mat_ref,0))&amp;"",""))</f>
        <v/>
      </c>
      <c r="E632" s="72" t="n"/>
      <c r="F632" s="65" t="n"/>
      <c r="G632" s="68" t="str">
        <f>IF(J632&lt;&gt;"OK","",IF(F632="",N(INDEX(mat_loss,MATCH(B632,mat_ref,0))),F632))</f>
        <v/>
      </c>
      <c r="H632" s="66" t="str">
        <f>IF(J632&lt;&gt;"OK","",INDEX(mat_price,MATCH(B632,mat_ref,0)))</f>
        <v/>
      </c>
      <c r="I632" s="66" t="str">
        <f>IF(J632&lt;&gt;"OK","",E632*(1+G632)*H632)</f>
        <v/>
      </c>
      <c r="J632" s="69" t="str">
        <f>IF(AND(A632="",B632=""),"",IF(A632="","Produit manquant",IF(COUNTIF(prod_ref,A632)=0,"Produit inconnu",IF(B632="","Matière manquante",IF(ISNA(MATCH(B632,mat_ref,0)),"Matière inconnue",IF(INDEX(mat_check,MATCH(B632,mat_ref,0))&lt;&gt;"OK","Matière à corriger",IF(OR(NOT(ISNUMBER(E632)),N(E632)&lt;=0),"Quantité invalide",IF(AND(F632&lt;&gt;"",OR(NOT(ISNUMBER(F632)),N(F632)&lt;0,N(F632)&gt;=1)),"Perte entre 0 et 99 %",IF(COUNTIFS(bom_prod,A632,bom_mat,B632)&gt;1,"Matière en double","OK")))))))))</f>
        <v/>
      </c>
      <c r="K632" s="71" t="str">
        <f>IF(AND(fiche_sel&lt;&gt;"",A632=fiche_sel),COUNTIF(A$6:A632,fiche_sel),"")</f>
        <v/>
      </c>
    </row>
    <row r="633">
      <c r="A633" s="60" t="n"/>
      <c r="B633" s="60" t="n"/>
      <c r="C633" s="71" t="str">
        <f>IF(B633="","",IFERROR(INDEX(mat_des,MATCH(B633,mat_ref,0))&amp;"","Matière inconnue"))</f>
        <v/>
      </c>
      <c r="D633" s="69" t="str">
        <f>IF(B633="","",IFERROR(INDEX(mat_unit,MATCH(B633,mat_ref,0))&amp;"",""))</f>
        <v/>
      </c>
      <c r="E633" s="72" t="n"/>
      <c r="F633" s="65" t="n"/>
      <c r="G633" s="68" t="str">
        <f>IF(J633&lt;&gt;"OK","",IF(F633="",N(INDEX(mat_loss,MATCH(B633,mat_ref,0))),F633))</f>
        <v/>
      </c>
      <c r="H633" s="66" t="str">
        <f>IF(J633&lt;&gt;"OK","",INDEX(mat_price,MATCH(B633,mat_ref,0)))</f>
        <v/>
      </c>
      <c r="I633" s="66" t="str">
        <f>IF(J633&lt;&gt;"OK","",E633*(1+G633)*H633)</f>
        <v/>
      </c>
      <c r="J633" s="69" t="str">
        <f>IF(AND(A633="",B633=""),"",IF(A633="","Produit manquant",IF(COUNTIF(prod_ref,A633)=0,"Produit inconnu",IF(B633="","Matière manquante",IF(ISNA(MATCH(B633,mat_ref,0)),"Matière inconnue",IF(INDEX(mat_check,MATCH(B633,mat_ref,0))&lt;&gt;"OK","Matière à corriger",IF(OR(NOT(ISNUMBER(E633)),N(E633)&lt;=0),"Quantité invalide",IF(AND(F633&lt;&gt;"",OR(NOT(ISNUMBER(F633)),N(F633)&lt;0,N(F633)&gt;=1)),"Perte entre 0 et 99 %",IF(COUNTIFS(bom_prod,A633,bom_mat,B633)&gt;1,"Matière en double","OK")))))))))</f>
        <v/>
      </c>
      <c r="K633" s="71" t="str">
        <f>IF(AND(fiche_sel&lt;&gt;"",A633=fiche_sel),COUNTIF(A$6:A633,fiche_sel),"")</f>
        <v/>
      </c>
    </row>
    <row r="634">
      <c r="A634" s="60" t="n"/>
      <c r="B634" s="60" t="n"/>
      <c r="C634" s="71" t="str">
        <f>IF(B634="","",IFERROR(INDEX(mat_des,MATCH(B634,mat_ref,0))&amp;"","Matière inconnue"))</f>
        <v/>
      </c>
      <c r="D634" s="69" t="str">
        <f>IF(B634="","",IFERROR(INDEX(mat_unit,MATCH(B634,mat_ref,0))&amp;"",""))</f>
        <v/>
      </c>
      <c r="E634" s="72" t="n"/>
      <c r="F634" s="65" t="n"/>
      <c r="G634" s="68" t="str">
        <f>IF(J634&lt;&gt;"OK","",IF(F634="",N(INDEX(mat_loss,MATCH(B634,mat_ref,0))),F634))</f>
        <v/>
      </c>
      <c r="H634" s="66" t="str">
        <f>IF(J634&lt;&gt;"OK","",INDEX(mat_price,MATCH(B634,mat_ref,0)))</f>
        <v/>
      </c>
      <c r="I634" s="66" t="str">
        <f>IF(J634&lt;&gt;"OK","",E634*(1+G634)*H634)</f>
        <v/>
      </c>
      <c r="J634" s="69" t="str">
        <f>IF(AND(A634="",B634=""),"",IF(A634="","Produit manquant",IF(COUNTIF(prod_ref,A634)=0,"Produit inconnu",IF(B634="","Matière manquante",IF(ISNA(MATCH(B634,mat_ref,0)),"Matière inconnue",IF(INDEX(mat_check,MATCH(B634,mat_ref,0))&lt;&gt;"OK","Matière à corriger",IF(OR(NOT(ISNUMBER(E634)),N(E634)&lt;=0),"Quantité invalide",IF(AND(F634&lt;&gt;"",OR(NOT(ISNUMBER(F634)),N(F634)&lt;0,N(F634)&gt;=1)),"Perte entre 0 et 99 %",IF(COUNTIFS(bom_prod,A634,bom_mat,B634)&gt;1,"Matière en double","OK")))))))))</f>
        <v/>
      </c>
      <c r="K634" s="71" t="str">
        <f>IF(AND(fiche_sel&lt;&gt;"",A634=fiche_sel),COUNTIF(A$6:A634,fiche_sel),"")</f>
        <v/>
      </c>
    </row>
    <row r="635">
      <c r="A635" s="60" t="n"/>
      <c r="B635" s="60" t="n"/>
      <c r="C635" s="71" t="str">
        <f>IF(B635="","",IFERROR(INDEX(mat_des,MATCH(B635,mat_ref,0))&amp;"","Matière inconnue"))</f>
        <v/>
      </c>
      <c r="D635" s="69" t="str">
        <f>IF(B635="","",IFERROR(INDEX(mat_unit,MATCH(B635,mat_ref,0))&amp;"",""))</f>
        <v/>
      </c>
      <c r="E635" s="72" t="n"/>
      <c r="F635" s="65" t="n"/>
      <c r="G635" s="68" t="str">
        <f>IF(J635&lt;&gt;"OK","",IF(F635="",N(INDEX(mat_loss,MATCH(B635,mat_ref,0))),F635))</f>
        <v/>
      </c>
      <c r="H635" s="66" t="str">
        <f>IF(J635&lt;&gt;"OK","",INDEX(mat_price,MATCH(B635,mat_ref,0)))</f>
        <v/>
      </c>
      <c r="I635" s="66" t="str">
        <f>IF(J635&lt;&gt;"OK","",E635*(1+G635)*H635)</f>
        <v/>
      </c>
      <c r="J635" s="69" t="str">
        <f>IF(AND(A635="",B635=""),"",IF(A635="","Produit manquant",IF(COUNTIF(prod_ref,A635)=0,"Produit inconnu",IF(B635="","Matière manquante",IF(ISNA(MATCH(B635,mat_ref,0)),"Matière inconnue",IF(INDEX(mat_check,MATCH(B635,mat_ref,0))&lt;&gt;"OK","Matière à corriger",IF(OR(NOT(ISNUMBER(E635)),N(E635)&lt;=0),"Quantité invalide",IF(AND(F635&lt;&gt;"",OR(NOT(ISNUMBER(F635)),N(F635)&lt;0,N(F635)&gt;=1)),"Perte entre 0 et 99 %",IF(COUNTIFS(bom_prod,A635,bom_mat,B635)&gt;1,"Matière en double","OK")))))))))</f>
        <v/>
      </c>
      <c r="K635" s="71" t="str">
        <f>IF(AND(fiche_sel&lt;&gt;"",A635=fiche_sel),COUNTIF(A$6:A635,fiche_sel),"")</f>
        <v/>
      </c>
    </row>
    <row r="636">
      <c r="A636" s="60" t="n"/>
      <c r="B636" s="60" t="n"/>
      <c r="C636" s="71" t="str">
        <f>IF(B636="","",IFERROR(INDEX(mat_des,MATCH(B636,mat_ref,0))&amp;"","Matière inconnue"))</f>
        <v/>
      </c>
      <c r="D636" s="69" t="str">
        <f>IF(B636="","",IFERROR(INDEX(mat_unit,MATCH(B636,mat_ref,0))&amp;"",""))</f>
        <v/>
      </c>
      <c r="E636" s="72" t="n"/>
      <c r="F636" s="65" t="n"/>
      <c r="G636" s="68" t="str">
        <f>IF(J636&lt;&gt;"OK","",IF(F636="",N(INDEX(mat_loss,MATCH(B636,mat_ref,0))),F636))</f>
        <v/>
      </c>
      <c r="H636" s="66" t="str">
        <f>IF(J636&lt;&gt;"OK","",INDEX(mat_price,MATCH(B636,mat_ref,0)))</f>
        <v/>
      </c>
      <c r="I636" s="66" t="str">
        <f>IF(J636&lt;&gt;"OK","",E636*(1+G636)*H636)</f>
        <v/>
      </c>
      <c r="J636" s="69" t="str">
        <f>IF(AND(A636="",B636=""),"",IF(A636="","Produit manquant",IF(COUNTIF(prod_ref,A636)=0,"Produit inconnu",IF(B636="","Matière manquante",IF(ISNA(MATCH(B636,mat_ref,0)),"Matière inconnue",IF(INDEX(mat_check,MATCH(B636,mat_ref,0))&lt;&gt;"OK","Matière à corriger",IF(OR(NOT(ISNUMBER(E636)),N(E636)&lt;=0),"Quantité invalide",IF(AND(F636&lt;&gt;"",OR(NOT(ISNUMBER(F636)),N(F636)&lt;0,N(F636)&gt;=1)),"Perte entre 0 et 99 %",IF(COUNTIFS(bom_prod,A636,bom_mat,B636)&gt;1,"Matière en double","OK")))))))))</f>
        <v/>
      </c>
      <c r="K636" s="71" t="str">
        <f>IF(AND(fiche_sel&lt;&gt;"",A636=fiche_sel),COUNTIF(A$6:A636,fiche_sel),"")</f>
        <v/>
      </c>
    </row>
    <row r="637">
      <c r="A637" s="60" t="n"/>
      <c r="B637" s="60" t="n"/>
      <c r="C637" s="71" t="str">
        <f>IF(B637="","",IFERROR(INDEX(mat_des,MATCH(B637,mat_ref,0))&amp;"","Matière inconnue"))</f>
        <v/>
      </c>
      <c r="D637" s="69" t="str">
        <f>IF(B637="","",IFERROR(INDEX(mat_unit,MATCH(B637,mat_ref,0))&amp;"",""))</f>
        <v/>
      </c>
      <c r="E637" s="72" t="n"/>
      <c r="F637" s="65" t="n"/>
      <c r="G637" s="68" t="str">
        <f>IF(J637&lt;&gt;"OK","",IF(F637="",N(INDEX(mat_loss,MATCH(B637,mat_ref,0))),F637))</f>
        <v/>
      </c>
      <c r="H637" s="66" t="str">
        <f>IF(J637&lt;&gt;"OK","",INDEX(mat_price,MATCH(B637,mat_ref,0)))</f>
        <v/>
      </c>
      <c r="I637" s="66" t="str">
        <f>IF(J637&lt;&gt;"OK","",E637*(1+G637)*H637)</f>
        <v/>
      </c>
      <c r="J637" s="69" t="str">
        <f>IF(AND(A637="",B637=""),"",IF(A637="","Produit manquant",IF(COUNTIF(prod_ref,A637)=0,"Produit inconnu",IF(B637="","Matière manquante",IF(ISNA(MATCH(B637,mat_ref,0)),"Matière inconnue",IF(INDEX(mat_check,MATCH(B637,mat_ref,0))&lt;&gt;"OK","Matière à corriger",IF(OR(NOT(ISNUMBER(E637)),N(E637)&lt;=0),"Quantité invalide",IF(AND(F637&lt;&gt;"",OR(NOT(ISNUMBER(F637)),N(F637)&lt;0,N(F637)&gt;=1)),"Perte entre 0 et 99 %",IF(COUNTIFS(bom_prod,A637,bom_mat,B637)&gt;1,"Matière en double","OK")))))))))</f>
        <v/>
      </c>
      <c r="K637" s="71" t="str">
        <f>IF(AND(fiche_sel&lt;&gt;"",A637=fiche_sel),COUNTIF(A$6:A637,fiche_sel),"")</f>
        <v/>
      </c>
    </row>
    <row r="638">
      <c r="A638" s="60" t="n"/>
      <c r="B638" s="60" t="n"/>
      <c r="C638" s="71" t="str">
        <f>IF(B638="","",IFERROR(INDEX(mat_des,MATCH(B638,mat_ref,0))&amp;"","Matière inconnue"))</f>
        <v/>
      </c>
      <c r="D638" s="69" t="str">
        <f>IF(B638="","",IFERROR(INDEX(mat_unit,MATCH(B638,mat_ref,0))&amp;"",""))</f>
        <v/>
      </c>
      <c r="E638" s="72" t="n"/>
      <c r="F638" s="65" t="n"/>
      <c r="G638" s="68" t="str">
        <f>IF(J638&lt;&gt;"OK","",IF(F638="",N(INDEX(mat_loss,MATCH(B638,mat_ref,0))),F638))</f>
        <v/>
      </c>
      <c r="H638" s="66" t="str">
        <f>IF(J638&lt;&gt;"OK","",INDEX(mat_price,MATCH(B638,mat_ref,0)))</f>
        <v/>
      </c>
      <c r="I638" s="66" t="str">
        <f>IF(J638&lt;&gt;"OK","",E638*(1+G638)*H638)</f>
        <v/>
      </c>
      <c r="J638" s="69" t="str">
        <f>IF(AND(A638="",B638=""),"",IF(A638="","Produit manquant",IF(COUNTIF(prod_ref,A638)=0,"Produit inconnu",IF(B638="","Matière manquante",IF(ISNA(MATCH(B638,mat_ref,0)),"Matière inconnue",IF(INDEX(mat_check,MATCH(B638,mat_ref,0))&lt;&gt;"OK","Matière à corriger",IF(OR(NOT(ISNUMBER(E638)),N(E638)&lt;=0),"Quantité invalide",IF(AND(F638&lt;&gt;"",OR(NOT(ISNUMBER(F638)),N(F638)&lt;0,N(F638)&gt;=1)),"Perte entre 0 et 99 %",IF(COUNTIFS(bom_prod,A638,bom_mat,B638)&gt;1,"Matière en double","OK")))))))))</f>
        <v/>
      </c>
      <c r="K638" s="71" t="str">
        <f>IF(AND(fiche_sel&lt;&gt;"",A638=fiche_sel),COUNTIF(A$6:A638,fiche_sel),"")</f>
        <v/>
      </c>
    </row>
    <row r="639">
      <c r="A639" s="60" t="n"/>
      <c r="B639" s="60" t="n"/>
      <c r="C639" s="71" t="str">
        <f>IF(B639="","",IFERROR(INDEX(mat_des,MATCH(B639,mat_ref,0))&amp;"","Matière inconnue"))</f>
        <v/>
      </c>
      <c r="D639" s="69" t="str">
        <f>IF(B639="","",IFERROR(INDEX(mat_unit,MATCH(B639,mat_ref,0))&amp;"",""))</f>
        <v/>
      </c>
      <c r="E639" s="72" t="n"/>
      <c r="F639" s="65" t="n"/>
      <c r="G639" s="68" t="str">
        <f>IF(J639&lt;&gt;"OK","",IF(F639="",N(INDEX(mat_loss,MATCH(B639,mat_ref,0))),F639))</f>
        <v/>
      </c>
      <c r="H639" s="66" t="str">
        <f>IF(J639&lt;&gt;"OK","",INDEX(mat_price,MATCH(B639,mat_ref,0)))</f>
        <v/>
      </c>
      <c r="I639" s="66" t="str">
        <f>IF(J639&lt;&gt;"OK","",E639*(1+G639)*H639)</f>
        <v/>
      </c>
      <c r="J639" s="69" t="str">
        <f>IF(AND(A639="",B639=""),"",IF(A639="","Produit manquant",IF(COUNTIF(prod_ref,A639)=0,"Produit inconnu",IF(B639="","Matière manquante",IF(ISNA(MATCH(B639,mat_ref,0)),"Matière inconnue",IF(INDEX(mat_check,MATCH(B639,mat_ref,0))&lt;&gt;"OK","Matière à corriger",IF(OR(NOT(ISNUMBER(E639)),N(E639)&lt;=0),"Quantité invalide",IF(AND(F639&lt;&gt;"",OR(NOT(ISNUMBER(F639)),N(F639)&lt;0,N(F639)&gt;=1)),"Perte entre 0 et 99 %",IF(COUNTIFS(bom_prod,A639,bom_mat,B639)&gt;1,"Matière en double","OK")))))))))</f>
        <v/>
      </c>
      <c r="K639" s="71" t="str">
        <f>IF(AND(fiche_sel&lt;&gt;"",A639=fiche_sel),COUNTIF(A$6:A639,fiche_sel),"")</f>
        <v/>
      </c>
    </row>
    <row r="640">
      <c r="A640" s="60" t="n"/>
      <c r="B640" s="60" t="n"/>
      <c r="C640" s="71" t="str">
        <f>IF(B640="","",IFERROR(INDEX(mat_des,MATCH(B640,mat_ref,0))&amp;"","Matière inconnue"))</f>
        <v/>
      </c>
      <c r="D640" s="69" t="str">
        <f>IF(B640="","",IFERROR(INDEX(mat_unit,MATCH(B640,mat_ref,0))&amp;"",""))</f>
        <v/>
      </c>
      <c r="E640" s="72" t="n"/>
      <c r="F640" s="65" t="n"/>
      <c r="G640" s="68" t="str">
        <f>IF(J640&lt;&gt;"OK","",IF(F640="",N(INDEX(mat_loss,MATCH(B640,mat_ref,0))),F640))</f>
        <v/>
      </c>
      <c r="H640" s="66" t="str">
        <f>IF(J640&lt;&gt;"OK","",INDEX(mat_price,MATCH(B640,mat_ref,0)))</f>
        <v/>
      </c>
      <c r="I640" s="66" t="str">
        <f>IF(J640&lt;&gt;"OK","",E640*(1+G640)*H640)</f>
        <v/>
      </c>
      <c r="J640" s="69" t="str">
        <f>IF(AND(A640="",B640=""),"",IF(A640="","Produit manquant",IF(COUNTIF(prod_ref,A640)=0,"Produit inconnu",IF(B640="","Matière manquante",IF(ISNA(MATCH(B640,mat_ref,0)),"Matière inconnue",IF(INDEX(mat_check,MATCH(B640,mat_ref,0))&lt;&gt;"OK","Matière à corriger",IF(OR(NOT(ISNUMBER(E640)),N(E640)&lt;=0),"Quantité invalide",IF(AND(F640&lt;&gt;"",OR(NOT(ISNUMBER(F640)),N(F640)&lt;0,N(F640)&gt;=1)),"Perte entre 0 et 99 %",IF(COUNTIFS(bom_prod,A640,bom_mat,B640)&gt;1,"Matière en double","OK")))))))))</f>
        <v/>
      </c>
      <c r="K640" s="71" t="str">
        <f>IF(AND(fiche_sel&lt;&gt;"",A640=fiche_sel),COUNTIF(A$6:A640,fiche_sel),"")</f>
        <v/>
      </c>
    </row>
    <row r="641">
      <c r="A641" s="60" t="n"/>
      <c r="B641" s="60" t="n"/>
      <c r="C641" s="71" t="str">
        <f>IF(B641="","",IFERROR(INDEX(mat_des,MATCH(B641,mat_ref,0))&amp;"","Matière inconnue"))</f>
        <v/>
      </c>
      <c r="D641" s="69" t="str">
        <f>IF(B641="","",IFERROR(INDEX(mat_unit,MATCH(B641,mat_ref,0))&amp;"",""))</f>
        <v/>
      </c>
      <c r="E641" s="72" t="n"/>
      <c r="F641" s="65" t="n"/>
      <c r="G641" s="68" t="str">
        <f>IF(J641&lt;&gt;"OK","",IF(F641="",N(INDEX(mat_loss,MATCH(B641,mat_ref,0))),F641))</f>
        <v/>
      </c>
      <c r="H641" s="66" t="str">
        <f>IF(J641&lt;&gt;"OK","",INDEX(mat_price,MATCH(B641,mat_ref,0)))</f>
        <v/>
      </c>
      <c r="I641" s="66" t="str">
        <f>IF(J641&lt;&gt;"OK","",E641*(1+G641)*H641)</f>
        <v/>
      </c>
      <c r="J641" s="69" t="str">
        <f>IF(AND(A641="",B641=""),"",IF(A641="","Produit manquant",IF(COUNTIF(prod_ref,A641)=0,"Produit inconnu",IF(B641="","Matière manquante",IF(ISNA(MATCH(B641,mat_ref,0)),"Matière inconnue",IF(INDEX(mat_check,MATCH(B641,mat_ref,0))&lt;&gt;"OK","Matière à corriger",IF(OR(NOT(ISNUMBER(E641)),N(E641)&lt;=0),"Quantité invalide",IF(AND(F641&lt;&gt;"",OR(NOT(ISNUMBER(F641)),N(F641)&lt;0,N(F641)&gt;=1)),"Perte entre 0 et 99 %",IF(COUNTIFS(bom_prod,A641,bom_mat,B641)&gt;1,"Matière en double","OK")))))))))</f>
        <v/>
      </c>
      <c r="K641" s="71" t="str">
        <f>IF(AND(fiche_sel&lt;&gt;"",A641=fiche_sel),COUNTIF(A$6:A641,fiche_sel),"")</f>
        <v/>
      </c>
    </row>
    <row r="642">
      <c r="A642" s="60" t="n"/>
      <c r="B642" s="60" t="n"/>
      <c r="C642" s="71" t="str">
        <f>IF(B642="","",IFERROR(INDEX(mat_des,MATCH(B642,mat_ref,0))&amp;"","Matière inconnue"))</f>
        <v/>
      </c>
      <c r="D642" s="69" t="str">
        <f>IF(B642="","",IFERROR(INDEX(mat_unit,MATCH(B642,mat_ref,0))&amp;"",""))</f>
        <v/>
      </c>
      <c r="E642" s="72" t="n"/>
      <c r="F642" s="65" t="n"/>
      <c r="G642" s="68" t="str">
        <f>IF(J642&lt;&gt;"OK","",IF(F642="",N(INDEX(mat_loss,MATCH(B642,mat_ref,0))),F642))</f>
        <v/>
      </c>
      <c r="H642" s="66" t="str">
        <f>IF(J642&lt;&gt;"OK","",INDEX(mat_price,MATCH(B642,mat_ref,0)))</f>
        <v/>
      </c>
      <c r="I642" s="66" t="str">
        <f>IF(J642&lt;&gt;"OK","",E642*(1+G642)*H642)</f>
        <v/>
      </c>
      <c r="J642" s="69" t="str">
        <f>IF(AND(A642="",B642=""),"",IF(A642="","Produit manquant",IF(COUNTIF(prod_ref,A642)=0,"Produit inconnu",IF(B642="","Matière manquante",IF(ISNA(MATCH(B642,mat_ref,0)),"Matière inconnue",IF(INDEX(mat_check,MATCH(B642,mat_ref,0))&lt;&gt;"OK","Matière à corriger",IF(OR(NOT(ISNUMBER(E642)),N(E642)&lt;=0),"Quantité invalide",IF(AND(F642&lt;&gt;"",OR(NOT(ISNUMBER(F642)),N(F642)&lt;0,N(F642)&gt;=1)),"Perte entre 0 et 99 %",IF(COUNTIFS(bom_prod,A642,bom_mat,B642)&gt;1,"Matière en double","OK")))))))))</f>
        <v/>
      </c>
      <c r="K642" s="71" t="str">
        <f>IF(AND(fiche_sel&lt;&gt;"",A642=fiche_sel),COUNTIF(A$6:A642,fiche_sel),"")</f>
        <v/>
      </c>
    </row>
    <row r="643">
      <c r="A643" s="60" t="n"/>
      <c r="B643" s="60" t="n"/>
      <c r="C643" s="71" t="str">
        <f>IF(B643="","",IFERROR(INDEX(mat_des,MATCH(B643,mat_ref,0))&amp;"","Matière inconnue"))</f>
        <v/>
      </c>
      <c r="D643" s="69" t="str">
        <f>IF(B643="","",IFERROR(INDEX(mat_unit,MATCH(B643,mat_ref,0))&amp;"",""))</f>
        <v/>
      </c>
      <c r="E643" s="72" t="n"/>
      <c r="F643" s="65" t="n"/>
      <c r="G643" s="68" t="str">
        <f>IF(J643&lt;&gt;"OK","",IF(F643="",N(INDEX(mat_loss,MATCH(B643,mat_ref,0))),F643))</f>
        <v/>
      </c>
      <c r="H643" s="66" t="str">
        <f>IF(J643&lt;&gt;"OK","",INDEX(mat_price,MATCH(B643,mat_ref,0)))</f>
        <v/>
      </c>
      <c r="I643" s="66" t="str">
        <f>IF(J643&lt;&gt;"OK","",E643*(1+G643)*H643)</f>
        <v/>
      </c>
      <c r="J643" s="69" t="str">
        <f>IF(AND(A643="",B643=""),"",IF(A643="","Produit manquant",IF(COUNTIF(prod_ref,A643)=0,"Produit inconnu",IF(B643="","Matière manquante",IF(ISNA(MATCH(B643,mat_ref,0)),"Matière inconnue",IF(INDEX(mat_check,MATCH(B643,mat_ref,0))&lt;&gt;"OK","Matière à corriger",IF(OR(NOT(ISNUMBER(E643)),N(E643)&lt;=0),"Quantité invalide",IF(AND(F643&lt;&gt;"",OR(NOT(ISNUMBER(F643)),N(F643)&lt;0,N(F643)&gt;=1)),"Perte entre 0 et 99 %",IF(COUNTIFS(bom_prod,A643,bom_mat,B643)&gt;1,"Matière en double","OK")))))))))</f>
        <v/>
      </c>
      <c r="K643" s="71" t="str">
        <f>IF(AND(fiche_sel&lt;&gt;"",A643=fiche_sel),COUNTIF(A$6:A643,fiche_sel),"")</f>
        <v/>
      </c>
    </row>
    <row r="644">
      <c r="A644" s="60" t="n"/>
      <c r="B644" s="60" t="n"/>
      <c r="C644" s="71" t="str">
        <f>IF(B644="","",IFERROR(INDEX(mat_des,MATCH(B644,mat_ref,0))&amp;"","Matière inconnue"))</f>
        <v/>
      </c>
      <c r="D644" s="69" t="str">
        <f>IF(B644="","",IFERROR(INDEX(mat_unit,MATCH(B644,mat_ref,0))&amp;"",""))</f>
        <v/>
      </c>
      <c r="E644" s="72" t="n"/>
      <c r="F644" s="65" t="n"/>
      <c r="G644" s="68" t="str">
        <f>IF(J644&lt;&gt;"OK","",IF(F644="",N(INDEX(mat_loss,MATCH(B644,mat_ref,0))),F644))</f>
        <v/>
      </c>
      <c r="H644" s="66" t="str">
        <f>IF(J644&lt;&gt;"OK","",INDEX(mat_price,MATCH(B644,mat_ref,0)))</f>
        <v/>
      </c>
      <c r="I644" s="66" t="str">
        <f>IF(J644&lt;&gt;"OK","",E644*(1+G644)*H644)</f>
        <v/>
      </c>
      <c r="J644" s="69" t="str">
        <f>IF(AND(A644="",B644=""),"",IF(A644="","Produit manquant",IF(COUNTIF(prod_ref,A644)=0,"Produit inconnu",IF(B644="","Matière manquante",IF(ISNA(MATCH(B644,mat_ref,0)),"Matière inconnue",IF(INDEX(mat_check,MATCH(B644,mat_ref,0))&lt;&gt;"OK","Matière à corriger",IF(OR(NOT(ISNUMBER(E644)),N(E644)&lt;=0),"Quantité invalide",IF(AND(F644&lt;&gt;"",OR(NOT(ISNUMBER(F644)),N(F644)&lt;0,N(F644)&gt;=1)),"Perte entre 0 et 99 %",IF(COUNTIFS(bom_prod,A644,bom_mat,B644)&gt;1,"Matière en double","OK")))))))))</f>
        <v/>
      </c>
      <c r="K644" s="71" t="str">
        <f>IF(AND(fiche_sel&lt;&gt;"",A644=fiche_sel),COUNTIF(A$6:A644,fiche_sel),"")</f>
        <v/>
      </c>
    </row>
    <row r="645">
      <c r="A645" s="60" t="n"/>
      <c r="B645" s="60" t="n"/>
      <c r="C645" s="71" t="str">
        <f>IF(B645="","",IFERROR(INDEX(mat_des,MATCH(B645,mat_ref,0))&amp;"","Matière inconnue"))</f>
        <v/>
      </c>
      <c r="D645" s="69" t="str">
        <f>IF(B645="","",IFERROR(INDEX(mat_unit,MATCH(B645,mat_ref,0))&amp;"",""))</f>
        <v/>
      </c>
      <c r="E645" s="72" t="n"/>
      <c r="F645" s="65" t="n"/>
      <c r="G645" s="68" t="str">
        <f>IF(J645&lt;&gt;"OK","",IF(F645="",N(INDEX(mat_loss,MATCH(B645,mat_ref,0))),F645))</f>
        <v/>
      </c>
      <c r="H645" s="66" t="str">
        <f>IF(J645&lt;&gt;"OK","",INDEX(mat_price,MATCH(B645,mat_ref,0)))</f>
        <v/>
      </c>
      <c r="I645" s="66" t="str">
        <f>IF(J645&lt;&gt;"OK","",E645*(1+G645)*H645)</f>
        <v/>
      </c>
      <c r="J645" s="69" t="str">
        <f>IF(AND(A645="",B645=""),"",IF(A645="","Produit manquant",IF(COUNTIF(prod_ref,A645)=0,"Produit inconnu",IF(B645="","Matière manquante",IF(ISNA(MATCH(B645,mat_ref,0)),"Matière inconnue",IF(INDEX(mat_check,MATCH(B645,mat_ref,0))&lt;&gt;"OK","Matière à corriger",IF(OR(NOT(ISNUMBER(E645)),N(E645)&lt;=0),"Quantité invalide",IF(AND(F645&lt;&gt;"",OR(NOT(ISNUMBER(F645)),N(F645)&lt;0,N(F645)&gt;=1)),"Perte entre 0 et 99 %",IF(COUNTIFS(bom_prod,A645,bom_mat,B645)&gt;1,"Matière en double","OK")))))))))</f>
        <v/>
      </c>
      <c r="K645" s="71" t="str">
        <f>IF(AND(fiche_sel&lt;&gt;"",A645=fiche_sel),COUNTIF(A$6:A645,fiche_sel),"")</f>
        <v/>
      </c>
    </row>
    <row r="646">
      <c r="A646" s="60" t="n"/>
      <c r="B646" s="60" t="n"/>
      <c r="C646" s="71" t="str">
        <f>IF(B646="","",IFERROR(INDEX(mat_des,MATCH(B646,mat_ref,0))&amp;"","Matière inconnue"))</f>
        <v/>
      </c>
      <c r="D646" s="69" t="str">
        <f>IF(B646="","",IFERROR(INDEX(mat_unit,MATCH(B646,mat_ref,0))&amp;"",""))</f>
        <v/>
      </c>
      <c r="E646" s="72" t="n"/>
      <c r="F646" s="65" t="n"/>
      <c r="G646" s="68" t="str">
        <f>IF(J646&lt;&gt;"OK","",IF(F646="",N(INDEX(mat_loss,MATCH(B646,mat_ref,0))),F646))</f>
        <v/>
      </c>
      <c r="H646" s="66" t="str">
        <f>IF(J646&lt;&gt;"OK","",INDEX(mat_price,MATCH(B646,mat_ref,0)))</f>
        <v/>
      </c>
      <c r="I646" s="66" t="str">
        <f>IF(J646&lt;&gt;"OK","",E646*(1+G646)*H646)</f>
        <v/>
      </c>
      <c r="J646" s="69" t="str">
        <f>IF(AND(A646="",B646=""),"",IF(A646="","Produit manquant",IF(COUNTIF(prod_ref,A646)=0,"Produit inconnu",IF(B646="","Matière manquante",IF(ISNA(MATCH(B646,mat_ref,0)),"Matière inconnue",IF(INDEX(mat_check,MATCH(B646,mat_ref,0))&lt;&gt;"OK","Matière à corriger",IF(OR(NOT(ISNUMBER(E646)),N(E646)&lt;=0),"Quantité invalide",IF(AND(F646&lt;&gt;"",OR(NOT(ISNUMBER(F646)),N(F646)&lt;0,N(F646)&gt;=1)),"Perte entre 0 et 99 %",IF(COUNTIFS(bom_prod,A646,bom_mat,B646)&gt;1,"Matière en double","OK")))))))))</f>
        <v/>
      </c>
      <c r="K646" s="71" t="str">
        <f>IF(AND(fiche_sel&lt;&gt;"",A646=fiche_sel),COUNTIF(A$6:A646,fiche_sel),"")</f>
        <v/>
      </c>
    </row>
    <row r="647">
      <c r="A647" s="60" t="n"/>
      <c r="B647" s="60" t="n"/>
      <c r="C647" s="71" t="str">
        <f>IF(B647="","",IFERROR(INDEX(mat_des,MATCH(B647,mat_ref,0))&amp;"","Matière inconnue"))</f>
        <v/>
      </c>
      <c r="D647" s="69" t="str">
        <f>IF(B647="","",IFERROR(INDEX(mat_unit,MATCH(B647,mat_ref,0))&amp;"",""))</f>
        <v/>
      </c>
      <c r="E647" s="72" t="n"/>
      <c r="F647" s="65" t="n"/>
      <c r="G647" s="68" t="str">
        <f>IF(J647&lt;&gt;"OK","",IF(F647="",N(INDEX(mat_loss,MATCH(B647,mat_ref,0))),F647))</f>
        <v/>
      </c>
      <c r="H647" s="66" t="str">
        <f>IF(J647&lt;&gt;"OK","",INDEX(mat_price,MATCH(B647,mat_ref,0)))</f>
        <v/>
      </c>
      <c r="I647" s="66" t="str">
        <f>IF(J647&lt;&gt;"OK","",E647*(1+G647)*H647)</f>
        <v/>
      </c>
      <c r="J647" s="69" t="str">
        <f>IF(AND(A647="",B647=""),"",IF(A647="","Produit manquant",IF(COUNTIF(prod_ref,A647)=0,"Produit inconnu",IF(B647="","Matière manquante",IF(ISNA(MATCH(B647,mat_ref,0)),"Matière inconnue",IF(INDEX(mat_check,MATCH(B647,mat_ref,0))&lt;&gt;"OK","Matière à corriger",IF(OR(NOT(ISNUMBER(E647)),N(E647)&lt;=0),"Quantité invalide",IF(AND(F647&lt;&gt;"",OR(NOT(ISNUMBER(F647)),N(F647)&lt;0,N(F647)&gt;=1)),"Perte entre 0 et 99 %",IF(COUNTIFS(bom_prod,A647,bom_mat,B647)&gt;1,"Matière en double","OK")))))))))</f>
        <v/>
      </c>
      <c r="K647" s="71" t="str">
        <f>IF(AND(fiche_sel&lt;&gt;"",A647=fiche_sel),COUNTIF(A$6:A647,fiche_sel),"")</f>
        <v/>
      </c>
    </row>
    <row r="648">
      <c r="A648" s="60" t="n"/>
      <c r="B648" s="60" t="n"/>
      <c r="C648" s="71" t="str">
        <f>IF(B648="","",IFERROR(INDEX(mat_des,MATCH(B648,mat_ref,0))&amp;"","Matière inconnue"))</f>
        <v/>
      </c>
      <c r="D648" s="69" t="str">
        <f>IF(B648="","",IFERROR(INDEX(mat_unit,MATCH(B648,mat_ref,0))&amp;"",""))</f>
        <v/>
      </c>
      <c r="E648" s="72" t="n"/>
      <c r="F648" s="65" t="n"/>
      <c r="G648" s="68" t="str">
        <f>IF(J648&lt;&gt;"OK","",IF(F648="",N(INDEX(mat_loss,MATCH(B648,mat_ref,0))),F648))</f>
        <v/>
      </c>
      <c r="H648" s="66" t="str">
        <f>IF(J648&lt;&gt;"OK","",INDEX(mat_price,MATCH(B648,mat_ref,0)))</f>
        <v/>
      </c>
      <c r="I648" s="66" t="str">
        <f>IF(J648&lt;&gt;"OK","",E648*(1+G648)*H648)</f>
        <v/>
      </c>
      <c r="J648" s="69" t="str">
        <f>IF(AND(A648="",B648=""),"",IF(A648="","Produit manquant",IF(COUNTIF(prod_ref,A648)=0,"Produit inconnu",IF(B648="","Matière manquante",IF(ISNA(MATCH(B648,mat_ref,0)),"Matière inconnue",IF(INDEX(mat_check,MATCH(B648,mat_ref,0))&lt;&gt;"OK","Matière à corriger",IF(OR(NOT(ISNUMBER(E648)),N(E648)&lt;=0),"Quantité invalide",IF(AND(F648&lt;&gt;"",OR(NOT(ISNUMBER(F648)),N(F648)&lt;0,N(F648)&gt;=1)),"Perte entre 0 et 99 %",IF(COUNTIFS(bom_prod,A648,bom_mat,B648)&gt;1,"Matière en double","OK")))))))))</f>
        <v/>
      </c>
      <c r="K648" s="71" t="str">
        <f>IF(AND(fiche_sel&lt;&gt;"",A648=fiche_sel),COUNTIF(A$6:A648,fiche_sel),"")</f>
        <v/>
      </c>
    </row>
    <row r="649">
      <c r="A649" s="60" t="n"/>
      <c r="B649" s="60" t="n"/>
      <c r="C649" s="71" t="str">
        <f>IF(B649="","",IFERROR(INDEX(mat_des,MATCH(B649,mat_ref,0))&amp;"","Matière inconnue"))</f>
        <v/>
      </c>
      <c r="D649" s="69" t="str">
        <f>IF(B649="","",IFERROR(INDEX(mat_unit,MATCH(B649,mat_ref,0))&amp;"",""))</f>
        <v/>
      </c>
      <c r="E649" s="72" t="n"/>
      <c r="F649" s="65" t="n"/>
      <c r="G649" s="68" t="str">
        <f>IF(J649&lt;&gt;"OK","",IF(F649="",N(INDEX(mat_loss,MATCH(B649,mat_ref,0))),F649))</f>
        <v/>
      </c>
      <c r="H649" s="66" t="str">
        <f>IF(J649&lt;&gt;"OK","",INDEX(mat_price,MATCH(B649,mat_ref,0)))</f>
        <v/>
      </c>
      <c r="I649" s="66" t="str">
        <f>IF(J649&lt;&gt;"OK","",E649*(1+G649)*H649)</f>
        <v/>
      </c>
      <c r="J649" s="69" t="str">
        <f>IF(AND(A649="",B649=""),"",IF(A649="","Produit manquant",IF(COUNTIF(prod_ref,A649)=0,"Produit inconnu",IF(B649="","Matière manquante",IF(ISNA(MATCH(B649,mat_ref,0)),"Matière inconnue",IF(INDEX(mat_check,MATCH(B649,mat_ref,0))&lt;&gt;"OK","Matière à corriger",IF(OR(NOT(ISNUMBER(E649)),N(E649)&lt;=0),"Quantité invalide",IF(AND(F649&lt;&gt;"",OR(NOT(ISNUMBER(F649)),N(F649)&lt;0,N(F649)&gt;=1)),"Perte entre 0 et 99 %",IF(COUNTIFS(bom_prod,A649,bom_mat,B649)&gt;1,"Matière en double","OK")))))))))</f>
        <v/>
      </c>
      <c r="K649" s="71" t="str">
        <f>IF(AND(fiche_sel&lt;&gt;"",A649=fiche_sel),COUNTIF(A$6:A649,fiche_sel),"")</f>
        <v/>
      </c>
    </row>
    <row r="650">
      <c r="A650" s="60" t="n"/>
      <c r="B650" s="60" t="n"/>
      <c r="C650" s="71" t="str">
        <f>IF(B650="","",IFERROR(INDEX(mat_des,MATCH(B650,mat_ref,0))&amp;"","Matière inconnue"))</f>
        <v/>
      </c>
      <c r="D650" s="69" t="str">
        <f>IF(B650="","",IFERROR(INDEX(mat_unit,MATCH(B650,mat_ref,0))&amp;"",""))</f>
        <v/>
      </c>
      <c r="E650" s="72" t="n"/>
      <c r="F650" s="65" t="n"/>
      <c r="G650" s="68" t="str">
        <f>IF(J650&lt;&gt;"OK","",IF(F650="",N(INDEX(mat_loss,MATCH(B650,mat_ref,0))),F650))</f>
        <v/>
      </c>
      <c r="H650" s="66" t="str">
        <f>IF(J650&lt;&gt;"OK","",INDEX(mat_price,MATCH(B650,mat_ref,0)))</f>
        <v/>
      </c>
      <c r="I650" s="66" t="str">
        <f>IF(J650&lt;&gt;"OK","",E650*(1+G650)*H650)</f>
        <v/>
      </c>
      <c r="J650" s="69" t="str">
        <f>IF(AND(A650="",B650=""),"",IF(A650="","Produit manquant",IF(COUNTIF(prod_ref,A650)=0,"Produit inconnu",IF(B650="","Matière manquante",IF(ISNA(MATCH(B650,mat_ref,0)),"Matière inconnue",IF(INDEX(mat_check,MATCH(B650,mat_ref,0))&lt;&gt;"OK","Matière à corriger",IF(OR(NOT(ISNUMBER(E650)),N(E650)&lt;=0),"Quantité invalide",IF(AND(F650&lt;&gt;"",OR(NOT(ISNUMBER(F650)),N(F650)&lt;0,N(F650)&gt;=1)),"Perte entre 0 et 99 %",IF(COUNTIFS(bom_prod,A650,bom_mat,B650)&gt;1,"Matière en double","OK")))))))))</f>
        <v/>
      </c>
      <c r="K650" s="71" t="str">
        <f>IF(AND(fiche_sel&lt;&gt;"",A650=fiche_sel),COUNTIF(A$6:A650,fiche_sel),"")</f>
        <v/>
      </c>
    </row>
    <row r="651">
      <c r="A651" s="60" t="n"/>
      <c r="B651" s="60" t="n"/>
      <c r="C651" s="71" t="str">
        <f>IF(B651="","",IFERROR(INDEX(mat_des,MATCH(B651,mat_ref,0))&amp;"","Matière inconnue"))</f>
        <v/>
      </c>
      <c r="D651" s="69" t="str">
        <f>IF(B651="","",IFERROR(INDEX(mat_unit,MATCH(B651,mat_ref,0))&amp;"",""))</f>
        <v/>
      </c>
      <c r="E651" s="72" t="n"/>
      <c r="F651" s="65" t="n"/>
      <c r="G651" s="68" t="str">
        <f>IF(J651&lt;&gt;"OK","",IF(F651="",N(INDEX(mat_loss,MATCH(B651,mat_ref,0))),F651))</f>
        <v/>
      </c>
      <c r="H651" s="66" t="str">
        <f>IF(J651&lt;&gt;"OK","",INDEX(mat_price,MATCH(B651,mat_ref,0)))</f>
        <v/>
      </c>
      <c r="I651" s="66" t="str">
        <f>IF(J651&lt;&gt;"OK","",E651*(1+G651)*H651)</f>
        <v/>
      </c>
      <c r="J651" s="69" t="str">
        <f>IF(AND(A651="",B651=""),"",IF(A651="","Produit manquant",IF(COUNTIF(prod_ref,A651)=0,"Produit inconnu",IF(B651="","Matière manquante",IF(ISNA(MATCH(B651,mat_ref,0)),"Matière inconnue",IF(INDEX(mat_check,MATCH(B651,mat_ref,0))&lt;&gt;"OK","Matière à corriger",IF(OR(NOT(ISNUMBER(E651)),N(E651)&lt;=0),"Quantité invalide",IF(AND(F651&lt;&gt;"",OR(NOT(ISNUMBER(F651)),N(F651)&lt;0,N(F651)&gt;=1)),"Perte entre 0 et 99 %",IF(COUNTIFS(bom_prod,A651,bom_mat,B651)&gt;1,"Matière en double","OK")))))))))</f>
        <v/>
      </c>
      <c r="K651" s="71" t="str">
        <f>IF(AND(fiche_sel&lt;&gt;"",A651=fiche_sel),COUNTIF(A$6:A651,fiche_sel),"")</f>
        <v/>
      </c>
    </row>
    <row r="652">
      <c r="A652" s="60" t="n"/>
      <c r="B652" s="60" t="n"/>
      <c r="C652" s="71" t="str">
        <f>IF(B652="","",IFERROR(INDEX(mat_des,MATCH(B652,mat_ref,0))&amp;"","Matière inconnue"))</f>
        <v/>
      </c>
      <c r="D652" s="69" t="str">
        <f>IF(B652="","",IFERROR(INDEX(mat_unit,MATCH(B652,mat_ref,0))&amp;"",""))</f>
        <v/>
      </c>
      <c r="E652" s="72" t="n"/>
      <c r="F652" s="65" t="n"/>
      <c r="G652" s="68" t="str">
        <f>IF(J652&lt;&gt;"OK","",IF(F652="",N(INDEX(mat_loss,MATCH(B652,mat_ref,0))),F652))</f>
        <v/>
      </c>
      <c r="H652" s="66" t="str">
        <f>IF(J652&lt;&gt;"OK","",INDEX(mat_price,MATCH(B652,mat_ref,0)))</f>
        <v/>
      </c>
      <c r="I652" s="66" t="str">
        <f>IF(J652&lt;&gt;"OK","",E652*(1+G652)*H652)</f>
        <v/>
      </c>
      <c r="J652" s="69" t="str">
        <f>IF(AND(A652="",B652=""),"",IF(A652="","Produit manquant",IF(COUNTIF(prod_ref,A652)=0,"Produit inconnu",IF(B652="","Matière manquante",IF(ISNA(MATCH(B652,mat_ref,0)),"Matière inconnue",IF(INDEX(mat_check,MATCH(B652,mat_ref,0))&lt;&gt;"OK","Matière à corriger",IF(OR(NOT(ISNUMBER(E652)),N(E652)&lt;=0),"Quantité invalide",IF(AND(F652&lt;&gt;"",OR(NOT(ISNUMBER(F652)),N(F652)&lt;0,N(F652)&gt;=1)),"Perte entre 0 et 99 %",IF(COUNTIFS(bom_prod,A652,bom_mat,B652)&gt;1,"Matière en double","OK")))))))))</f>
        <v/>
      </c>
      <c r="K652" s="71" t="str">
        <f>IF(AND(fiche_sel&lt;&gt;"",A652=fiche_sel),COUNTIF(A$6:A652,fiche_sel),"")</f>
        <v/>
      </c>
    </row>
    <row r="653">
      <c r="A653" s="60" t="n"/>
      <c r="B653" s="60" t="n"/>
      <c r="C653" s="71" t="str">
        <f>IF(B653="","",IFERROR(INDEX(mat_des,MATCH(B653,mat_ref,0))&amp;"","Matière inconnue"))</f>
        <v/>
      </c>
      <c r="D653" s="69" t="str">
        <f>IF(B653="","",IFERROR(INDEX(mat_unit,MATCH(B653,mat_ref,0))&amp;"",""))</f>
        <v/>
      </c>
      <c r="E653" s="72" t="n"/>
      <c r="F653" s="65" t="n"/>
      <c r="G653" s="68" t="str">
        <f>IF(J653&lt;&gt;"OK","",IF(F653="",N(INDEX(mat_loss,MATCH(B653,mat_ref,0))),F653))</f>
        <v/>
      </c>
      <c r="H653" s="66" t="str">
        <f>IF(J653&lt;&gt;"OK","",INDEX(mat_price,MATCH(B653,mat_ref,0)))</f>
        <v/>
      </c>
      <c r="I653" s="66" t="str">
        <f>IF(J653&lt;&gt;"OK","",E653*(1+G653)*H653)</f>
        <v/>
      </c>
      <c r="J653" s="69" t="str">
        <f>IF(AND(A653="",B653=""),"",IF(A653="","Produit manquant",IF(COUNTIF(prod_ref,A653)=0,"Produit inconnu",IF(B653="","Matière manquante",IF(ISNA(MATCH(B653,mat_ref,0)),"Matière inconnue",IF(INDEX(mat_check,MATCH(B653,mat_ref,0))&lt;&gt;"OK","Matière à corriger",IF(OR(NOT(ISNUMBER(E653)),N(E653)&lt;=0),"Quantité invalide",IF(AND(F653&lt;&gt;"",OR(NOT(ISNUMBER(F653)),N(F653)&lt;0,N(F653)&gt;=1)),"Perte entre 0 et 99 %",IF(COUNTIFS(bom_prod,A653,bom_mat,B653)&gt;1,"Matière en double","OK")))))))))</f>
        <v/>
      </c>
      <c r="K653" s="71" t="str">
        <f>IF(AND(fiche_sel&lt;&gt;"",A653=fiche_sel),COUNTIF(A$6:A653,fiche_sel),"")</f>
        <v/>
      </c>
    </row>
    <row r="654">
      <c r="A654" s="60" t="n"/>
      <c r="B654" s="60" t="n"/>
      <c r="C654" s="71" t="str">
        <f>IF(B654="","",IFERROR(INDEX(mat_des,MATCH(B654,mat_ref,0))&amp;"","Matière inconnue"))</f>
        <v/>
      </c>
      <c r="D654" s="69" t="str">
        <f>IF(B654="","",IFERROR(INDEX(mat_unit,MATCH(B654,mat_ref,0))&amp;"",""))</f>
        <v/>
      </c>
      <c r="E654" s="72" t="n"/>
      <c r="F654" s="65" t="n"/>
      <c r="G654" s="68" t="str">
        <f>IF(J654&lt;&gt;"OK","",IF(F654="",N(INDEX(mat_loss,MATCH(B654,mat_ref,0))),F654))</f>
        <v/>
      </c>
      <c r="H654" s="66" t="str">
        <f>IF(J654&lt;&gt;"OK","",INDEX(mat_price,MATCH(B654,mat_ref,0)))</f>
        <v/>
      </c>
      <c r="I654" s="66" t="str">
        <f>IF(J654&lt;&gt;"OK","",E654*(1+G654)*H654)</f>
        <v/>
      </c>
      <c r="J654" s="69" t="str">
        <f>IF(AND(A654="",B654=""),"",IF(A654="","Produit manquant",IF(COUNTIF(prod_ref,A654)=0,"Produit inconnu",IF(B654="","Matière manquante",IF(ISNA(MATCH(B654,mat_ref,0)),"Matière inconnue",IF(INDEX(mat_check,MATCH(B654,mat_ref,0))&lt;&gt;"OK","Matière à corriger",IF(OR(NOT(ISNUMBER(E654)),N(E654)&lt;=0),"Quantité invalide",IF(AND(F654&lt;&gt;"",OR(NOT(ISNUMBER(F654)),N(F654)&lt;0,N(F654)&gt;=1)),"Perte entre 0 et 99 %",IF(COUNTIFS(bom_prod,A654,bom_mat,B654)&gt;1,"Matière en double","OK")))))))))</f>
        <v/>
      </c>
      <c r="K654" s="71" t="str">
        <f>IF(AND(fiche_sel&lt;&gt;"",A654=fiche_sel),COUNTIF(A$6:A654,fiche_sel),"")</f>
        <v/>
      </c>
    </row>
    <row r="655">
      <c r="A655" s="60" t="n"/>
      <c r="B655" s="60" t="n"/>
      <c r="C655" s="71" t="str">
        <f>IF(B655="","",IFERROR(INDEX(mat_des,MATCH(B655,mat_ref,0))&amp;"","Matière inconnue"))</f>
        <v/>
      </c>
      <c r="D655" s="69" t="str">
        <f>IF(B655="","",IFERROR(INDEX(mat_unit,MATCH(B655,mat_ref,0))&amp;"",""))</f>
        <v/>
      </c>
      <c r="E655" s="72" t="n"/>
      <c r="F655" s="65" t="n"/>
      <c r="G655" s="68" t="str">
        <f>IF(J655&lt;&gt;"OK","",IF(F655="",N(INDEX(mat_loss,MATCH(B655,mat_ref,0))),F655))</f>
        <v/>
      </c>
      <c r="H655" s="66" t="str">
        <f>IF(J655&lt;&gt;"OK","",INDEX(mat_price,MATCH(B655,mat_ref,0)))</f>
        <v/>
      </c>
      <c r="I655" s="66" t="str">
        <f>IF(J655&lt;&gt;"OK","",E655*(1+G655)*H655)</f>
        <v/>
      </c>
      <c r="J655" s="69" t="str">
        <f>IF(AND(A655="",B655=""),"",IF(A655="","Produit manquant",IF(COUNTIF(prod_ref,A655)=0,"Produit inconnu",IF(B655="","Matière manquante",IF(ISNA(MATCH(B655,mat_ref,0)),"Matière inconnue",IF(INDEX(mat_check,MATCH(B655,mat_ref,0))&lt;&gt;"OK","Matière à corriger",IF(OR(NOT(ISNUMBER(E655)),N(E655)&lt;=0),"Quantité invalide",IF(AND(F655&lt;&gt;"",OR(NOT(ISNUMBER(F655)),N(F655)&lt;0,N(F655)&gt;=1)),"Perte entre 0 et 99 %",IF(COUNTIFS(bom_prod,A655,bom_mat,B655)&gt;1,"Matière en double","OK")))))))))</f>
        <v/>
      </c>
      <c r="K655" s="71" t="str">
        <f>IF(AND(fiche_sel&lt;&gt;"",A655=fiche_sel),COUNTIF(A$6:A655,fiche_sel),"")</f>
        <v/>
      </c>
    </row>
    <row r="656">
      <c r="A656" s="60" t="n"/>
      <c r="B656" s="60" t="n"/>
      <c r="C656" s="71" t="str">
        <f>IF(B656="","",IFERROR(INDEX(mat_des,MATCH(B656,mat_ref,0))&amp;"","Matière inconnue"))</f>
        <v/>
      </c>
      <c r="D656" s="69" t="str">
        <f>IF(B656="","",IFERROR(INDEX(mat_unit,MATCH(B656,mat_ref,0))&amp;"",""))</f>
        <v/>
      </c>
      <c r="E656" s="72" t="n"/>
      <c r="F656" s="65" t="n"/>
      <c r="G656" s="68" t="str">
        <f>IF(J656&lt;&gt;"OK","",IF(F656="",N(INDEX(mat_loss,MATCH(B656,mat_ref,0))),F656))</f>
        <v/>
      </c>
      <c r="H656" s="66" t="str">
        <f>IF(J656&lt;&gt;"OK","",INDEX(mat_price,MATCH(B656,mat_ref,0)))</f>
        <v/>
      </c>
      <c r="I656" s="66" t="str">
        <f>IF(J656&lt;&gt;"OK","",E656*(1+G656)*H656)</f>
        <v/>
      </c>
      <c r="J656" s="69" t="str">
        <f>IF(AND(A656="",B656=""),"",IF(A656="","Produit manquant",IF(COUNTIF(prod_ref,A656)=0,"Produit inconnu",IF(B656="","Matière manquante",IF(ISNA(MATCH(B656,mat_ref,0)),"Matière inconnue",IF(INDEX(mat_check,MATCH(B656,mat_ref,0))&lt;&gt;"OK","Matière à corriger",IF(OR(NOT(ISNUMBER(E656)),N(E656)&lt;=0),"Quantité invalide",IF(AND(F656&lt;&gt;"",OR(NOT(ISNUMBER(F656)),N(F656)&lt;0,N(F656)&gt;=1)),"Perte entre 0 et 99 %",IF(COUNTIFS(bom_prod,A656,bom_mat,B656)&gt;1,"Matière en double","OK")))))))))</f>
        <v/>
      </c>
      <c r="K656" s="71" t="str">
        <f>IF(AND(fiche_sel&lt;&gt;"",A656=fiche_sel),COUNTIF(A$6:A656,fiche_sel),"")</f>
        <v/>
      </c>
    </row>
    <row r="657">
      <c r="A657" s="60" t="n"/>
      <c r="B657" s="60" t="n"/>
      <c r="C657" s="71" t="str">
        <f>IF(B657="","",IFERROR(INDEX(mat_des,MATCH(B657,mat_ref,0))&amp;"","Matière inconnue"))</f>
        <v/>
      </c>
      <c r="D657" s="69" t="str">
        <f>IF(B657="","",IFERROR(INDEX(mat_unit,MATCH(B657,mat_ref,0))&amp;"",""))</f>
        <v/>
      </c>
      <c r="E657" s="72" t="n"/>
      <c r="F657" s="65" t="n"/>
      <c r="G657" s="68" t="str">
        <f>IF(J657&lt;&gt;"OK","",IF(F657="",N(INDEX(mat_loss,MATCH(B657,mat_ref,0))),F657))</f>
        <v/>
      </c>
      <c r="H657" s="66" t="str">
        <f>IF(J657&lt;&gt;"OK","",INDEX(mat_price,MATCH(B657,mat_ref,0)))</f>
        <v/>
      </c>
      <c r="I657" s="66" t="str">
        <f>IF(J657&lt;&gt;"OK","",E657*(1+G657)*H657)</f>
        <v/>
      </c>
      <c r="J657" s="69" t="str">
        <f>IF(AND(A657="",B657=""),"",IF(A657="","Produit manquant",IF(COUNTIF(prod_ref,A657)=0,"Produit inconnu",IF(B657="","Matière manquante",IF(ISNA(MATCH(B657,mat_ref,0)),"Matière inconnue",IF(INDEX(mat_check,MATCH(B657,mat_ref,0))&lt;&gt;"OK","Matière à corriger",IF(OR(NOT(ISNUMBER(E657)),N(E657)&lt;=0),"Quantité invalide",IF(AND(F657&lt;&gt;"",OR(NOT(ISNUMBER(F657)),N(F657)&lt;0,N(F657)&gt;=1)),"Perte entre 0 et 99 %",IF(COUNTIFS(bom_prod,A657,bom_mat,B657)&gt;1,"Matière en double","OK")))))))))</f>
        <v/>
      </c>
      <c r="K657" s="71" t="str">
        <f>IF(AND(fiche_sel&lt;&gt;"",A657=fiche_sel),COUNTIF(A$6:A657,fiche_sel),"")</f>
        <v/>
      </c>
    </row>
    <row r="658">
      <c r="A658" s="60" t="n"/>
      <c r="B658" s="60" t="n"/>
      <c r="C658" s="71" t="str">
        <f>IF(B658="","",IFERROR(INDEX(mat_des,MATCH(B658,mat_ref,0))&amp;"","Matière inconnue"))</f>
        <v/>
      </c>
      <c r="D658" s="69" t="str">
        <f>IF(B658="","",IFERROR(INDEX(mat_unit,MATCH(B658,mat_ref,0))&amp;"",""))</f>
        <v/>
      </c>
      <c r="E658" s="72" t="n"/>
      <c r="F658" s="65" t="n"/>
      <c r="G658" s="68" t="str">
        <f>IF(J658&lt;&gt;"OK","",IF(F658="",N(INDEX(mat_loss,MATCH(B658,mat_ref,0))),F658))</f>
        <v/>
      </c>
      <c r="H658" s="66" t="str">
        <f>IF(J658&lt;&gt;"OK","",INDEX(mat_price,MATCH(B658,mat_ref,0)))</f>
        <v/>
      </c>
      <c r="I658" s="66" t="str">
        <f>IF(J658&lt;&gt;"OK","",E658*(1+G658)*H658)</f>
        <v/>
      </c>
      <c r="J658" s="69" t="str">
        <f>IF(AND(A658="",B658=""),"",IF(A658="","Produit manquant",IF(COUNTIF(prod_ref,A658)=0,"Produit inconnu",IF(B658="","Matière manquante",IF(ISNA(MATCH(B658,mat_ref,0)),"Matière inconnue",IF(INDEX(mat_check,MATCH(B658,mat_ref,0))&lt;&gt;"OK","Matière à corriger",IF(OR(NOT(ISNUMBER(E658)),N(E658)&lt;=0),"Quantité invalide",IF(AND(F658&lt;&gt;"",OR(NOT(ISNUMBER(F658)),N(F658)&lt;0,N(F658)&gt;=1)),"Perte entre 0 et 99 %",IF(COUNTIFS(bom_prod,A658,bom_mat,B658)&gt;1,"Matière en double","OK")))))))))</f>
        <v/>
      </c>
      <c r="K658" s="71" t="str">
        <f>IF(AND(fiche_sel&lt;&gt;"",A658=fiche_sel),COUNTIF(A$6:A658,fiche_sel),"")</f>
        <v/>
      </c>
    </row>
    <row r="659">
      <c r="A659" s="60" t="n"/>
      <c r="B659" s="60" t="n"/>
      <c r="C659" s="71" t="str">
        <f>IF(B659="","",IFERROR(INDEX(mat_des,MATCH(B659,mat_ref,0))&amp;"","Matière inconnue"))</f>
        <v/>
      </c>
      <c r="D659" s="69" t="str">
        <f>IF(B659="","",IFERROR(INDEX(mat_unit,MATCH(B659,mat_ref,0))&amp;"",""))</f>
        <v/>
      </c>
      <c r="E659" s="72" t="n"/>
      <c r="F659" s="65" t="n"/>
      <c r="G659" s="68" t="str">
        <f>IF(J659&lt;&gt;"OK","",IF(F659="",N(INDEX(mat_loss,MATCH(B659,mat_ref,0))),F659))</f>
        <v/>
      </c>
      <c r="H659" s="66" t="str">
        <f>IF(J659&lt;&gt;"OK","",INDEX(mat_price,MATCH(B659,mat_ref,0)))</f>
        <v/>
      </c>
      <c r="I659" s="66" t="str">
        <f>IF(J659&lt;&gt;"OK","",E659*(1+G659)*H659)</f>
        <v/>
      </c>
      <c r="J659" s="69" t="str">
        <f>IF(AND(A659="",B659=""),"",IF(A659="","Produit manquant",IF(COUNTIF(prod_ref,A659)=0,"Produit inconnu",IF(B659="","Matière manquante",IF(ISNA(MATCH(B659,mat_ref,0)),"Matière inconnue",IF(INDEX(mat_check,MATCH(B659,mat_ref,0))&lt;&gt;"OK","Matière à corriger",IF(OR(NOT(ISNUMBER(E659)),N(E659)&lt;=0),"Quantité invalide",IF(AND(F659&lt;&gt;"",OR(NOT(ISNUMBER(F659)),N(F659)&lt;0,N(F659)&gt;=1)),"Perte entre 0 et 99 %",IF(COUNTIFS(bom_prod,A659,bom_mat,B659)&gt;1,"Matière en double","OK")))))))))</f>
        <v/>
      </c>
      <c r="K659" s="71" t="str">
        <f>IF(AND(fiche_sel&lt;&gt;"",A659=fiche_sel),COUNTIF(A$6:A659,fiche_sel),"")</f>
        <v/>
      </c>
    </row>
    <row r="660">
      <c r="A660" s="60" t="n"/>
      <c r="B660" s="60" t="n"/>
      <c r="C660" s="71" t="str">
        <f>IF(B660="","",IFERROR(INDEX(mat_des,MATCH(B660,mat_ref,0))&amp;"","Matière inconnue"))</f>
        <v/>
      </c>
      <c r="D660" s="69" t="str">
        <f>IF(B660="","",IFERROR(INDEX(mat_unit,MATCH(B660,mat_ref,0))&amp;"",""))</f>
        <v/>
      </c>
      <c r="E660" s="72" t="n"/>
      <c r="F660" s="65" t="n"/>
      <c r="G660" s="68" t="str">
        <f>IF(J660&lt;&gt;"OK","",IF(F660="",N(INDEX(mat_loss,MATCH(B660,mat_ref,0))),F660))</f>
        <v/>
      </c>
      <c r="H660" s="66" t="str">
        <f>IF(J660&lt;&gt;"OK","",INDEX(mat_price,MATCH(B660,mat_ref,0)))</f>
        <v/>
      </c>
      <c r="I660" s="66" t="str">
        <f>IF(J660&lt;&gt;"OK","",E660*(1+G660)*H660)</f>
        <v/>
      </c>
      <c r="J660" s="69" t="str">
        <f>IF(AND(A660="",B660=""),"",IF(A660="","Produit manquant",IF(COUNTIF(prod_ref,A660)=0,"Produit inconnu",IF(B660="","Matière manquante",IF(ISNA(MATCH(B660,mat_ref,0)),"Matière inconnue",IF(INDEX(mat_check,MATCH(B660,mat_ref,0))&lt;&gt;"OK","Matière à corriger",IF(OR(NOT(ISNUMBER(E660)),N(E660)&lt;=0),"Quantité invalide",IF(AND(F660&lt;&gt;"",OR(NOT(ISNUMBER(F660)),N(F660)&lt;0,N(F660)&gt;=1)),"Perte entre 0 et 99 %",IF(COUNTIFS(bom_prod,A660,bom_mat,B660)&gt;1,"Matière en double","OK")))))))))</f>
        <v/>
      </c>
      <c r="K660" s="71" t="str">
        <f>IF(AND(fiche_sel&lt;&gt;"",A660=fiche_sel),COUNTIF(A$6:A660,fiche_sel),"")</f>
        <v/>
      </c>
    </row>
    <row r="661">
      <c r="A661" s="60" t="n"/>
      <c r="B661" s="60" t="n"/>
      <c r="C661" s="71" t="str">
        <f>IF(B661="","",IFERROR(INDEX(mat_des,MATCH(B661,mat_ref,0))&amp;"","Matière inconnue"))</f>
        <v/>
      </c>
      <c r="D661" s="69" t="str">
        <f>IF(B661="","",IFERROR(INDEX(mat_unit,MATCH(B661,mat_ref,0))&amp;"",""))</f>
        <v/>
      </c>
      <c r="E661" s="72" t="n"/>
      <c r="F661" s="65" t="n"/>
      <c r="G661" s="68" t="str">
        <f>IF(J661&lt;&gt;"OK","",IF(F661="",N(INDEX(mat_loss,MATCH(B661,mat_ref,0))),F661))</f>
        <v/>
      </c>
      <c r="H661" s="66" t="str">
        <f>IF(J661&lt;&gt;"OK","",INDEX(mat_price,MATCH(B661,mat_ref,0)))</f>
        <v/>
      </c>
      <c r="I661" s="66" t="str">
        <f>IF(J661&lt;&gt;"OK","",E661*(1+G661)*H661)</f>
        <v/>
      </c>
      <c r="J661" s="69" t="str">
        <f>IF(AND(A661="",B661=""),"",IF(A661="","Produit manquant",IF(COUNTIF(prod_ref,A661)=0,"Produit inconnu",IF(B661="","Matière manquante",IF(ISNA(MATCH(B661,mat_ref,0)),"Matière inconnue",IF(INDEX(mat_check,MATCH(B661,mat_ref,0))&lt;&gt;"OK","Matière à corriger",IF(OR(NOT(ISNUMBER(E661)),N(E661)&lt;=0),"Quantité invalide",IF(AND(F661&lt;&gt;"",OR(NOT(ISNUMBER(F661)),N(F661)&lt;0,N(F661)&gt;=1)),"Perte entre 0 et 99 %",IF(COUNTIFS(bom_prod,A661,bom_mat,B661)&gt;1,"Matière en double","OK")))))))))</f>
        <v/>
      </c>
      <c r="K661" s="71" t="str">
        <f>IF(AND(fiche_sel&lt;&gt;"",A661=fiche_sel),COUNTIF(A$6:A661,fiche_sel),"")</f>
        <v/>
      </c>
    </row>
    <row r="662">
      <c r="A662" s="60" t="n"/>
      <c r="B662" s="60" t="n"/>
      <c r="C662" s="71" t="str">
        <f>IF(B662="","",IFERROR(INDEX(mat_des,MATCH(B662,mat_ref,0))&amp;"","Matière inconnue"))</f>
        <v/>
      </c>
      <c r="D662" s="69" t="str">
        <f>IF(B662="","",IFERROR(INDEX(mat_unit,MATCH(B662,mat_ref,0))&amp;"",""))</f>
        <v/>
      </c>
      <c r="E662" s="72" t="n"/>
      <c r="F662" s="65" t="n"/>
      <c r="G662" s="68" t="str">
        <f>IF(J662&lt;&gt;"OK","",IF(F662="",N(INDEX(mat_loss,MATCH(B662,mat_ref,0))),F662))</f>
        <v/>
      </c>
      <c r="H662" s="66" t="str">
        <f>IF(J662&lt;&gt;"OK","",INDEX(mat_price,MATCH(B662,mat_ref,0)))</f>
        <v/>
      </c>
      <c r="I662" s="66" t="str">
        <f>IF(J662&lt;&gt;"OK","",E662*(1+G662)*H662)</f>
        <v/>
      </c>
      <c r="J662" s="69" t="str">
        <f>IF(AND(A662="",B662=""),"",IF(A662="","Produit manquant",IF(COUNTIF(prod_ref,A662)=0,"Produit inconnu",IF(B662="","Matière manquante",IF(ISNA(MATCH(B662,mat_ref,0)),"Matière inconnue",IF(INDEX(mat_check,MATCH(B662,mat_ref,0))&lt;&gt;"OK","Matière à corriger",IF(OR(NOT(ISNUMBER(E662)),N(E662)&lt;=0),"Quantité invalide",IF(AND(F662&lt;&gt;"",OR(NOT(ISNUMBER(F662)),N(F662)&lt;0,N(F662)&gt;=1)),"Perte entre 0 et 99 %",IF(COUNTIFS(bom_prod,A662,bom_mat,B662)&gt;1,"Matière en double","OK")))))))))</f>
        <v/>
      </c>
      <c r="K662" s="71" t="str">
        <f>IF(AND(fiche_sel&lt;&gt;"",A662=fiche_sel),COUNTIF(A$6:A662,fiche_sel),"")</f>
        <v/>
      </c>
    </row>
    <row r="663">
      <c r="A663" s="60" t="n"/>
      <c r="B663" s="60" t="n"/>
      <c r="C663" s="71" t="str">
        <f>IF(B663="","",IFERROR(INDEX(mat_des,MATCH(B663,mat_ref,0))&amp;"","Matière inconnue"))</f>
        <v/>
      </c>
      <c r="D663" s="69" t="str">
        <f>IF(B663="","",IFERROR(INDEX(mat_unit,MATCH(B663,mat_ref,0))&amp;"",""))</f>
        <v/>
      </c>
      <c r="E663" s="72" t="n"/>
      <c r="F663" s="65" t="n"/>
      <c r="G663" s="68" t="str">
        <f>IF(J663&lt;&gt;"OK","",IF(F663="",N(INDEX(mat_loss,MATCH(B663,mat_ref,0))),F663))</f>
        <v/>
      </c>
      <c r="H663" s="66" t="str">
        <f>IF(J663&lt;&gt;"OK","",INDEX(mat_price,MATCH(B663,mat_ref,0)))</f>
        <v/>
      </c>
      <c r="I663" s="66" t="str">
        <f>IF(J663&lt;&gt;"OK","",E663*(1+G663)*H663)</f>
        <v/>
      </c>
      <c r="J663" s="69" t="str">
        <f>IF(AND(A663="",B663=""),"",IF(A663="","Produit manquant",IF(COUNTIF(prod_ref,A663)=0,"Produit inconnu",IF(B663="","Matière manquante",IF(ISNA(MATCH(B663,mat_ref,0)),"Matière inconnue",IF(INDEX(mat_check,MATCH(B663,mat_ref,0))&lt;&gt;"OK","Matière à corriger",IF(OR(NOT(ISNUMBER(E663)),N(E663)&lt;=0),"Quantité invalide",IF(AND(F663&lt;&gt;"",OR(NOT(ISNUMBER(F663)),N(F663)&lt;0,N(F663)&gt;=1)),"Perte entre 0 et 99 %",IF(COUNTIFS(bom_prod,A663,bom_mat,B663)&gt;1,"Matière en double","OK")))))))))</f>
        <v/>
      </c>
      <c r="K663" s="71" t="str">
        <f>IF(AND(fiche_sel&lt;&gt;"",A663=fiche_sel),COUNTIF(A$6:A663,fiche_sel),"")</f>
        <v/>
      </c>
    </row>
    <row r="664">
      <c r="A664" s="60" t="n"/>
      <c r="B664" s="60" t="n"/>
      <c r="C664" s="71" t="str">
        <f>IF(B664="","",IFERROR(INDEX(mat_des,MATCH(B664,mat_ref,0))&amp;"","Matière inconnue"))</f>
        <v/>
      </c>
      <c r="D664" s="69" t="str">
        <f>IF(B664="","",IFERROR(INDEX(mat_unit,MATCH(B664,mat_ref,0))&amp;"",""))</f>
        <v/>
      </c>
      <c r="E664" s="72" t="n"/>
      <c r="F664" s="65" t="n"/>
      <c r="G664" s="68" t="str">
        <f>IF(J664&lt;&gt;"OK","",IF(F664="",N(INDEX(mat_loss,MATCH(B664,mat_ref,0))),F664))</f>
        <v/>
      </c>
      <c r="H664" s="66" t="str">
        <f>IF(J664&lt;&gt;"OK","",INDEX(mat_price,MATCH(B664,mat_ref,0)))</f>
        <v/>
      </c>
      <c r="I664" s="66" t="str">
        <f>IF(J664&lt;&gt;"OK","",E664*(1+G664)*H664)</f>
        <v/>
      </c>
      <c r="J664" s="69" t="str">
        <f>IF(AND(A664="",B664=""),"",IF(A664="","Produit manquant",IF(COUNTIF(prod_ref,A664)=0,"Produit inconnu",IF(B664="","Matière manquante",IF(ISNA(MATCH(B664,mat_ref,0)),"Matière inconnue",IF(INDEX(mat_check,MATCH(B664,mat_ref,0))&lt;&gt;"OK","Matière à corriger",IF(OR(NOT(ISNUMBER(E664)),N(E664)&lt;=0),"Quantité invalide",IF(AND(F664&lt;&gt;"",OR(NOT(ISNUMBER(F664)),N(F664)&lt;0,N(F664)&gt;=1)),"Perte entre 0 et 99 %",IF(COUNTIFS(bom_prod,A664,bom_mat,B664)&gt;1,"Matière en double","OK")))))))))</f>
        <v/>
      </c>
      <c r="K664" s="71" t="str">
        <f>IF(AND(fiche_sel&lt;&gt;"",A664=fiche_sel),COUNTIF(A$6:A664,fiche_sel),"")</f>
        <v/>
      </c>
    </row>
    <row r="665">
      <c r="A665" s="60" t="n"/>
      <c r="B665" s="60" t="n"/>
      <c r="C665" s="71" t="str">
        <f>IF(B665="","",IFERROR(INDEX(mat_des,MATCH(B665,mat_ref,0))&amp;"","Matière inconnue"))</f>
        <v/>
      </c>
      <c r="D665" s="69" t="str">
        <f>IF(B665="","",IFERROR(INDEX(mat_unit,MATCH(B665,mat_ref,0))&amp;"",""))</f>
        <v/>
      </c>
      <c r="E665" s="72" t="n"/>
      <c r="F665" s="65" t="n"/>
      <c r="G665" s="68" t="str">
        <f>IF(J665&lt;&gt;"OK","",IF(F665="",N(INDEX(mat_loss,MATCH(B665,mat_ref,0))),F665))</f>
        <v/>
      </c>
      <c r="H665" s="66" t="str">
        <f>IF(J665&lt;&gt;"OK","",INDEX(mat_price,MATCH(B665,mat_ref,0)))</f>
        <v/>
      </c>
      <c r="I665" s="66" t="str">
        <f>IF(J665&lt;&gt;"OK","",E665*(1+G665)*H665)</f>
        <v/>
      </c>
      <c r="J665" s="69" t="str">
        <f>IF(AND(A665="",B665=""),"",IF(A665="","Produit manquant",IF(COUNTIF(prod_ref,A665)=0,"Produit inconnu",IF(B665="","Matière manquante",IF(ISNA(MATCH(B665,mat_ref,0)),"Matière inconnue",IF(INDEX(mat_check,MATCH(B665,mat_ref,0))&lt;&gt;"OK","Matière à corriger",IF(OR(NOT(ISNUMBER(E665)),N(E665)&lt;=0),"Quantité invalide",IF(AND(F665&lt;&gt;"",OR(NOT(ISNUMBER(F665)),N(F665)&lt;0,N(F665)&gt;=1)),"Perte entre 0 et 99 %",IF(COUNTIFS(bom_prod,A665,bom_mat,B665)&gt;1,"Matière en double","OK")))))))))</f>
        <v/>
      </c>
      <c r="K665" s="71" t="str">
        <f>IF(AND(fiche_sel&lt;&gt;"",A665=fiche_sel),COUNTIF(A$6:A665,fiche_sel),"")</f>
        <v/>
      </c>
    </row>
    <row r="666">
      <c r="A666" s="60" t="n"/>
      <c r="B666" s="60" t="n"/>
      <c r="C666" s="71" t="str">
        <f>IF(B666="","",IFERROR(INDEX(mat_des,MATCH(B666,mat_ref,0))&amp;"","Matière inconnue"))</f>
        <v/>
      </c>
      <c r="D666" s="69" t="str">
        <f>IF(B666="","",IFERROR(INDEX(mat_unit,MATCH(B666,mat_ref,0))&amp;"",""))</f>
        <v/>
      </c>
      <c r="E666" s="72" t="n"/>
      <c r="F666" s="65" t="n"/>
      <c r="G666" s="68" t="str">
        <f>IF(J666&lt;&gt;"OK","",IF(F666="",N(INDEX(mat_loss,MATCH(B666,mat_ref,0))),F666))</f>
        <v/>
      </c>
      <c r="H666" s="66" t="str">
        <f>IF(J666&lt;&gt;"OK","",INDEX(mat_price,MATCH(B666,mat_ref,0)))</f>
        <v/>
      </c>
      <c r="I666" s="66" t="str">
        <f>IF(J666&lt;&gt;"OK","",E666*(1+G666)*H666)</f>
        <v/>
      </c>
      <c r="J666" s="69" t="str">
        <f>IF(AND(A666="",B666=""),"",IF(A666="","Produit manquant",IF(COUNTIF(prod_ref,A666)=0,"Produit inconnu",IF(B666="","Matière manquante",IF(ISNA(MATCH(B666,mat_ref,0)),"Matière inconnue",IF(INDEX(mat_check,MATCH(B666,mat_ref,0))&lt;&gt;"OK","Matière à corriger",IF(OR(NOT(ISNUMBER(E666)),N(E666)&lt;=0),"Quantité invalide",IF(AND(F666&lt;&gt;"",OR(NOT(ISNUMBER(F666)),N(F666)&lt;0,N(F666)&gt;=1)),"Perte entre 0 et 99 %",IF(COUNTIFS(bom_prod,A666,bom_mat,B666)&gt;1,"Matière en double","OK")))))))))</f>
        <v/>
      </c>
      <c r="K666" s="71" t="str">
        <f>IF(AND(fiche_sel&lt;&gt;"",A666=fiche_sel),COUNTIF(A$6:A666,fiche_sel),"")</f>
        <v/>
      </c>
    </row>
    <row r="667">
      <c r="A667" s="60" t="n"/>
      <c r="B667" s="60" t="n"/>
      <c r="C667" s="71" t="str">
        <f>IF(B667="","",IFERROR(INDEX(mat_des,MATCH(B667,mat_ref,0))&amp;"","Matière inconnue"))</f>
        <v/>
      </c>
      <c r="D667" s="69" t="str">
        <f>IF(B667="","",IFERROR(INDEX(mat_unit,MATCH(B667,mat_ref,0))&amp;"",""))</f>
        <v/>
      </c>
      <c r="E667" s="72" t="n"/>
      <c r="F667" s="65" t="n"/>
      <c r="G667" s="68" t="str">
        <f>IF(J667&lt;&gt;"OK","",IF(F667="",N(INDEX(mat_loss,MATCH(B667,mat_ref,0))),F667))</f>
        <v/>
      </c>
      <c r="H667" s="66" t="str">
        <f>IF(J667&lt;&gt;"OK","",INDEX(mat_price,MATCH(B667,mat_ref,0)))</f>
        <v/>
      </c>
      <c r="I667" s="66" t="str">
        <f>IF(J667&lt;&gt;"OK","",E667*(1+G667)*H667)</f>
        <v/>
      </c>
      <c r="J667" s="69" t="str">
        <f>IF(AND(A667="",B667=""),"",IF(A667="","Produit manquant",IF(COUNTIF(prod_ref,A667)=0,"Produit inconnu",IF(B667="","Matière manquante",IF(ISNA(MATCH(B667,mat_ref,0)),"Matière inconnue",IF(INDEX(mat_check,MATCH(B667,mat_ref,0))&lt;&gt;"OK","Matière à corriger",IF(OR(NOT(ISNUMBER(E667)),N(E667)&lt;=0),"Quantité invalide",IF(AND(F667&lt;&gt;"",OR(NOT(ISNUMBER(F667)),N(F667)&lt;0,N(F667)&gt;=1)),"Perte entre 0 et 99 %",IF(COUNTIFS(bom_prod,A667,bom_mat,B667)&gt;1,"Matière en double","OK")))))))))</f>
        <v/>
      </c>
      <c r="K667" s="71" t="str">
        <f>IF(AND(fiche_sel&lt;&gt;"",A667=fiche_sel),COUNTIF(A$6:A667,fiche_sel),"")</f>
        <v/>
      </c>
    </row>
    <row r="668">
      <c r="A668" s="60" t="n"/>
      <c r="B668" s="60" t="n"/>
      <c r="C668" s="71" t="str">
        <f>IF(B668="","",IFERROR(INDEX(mat_des,MATCH(B668,mat_ref,0))&amp;"","Matière inconnue"))</f>
        <v/>
      </c>
      <c r="D668" s="69" t="str">
        <f>IF(B668="","",IFERROR(INDEX(mat_unit,MATCH(B668,mat_ref,0))&amp;"",""))</f>
        <v/>
      </c>
      <c r="E668" s="72" t="n"/>
      <c r="F668" s="65" t="n"/>
      <c r="G668" s="68" t="str">
        <f>IF(J668&lt;&gt;"OK","",IF(F668="",N(INDEX(mat_loss,MATCH(B668,mat_ref,0))),F668))</f>
        <v/>
      </c>
      <c r="H668" s="66" t="str">
        <f>IF(J668&lt;&gt;"OK","",INDEX(mat_price,MATCH(B668,mat_ref,0)))</f>
        <v/>
      </c>
      <c r="I668" s="66" t="str">
        <f>IF(J668&lt;&gt;"OK","",E668*(1+G668)*H668)</f>
        <v/>
      </c>
      <c r="J668" s="69" t="str">
        <f>IF(AND(A668="",B668=""),"",IF(A668="","Produit manquant",IF(COUNTIF(prod_ref,A668)=0,"Produit inconnu",IF(B668="","Matière manquante",IF(ISNA(MATCH(B668,mat_ref,0)),"Matière inconnue",IF(INDEX(mat_check,MATCH(B668,mat_ref,0))&lt;&gt;"OK","Matière à corriger",IF(OR(NOT(ISNUMBER(E668)),N(E668)&lt;=0),"Quantité invalide",IF(AND(F668&lt;&gt;"",OR(NOT(ISNUMBER(F668)),N(F668)&lt;0,N(F668)&gt;=1)),"Perte entre 0 et 99 %",IF(COUNTIFS(bom_prod,A668,bom_mat,B668)&gt;1,"Matière en double","OK")))))))))</f>
        <v/>
      </c>
      <c r="K668" s="71" t="str">
        <f>IF(AND(fiche_sel&lt;&gt;"",A668=fiche_sel),COUNTIF(A$6:A668,fiche_sel),"")</f>
        <v/>
      </c>
    </row>
    <row r="669">
      <c r="A669" s="60" t="n"/>
      <c r="B669" s="60" t="n"/>
      <c r="C669" s="71" t="str">
        <f>IF(B669="","",IFERROR(INDEX(mat_des,MATCH(B669,mat_ref,0))&amp;"","Matière inconnue"))</f>
        <v/>
      </c>
      <c r="D669" s="69" t="str">
        <f>IF(B669="","",IFERROR(INDEX(mat_unit,MATCH(B669,mat_ref,0))&amp;"",""))</f>
        <v/>
      </c>
      <c r="E669" s="72" t="n"/>
      <c r="F669" s="65" t="n"/>
      <c r="G669" s="68" t="str">
        <f>IF(J669&lt;&gt;"OK","",IF(F669="",N(INDEX(mat_loss,MATCH(B669,mat_ref,0))),F669))</f>
        <v/>
      </c>
      <c r="H669" s="66" t="str">
        <f>IF(J669&lt;&gt;"OK","",INDEX(mat_price,MATCH(B669,mat_ref,0)))</f>
        <v/>
      </c>
      <c r="I669" s="66" t="str">
        <f>IF(J669&lt;&gt;"OK","",E669*(1+G669)*H669)</f>
        <v/>
      </c>
      <c r="J669" s="69" t="str">
        <f>IF(AND(A669="",B669=""),"",IF(A669="","Produit manquant",IF(COUNTIF(prod_ref,A669)=0,"Produit inconnu",IF(B669="","Matière manquante",IF(ISNA(MATCH(B669,mat_ref,0)),"Matière inconnue",IF(INDEX(mat_check,MATCH(B669,mat_ref,0))&lt;&gt;"OK","Matière à corriger",IF(OR(NOT(ISNUMBER(E669)),N(E669)&lt;=0),"Quantité invalide",IF(AND(F669&lt;&gt;"",OR(NOT(ISNUMBER(F669)),N(F669)&lt;0,N(F669)&gt;=1)),"Perte entre 0 et 99 %",IF(COUNTIFS(bom_prod,A669,bom_mat,B669)&gt;1,"Matière en double","OK")))))))))</f>
        <v/>
      </c>
      <c r="K669" s="71" t="str">
        <f>IF(AND(fiche_sel&lt;&gt;"",A669=fiche_sel),COUNTIF(A$6:A669,fiche_sel),"")</f>
        <v/>
      </c>
    </row>
    <row r="670">
      <c r="A670" s="60" t="n"/>
      <c r="B670" s="60" t="n"/>
      <c r="C670" s="71" t="str">
        <f>IF(B670="","",IFERROR(INDEX(mat_des,MATCH(B670,mat_ref,0))&amp;"","Matière inconnue"))</f>
        <v/>
      </c>
      <c r="D670" s="69" t="str">
        <f>IF(B670="","",IFERROR(INDEX(mat_unit,MATCH(B670,mat_ref,0))&amp;"",""))</f>
        <v/>
      </c>
      <c r="E670" s="72" t="n"/>
      <c r="F670" s="65" t="n"/>
      <c r="G670" s="68" t="str">
        <f>IF(J670&lt;&gt;"OK","",IF(F670="",N(INDEX(mat_loss,MATCH(B670,mat_ref,0))),F670))</f>
        <v/>
      </c>
      <c r="H670" s="66" t="str">
        <f>IF(J670&lt;&gt;"OK","",INDEX(mat_price,MATCH(B670,mat_ref,0)))</f>
        <v/>
      </c>
      <c r="I670" s="66" t="str">
        <f>IF(J670&lt;&gt;"OK","",E670*(1+G670)*H670)</f>
        <v/>
      </c>
      <c r="J670" s="69" t="str">
        <f>IF(AND(A670="",B670=""),"",IF(A670="","Produit manquant",IF(COUNTIF(prod_ref,A670)=0,"Produit inconnu",IF(B670="","Matière manquante",IF(ISNA(MATCH(B670,mat_ref,0)),"Matière inconnue",IF(INDEX(mat_check,MATCH(B670,mat_ref,0))&lt;&gt;"OK","Matière à corriger",IF(OR(NOT(ISNUMBER(E670)),N(E670)&lt;=0),"Quantité invalide",IF(AND(F670&lt;&gt;"",OR(NOT(ISNUMBER(F670)),N(F670)&lt;0,N(F670)&gt;=1)),"Perte entre 0 et 99 %",IF(COUNTIFS(bom_prod,A670,bom_mat,B670)&gt;1,"Matière en double","OK")))))))))</f>
        <v/>
      </c>
      <c r="K670" s="71" t="str">
        <f>IF(AND(fiche_sel&lt;&gt;"",A670=fiche_sel),COUNTIF(A$6:A670,fiche_sel),"")</f>
        <v/>
      </c>
    </row>
    <row r="671">
      <c r="A671" s="60" t="n"/>
      <c r="B671" s="60" t="n"/>
      <c r="C671" s="71" t="str">
        <f>IF(B671="","",IFERROR(INDEX(mat_des,MATCH(B671,mat_ref,0))&amp;"","Matière inconnue"))</f>
        <v/>
      </c>
      <c r="D671" s="69" t="str">
        <f>IF(B671="","",IFERROR(INDEX(mat_unit,MATCH(B671,mat_ref,0))&amp;"",""))</f>
        <v/>
      </c>
      <c r="E671" s="72" t="n"/>
      <c r="F671" s="65" t="n"/>
      <c r="G671" s="68" t="str">
        <f>IF(J671&lt;&gt;"OK","",IF(F671="",N(INDEX(mat_loss,MATCH(B671,mat_ref,0))),F671))</f>
        <v/>
      </c>
      <c r="H671" s="66" t="str">
        <f>IF(J671&lt;&gt;"OK","",INDEX(mat_price,MATCH(B671,mat_ref,0)))</f>
        <v/>
      </c>
      <c r="I671" s="66" t="str">
        <f>IF(J671&lt;&gt;"OK","",E671*(1+G671)*H671)</f>
        <v/>
      </c>
      <c r="J671" s="69" t="str">
        <f>IF(AND(A671="",B671=""),"",IF(A671="","Produit manquant",IF(COUNTIF(prod_ref,A671)=0,"Produit inconnu",IF(B671="","Matière manquante",IF(ISNA(MATCH(B671,mat_ref,0)),"Matière inconnue",IF(INDEX(mat_check,MATCH(B671,mat_ref,0))&lt;&gt;"OK","Matière à corriger",IF(OR(NOT(ISNUMBER(E671)),N(E671)&lt;=0),"Quantité invalide",IF(AND(F671&lt;&gt;"",OR(NOT(ISNUMBER(F671)),N(F671)&lt;0,N(F671)&gt;=1)),"Perte entre 0 et 99 %",IF(COUNTIFS(bom_prod,A671,bom_mat,B671)&gt;1,"Matière en double","OK")))))))))</f>
        <v/>
      </c>
      <c r="K671" s="71" t="str">
        <f>IF(AND(fiche_sel&lt;&gt;"",A671=fiche_sel),COUNTIF(A$6:A671,fiche_sel),"")</f>
        <v/>
      </c>
    </row>
    <row r="672">
      <c r="A672" s="60" t="n"/>
      <c r="B672" s="60" t="n"/>
      <c r="C672" s="71" t="str">
        <f>IF(B672="","",IFERROR(INDEX(mat_des,MATCH(B672,mat_ref,0))&amp;"","Matière inconnue"))</f>
        <v/>
      </c>
      <c r="D672" s="69" t="str">
        <f>IF(B672="","",IFERROR(INDEX(mat_unit,MATCH(B672,mat_ref,0))&amp;"",""))</f>
        <v/>
      </c>
      <c r="E672" s="72" t="n"/>
      <c r="F672" s="65" t="n"/>
      <c r="G672" s="68" t="str">
        <f>IF(J672&lt;&gt;"OK","",IF(F672="",N(INDEX(mat_loss,MATCH(B672,mat_ref,0))),F672))</f>
        <v/>
      </c>
      <c r="H672" s="66" t="str">
        <f>IF(J672&lt;&gt;"OK","",INDEX(mat_price,MATCH(B672,mat_ref,0)))</f>
        <v/>
      </c>
      <c r="I672" s="66" t="str">
        <f>IF(J672&lt;&gt;"OK","",E672*(1+G672)*H672)</f>
        <v/>
      </c>
      <c r="J672" s="69" t="str">
        <f>IF(AND(A672="",B672=""),"",IF(A672="","Produit manquant",IF(COUNTIF(prod_ref,A672)=0,"Produit inconnu",IF(B672="","Matière manquante",IF(ISNA(MATCH(B672,mat_ref,0)),"Matière inconnue",IF(INDEX(mat_check,MATCH(B672,mat_ref,0))&lt;&gt;"OK","Matière à corriger",IF(OR(NOT(ISNUMBER(E672)),N(E672)&lt;=0),"Quantité invalide",IF(AND(F672&lt;&gt;"",OR(NOT(ISNUMBER(F672)),N(F672)&lt;0,N(F672)&gt;=1)),"Perte entre 0 et 99 %",IF(COUNTIFS(bom_prod,A672,bom_mat,B672)&gt;1,"Matière en double","OK")))))))))</f>
        <v/>
      </c>
      <c r="K672" s="71" t="str">
        <f>IF(AND(fiche_sel&lt;&gt;"",A672=fiche_sel),COUNTIF(A$6:A672,fiche_sel),"")</f>
        <v/>
      </c>
    </row>
    <row r="673">
      <c r="A673" s="60" t="n"/>
      <c r="B673" s="60" t="n"/>
      <c r="C673" s="71" t="str">
        <f>IF(B673="","",IFERROR(INDEX(mat_des,MATCH(B673,mat_ref,0))&amp;"","Matière inconnue"))</f>
        <v/>
      </c>
      <c r="D673" s="69" t="str">
        <f>IF(B673="","",IFERROR(INDEX(mat_unit,MATCH(B673,mat_ref,0))&amp;"",""))</f>
        <v/>
      </c>
      <c r="E673" s="72" t="n"/>
      <c r="F673" s="65" t="n"/>
      <c r="G673" s="68" t="str">
        <f>IF(J673&lt;&gt;"OK","",IF(F673="",N(INDEX(mat_loss,MATCH(B673,mat_ref,0))),F673))</f>
        <v/>
      </c>
      <c r="H673" s="66" t="str">
        <f>IF(J673&lt;&gt;"OK","",INDEX(mat_price,MATCH(B673,mat_ref,0)))</f>
        <v/>
      </c>
      <c r="I673" s="66" t="str">
        <f>IF(J673&lt;&gt;"OK","",E673*(1+G673)*H673)</f>
        <v/>
      </c>
      <c r="J673" s="69" t="str">
        <f>IF(AND(A673="",B673=""),"",IF(A673="","Produit manquant",IF(COUNTIF(prod_ref,A673)=0,"Produit inconnu",IF(B673="","Matière manquante",IF(ISNA(MATCH(B673,mat_ref,0)),"Matière inconnue",IF(INDEX(mat_check,MATCH(B673,mat_ref,0))&lt;&gt;"OK","Matière à corriger",IF(OR(NOT(ISNUMBER(E673)),N(E673)&lt;=0),"Quantité invalide",IF(AND(F673&lt;&gt;"",OR(NOT(ISNUMBER(F673)),N(F673)&lt;0,N(F673)&gt;=1)),"Perte entre 0 et 99 %",IF(COUNTIFS(bom_prod,A673,bom_mat,B673)&gt;1,"Matière en double","OK")))))))))</f>
        <v/>
      </c>
      <c r="K673" s="71" t="str">
        <f>IF(AND(fiche_sel&lt;&gt;"",A673=fiche_sel),COUNTIF(A$6:A673,fiche_sel),"")</f>
        <v/>
      </c>
    </row>
    <row r="674">
      <c r="A674" s="60" t="n"/>
      <c r="B674" s="60" t="n"/>
      <c r="C674" s="71" t="str">
        <f>IF(B674="","",IFERROR(INDEX(mat_des,MATCH(B674,mat_ref,0))&amp;"","Matière inconnue"))</f>
        <v/>
      </c>
      <c r="D674" s="69" t="str">
        <f>IF(B674="","",IFERROR(INDEX(mat_unit,MATCH(B674,mat_ref,0))&amp;"",""))</f>
        <v/>
      </c>
      <c r="E674" s="72" t="n"/>
      <c r="F674" s="65" t="n"/>
      <c r="G674" s="68" t="str">
        <f>IF(J674&lt;&gt;"OK","",IF(F674="",N(INDEX(mat_loss,MATCH(B674,mat_ref,0))),F674))</f>
        <v/>
      </c>
      <c r="H674" s="66" t="str">
        <f>IF(J674&lt;&gt;"OK","",INDEX(mat_price,MATCH(B674,mat_ref,0)))</f>
        <v/>
      </c>
      <c r="I674" s="66" t="str">
        <f>IF(J674&lt;&gt;"OK","",E674*(1+G674)*H674)</f>
        <v/>
      </c>
      <c r="J674" s="69" t="str">
        <f>IF(AND(A674="",B674=""),"",IF(A674="","Produit manquant",IF(COUNTIF(prod_ref,A674)=0,"Produit inconnu",IF(B674="","Matière manquante",IF(ISNA(MATCH(B674,mat_ref,0)),"Matière inconnue",IF(INDEX(mat_check,MATCH(B674,mat_ref,0))&lt;&gt;"OK","Matière à corriger",IF(OR(NOT(ISNUMBER(E674)),N(E674)&lt;=0),"Quantité invalide",IF(AND(F674&lt;&gt;"",OR(NOT(ISNUMBER(F674)),N(F674)&lt;0,N(F674)&gt;=1)),"Perte entre 0 et 99 %",IF(COUNTIFS(bom_prod,A674,bom_mat,B674)&gt;1,"Matière en double","OK")))))))))</f>
        <v/>
      </c>
      <c r="K674" s="71" t="str">
        <f>IF(AND(fiche_sel&lt;&gt;"",A674=fiche_sel),COUNTIF(A$6:A674,fiche_sel),"")</f>
        <v/>
      </c>
    </row>
    <row r="675">
      <c r="A675" s="60" t="n"/>
      <c r="B675" s="60" t="n"/>
      <c r="C675" s="71" t="str">
        <f>IF(B675="","",IFERROR(INDEX(mat_des,MATCH(B675,mat_ref,0))&amp;"","Matière inconnue"))</f>
        <v/>
      </c>
      <c r="D675" s="69" t="str">
        <f>IF(B675="","",IFERROR(INDEX(mat_unit,MATCH(B675,mat_ref,0))&amp;"",""))</f>
        <v/>
      </c>
      <c r="E675" s="72" t="n"/>
      <c r="F675" s="65" t="n"/>
      <c r="G675" s="68" t="str">
        <f>IF(J675&lt;&gt;"OK","",IF(F675="",N(INDEX(mat_loss,MATCH(B675,mat_ref,0))),F675))</f>
        <v/>
      </c>
      <c r="H675" s="66" t="str">
        <f>IF(J675&lt;&gt;"OK","",INDEX(mat_price,MATCH(B675,mat_ref,0)))</f>
        <v/>
      </c>
      <c r="I675" s="66" t="str">
        <f>IF(J675&lt;&gt;"OK","",E675*(1+G675)*H675)</f>
        <v/>
      </c>
      <c r="J675" s="69" t="str">
        <f>IF(AND(A675="",B675=""),"",IF(A675="","Produit manquant",IF(COUNTIF(prod_ref,A675)=0,"Produit inconnu",IF(B675="","Matière manquante",IF(ISNA(MATCH(B675,mat_ref,0)),"Matière inconnue",IF(INDEX(mat_check,MATCH(B675,mat_ref,0))&lt;&gt;"OK","Matière à corriger",IF(OR(NOT(ISNUMBER(E675)),N(E675)&lt;=0),"Quantité invalide",IF(AND(F675&lt;&gt;"",OR(NOT(ISNUMBER(F675)),N(F675)&lt;0,N(F675)&gt;=1)),"Perte entre 0 et 99 %",IF(COUNTIFS(bom_prod,A675,bom_mat,B675)&gt;1,"Matière en double","OK")))))))))</f>
        <v/>
      </c>
      <c r="K675" s="71" t="str">
        <f>IF(AND(fiche_sel&lt;&gt;"",A675=fiche_sel),COUNTIF(A$6:A675,fiche_sel),"")</f>
        <v/>
      </c>
    </row>
    <row r="676">
      <c r="A676" s="60" t="n"/>
      <c r="B676" s="60" t="n"/>
      <c r="C676" s="71" t="str">
        <f>IF(B676="","",IFERROR(INDEX(mat_des,MATCH(B676,mat_ref,0))&amp;"","Matière inconnue"))</f>
        <v/>
      </c>
      <c r="D676" s="69" t="str">
        <f>IF(B676="","",IFERROR(INDEX(mat_unit,MATCH(B676,mat_ref,0))&amp;"",""))</f>
        <v/>
      </c>
      <c r="E676" s="72" t="n"/>
      <c r="F676" s="65" t="n"/>
      <c r="G676" s="68" t="str">
        <f>IF(J676&lt;&gt;"OK","",IF(F676="",N(INDEX(mat_loss,MATCH(B676,mat_ref,0))),F676))</f>
        <v/>
      </c>
      <c r="H676" s="66" t="str">
        <f>IF(J676&lt;&gt;"OK","",INDEX(mat_price,MATCH(B676,mat_ref,0)))</f>
        <v/>
      </c>
      <c r="I676" s="66" t="str">
        <f>IF(J676&lt;&gt;"OK","",E676*(1+G676)*H676)</f>
        <v/>
      </c>
      <c r="J676" s="69" t="str">
        <f>IF(AND(A676="",B676=""),"",IF(A676="","Produit manquant",IF(COUNTIF(prod_ref,A676)=0,"Produit inconnu",IF(B676="","Matière manquante",IF(ISNA(MATCH(B676,mat_ref,0)),"Matière inconnue",IF(INDEX(mat_check,MATCH(B676,mat_ref,0))&lt;&gt;"OK","Matière à corriger",IF(OR(NOT(ISNUMBER(E676)),N(E676)&lt;=0),"Quantité invalide",IF(AND(F676&lt;&gt;"",OR(NOT(ISNUMBER(F676)),N(F676)&lt;0,N(F676)&gt;=1)),"Perte entre 0 et 99 %",IF(COUNTIFS(bom_prod,A676,bom_mat,B676)&gt;1,"Matière en double","OK")))))))))</f>
        <v/>
      </c>
      <c r="K676" s="71" t="str">
        <f>IF(AND(fiche_sel&lt;&gt;"",A676=fiche_sel),COUNTIF(A$6:A676,fiche_sel),"")</f>
        <v/>
      </c>
    </row>
    <row r="677">
      <c r="A677" s="60" t="n"/>
      <c r="B677" s="60" t="n"/>
      <c r="C677" s="71" t="str">
        <f>IF(B677="","",IFERROR(INDEX(mat_des,MATCH(B677,mat_ref,0))&amp;"","Matière inconnue"))</f>
        <v/>
      </c>
      <c r="D677" s="69" t="str">
        <f>IF(B677="","",IFERROR(INDEX(mat_unit,MATCH(B677,mat_ref,0))&amp;"",""))</f>
        <v/>
      </c>
      <c r="E677" s="72" t="n"/>
      <c r="F677" s="65" t="n"/>
      <c r="G677" s="68" t="str">
        <f>IF(J677&lt;&gt;"OK","",IF(F677="",N(INDEX(mat_loss,MATCH(B677,mat_ref,0))),F677))</f>
        <v/>
      </c>
      <c r="H677" s="66" t="str">
        <f>IF(J677&lt;&gt;"OK","",INDEX(mat_price,MATCH(B677,mat_ref,0)))</f>
        <v/>
      </c>
      <c r="I677" s="66" t="str">
        <f>IF(J677&lt;&gt;"OK","",E677*(1+G677)*H677)</f>
        <v/>
      </c>
      <c r="J677" s="69" t="str">
        <f>IF(AND(A677="",B677=""),"",IF(A677="","Produit manquant",IF(COUNTIF(prod_ref,A677)=0,"Produit inconnu",IF(B677="","Matière manquante",IF(ISNA(MATCH(B677,mat_ref,0)),"Matière inconnue",IF(INDEX(mat_check,MATCH(B677,mat_ref,0))&lt;&gt;"OK","Matière à corriger",IF(OR(NOT(ISNUMBER(E677)),N(E677)&lt;=0),"Quantité invalide",IF(AND(F677&lt;&gt;"",OR(NOT(ISNUMBER(F677)),N(F677)&lt;0,N(F677)&gt;=1)),"Perte entre 0 et 99 %",IF(COUNTIFS(bom_prod,A677,bom_mat,B677)&gt;1,"Matière en double","OK")))))))))</f>
        <v/>
      </c>
      <c r="K677" s="71" t="str">
        <f>IF(AND(fiche_sel&lt;&gt;"",A677=fiche_sel),COUNTIF(A$6:A677,fiche_sel),"")</f>
        <v/>
      </c>
    </row>
    <row r="678">
      <c r="A678" s="60" t="n"/>
      <c r="B678" s="60" t="n"/>
      <c r="C678" s="71" t="str">
        <f>IF(B678="","",IFERROR(INDEX(mat_des,MATCH(B678,mat_ref,0))&amp;"","Matière inconnue"))</f>
        <v/>
      </c>
      <c r="D678" s="69" t="str">
        <f>IF(B678="","",IFERROR(INDEX(mat_unit,MATCH(B678,mat_ref,0))&amp;"",""))</f>
        <v/>
      </c>
      <c r="E678" s="72" t="n"/>
      <c r="F678" s="65" t="n"/>
      <c r="G678" s="68" t="str">
        <f>IF(J678&lt;&gt;"OK","",IF(F678="",N(INDEX(mat_loss,MATCH(B678,mat_ref,0))),F678))</f>
        <v/>
      </c>
      <c r="H678" s="66" t="str">
        <f>IF(J678&lt;&gt;"OK","",INDEX(mat_price,MATCH(B678,mat_ref,0)))</f>
        <v/>
      </c>
      <c r="I678" s="66" t="str">
        <f>IF(J678&lt;&gt;"OK","",E678*(1+G678)*H678)</f>
        <v/>
      </c>
      <c r="J678" s="69" t="str">
        <f>IF(AND(A678="",B678=""),"",IF(A678="","Produit manquant",IF(COUNTIF(prod_ref,A678)=0,"Produit inconnu",IF(B678="","Matière manquante",IF(ISNA(MATCH(B678,mat_ref,0)),"Matière inconnue",IF(INDEX(mat_check,MATCH(B678,mat_ref,0))&lt;&gt;"OK","Matière à corriger",IF(OR(NOT(ISNUMBER(E678)),N(E678)&lt;=0),"Quantité invalide",IF(AND(F678&lt;&gt;"",OR(NOT(ISNUMBER(F678)),N(F678)&lt;0,N(F678)&gt;=1)),"Perte entre 0 et 99 %",IF(COUNTIFS(bom_prod,A678,bom_mat,B678)&gt;1,"Matière en double","OK")))))))))</f>
        <v/>
      </c>
      <c r="K678" s="71" t="str">
        <f>IF(AND(fiche_sel&lt;&gt;"",A678=fiche_sel),COUNTIF(A$6:A678,fiche_sel),"")</f>
        <v/>
      </c>
    </row>
    <row r="679">
      <c r="A679" s="60" t="n"/>
      <c r="B679" s="60" t="n"/>
      <c r="C679" s="71" t="str">
        <f>IF(B679="","",IFERROR(INDEX(mat_des,MATCH(B679,mat_ref,0))&amp;"","Matière inconnue"))</f>
        <v/>
      </c>
      <c r="D679" s="69" t="str">
        <f>IF(B679="","",IFERROR(INDEX(mat_unit,MATCH(B679,mat_ref,0))&amp;"",""))</f>
        <v/>
      </c>
      <c r="E679" s="72" t="n"/>
      <c r="F679" s="65" t="n"/>
      <c r="G679" s="68" t="str">
        <f>IF(J679&lt;&gt;"OK","",IF(F679="",N(INDEX(mat_loss,MATCH(B679,mat_ref,0))),F679))</f>
        <v/>
      </c>
      <c r="H679" s="66" t="str">
        <f>IF(J679&lt;&gt;"OK","",INDEX(mat_price,MATCH(B679,mat_ref,0)))</f>
        <v/>
      </c>
      <c r="I679" s="66" t="str">
        <f>IF(J679&lt;&gt;"OK","",E679*(1+G679)*H679)</f>
        <v/>
      </c>
      <c r="J679" s="69" t="str">
        <f>IF(AND(A679="",B679=""),"",IF(A679="","Produit manquant",IF(COUNTIF(prod_ref,A679)=0,"Produit inconnu",IF(B679="","Matière manquante",IF(ISNA(MATCH(B679,mat_ref,0)),"Matière inconnue",IF(INDEX(mat_check,MATCH(B679,mat_ref,0))&lt;&gt;"OK","Matière à corriger",IF(OR(NOT(ISNUMBER(E679)),N(E679)&lt;=0),"Quantité invalide",IF(AND(F679&lt;&gt;"",OR(NOT(ISNUMBER(F679)),N(F679)&lt;0,N(F679)&gt;=1)),"Perte entre 0 et 99 %",IF(COUNTIFS(bom_prod,A679,bom_mat,B679)&gt;1,"Matière en double","OK")))))))))</f>
        <v/>
      </c>
      <c r="K679" s="71" t="str">
        <f>IF(AND(fiche_sel&lt;&gt;"",A679=fiche_sel),COUNTIF(A$6:A679,fiche_sel),"")</f>
        <v/>
      </c>
    </row>
    <row r="680">
      <c r="A680" s="60" t="n"/>
      <c r="B680" s="60" t="n"/>
      <c r="C680" s="71" t="str">
        <f>IF(B680="","",IFERROR(INDEX(mat_des,MATCH(B680,mat_ref,0))&amp;"","Matière inconnue"))</f>
        <v/>
      </c>
      <c r="D680" s="69" t="str">
        <f>IF(B680="","",IFERROR(INDEX(mat_unit,MATCH(B680,mat_ref,0))&amp;"",""))</f>
        <v/>
      </c>
      <c r="E680" s="72" t="n"/>
      <c r="F680" s="65" t="n"/>
      <c r="G680" s="68" t="str">
        <f>IF(J680&lt;&gt;"OK","",IF(F680="",N(INDEX(mat_loss,MATCH(B680,mat_ref,0))),F680))</f>
        <v/>
      </c>
      <c r="H680" s="66" t="str">
        <f>IF(J680&lt;&gt;"OK","",INDEX(mat_price,MATCH(B680,mat_ref,0)))</f>
        <v/>
      </c>
      <c r="I680" s="66" t="str">
        <f>IF(J680&lt;&gt;"OK","",E680*(1+G680)*H680)</f>
        <v/>
      </c>
      <c r="J680" s="69" t="str">
        <f>IF(AND(A680="",B680=""),"",IF(A680="","Produit manquant",IF(COUNTIF(prod_ref,A680)=0,"Produit inconnu",IF(B680="","Matière manquante",IF(ISNA(MATCH(B680,mat_ref,0)),"Matière inconnue",IF(INDEX(mat_check,MATCH(B680,mat_ref,0))&lt;&gt;"OK","Matière à corriger",IF(OR(NOT(ISNUMBER(E680)),N(E680)&lt;=0),"Quantité invalide",IF(AND(F680&lt;&gt;"",OR(NOT(ISNUMBER(F680)),N(F680)&lt;0,N(F680)&gt;=1)),"Perte entre 0 et 99 %",IF(COUNTIFS(bom_prod,A680,bom_mat,B680)&gt;1,"Matière en double","OK")))))))))</f>
        <v/>
      </c>
      <c r="K680" s="71" t="str">
        <f>IF(AND(fiche_sel&lt;&gt;"",A680=fiche_sel),COUNTIF(A$6:A680,fiche_sel),"")</f>
        <v/>
      </c>
    </row>
    <row r="681">
      <c r="A681" s="60" t="n"/>
      <c r="B681" s="60" t="n"/>
      <c r="C681" s="71" t="str">
        <f>IF(B681="","",IFERROR(INDEX(mat_des,MATCH(B681,mat_ref,0))&amp;"","Matière inconnue"))</f>
        <v/>
      </c>
      <c r="D681" s="69" t="str">
        <f>IF(B681="","",IFERROR(INDEX(mat_unit,MATCH(B681,mat_ref,0))&amp;"",""))</f>
        <v/>
      </c>
      <c r="E681" s="72" t="n"/>
      <c r="F681" s="65" t="n"/>
      <c r="G681" s="68" t="str">
        <f>IF(J681&lt;&gt;"OK","",IF(F681="",N(INDEX(mat_loss,MATCH(B681,mat_ref,0))),F681))</f>
        <v/>
      </c>
      <c r="H681" s="66" t="str">
        <f>IF(J681&lt;&gt;"OK","",INDEX(mat_price,MATCH(B681,mat_ref,0)))</f>
        <v/>
      </c>
      <c r="I681" s="66" t="str">
        <f>IF(J681&lt;&gt;"OK","",E681*(1+G681)*H681)</f>
        <v/>
      </c>
      <c r="J681" s="69" t="str">
        <f>IF(AND(A681="",B681=""),"",IF(A681="","Produit manquant",IF(COUNTIF(prod_ref,A681)=0,"Produit inconnu",IF(B681="","Matière manquante",IF(ISNA(MATCH(B681,mat_ref,0)),"Matière inconnue",IF(INDEX(mat_check,MATCH(B681,mat_ref,0))&lt;&gt;"OK","Matière à corriger",IF(OR(NOT(ISNUMBER(E681)),N(E681)&lt;=0),"Quantité invalide",IF(AND(F681&lt;&gt;"",OR(NOT(ISNUMBER(F681)),N(F681)&lt;0,N(F681)&gt;=1)),"Perte entre 0 et 99 %",IF(COUNTIFS(bom_prod,A681,bom_mat,B681)&gt;1,"Matière en double","OK")))))))))</f>
        <v/>
      </c>
      <c r="K681" s="71" t="str">
        <f>IF(AND(fiche_sel&lt;&gt;"",A681=fiche_sel),COUNTIF(A$6:A681,fiche_sel),"")</f>
        <v/>
      </c>
    </row>
    <row r="682">
      <c r="A682" s="60" t="n"/>
      <c r="B682" s="60" t="n"/>
      <c r="C682" s="71" t="str">
        <f>IF(B682="","",IFERROR(INDEX(mat_des,MATCH(B682,mat_ref,0))&amp;"","Matière inconnue"))</f>
        <v/>
      </c>
      <c r="D682" s="69" t="str">
        <f>IF(B682="","",IFERROR(INDEX(mat_unit,MATCH(B682,mat_ref,0))&amp;"",""))</f>
        <v/>
      </c>
      <c r="E682" s="72" t="n"/>
      <c r="F682" s="65" t="n"/>
      <c r="G682" s="68" t="str">
        <f>IF(J682&lt;&gt;"OK","",IF(F682="",N(INDEX(mat_loss,MATCH(B682,mat_ref,0))),F682))</f>
        <v/>
      </c>
      <c r="H682" s="66" t="str">
        <f>IF(J682&lt;&gt;"OK","",INDEX(mat_price,MATCH(B682,mat_ref,0)))</f>
        <v/>
      </c>
      <c r="I682" s="66" t="str">
        <f>IF(J682&lt;&gt;"OK","",E682*(1+G682)*H682)</f>
        <v/>
      </c>
      <c r="J682" s="69" t="str">
        <f>IF(AND(A682="",B682=""),"",IF(A682="","Produit manquant",IF(COUNTIF(prod_ref,A682)=0,"Produit inconnu",IF(B682="","Matière manquante",IF(ISNA(MATCH(B682,mat_ref,0)),"Matière inconnue",IF(INDEX(mat_check,MATCH(B682,mat_ref,0))&lt;&gt;"OK","Matière à corriger",IF(OR(NOT(ISNUMBER(E682)),N(E682)&lt;=0),"Quantité invalide",IF(AND(F682&lt;&gt;"",OR(NOT(ISNUMBER(F682)),N(F682)&lt;0,N(F682)&gt;=1)),"Perte entre 0 et 99 %",IF(COUNTIFS(bom_prod,A682,bom_mat,B682)&gt;1,"Matière en double","OK")))))))))</f>
        <v/>
      </c>
      <c r="K682" s="71" t="str">
        <f>IF(AND(fiche_sel&lt;&gt;"",A682=fiche_sel),COUNTIF(A$6:A682,fiche_sel),"")</f>
        <v/>
      </c>
    </row>
    <row r="683">
      <c r="A683" s="60" t="n"/>
      <c r="B683" s="60" t="n"/>
      <c r="C683" s="71" t="str">
        <f>IF(B683="","",IFERROR(INDEX(mat_des,MATCH(B683,mat_ref,0))&amp;"","Matière inconnue"))</f>
        <v/>
      </c>
      <c r="D683" s="69" t="str">
        <f>IF(B683="","",IFERROR(INDEX(mat_unit,MATCH(B683,mat_ref,0))&amp;"",""))</f>
        <v/>
      </c>
      <c r="E683" s="72" t="n"/>
      <c r="F683" s="65" t="n"/>
      <c r="G683" s="68" t="str">
        <f>IF(J683&lt;&gt;"OK","",IF(F683="",N(INDEX(mat_loss,MATCH(B683,mat_ref,0))),F683))</f>
        <v/>
      </c>
      <c r="H683" s="66" t="str">
        <f>IF(J683&lt;&gt;"OK","",INDEX(mat_price,MATCH(B683,mat_ref,0)))</f>
        <v/>
      </c>
      <c r="I683" s="66" t="str">
        <f>IF(J683&lt;&gt;"OK","",E683*(1+G683)*H683)</f>
        <v/>
      </c>
      <c r="J683" s="69" t="str">
        <f>IF(AND(A683="",B683=""),"",IF(A683="","Produit manquant",IF(COUNTIF(prod_ref,A683)=0,"Produit inconnu",IF(B683="","Matière manquante",IF(ISNA(MATCH(B683,mat_ref,0)),"Matière inconnue",IF(INDEX(mat_check,MATCH(B683,mat_ref,0))&lt;&gt;"OK","Matière à corriger",IF(OR(NOT(ISNUMBER(E683)),N(E683)&lt;=0),"Quantité invalide",IF(AND(F683&lt;&gt;"",OR(NOT(ISNUMBER(F683)),N(F683)&lt;0,N(F683)&gt;=1)),"Perte entre 0 et 99 %",IF(COUNTIFS(bom_prod,A683,bom_mat,B683)&gt;1,"Matière en double","OK")))))))))</f>
        <v/>
      </c>
      <c r="K683" s="71" t="str">
        <f>IF(AND(fiche_sel&lt;&gt;"",A683=fiche_sel),COUNTIF(A$6:A683,fiche_sel),"")</f>
        <v/>
      </c>
    </row>
    <row r="684">
      <c r="A684" s="60" t="n"/>
      <c r="B684" s="60" t="n"/>
      <c r="C684" s="71" t="str">
        <f>IF(B684="","",IFERROR(INDEX(mat_des,MATCH(B684,mat_ref,0))&amp;"","Matière inconnue"))</f>
        <v/>
      </c>
      <c r="D684" s="69" t="str">
        <f>IF(B684="","",IFERROR(INDEX(mat_unit,MATCH(B684,mat_ref,0))&amp;"",""))</f>
        <v/>
      </c>
      <c r="E684" s="72" t="n"/>
      <c r="F684" s="65" t="n"/>
      <c r="G684" s="68" t="str">
        <f>IF(J684&lt;&gt;"OK","",IF(F684="",N(INDEX(mat_loss,MATCH(B684,mat_ref,0))),F684))</f>
        <v/>
      </c>
      <c r="H684" s="66" t="str">
        <f>IF(J684&lt;&gt;"OK","",INDEX(mat_price,MATCH(B684,mat_ref,0)))</f>
        <v/>
      </c>
      <c r="I684" s="66" t="str">
        <f>IF(J684&lt;&gt;"OK","",E684*(1+G684)*H684)</f>
        <v/>
      </c>
      <c r="J684" s="69" t="str">
        <f>IF(AND(A684="",B684=""),"",IF(A684="","Produit manquant",IF(COUNTIF(prod_ref,A684)=0,"Produit inconnu",IF(B684="","Matière manquante",IF(ISNA(MATCH(B684,mat_ref,0)),"Matière inconnue",IF(INDEX(mat_check,MATCH(B684,mat_ref,0))&lt;&gt;"OK","Matière à corriger",IF(OR(NOT(ISNUMBER(E684)),N(E684)&lt;=0),"Quantité invalide",IF(AND(F684&lt;&gt;"",OR(NOT(ISNUMBER(F684)),N(F684)&lt;0,N(F684)&gt;=1)),"Perte entre 0 et 99 %",IF(COUNTIFS(bom_prod,A684,bom_mat,B684)&gt;1,"Matière en double","OK")))))))))</f>
        <v/>
      </c>
      <c r="K684" s="71" t="str">
        <f>IF(AND(fiche_sel&lt;&gt;"",A684=fiche_sel),COUNTIF(A$6:A684,fiche_sel),"")</f>
        <v/>
      </c>
    </row>
    <row r="685">
      <c r="A685" s="60" t="n"/>
      <c r="B685" s="60" t="n"/>
      <c r="C685" s="71" t="str">
        <f>IF(B685="","",IFERROR(INDEX(mat_des,MATCH(B685,mat_ref,0))&amp;"","Matière inconnue"))</f>
        <v/>
      </c>
      <c r="D685" s="69" t="str">
        <f>IF(B685="","",IFERROR(INDEX(mat_unit,MATCH(B685,mat_ref,0))&amp;"",""))</f>
        <v/>
      </c>
      <c r="E685" s="72" t="n"/>
      <c r="F685" s="65" t="n"/>
      <c r="G685" s="68" t="str">
        <f>IF(J685&lt;&gt;"OK","",IF(F685="",N(INDEX(mat_loss,MATCH(B685,mat_ref,0))),F685))</f>
        <v/>
      </c>
      <c r="H685" s="66" t="str">
        <f>IF(J685&lt;&gt;"OK","",INDEX(mat_price,MATCH(B685,mat_ref,0)))</f>
        <v/>
      </c>
      <c r="I685" s="66" t="str">
        <f>IF(J685&lt;&gt;"OK","",E685*(1+G685)*H685)</f>
        <v/>
      </c>
      <c r="J685" s="69" t="str">
        <f>IF(AND(A685="",B685=""),"",IF(A685="","Produit manquant",IF(COUNTIF(prod_ref,A685)=0,"Produit inconnu",IF(B685="","Matière manquante",IF(ISNA(MATCH(B685,mat_ref,0)),"Matière inconnue",IF(INDEX(mat_check,MATCH(B685,mat_ref,0))&lt;&gt;"OK","Matière à corriger",IF(OR(NOT(ISNUMBER(E685)),N(E685)&lt;=0),"Quantité invalide",IF(AND(F685&lt;&gt;"",OR(NOT(ISNUMBER(F685)),N(F685)&lt;0,N(F685)&gt;=1)),"Perte entre 0 et 99 %",IF(COUNTIFS(bom_prod,A685,bom_mat,B685)&gt;1,"Matière en double","OK")))))))))</f>
        <v/>
      </c>
      <c r="K685" s="71" t="str">
        <f>IF(AND(fiche_sel&lt;&gt;"",A685=fiche_sel),COUNTIF(A$6:A685,fiche_sel),"")</f>
        <v/>
      </c>
    </row>
    <row r="686">
      <c r="A686" s="60" t="n"/>
      <c r="B686" s="60" t="n"/>
      <c r="C686" s="71" t="str">
        <f>IF(B686="","",IFERROR(INDEX(mat_des,MATCH(B686,mat_ref,0))&amp;"","Matière inconnue"))</f>
        <v/>
      </c>
      <c r="D686" s="69" t="str">
        <f>IF(B686="","",IFERROR(INDEX(mat_unit,MATCH(B686,mat_ref,0))&amp;"",""))</f>
        <v/>
      </c>
      <c r="E686" s="72" t="n"/>
      <c r="F686" s="65" t="n"/>
      <c r="G686" s="68" t="str">
        <f>IF(J686&lt;&gt;"OK","",IF(F686="",N(INDEX(mat_loss,MATCH(B686,mat_ref,0))),F686))</f>
        <v/>
      </c>
      <c r="H686" s="66" t="str">
        <f>IF(J686&lt;&gt;"OK","",INDEX(mat_price,MATCH(B686,mat_ref,0)))</f>
        <v/>
      </c>
      <c r="I686" s="66" t="str">
        <f>IF(J686&lt;&gt;"OK","",E686*(1+G686)*H686)</f>
        <v/>
      </c>
      <c r="J686" s="69" t="str">
        <f>IF(AND(A686="",B686=""),"",IF(A686="","Produit manquant",IF(COUNTIF(prod_ref,A686)=0,"Produit inconnu",IF(B686="","Matière manquante",IF(ISNA(MATCH(B686,mat_ref,0)),"Matière inconnue",IF(INDEX(mat_check,MATCH(B686,mat_ref,0))&lt;&gt;"OK","Matière à corriger",IF(OR(NOT(ISNUMBER(E686)),N(E686)&lt;=0),"Quantité invalide",IF(AND(F686&lt;&gt;"",OR(NOT(ISNUMBER(F686)),N(F686)&lt;0,N(F686)&gt;=1)),"Perte entre 0 et 99 %",IF(COUNTIFS(bom_prod,A686,bom_mat,B686)&gt;1,"Matière en double","OK")))))))))</f>
        <v/>
      </c>
      <c r="K686" s="71" t="str">
        <f>IF(AND(fiche_sel&lt;&gt;"",A686=fiche_sel),COUNTIF(A$6:A686,fiche_sel),"")</f>
        <v/>
      </c>
    </row>
    <row r="687">
      <c r="A687" s="60" t="n"/>
      <c r="B687" s="60" t="n"/>
      <c r="C687" s="71" t="str">
        <f>IF(B687="","",IFERROR(INDEX(mat_des,MATCH(B687,mat_ref,0))&amp;"","Matière inconnue"))</f>
        <v/>
      </c>
      <c r="D687" s="69" t="str">
        <f>IF(B687="","",IFERROR(INDEX(mat_unit,MATCH(B687,mat_ref,0))&amp;"",""))</f>
        <v/>
      </c>
      <c r="E687" s="72" t="n"/>
      <c r="F687" s="65" t="n"/>
      <c r="G687" s="68" t="str">
        <f>IF(J687&lt;&gt;"OK","",IF(F687="",N(INDEX(mat_loss,MATCH(B687,mat_ref,0))),F687))</f>
        <v/>
      </c>
      <c r="H687" s="66" t="str">
        <f>IF(J687&lt;&gt;"OK","",INDEX(mat_price,MATCH(B687,mat_ref,0)))</f>
        <v/>
      </c>
      <c r="I687" s="66" t="str">
        <f>IF(J687&lt;&gt;"OK","",E687*(1+G687)*H687)</f>
        <v/>
      </c>
      <c r="J687" s="69" t="str">
        <f>IF(AND(A687="",B687=""),"",IF(A687="","Produit manquant",IF(COUNTIF(prod_ref,A687)=0,"Produit inconnu",IF(B687="","Matière manquante",IF(ISNA(MATCH(B687,mat_ref,0)),"Matière inconnue",IF(INDEX(mat_check,MATCH(B687,mat_ref,0))&lt;&gt;"OK","Matière à corriger",IF(OR(NOT(ISNUMBER(E687)),N(E687)&lt;=0),"Quantité invalide",IF(AND(F687&lt;&gt;"",OR(NOT(ISNUMBER(F687)),N(F687)&lt;0,N(F687)&gt;=1)),"Perte entre 0 et 99 %",IF(COUNTIFS(bom_prod,A687,bom_mat,B687)&gt;1,"Matière en double","OK")))))))))</f>
        <v/>
      </c>
      <c r="K687" s="71" t="str">
        <f>IF(AND(fiche_sel&lt;&gt;"",A687=fiche_sel),COUNTIF(A$6:A687,fiche_sel),"")</f>
        <v/>
      </c>
    </row>
    <row r="688">
      <c r="A688" s="60" t="n"/>
      <c r="B688" s="60" t="n"/>
      <c r="C688" s="71" t="str">
        <f>IF(B688="","",IFERROR(INDEX(mat_des,MATCH(B688,mat_ref,0))&amp;"","Matière inconnue"))</f>
        <v/>
      </c>
      <c r="D688" s="69" t="str">
        <f>IF(B688="","",IFERROR(INDEX(mat_unit,MATCH(B688,mat_ref,0))&amp;"",""))</f>
        <v/>
      </c>
      <c r="E688" s="72" t="n"/>
      <c r="F688" s="65" t="n"/>
      <c r="G688" s="68" t="str">
        <f>IF(J688&lt;&gt;"OK","",IF(F688="",N(INDEX(mat_loss,MATCH(B688,mat_ref,0))),F688))</f>
        <v/>
      </c>
      <c r="H688" s="66" t="str">
        <f>IF(J688&lt;&gt;"OK","",INDEX(mat_price,MATCH(B688,mat_ref,0)))</f>
        <v/>
      </c>
      <c r="I688" s="66" t="str">
        <f>IF(J688&lt;&gt;"OK","",E688*(1+G688)*H688)</f>
        <v/>
      </c>
      <c r="J688" s="69" t="str">
        <f>IF(AND(A688="",B688=""),"",IF(A688="","Produit manquant",IF(COUNTIF(prod_ref,A688)=0,"Produit inconnu",IF(B688="","Matière manquante",IF(ISNA(MATCH(B688,mat_ref,0)),"Matière inconnue",IF(INDEX(mat_check,MATCH(B688,mat_ref,0))&lt;&gt;"OK","Matière à corriger",IF(OR(NOT(ISNUMBER(E688)),N(E688)&lt;=0),"Quantité invalide",IF(AND(F688&lt;&gt;"",OR(NOT(ISNUMBER(F688)),N(F688)&lt;0,N(F688)&gt;=1)),"Perte entre 0 et 99 %",IF(COUNTIFS(bom_prod,A688,bom_mat,B688)&gt;1,"Matière en double","OK")))))))))</f>
        <v/>
      </c>
      <c r="K688" s="71" t="str">
        <f>IF(AND(fiche_sel&lt;&gt;"",A688=fiche_sel),COUNTIF(A$6:A688,fiche_sel),"")</f>
        <v/>
      </c>
    </row>
    <row r="689">
      <c r="A689" s="60" t="n"/>
      <c r="B689" s="60" t="n"/>
      <c r="C689" s="71" t="str">
        <f>IF(B689="","",IFERROR(INDEX(mat_des,MATCH(B689,mat_ref,0))&amp;"","Matière inconnue"))</f>
        <v/>
      </c>
      <c r="D689" s="69" t="str">
        <f>IF(B689="","",IFERROR(INDEX(mat_unit,MATCH(B689,mat_ref,0))&amp;"",""))</f>
        <v/>
      </c>
      <c r="E689" s="72" t="n"/>
      <c r="F689" s="65" t="n"/>
      <c r="G689" s="68" t="str">
        <f>IF(J689&lt;&gt;"OK","",IF(F689="",N(INDEX(mat_loss,MATCH(B689,mat_ref,0))),F689))</f>
        <v/>
      </c>
      <c r="H689" s="66" t="str">
        <f>IF(J689&lt;&gt;"OK","",INDEX(mat_price,MATCH(B689,mat_ref,0)))</f>
        <v/>
      </c>
      <c r="I689" s="66" t="str">
        <f>IF(J689&lt;&gt;"OK","",E689*(1+G689)*H689)</f>
        <v/>
      </c>
      <c r="J689" s="69" t="str">
        <f>IF(AND(A689="",B689=""),"",IF(A689="","Produit manquant",IF(COUNTIF(prod_ref,A689)=0,"Produit inconnu",IF(B689="","Matière manquante",IF(ISNA(MATCH(B689,mat_ref,0)),"Matière inconnue",IF(INDEX(mat_check,MATCH(B689,mat_ref,0))&lt;&gt;"OK","Matière à corriger",IF(OR(NOT(ISNUMBER(E689)),N(E689)&lt;=0),"Quantité invalide",IF(AND(F689&lt;&gt;"",OR(NOT(ISNUMBER(F689)),N(F689)&lt;0,N(F689)&gt;=1)),"Perte entre 0 et 99 %",IF(COUNTIFS(bom_prod,A689,bom_mat,B689)&gt;1,"Matière en double","OK")))))))))</f>
        <v/>
      </c>
      <c r="K689" s="71" t="str">
        <f>IF(AND(fiche_sel&lt;&gt;"",A689=fiche_sel),COUNTIF(A$6:A689,fiche_sel),"")</f>
        <v/>
      </c>
    </row>
    <row r="690">
      <c r="A690" s="60" t="n"/>
      <c r="B690" s="60" t="n"/>
      <c r="C690" s="71" t="str">
        <f>IF(B690="","",IFERROR(INDEX(mat_des,MATCH(B690,mat_ref,0))&amp;"","Matière inconnue"))</f>
        <v/>
      </c>
      <c r="D690" s="69" t="str">
        <f>IF(B690="","",IFERROR(INDEX(mat_unit,MATCH(B690,mat_ref,0))&amp;"",""))</f>
        <v/>
      </c>
      <c r="E690" s="72" t="n"/>
      <c r="F690" s="65" t="n"/>
      <c r="G690" s="68" t="str">
        <f>IF(J690&lt;&gt;"OK","",IF(F690="",N(INDEX(mat_loss,MATCH(B690,mat_ref,0))),F690))</f>
        <v/>
      </c>
      <c r="H690" s="66" t="str">
        <f>IF(J690&lt;&gt;"OK","",INDEX(mat_price,MATCH(B690,mat_ref,0)))</f>
        <v/>
      </c>
      <c r="I690" s="66" t="str">
        <f>IF(J690&lt;&gt;"OK","",E690*(1+G690)*H690)</f>
        <v/>
      </c>
      <c r="J690" s="69" t="str">
        <f>IF(AND(A690="",B690=""),"",IF(A690="","Produit manquant",IF(COUNTIF(prod_ref,A690)=0,"Produit inconnu",IF(B690="","Matière manquante",IF(ISNA(MATCH(B690,mat_ref,0)),"Matière inconnue",IF(INDEX(mat_check,MATCH(B690,mat_ref,0))&lt;&gt;"OK","Matière à corriger",IF(OR(NOT(ISNUMBER(E690)),N(E690)&lt;=0),"Quantité invalide",IF(AND(F690&lt;&gt;"",OR(NOT(ISNUMBER(F690)),N(F690)&lt;0,N(F690)&gt;=1)),"Perte entre 0 et 99 %",IF(COUNTIFS(bom_prod,A690,bom_mat,B690)&gt;1,"Matière en double","OK")))))))))</f>
        <v/>
      </c>
      <c r="K690" s="71" t="str">
        <f>IF(AND(fiche_sel&lt;&gt;"",A690=fiche_sel),COUNTIF(A$6:A690,fiche_sel),"")</f>
        <v/>
      </c>
    </row>
    <row r="691">
      <c r="A691" s="60" t="n"/>
      <c r="B691" s="60" t="n"/>
      <c r="C691" s="71" t="str">
        <f>IF(B691="","",IFERROR(INDEX(mat_des,MATCH(B691,mat_ref,0))&amp;"","Matière inconnue"))</f>
        <v/>
      </c>
      <c r="D691" s="69" t="str">
        <f>IF(B691="","",IFERROR(INDEX(mat_unit,MATCH(B691,mat_ref,0))&amp;"",""))</f>
        <v/>
      </c>
      <c r="E691" s="72" t="n"/>
      <c r="F691" s="65" t="n"/>
      <c r="G691" s="68" t="str">
        <f>IF(J691&lt;&gt;"OK","",IF(F691="",N(INDEX(mat_loss,MATCH(B691,mat_ref,0))),F691))</f>
        <v/>
      </c>
      <c r="H691" s="66" t="str">
        <f>IF(J691&lt;&gt;"OK","",INDEX(mat_price,MATCH(B691,mat_ref,0)))</f>
        <v/>
      </c>
      <c r="I691" s="66" t="str">
        <f>IF(J691&lt;&gt;"OK","",E691*(1+G691)*H691)</f>
        <v/>
      </c>
      <c r="J691" s="69" t="str">
        <f>IF(AND(A691="",B691=""),"",IF(A691="","Produit manquant",IF(COUNTIF(prod_ref,A691)=0,"Produit inconnu",IF(B691="","Matière manquante",IF(ISNA(MATCH(B691,mat_ref,0)),"Matière inconnue",IF(INDEX(mat_check,MATCH(B691,mat_ref,0))&lt;&gt;"OK","Matière à corriger",IF(OR(NOT(ISNUMBER(E691)),N(E691)&lt;=0),"Quantité invalide",IF(AND(F691&lt;&gt;"",OR(NOT(ISNUMBER(F691)),N(F691)&lt;0,N(F691)&gt;=1)),"Perte entre 0 et 99 %",IF(COUNTIFS(bom_prod,A691,bom_mat,B691)&gt;1,"Matière en double","OK")))))))))</f>
        <v/>
      </c>
      <c r="K691" s="71" t="str">
        <f>IF(AND(fiche_sel&lt;&gt;"",A691=fiche_sel),COUNTIF(A$6:A691,fiche_sel),"")</f>
        <v/>
      </c>
    </row>
    <row r="692">
      <c r="A692" s="60" t="n"/>
      <c r="B692" s="60" t="n"/>
      <c r="C692" s="71" t="str">
        <f>IF(B692="","",IFERROR(INDEX(mat_des,MATCH(B692,mat_ref,0))&amp;"","Matière inconnue"))</f>
        <v/>
      </c>
      <c r="D692" s="69" t="str">
        <f>IF(B692="","",IFERROR(INDEX(mat_unit,MATCH(B692,mat_ref,0))&amp;"",""))</f>
        <v/>
      </c>
      <c r="E692" s="72" t="n"/>
      <c r="F692" s="65" t="n"/>
      <c r="G692" s="68" t="str">
        <f>IF(J692&lt;&gt;"OK","",IF(F692="",N(INDEX(mat_loss,MATCH(B692,mat_ref,0))),F692))</f>
        <v/>
      </c>
      <c r="H692" s="66" t="str">
        <f>IF(J692&lt;&gt;"OK","",INDEX(mat_price,MATCH(B692,mat_ref,0)))</f>
        <v/>
      </c>
      <c r="I692" s="66" t="str">
        <f>IF(J692&lt;&gt;"OK","",E692*(1+G692)*H692)</f>
        <v/>
      </c>
      <c r="J692" s="69" t="str">
        <f>IF(AND(A692="",B692=""),"",IF(A692="","Produit manquant",IF(COUNTIF(prod_ref,A692)=0,"Produit inconnu",IF(B692="","Matière manquante",IF(ISNA(MATCH(B692,mat_ref,0)),"Matière inconnue",IF(INDEX(mat_check,MATCH(B692,mat_ref,0))&lt;&gt;"OK","Matière à corriger",IF(OR(NOT(ISNUMBER(E692)),N(E692)&lt;=0),"Quantité invalide",IF(AND(F692&lt;&gt;"",OR(NOT(ISNUMBER(F692)),N(F692)&lt;0,N(F692)&gt;=1)),"Perte entre 0 et 99 %",IF(COUNTIFS(bom_prod,A692,bom_mat,B692)&gt;1,"Matière en double","OK")))))))))</f>
        <v/>
      </c>
      <c r="K692" s="71" t="str">
        <f>IF(AND(fiche_sel&lt;&gt;"",A692=fiche_sel),COUNTIF(A$6:A692,fiche_sel),"")</f>
        <v/>
      </c>
    </row>
    <row r="693">
      <c r="A693" s="60" t="n"/>
      <c r="B693" s="60" t="n"/>
      <c r="C693" s="71" t="str">
        <f>IF(B693="","",IFERROR(INDEX(mat_des,MATCH(B693,mat_ref,0))&amp;"","Matière inconnue"))</f>
        <v/>
      </c>
      <c r="D693" s="69" t="str">
        <f>IF(B693="","",IFERROR(INDEX(mat_unit,MATCH(B693,mat_ref,0))&amp;"",""))</f>
        <v/>
      </c>
      <c r="E693" s="72" t="n"/>
      <c r="F693" s="65" t="n"/>
      <c r="G693" s="68" t="str">
        <f>IF(J693&lt;&gt;"OK","",IF(F693="",N(INDEX(mat_loss,MATCH(B693,mat_ref,0))),F693))</f>
        <v/>
      </c>
      <c r="H693" s="66" t="str">
        <f>IF(J693&lt;&gt;"OK","",INDEX(mat_price,MATCH(B693,mat_ref,0)))</f>
        <v/>
      </c>
      <c r="I693" s="66" t="str">
        <f>IF(J693&lt;&gt;"OK","",E693*(1+G693)*H693)</f>
        <v/>
      </c>
      <c r="J693" s="69" t="str">
        <f>IF(AND(A693="",B693=""),"",IF(A693="","Produit manquant",IF(COUNTIF(prod_ref,A693)=0,"Produit inconnu",IF(B693="","Matière manquante",IF(ISNA(MATCH(B693,mat_ref,0)),"Matière inconnue",IF(INDEX(mat_check,MATCH(B693,mat_ref,0))&lt;&gt;"OK","Matière à corriger",IF(OR(NOT(ISNUMBER(E693)),N(E693)&lt;=0),"Quantité invalide",IF(AND(F693&lt;&gt;"",OR(NOT(ISNUMBER(F693)),N(F693)&lt;0,N(F693)&gt;=1)),"Perte entre 0 et 99 %",IF(COUNTIFS(bom_prod,A693,bom_mat,B693)&gt;1,"Matière en double","OK")))))))))</f>
        <v/>
      </c>
      <c r="K693" s="71" t="str">
        <f>IF(AND(fiche_sel&lt;&gt;"",A693=fiche_sel),COUNTIF(A$6:A693,fiche_sel),"")</f>
        <v/>
      </c>
    </row>
    <row r="694">
      <c r="A694" s="60" t="n"/>
      <c r="B694" s="60" t="n"/>
      <c r="C694" s="71" t="str">
        <f>IF(B694="","",IFERROR(INDEX(mat_des,MATCH(B694,mat_ref,0))&amp;"","Matière inconnue"))</f>
        <v/>
      </c>
      <c r="D694" s="69" t="str">
        <f>IF(B694="","",IFERROR(INDEX(mat_unit,MATCH(B694,mat_ref,0))&amp;"",""))</f>
        <v/>
      </c>
      <c r="E694" s="72" t="n"/>
      <c r="F694" s="65" t="n"/>
      <c r="G694" s="68" t="str">
        <f>IF(J694&lt;&gt;"OK","",IF(F694="",N(INDEX(mat_loss,MATCH(B694,mat_ref,0))),F694))</f>
        <v/>
      </c>
      <c r="H694" s="66" t="str">
        <f>IF(J694&lt;&gt;"OK","",INDEX(mat_price,MATCH(B694,mat_ref,0)))</f>
        <v/>
      </c>
      <c r="I694" s="66" t="str">
        <f>IF(J694&lt;&gt;"OK","",E694*(1+G694)*H694)</f>
        <v/>
      </c>
      <c r="J694" s="69" t="str">
        <f>IF(AND(A694="",B694=""),"",IF(A694="","Produit manquant",IF(COUNTIF(prod_ref,A694)=0,"Produit inconnu",IF(B694="","Matière manquante",IF(ISNA(MATCH(B694,mat_ref,0)),"Matière inconnue",IF(INDEX(mat_check,MATCH(B694,mat_ref,0))&lt;&gt;"OK","Matière à corriger",IF(OR(NOT(ISNUMBER(E694)),N(E694)&lt;=0),"Quantité invalide",IF(AND(F694&lt;&gt;"",OR(NOT(ISNUMBER(F694)),N(F694)&lt;0,N(F694)&gt;=1)),"Perte entre 0 et 99 %",IF(COUNTIFS(bom_prod,A694,bom_mat,B694)&gt;1,"Matière en double","OK")))))))))</f>
        <v/>
      </c>
      <c r="K694" s="71" t="str">
        <f>IF(AND(fiche_sel&lt;&gt;"",A694=fiche_sel),COUNTIF(A$6:A694,fiche_sel),"")</f>
        <v/>
      </c>
    </row>
    <row r="695">
      <c r="A695" s="60" t="n"/>
      <c r="B695" s="60" t="n"/>
      <c r="C695" s="71" t="str">
        <f>IF(B695="","",IFERROR(INDEX(mat_des,MATCH(B695,mat_ref,0))&amp;"","Matière inconnue"))</f>
        <v/>
      </c>
      <c r="D695" s="69" t="str">
        <f>IF(B695="","",IFERROR(INDEX(mat_unit,MATCH(B695,mat_ref,0))&amp;"",""))</f>
        <v/>
      </c>
      <c r="E695" s="72" t="n"/>
      <c r="F695" s="65" t="n"/>
      <c r="G695" s="68" t="str">
        <f>IF(J695&lt;&gt;"OK","",IF(F695="",N(INDEX(mat_loss,MATCH(B695,mat_ref,0))),F695))</f>
        <v/>
      </c>
      <c r="H695" s="66" t="str">
        <f>IF(J695&lt;&gt;"OK","",INDEX(mat_price,MATCH(B695,mat_ref,0)))</f>
        <v/>
      </c>
      <c r="I695" s="66" t="str">
        <f>IF(J695&lt;&gt;"OK","",E695*(1+G695)*H695)</f>
        <v/>
      </c>
      <c r="J695" s="69" t="str">
        <f>IF(AND(A695="",B695=""),"",IF(A695="","Produit manquant",IF(COUNTIF(prod_ref,A695)=0,"Produit inconnu",IF(B695="","Matière manquante",IF(ISNA(MATCH(B695,mat_ref,0)),"Matière inconnue",IF(INDEX(mat_check,MATCH(B695,mat_ref,0))&lt;&gt;"OK","Matière à corriger",IF(OR(NOT(ISNUMBER(E695)),N(E695)&lt;=0),"Quantité invalide",IF(AND(F695&lt;&gt;"",OR(NOT(ISNUMBER(F695)),N(F695)&lt;0,N(F695)&gt;=1)),"Perte entre 0 et 99 %",IF(COUNTIFS(bom_prod,A695,bom_mat,B695)&gt;1,"Matière en double","OK")))))))))</f>
        <v/>
      </c>
      <c r="K695" s="71" t="str">
        <f>IF(AND(fiche_sel&lt;&gt;"",A695=fiche_sel),COUNTIF(A$6:A695,fiche_sel),"")</f>
        <v/>
      </c>
    </row>
    <row r="696">
      <c r="A696" s="60" t="n"/>
      <c r="B696" s="60" t="n"/>
      <c r="C696" s="71" t="str">
        <f>IF(B696="","",IFERROR(INDEX(mat_des,MATCH(B696,mat_ref,0))&amp;"","Matière inconnue"))</f>
        <v/>
      </c>
      <c r="D696" s="69" t="str">
        <f>IF(B696="","",IFERROR(INDEX(mat_unit,MATCH(B696,mat_ref,0))&amp;"",""))</f>
        <v/>
      </c>
      <c r="E696" s="72" t="n"/>
      <c r="F696" s="65" t="n"/>
      <c r="G696" s="68" t="str">
        <f>IF(J696&lt;&gt;"OK","",IF(F696="",N(INDEX(mat_loss,MATCH(B696,mat_ref,0))),F696))</f>
        <v/>
      </c>
      <c r="H696" s="66" t="str">
        <f>IF(J696&lt;&gt;"OK","",INDEX(mat_price,MATCH(B696,mat_ref,0)))</f>
        <v/>
      </c>
      <c r="I696" s="66" t="str">
        <f>IF(J696&lt;&gt;"OK","",E696*(1+G696)*H696)</f>
        <v/>
      </c>
      <c r="J696" s="69" t="str">
        <f>IF(AND(A696="",B696=""),"",IF(A696="","Produit manquant",IF(COUNTIF(prod_ref,A696)=0,"Produit inconnu",IF(B696="","Matière manquante",IF(ISNA(MATCH(B696,mat_ref,0)),"Matière inconnue",IF(INDEX(mat_check,MATCH(B696,mat_ref,0))&lt;&gt;"OK","Matière à corriger",IF(OR(NOT(ISNUMBER(E696)),N(E696)&lt;=0),"Quantité invalide",IF(AND(F696&lt;&gt;"",OR(NOT(ISNUMBER(F696)),N(F696)&lt;0,N(F696)&gt;=1)),"Perte entre 0 et 99 %",IF(COUNTIFS(bom_prod,A696,bom_mat,B696)&gt;1,"Matière en double","OK")))))))))</f>
        <v/>
      </c>
      <c r="K696" s="71" t="str">
        <f>IF(AND(fiche_sel&lt;&gt;"",A696=fiche_sel),COUNTIF(A$6:A696,fiche_sel),"")</f>
        <v/>
      </c>
    </row>
    <row r="697">
      <c r="A697" s="60" t="n"/>
      <c r="B697" s="60" t="n"/>
      <c r="C697" s="71" t="str">
        <f>IF(B697="","",IFERROR(INDEX(mat_des,MATCH(B697,mat_ref,0))&amp;"","Matière inconnue"))</f>
        <v/>
      </c>
      <c r="D697" s="69" t="str">
        <f>IF(B697="","",IFERROR(INDEX(mat_unit,MATCH(B697,mat_ref,0))&amp;"",""))</f>
        <v/>
      </c>
      <c r="E697" s="72" t="n"/>
      <c r="F697" s="65" t="n"/>
      <c r="G697" s="68" t="str">
        <f>IF(J697&lt;&gt;"OK","",IF(F697="",N(INDEX(mat_loss,MATCH(B697,mat_ref,0))),F697))</f>
        <v/>
      </c>
      <c r="H697" s="66" t="str">
        <f>IF(J697&lt;&gt;"OK","",INDEX(mat_price,MATCH(B697,mat_ref,0)))</f>
        <v/>
      </c>
      <c r="I697" s="66" t="str">
        <f>IF(J697&lt;&gt;"OK","",E697*(1+G697)*H697)</f>
        <v/>
      </c>
      <c r="J697" s="69" t="str">
        <f>IF(AND(A697="",B697=""),"",IF(A697="","Produit manquant",IF(COUNTIF(prod_ref,A697)=0,"Produit inconnu",IF(B697="","Matière manquante",IF(ISNA(MATCH(B697,mat_ref,0)),"Matière inconnue",IF(INDEX(mat_check,MATCH(B697,mat_ref,0))&lt;&gt;"OK","Matière à corriger",IF(OR(NOT(ISNUMBER(E697)),N(E697)&lt;=0),"Quantité invalide",IF(AND(F697&lt;&gt;"",OR(NOT(ISNUMBER(F697)),N(F697)&lt;0,N(F697)&gt;=1)),"Perte entre 0 et 99 %",IF(COUNTIFS(bom_prod,A697,bom_mat,B697)&gt;1,"Matière en double","OK")))))))))</f>
        <v/>
      </c>
      <c r="K697" s="71" t="str">
        <f>IF(AND(fiche_sel&lt;&gt;"",A697=fiche_sel),COUNTIF(A$6:A697,fiche_sel),"")</f>
        <v/>
      </c>
    </row>
    <row r="698">
      <c r="A698" s="60" t="n"/>
      <c r="B698" s="60" t="n"/>
      <c r="C698" s="71" t="str">
        <f>IF(B698="","",IFERROR(INDEX(mat_des,MATCH(B698,mat_ref,0))&amp;"","Matière inconnue"))</f>
        <v/>
      </c>
      <c r="D698" s="69" t="str">
        <f>IF(B698="","",IFERROR(INDEX(mat_unit,MATCH(B698,mat_ref,0))&amp;"",""))</f>
        <v/>
      </c>
      <c r="E698" s="72" t="n"/>
      <c r="F698" s="65" t="n"/>
      <c r="G698" s="68" t="str">
        <f>IF(J698&lt;&gt;"OK","",IF(F698="",N(INDEX(mat_loss,MATCH(B698,mat_ref,0))),F698))</f>
        <v/>
      </c>
      <c r="H698" s="66" t="str">
        <f>IF(J698&lt;&gt;"OK","",INDEX(mat_price,MATCH(B698,mat_ref,0)))</f>
        <v/>
      </c>
      <c r="I698" s="66" t="str">
        <f>IF(J698&lt;&gt;"OK","",E698*(1+G698)*H698)</f>
        <v/>
      </c>
      <c r="J698" s="69" t="str">
        <f>IF(AND(A698="",B698=""),"",IF(A698="","Produit manquant",IF(COUNTIF(prod_ref,A698)=0,"Produit inconnu",IF(B698="","Matière manquante",IF(ISNA(MATCH(B698,mat_ref,0)),"Matière inconnue",IF(INDEX(mat_check,MATCH(B698,mat_ref,0))&lt;&gt;"OK","Matière à corriger",IF(OR(NOT(ISNUMBER(E698)),N(E698)&lt;=0),"Quantité invalide",IF(AND(F698&lt;&gt;"",OR(NOT(ISNUMBER(F698)),N(F698)&lt;0,N(F698)&gt;=1)),"Perte entre 0 et 99 %",IF(COUNTIFS(bom_prod,A698,bom_mat,B698)&gt;1,"Matière en double","OK")))))))))</f>
        <v/>
      </c>
      <c r="K698" s="71" t="str">
        <f>IF(AND(fiche_sel&lt;&gt;"",A698=fiche_sel),COUNTIF(A$6:A698,fiche_sel),"")</f>
        <v/>
      </c>
    </row>
    <row r="699">
      <c r="A699" s="60" t="n"/>
      <c r="B699" s="60" t="n"/>
      <c r="C699" s="71" t="str">
        <f>IF(B699="","",IFERROR(INDEX(mat_des,MATCH(B699,mat_ref,0))&amp;"","Matière inconnue"))</f>
        <v/>
      </c>
      <c r="D699" s="69" t="str">
        <f>IF(B699="","",IFERROR(INDEX(mat_unit,MATCH(B699,mat_ref,0))&amp;"",""))</f>
        <v/>
      </c>
      <c r="E699" s="72" t="n"/>
      <c r="F699" s="65" t="n"/>
      <c r="G699" s="68" t="str">
        <f>IF(J699&lt;&gt;"OK","",IF(F699="",N(INDEX(mat_loss,MATCH(B699,mat_ref,0))),F699))</f>
        <v/>
      </c>
      <c r="H699" s="66" t="str">
        <f>IF(J699&lt;&gt;"OK","",INDEX(mat_price,MATCH(B699,mat_ref,0)))</f>
        <v/>
      </c>
      <c r="I699" s="66" t="str">
        <f>IF(J699&lt;&gt;"OK","",E699*(1+G699)*H699)</f>
        <v/>
      </c>
      <c r="J699" s="69" t="str">
        <f>IF(AND(A699="",B699=""),"",IF(A699="","Produit manquant",IF(COUNTIF(prod_ref,A699)=0,"Produit inconnu",IF(B699="","Matière manquante",IF(ISNA(MATCH(B699,mat_ref,0)),"Matière inconnue",IF(INDEX(mat_check,MATCH(B699,mat_ref,0))&lt;&gt;"OK","Matière à corriger",IF(OR(NOT(ISNUMBER(E699)),N(E699)&lt;=0),"Quantité invalide",IF(AND(F699&lt;&gt;"",OR(NOT(ISNUMBER(F699)),N(F699)&lt;0,N(F699)&gt;=1)),"Perte entre 0 et 99 %",IF(COUNTIFS(bom_prod,A699,bom_mat,B699)&gt;1,"Matière en double","OK")))))))))</f>
        <v/>
      </c>
      <c r="K699" s="71" t="str">
        <f>IF(AND(fiche_sel&lt;&gt;"",A699=fiche_sel),COUNTIF(A$6:A699,fiche_sel),"")</f>
        <v/>
      </c>
    </row>
    <row r="700">
      <c r="A700" s="60" t="n"/>
      <c r="B700" s="60" t="n"/>
      <c r="C700" s="71" t="str">
        <f>IF(B700="","",IFERROR(INDEX(mat_des,MATCH(B700,mat_ref,0))&amp;"","Matière inconnue"))</f>
        <v/>
      </c>
      <c r="D700" s="69" t="str">
        <f>IF(B700="","",IFERROR(INDEX(mat_unit,MATCH(B700,mat_ref,0))&amp;"",""))</f>
        <v/>
      </c>
      <c r="E700" s="72" t="n"/>
      <c r="F700" s="65" t="n"/>
      <c r="G700" s="68" t="str">
        <f>IF(J700&lt;&gt;"OK","",IF(F700="",N(INDEX(mat_loss,MATCH(B700,mat_ref,0))),F700))</f>
        <v/>
      </c>
      <c r="H700" s="66" t="str">
        <f>IF(J700&lt;&gt;"OK","",INDEX(mat_price,MATCH(B700,mat_ref,0)))</f>
        <v/>
      </c>
      <c r="I700" s="66" t="str">
        <f>IF(J700&lt;&gt;"OK","",E700*(1+G700)*H700)</f>
        <v/>
      </c>
      <c r="J700" s="69" t="str">
        <f>IF(AND(A700="",B700=""),"",IF(A700="","Produit manquant",IF(COUNTIF(prod_ref,A700)=0,"Produit inconnu",IF(B700="","Matière manquante",IF(ISNA(MATCH(B700,mat_ref,0)),"Matière inconnue",IF(INDEX(mat_check,MATCH(B700,mat_ref,0))&lt;&gt;"OK","Matière à corriger",IF(OR(NOT(ISNUMBER(E700)),N(E700)&lt;=0),"Quantité invalide",IF(AND(F700&lt;&gt;"",OR(NOT(ISNUMBER(F700)),N(F700)&lt;0,N(F700)&gt;=1)),"Perte entre 0 et 99 %",IF(COUNTIFS(bom_prod,A700,bom_mat,B700)&gt;1,"Matière en double","OK")))))))))</f>
        <v/>
      </c>
      <c r="K700" s="71" t="str">
        <f>IF(AND(fiche_sel&lt;&gt;"",A700=fiche_sel),COUNTIF(A$6:A700,fiche_sel),"")</f>
        <v/>
      </c>
    </row>
    <row r="701">
      <c r="A701" s="60" t="n"/>
      <c r="B701" s="60" t="n"/>
      <c r="C701" s="71" t="str">
        <f>IF(B701="","",IFERROR(INDEX(mat_des,MATCH(B701,mat_ref,0))&amp;"","Matière inconnue"))</f>
        <v/>
      </c>
      <c r="D701" s="69" t="str">
        <f>IF(B701="","",IFERROR(INDEX(mat_unit,MATCH(B701,mat_ref,0))&amp;"",""))</f>
        <v/>
      </c>
      <c r="E701" s="72" t="n"/>
      <c r="F701" s="65" t="n"/>
      <c r="G701" s="68" t="str">
        <f>IF(J701&lt;&gt;"OK","",IF(F701="",N(INDEX(mat_loss,MATCH(B701,mat_ref,0))),F701))</f>
        <v/>
      </c>
      <c r="H701" s="66" t="str">
        <f>IF(J701&lt;&gt;"OK","",INDEX(mat_price,MATCH(B701,mat_ref,0)))</f>
        <v/>
      </c>
      <c r="I701" s="66" t="str">
        <f>IF(J701&lt;&gt;"OK","",E701*(1+G701)*H701)</f>
        <v/>
      </c>
      <c r="J701" s="69" t="str">
        <f>IF(AND(A701="",B701=""),"",IF(A701="","Produit manquant",IF(COUNTIF(prod_ref,A701)=0,"Produit inconnu",IF(B701="","Matière manquante",IF(ISNA(MATCH(B701,mat_ref,0)),"Matière inconnue",IF(INDEX(mat_check,MATCH(B701,mat_ref,0))&lt;&gt;"OK","Matière à corriger",IF(OR(NOT(ISNUMBER(E701)),N(E701)&lt;=0),"Quantité invalide",IF(AND(F701&lt;&gt;"",OR(NOT(ISNUMBER(F701)),N(F701)&lt;0,N(F701)&gt;=1)),"Perte entre 0 et 99 %",IF(COUNTIFS(bom_prod,A701,bom_mat,B701)&gt;1,"Matière en double","OK")))))))))</f>
        <v/>
      </c>
      <c r="K701" s="71" t="str">
        <f>IF(AND(fiche_sel&lt;&gt;"",A701=fiche_sel),COUNTIF(A$6:A701,fiche_sel),"")</f>
        <v/>
      </c>
    </row>
    <row r="702">
      <c r="A702" s="60" t="n"/>
      <c r="B702" s="60" t="n"/>
      <c r="C702" s="71" t="str">
        <f>IF(B702="","",IFERROR(INDEX(mat_des,MATCH(B702,mat_ref,0))&amp;"","Matière inconnue"))</f>
        <v/>
      </c>
      <c r="D702" s="69" t="str">
        <f>IF(B702="","",IFERROR(INDEX(mat_unit,MATCH(B702,mat_ref,0))&amp;"",""))</f>
        <v/>
      </c>
      <c r="E702" s="72" t="n"/>
      <c r="F702" s="65" t="n"/>
      <c r="G702" s="68" t="str">
        <f>IF(J702&lt;&gt;"OK","",IF(F702="",N(INDEX(mat_loss,MATCH(B702,mat_ref,0))),F702))</f>
        <v/>
      </c>
      <c r="H702" s="66" t="str">
        <f>IF(J702&lt;&gt;"OK","",INDEX(mat_price,MATCH(B702,mat_ref,0)))</f>
        <v/>
      </c>
      <c r="I702" s="66" t="str">
        <f>IF(J702&lt;&gt;"OK","",E702*(1+G702)*H702)</f>
        <v/>
      </c>
      <c r="J702" s="69" t="str">
        <f>IF(AND(A702="",B702=""),"",IF(A702="","Produit manquant",IF(COUNTIF(prod_ref,A702)=0,"Produit inconnu",IF(B702="","Matière manquante",IF(ISNA(MATCH(B702,mat_ref,0)),"Matière inconnue",IF(INDEX(mat_check,MATCH(B702,mat_ref,0))&lt;&gt;"OK","Matière à corriger",IF(OR(NOT(ISNUMBER(E702)),N(E702)&lt;=0),"Quantité invalide",IF(AND(F702&lt;&gt;"",OR(NOT(ISNUMBER(F702)),N(F702)&lt;0,N(F702)&gt;=1)),"Perte entre 0 et 99 %",IF(COUNTIFS(bom_prod,A702,bom_mat,B702)&gt;1,"Matière en double","OK")))))))))</f>
        <v/>
      </c>
      <c r="K702" s="71" t="str">
        <f>IF(AND(fiche_sel&lt;&gt;"",A702=fiche_sel),COUNTIF(A$6:A702,fiche_sel),"")</f>
        <v/>
      </c>
    </row>
    <row r="703">
      <c r="A703" s="60" t="n"/>
      <c r="B703" s="60" t="n"/>
      <c r="C703" s="71" t="str">
        <f>IF(B703="","",IFERROR(INDEX(mat_des,MATCH(B703,mat_ref,0))&amp;"","Matière inconnue"))</f>
        <v/>
      </c>
      <c r="D703" s="69" t="str">
        <f>IF(B703="","",IFERROR(INDEX(mat_unit,MATCH(B703,mat_ref,0))&amp;"",""))</f>
        <v/>
      </c>
      <c r="E703" s="72" t="n"/>
      <c r="F703" s="65" t="n"/>
      <c r="G703" s="68" t="str">
        <f>IF(J703&lt;&gt;"OK","",IF(F703="",N(INDEX(mat_loss,MATCH(B703,mat_ref,0))),F703))</f>
        <v/>
      </c>
      <c r="H703" s="66" t="str">
        <f>IF(J703&lt;&gt;"OK","",INDEX(mat_price,MATCH(B703,mat_ref,0)))</f>
        <v/>
      </c>
      <c r="I703" s="66" t="str">
        <f>IF(J703&lt;&gt;"OK","",E703*(1+G703)*H703)</f>
        <v/>
      </c>
      <c r="J703" s="69" t="str">
        <f>IF(AND(A703="",B703=""),"",IF(A703="","Produit manquant",IF(COUNTIF(prod_ref,A703)=0,"Produit inconnu",IF(B703="","Matière manquante",IF(ISNA(MATCH(B703,mat_ref,0)),"Matière inconnue",IF(INDEX(mat_check,MATCH(B703,mat_ref,0))&lt;&gt;"OK","Matière à corriger",IF(OR(NOT(ISNUMBER(E703)),N(E703)&lt;=0),"Quantité invalide",IF(AND(F703&lt;&gt;"",OR(NOT(ISNUMBER(F703)),N(F703)&lt;0,N(F703)&gt;=1)),"Perte entre 0 et 99 %",IF(COUNTIFS(bom_prod,A703,bom_mat,B703)&gt;1,"Matière en double","OK")))))))))</f>
        <v/>
      </c>
      <c r="K703" s="71" t="str">
        <f>IF(AND(fiche_sel&lt;&gt;"",A703=fiche_sel),COUNTIF(A$6:A703,fiche_sel),"")</f>
        <v/>
      </c>
    </row>
    <row r="704">
      <c r="A704" s="60" t="n"/>
      <c r="B704" s="60" t="n"/>
      <c r="C704" s="71" t="str">
        <f>IF(B704="","",IFERROR(INDEX(mat_des,MATCH(B704,mat_ref,0))&amp;"","Matière inconnue"))</f>
        <v/>
      </c>
      <c r="D704" s="69" t="str">
        <f>IF(B704="","",IFERROR(INDEX(mat_unit,MATCH(B704,mat_ref,0))&amp;"",""))</f>
        <v/>
      </c>
      <c r="E704" s="72" t="n"/>
      <c r="F704" s="65" t="n"/>
      <c r="G704" s="68" t="str">
        <f>IF(J704&lt;&gt;"OK","",IF(F704="",N(INDEX(mat_loss,MATCH(B704,mat_ref,0))),F704))</f>
        <v/>
      </c>
      <c r="H704" s="66" t="str">
        <f>IF(J704&lt;&gt;"OK","",INDEX(mat_price,MATCH(B704,mat_ref,0)))</f>
        <v/>
      </c>
      <c r="I704" s="66" t="str">
        <f>IF(J704&lt;&gt;"OK","",E704*(1+G704)*H704)</f>
        <v/>
      </c>
      <c r="J704" s="69" t="str">
        <f>IF(AND(A704="",B704=""),"",IF(A704="","Produit manquant",IF(COUNTIF(prod_ref,A704)=0,"Produit inconnu",IF(B704="","Matière manquante",IF(ISNA(MATCH(B704,mat_ref,0)),"Matière inconnue",IF(INDEX(mat_check,MATCH(B704,mat_ref,0))&lt;&gt;"OK","Matière à corriger",IF(OR(NOT(ISNUMBER(E704)),N(E704)&lt;=0),"Quantité invalide",IF(AND(F704&lt;&gt;"",OR(NOT(ISNUMBER(F704)),N(F704)&lt;0,N(F704)&gt;=1)),"Perte entre 0 et 99 %",IF(COUNTIFS(bom_prod,A704,bom_mat,B704)&gt;1,"Matière en double","OK")))))))))</f>
        <v/>
      </c>
      <c r="K704" s="71" t="str">
        <f>IF(AND(fiche_sel&lt;&gt;"",A704=fiche_sel),COUNTIF(A$6:A704,fiche_sel),"")</f>
        <v/>
      </c>
    </row>
    <row r="705">
      <c r="A705" s="60" t="n"/>
      <c r="B705" s="60" t="n"/>
      <c r="C705" s="71" t="str">
        <f>IF(B705="","",IFERROR(INDEX(mat_des,MATCH(B705,mat_ref,0))&amp;"","Matière inconnue"))</f>
        <v/>
      </c>
      <c r="D705" s="69" t="str">
        <f>IF(B705="","",IFERROR(INDEX(mat_unit,MATCH(B705,mat_ref,0))&amp;"",""))</f>
        <v/>
      </c>
      <c r="E705" s="72" t="n"/>
      <c r="F705" s="65" t="n"/>
      <c r="G705" s="68" t="str">
        <f>IF(J705&lt;&gt;"OK","",IF(F705="",N(INDEX(mat_loss,MATCH(B705,mat_ref,0))),F705))</f>
        <v/>
      </c>
      <c r="H705" s="66" t="str">
        <f>IF(J705&lt;&gt;"OK","",INDEX(mat_price,MATCH(B705,mat_ref,0)))</f>
        <v/>
      </c>
      <c r="I705" s="66" t="str">
        <f>IF(J705&lt;&gt;"OK","",E705*(1+G705)*H705)</f>
        <v/>
      </c>
      <c r="J705" s="69" t="str">
        <f>IF(AND(A705="",B705=""),"",IF(A705="","Produit manquant",IF(COUNTIF(prod_ref,A705)=0,"Produit inconnu",IF(B705="","Matière manquante",IF(ISNA(MATCH(B705,mat_ref,0)),"Matière inconnue",IF(INDEX(mat_check,MATCH(B705,mat_ref,0))&lt;&gt;"OK","Matière à corriger",IF(OR(NOT(ISNUMBER(E705)),N(E705)&lt;=0),"Quantité invalide",IF(AND(F705&lt;&gt;"",OR(NOT(ISNUMBER(F705)),N(F705)&lt;0,N(F705)&gt;=1)),"Perte entre 0 et 99 %",IF(COUNTIFS(bom_prod,A705,bom_mat,B705)&gt;1,"Matière en double","OK")))))))))</f>
        <v/>
      </c>
      <c r="K705" s="71" t="str">
        <f>IF(AND(fiche_sel&lt;&gt;"",A705=fiche_sel),COUNTIF(A$6:A705,fiche_sel),"")</f>
        <v/>
      </c>
    </row>
    <row r="706">
      <c r="A706" s="60" t="n"/>
      <c r="B706" s="60" t="n"/>
      <c r="C706" s="71" t="str">
        <f>IF(B706="","",IFERROR(INDEX(mat_des,MATCH(B706,mat_ref,0))&amp;"","Matière inconnue"))</f>
        <v/>
      </c>
      <c r="D706" s="69" t="str">
        <f>IF(B706="","",IFERROR(INDEX(mat_unit,MATCH(B706,mat_ref,0))&amp;"",""))</f>
        <v/>
      </c>
      <c r="E706" s="72" t="n"/>
      <c r="F706" s="65" t="n"/>
      <c r="G706" s="68" t="str">
        <f>IF(J706&lt;&gt;"OK","",IF(F706="",N(INDEX(mat_loss,MATCH(B706,mat_ref,0))),F706))</f>
        <v/>
      </c>
      <c r="H706" s="66" t="str">
        <f>IF(J706&lt;&gt;"OK","",INDEX(mat_price,MATCH(B706,mat_ref,0)))</f>
        <v/>
      </c>
      <c r="I706" s="66" t="str">
        <f>IF(J706&lt;&gt;"OK","",E706*(1+G706)*H706)</f>
        <v/>
      </c>
      <c r="J706" s="69" t="str">
        <f>IF(AND(A706="",B706=""),"",IF(A706="","Produit manquant",IF(COUNTIF(prod_ref,A706)=0,"Produit inconnu",IF(B706="","Matière manquante",IF(ISNA(MATCH(B706,mat_ref,0)),"Matière inconnue",IF(INDEX(mat_check,MATCH(B706,mat_ref,0))&lt;&gt;"OK","Matière à corriger",IF(OR(NOT(ISNUMBER(E706)),N(E706)&lt;=0),"Quantité invalide",IF(AND(F706&lt;&gt;"",OR(NOT(ISNUMBER(F706)),N(F706)&lt;0,N(F706)&gt;=1)),"Perte entre 0 et 99 %",IF(COUNTIFS(bom_prod,A706,bom_mat,B706)&gt;1,"Matière en double","OK")))))))))</f>
        <v/>
      </c>
      <c r="K706" s="71" t="str">
        <f>IF(AND(fiche_sel&lt;&gt;"",A706=fiche_sel),COUNTIF(A$6:A706,fiche_sel),"")</f>
        <v/>
      </c>
    </row>
    <row r="707">
      <c r="A707" s="60" t="n"/>
      <c r="B707" s="60" t="n"/>
      <c r="C707" s="71" t="str">
        <f>IF(B707="","",IFERROR(INDEX(mat_des,MATCH(B707,mat_ref,0))&amp;"","Matière inconnue"))</f>
        <v/>
      </c>
      <c r="D707" s="69" t="str">
        <f>IF(B707="","",IFERROR(INDEX(mat_unit,MATCH(B707,mat_ref,0))&amp;"",""))</f>
        <v/>
      </c>
      <c r="E707" s="72" t="n"/>
      <c r="F707" s="65" t="n"/>
      <c r="G707" s="68" t="str">
        <f>IF(J707&lt;&gt;"OK","",IF(F707="",N(INDEX(mat_loss,MATCH(B707,mat_ref,0))),F707))</f>
        <v/>
      </c>
      <c r="H707" s="66" t="str">
        <f>IF(J707&lt;&gt;"OK","",INDEX(mat_price,MATCH(B707,mat_ref,0)))</f>
        <v/>
      </c>
      <c r="I707" s="66" t="str">
        <f>IF(J707&lt;&gt;"OK","",E707*(1+G707)*H707)</f>
        <v/>
      </c>
      <c r="J707" s="69" t="str">
        <f>IF(AND(A707="",B707=""),"",IF(A707="","Produit manquant",IF(COUNTIF(prod_ref,A707)=0,"Produit inconnu",IF(B707="","Matière manquante",IF(ISNA(MATCH(B707,mat_ref,0)),"Matière inconnue",IF(INDEX(mat_check,MATCH(B707,mat_ref,0))&lt;&gt;"OK","Matière à corriger",IF(OR(NOT(ISNUMBER(E707)),N(E707)&lt;=0),"Quantité invalide",IF(AND(F707&lt;&gt;"",OR(NOT(ISNUMBER(F707)),N(F707)&lt;0,N(F707)&gt;=1)),"Perte entre 0 et 99 %",IF(COUNTIFS(bom_prod,A707,bom_mat,B707)&gt;1,"Matière en double","OK")))))))))</f>
        <v/>
      </c>
      <c r="K707" s="71" t="str">
        <f>IF(AND(fiche_sel&lt;&gt;"",A707=fiche_sel),COUNTIF(A$6:A707,fiche_sel),"")</f>
        <v/>
      </c>
    </row>
    <row r="708">
      <c r="A708" s="60" t="n"/>
      <c r="B708" s="60" t="n"/>
      <c r="C708" s="71" t="str">
        <f>IF(B708="","",IFERROR(INDEX(mat_des,MATCH(B708,mat_ref,0))&amp;"","Matière inconnue"))</f>
        <v/>
      </c>
      <c r="D708" s="69" t="str">
        <f>IF(B708="","",IFERROR(INDEX(mat_unit,MATCH(B708,mat_ref,0))&amp;"",""))</f>
        <v/>
      </c>
      <c r="E708" s="72" t="n"/>
      <c r="F708" s="65" t="n"/>
      <c r="G708" s="68" t="str">
        <f>IF(J708&lt;&gt;"OK","",IF(F708="",N(INDEX(mat_loss,MATCH(B708,mat_ref,0))),F708))</f>
        <v/>
      </c>
      <c r="H708" s="66" t="str">
        <f>IF(J708&lt;&gt;"OK","",INDEX(mat_price,MATCH(B708,mat_ref,0)))</f>
        <v/>
      </c>
      <c r="I708" s="66" t="str">
        <f>IF(J708&lt;&gt;"OK","",E708*(1+G708)*H708)</f>
        <v/>
      </c>
      <c r="J708" s="69" t="str">
        <f>IF(AND(A708="",B708=""),"",IF(A708="","Produit manquant",IF(COUNTIF(prod_ref,A708)=0,"Produit inconnu",IF(B708="","Matière manquante",IF(ISNA(MATCH(B708,mat_ref,0)),"Matière inconnue",IF(INDEX(mat_check,MATCH(B708,mat_ref,0))&lt;&gt;"OK","Matière à corriger",IF(OR(NOT(ISNUMBER(E708)),N(E708)&lt;=0),"Quantité invalide",IF(AND(F708&lt;&gt;"",OR(NOT(ISNUMBER(F708)),N(F708)&lt;0,N(F708)&gt;=1)),"Perte entre 0 et 99 %",IF(COUNTIFS(bom_prod,A708,bom_mat,B708)&gt;1,"Matière en double","OK")))))))))</f>
        <v/>
      </c>
      <c r="K708" s="71" t="str">
        <f>IF(AND(fiche_sel&lt;&gt;"",A708=fiche_sel),COUNTIF(A$6:A708,fiche_sel),"")</f>
        <v/>
      </c>
    </row>
    <row r="709">
      <c r="A709" s="60" t="n"/>
      <c r="B709" s="60" t="n"/>
      <c r="C709" s="71" t="str">
        <f>IF(B709="","",IFERROR(INDEX(mat_des,MATCH(B709,mat_ref,0))&amp;"","Matière inconnue"))</f>
        <v/>
      </c>
      <c r="D709" s="69" t="str">
        <f>IF(B709="","",IFERROR(INDEX(mat_unit,MATCH(B709,mat_ref,0))&amp;"",""))</f>
        <v/>
      </c>
      <c r="E709" s="72" t="n"/>
      <c r="F709" s="65" t="n"/>
      <c r="G709" s="68" t="str">
        <f>IF(J709&lt;&gt;"OK","",IF(F709="",N(INDEX(mat_loss,MATCH(B709,mat_ref,0))),F709))</f>
        <v/>
      </c>
      <c r="H709" s="66" t="str">
        <f>IF(J709&lt;&gt;"OK","",INDEX(mat_price,MATCH(B709,mat_ref,0)))</f>
        <v/>
      </c>
      <c r="I709" s="66" t="str">
        <f>IF(J709&lt;&gt;"OK","",E709*(1+G709)*H709)</f>
        <v/>
      </c>
      <c r="J709" s="69" t="str">
        <f>IF(AND(A709="",B709=""),"",IF(A709="","Produit manquant",IF(COUNTIF(prod_ref,A709)=0,"Produit inconnu",IF(B709="","Matière manquante",IF(ISNA(MATCH(B709,mat_ref,0)),"Matière inconnue",IF(INDEX(mat_check,MATCH(B709,mat_ref,0))&lt;&gt;"OK","Matière à corriger",IF(OR(NOT(ISNUMBER(E709)),N(E709)&lt;=0),"Quantité invalide",IF(AND(F709&lt;&gt;"",OR(NOT(ISNUMBER(F709)),N(F709)&lt;0,N(F709)&gt;=1)),"Perte entre 0 et 99 %",IF(COUNTIFS(bom_prod,A709,bom_mat,B709)&gt;1,"Matière en double","OK")))))))))</f>
        <v/>
      </c>
      <c r="K709" s="71" t="str">
        <f>IF(AND(fiche_sel&lt;&gt;"",A709=fiche_sel),COUNTIF(A$6:A709,fiche_sel),"")</f>
        <v/>
      </c>
    </row>
    <row r="710">
      <c r="A710" s="60" t="n"/>
      <c r="B710" s="60" t="n"/>
      <c r="C710" s="71" t="str">
        <f>IF(B710="","",IFERROR(INDEX(mat_des,MATCH(B710,mat_ref,0))&amp;"","Matière inconnue"))</f>
        <v/>
      </c>
      <c r="D710" s="69" t="str">
        <f>IF(B710="","",IFERROR(INDEX(mat_unit,MATCH(B710,mat_ref,0))&amp;"",""))</f>
        <v/>
      </c>
      <c r="E710" s="72" t="n"/>
      <c r="F710" s="65" t="n"/>
      <c r="G710" s="68" t="str">
        <f>IF(J710&lt;&gt;"OK","",IF(F710="",N(INDEX(mat_loss,MATCH(B710,mat_ref,0))),F710))</f>
        <v/>
      </c>
      <c r="H710" s="66" t="str">
        <f>IF(J710&lt;&gt;"OK","",INDEX(mat_price,MATCH(B710,mat_ref,0)))</f>
        <v/>
      </c>
      <c r="I710" s="66" t="str">
        <f>IF(J710&lt;&gt;"OK","",E710*(1+G710)*H710)</f>
        <v/>
      </c>
      <c r="J710" s="69" t="str">
        <f>IF(AND(A710="",B710=""),"",IF(A710="","Produit manquant",IF(COUNTIF(prod_ref,A710)=0,"Produit inconnu",IF(B710="","Matière manquante",IF(ISNA(MATCH(B710,mat_ref,0)),"Matière inconnue",IF(INDEX(mat_check,MATCH(B710,mat_ref,0))&lt;&gt;"OK","Matière à corriger",IF(OR(NOT(ISNUMBER(E710)),N(E710)&lt;=0),"Quantité invalide",IF(AND(F710&lt;&gt;"",OR(NOT(ISNUMBER(F710)),N(F710)&lt;0,N(F710)&gt;=1)),"Perte entre 0 et 99 %",IF(COUNTIFS(bom_prod,A710,bom_mat,B710)&gt;1,"Matière en double","OK")))))))))</f>
        <v/>
      </c>
      <c r="K710" s="71" t="str">
        <f>IF(AND(fiche_sel&lt;&gt;"",A710=fiche_sel),COUNTIF(A$6:A710,fiche_sel),"")</f>
        <v/>
      </c>
    </row>
    <row r="711">
      <c r="A711" s="60" t="n"/>
      <c r="B711" s="60" t="n"/>
      <c r="C711" s="71" t="str">
        <f>IF(B711="","",IFERROR(INDEX(mat_des,MATCH(B711,mat_ref,0))&amp;"","Matière inconnue"))</f>
        <v/>
      </c>
      <c r="D711" s="69" t="str">
        <f>IF(B711="","",IFERROR(INDEX(mat_unit,MATCH(B711,mat_ref,0))&amp;"",""))</f>
        <v/>
      </c>
      <c r="E711" s="72" t="n"/>
      <c r="F711" s="65" t="n"/>
      <c r="G711" s="68" t="str">
        <f>IF(J711&lt;&gt;"OK","",IF(F711="",N(INDEX(mat_loss,MATCH(B711,mat_ref,0))),F711))</f>
        <v/>
      </c>
      <c r="H711" s="66" t="str">
        <f>IF(J711&lt;&gt;"OK","",INDEX(mat_price,MATCH(B711,mat_ref,0)))</f>
        <v/>
      </c>
      <c r="I711" s="66" t="str">
        <f>IF(J711&lt;&gt;"OK","",E711*(1+G711)*H711)</f>
        <v/>
      </c>
      <c r="J711" s="69" t="str">
        <f>IF(AND(A711="",B711=""),"",IF(A711="","Produit manquant",IF(COUNTIF(prod_ref,A711)=0,"Produit inconnu",IF(B711="","Matière manquante",IF(ISNA(MATCH(B711,mat_ref,0)),"Matière inconnue",IF(INDEX(mat_check,MATCH(B711,mat_ref,0))&lt;&gt;"OK","Matière à corriger",IF(OR(NOT(ISNUMBER(E711)),N(E711)&lt;=0),"Quantité invalide",IF(AND(F711&lt;&gt;"",OR(NOT(ISNUMBER(F711)),N(F711)&lt;0,N(F711)&gt;=1)),"Perte entre 0 et 99 %",IF(COUNTIFS(bom_prod,A711,bom_mat,B711)&gt;1,"Matière en double","OK")))))))))</f>
        <v/>
      </c>
      <c r="K711" s="71" t="str">
        <f>IF(AND(fiche_sel&lt;&gt;"",A711=fiche_sel),COUNTIF(A$6:A711,fiche_sel),"")</f>
        <v/>
      </c>
    </row>
    <row r="712">
      <c r="A712" s="60" t="n"/>
      <c r="B712" s="60" t="n"/>
      <c r="C712" s="71" t="str">
        <f>IF(B712="","",IFERROR(INDEX(mat_des,MATCH(B712,mat_ref,0))&amp;"","Matière inconnue"))</f>
        <v/>
      </c>
      <c r="D712" s="69" t="str">
        <f>IF(B712="","",IFERROR(INDEX(mat_unit,MATCH(B712,mat_ref,0))&amp;"",""))</f>
        <v/>
      </c>
      <c r="E712" s="72" t="n"/>
      <c r="F712" s="65" t="n"/>
      <c r="G712" s="68" t="str">
        <f>IF(J712&lt;&gt;"OK","",IF(F712="",N(INDEX(mat_loss,MATCH(B712,mat_ref,0))),F712))</f>
        <v/>
      </c>
      <c r="H712" s="66" t="str">
        <f>IF(J712&lt;&gt;"OK","",INDEX(mat_price,MATCH(B712,mat_ref,0)))</f>
        <v/>
      </c>
      <c r="I712" s="66" t="str">
        <f>IF(J712&lt;&gt;"OK","",E712*(1+G712)*H712)</f>
        <v/>
      </c>
      <c r="J712" s="69" t="str">
        <f>IF(AND(A712="",B712=""),"",IF(A712="","Produit manquant",IF(COUNTIF(prod_ref,A712)=0,"Produit inconnu",IF(B712="","Matière manquante",IF(ISNA(MATCH(B712,mat_ref,0)),"Matière inconnue",IF(INDEX(mat_check,MATCH(B712,mat_ref,0))&lt;&gt;"OK","Matière à corriger",IF(OR(NOT(ISNUMBER(E712)),N(E712)&lt;=0),"Quantité invalide",IF(AND(F712&lt;&gt;"",OR(NOT(ISNUMBER(F712)),N(F712)&lt;0,N(F712)&gt;=1)),"Perte entre 0 et 99 %",IF(COUNTIFS(bom_prod,A712,bom_mat,B712)&gt;1,"Matière en double","OK")))))))))</f>
        <v/>
      </c>
      <c r="K712" s="71" t="str">
        <f>IF(AND(fiche_sel&lt;&gt;"",A712=fiche_sel),COUNTIF(A$6:A712,fiche_sel),"")</f>
        <v/>
      </c>
    </row>
    <row r="713">
      <c r="A713" s="60" t="n"/>
      <c r="B713" s="60" t="n"/>
      <c r="C713" s="71" t="str">
        <f>IF(B713="","",IFERROR(INDEX(mat_des,MATCH(B713,mat_ref,0))&amp;"","Matière inconnue"))</f>
        <v/>
      </c>
      <c r="D713" s="69" t="str">
        <f>IF(B713="","",IFERROR(INDEX(mat_unit,MATCH(B713,mat_ref,0))&amp;"",""))</f>
        <v/>
      </c>
      <c r="E713" s="72" t="n"/>
      <c r="F713" s="65" t="n"/>
      <c r="G713" s="68" t="str">
        <f>IF(J713&lt;&gt;"OK","",IF(F713="",N(INDEX(mat_loss,MATCH(B713,mat_ref,0))),F713))</f>
        <v/>
      </c>
      <c r="H713" s="66" t="str">
        <f>IF(J713&lt;&gt;"OK","",INDEX(mat_price,MATCH(B713,mat_ref,0)))</f>
        <v/>
      </c>
      <c r="I713" s="66" t="str">
        <f>IF(J713&lt;&gt;"OK","",E713*(1+G713)*H713)</f>
        <v/>
      </c>
      <c r="J713" s="69" t="str">
        <f>IF(AND(A713="",B713=""),"",IF(A713="","Produit manquant",IF(COUNTIF(prod_ref,A713)=0,"Produit inconnu",IF(B713="","Matière manquante",IF(ISNA(MATCH(B713,mat_ref,0)),"Matière inconnue",IF(INDEX(mat_check,MATCH(B713,mat_ref,0))&lt;&gt;"OK","Matière à corriger",IF(OR(NOT(ISNUMBER(E713)),N(E713)&lt;=0),"Quantité invalide",IF(AND(F713&lt;&gt;"",OR(NOT(ISNUMBER(F713)),N(F713)&lt;0,N(F713)&gt;=1)),"Perte entre 0 et 99 %",IF(COUNTIFS(bom_prod,A713,bom_mat,B713)&gt;1,"Matière en double","OK")))))))))</f>
        <v/>
      </c>
      <c r="K713" s="71" t="str">
        <f>IF(AND(fiche_sel&lt;&gt;"",A713=fiche_sel),COUNTIF(A$6:A713,fiche_sel),"")</f>
        <v/>
      </c>
    </row>
    <row r="714">
      <c r="A714" s="60" t="n"/>
      <c r="B714" s="60" t="n"/>
      <c r="C714" s="71" t="str">
        <f>IF(B714="","",IFERROR(INDEX(mat_des,MATCH(B714,mat_ref,0))&amp;"","Matière inconnue"))</f>
        <v/>
      </c>
      <c r="D714" s="69" t="str">
        <f>IF(B714="","",IFERROR(INDEX(mat_unit,MATCH(B714,mat_ref,0))&amp;"",""))</f>
        <v/>
      </c>
      <c r="E714" s="72" t="n"/>
      <c r="F714" s="65" t="n"/>
      <c r="G714" s="68" t="str">
        <f>IF(J714&lt;&gt;"OK","",IF(F714="",N(INDEX(mat_loss,MATCH(B714,mat_ref,0))),F714))</f>
        <v/>
      </c>
      <c r="H714" s="66" t="str">
        <f>IF(J714&lt;&gt;"OK","",INDEX(mat_price,MATCH(B714,mat_ref,0)))</f>
        <v/>
      </c>
      <c r="I714" s="66" t="str">
        <f>IF(J714&lt;&gt;"OK","",E714*(1+G714)*H714)</f>
        <v/>
      </c>
      <c r="J714" s="69" t="str">
        <f>IF(AND(A714="",B714=""),"",IF(A714="","Produit manquant",IF(COUNTIF(prod_ref,A714)=0,"Produit inconnu",IF(B714="","Matière manquante",IF(ISNA(MATCH(B714,mat_ref,0)),"Matière inconnue",IF(INDEX(mat_check,MATCH(B714,mat_ref,0))&lt;&gt;"OK","Matière à corriger",IF(OR(NOT(ISNUMBER(E714)),N(E714)&lt;=0),"Quantité invalide",IF(AND(F714&lt;&gt;"",OR(NOT(ISNUMBER(F714)),N(F714)&lt;0,N(F714)&gt;=1)),"Perte entre 0 et 99 %",IF(COUNTIFS(bom_prod,A714,bom_mat,B714)&gt;1,"Matière en double","OK")))))))))</f>
        <v/>
      </c>
      <c r="K714" s="71" t="str">
        <f>IF(AND(fiche_sel&lt;&gt;"",A714=fiche_sel),COUNTIF(A$6:A714,fiche_sel),"")</f>
        <v/>
      </c>
    </row>
    <row r="715">
      <c r="A715" s="60" t="n"/>
      <c r="B715" s="60" t="n"/>
      <c r="C715" s="71" t="str">
        <f>IF(B715="","",IFERROR(INDEX(mat_des,MATCH(B715,mat_ref,0))&amp;"","Matière inconnue"))</f>
        <v/>
      </c>
      <c r="D715" s="69" t="str">
        <f>IF(B715="","",IFERROR(INDEX(mat_unit,MATCH(B715,mat_ref,0))&amp;"",""))</f>
        <v/>
      </c>
      <c r="E715" s="72" t="n"/>
      <c r="F715" s="65" t="n"/>
      <c r="G715" s="68" t="str">
        <f>IF(J715&lt;&gt;"OK","",IF(F715="",N(INDEX(mat_loss,MATCH(B715,mat_ref,0))),F715))</f>
        <v/>
      </c>
      <c r="H715" s="66" t="str">
        <f>IF(J715&lt;&gt;"OK","",INDEX(mat_price,MATCH(B715,mat_ref,0)))</f>
        <v/>
      </c>
      <c r="I715" s="66" t="str">
        <f>IF(J715&lt;&gt;"OK","",E715*(1+G715)*H715)</f>
        <v/>
      </c>
      <c r="J715" s="69" t="str">
        <f>IF(AND(A715="",B715=""),"",IF(A715="","Produit manquant",IF(COUNTIF(prod_ref,A715)=0,"Produit inconnu",IF(B715="","Matière manquante",IF(ISNA(MATCH(B715,mat_ref,0)),"Matière inconnue",IF(INDEX(mat_check,MATCH(B715,mat_ref,0))&lt;&gt;"OK","Matière à corriger",IF(OR(NOT(ISNUMBER(E715)),N(E715)&lt;=0),"Quantité invalide",IF(AND(F715&lt;&gt;"",OR(NOT(ISNUMBER(F715)),N(F715)&lt;0,N(F715)&gt;=1)),"Perte entre 0 et 99 %",IF(COUNTIFS(bom_prod,A715,bom_mat,B715)&gt;1,"Matière en double","OK")))))))))</f>
        <v/>
      </c>
      <c r="K715" s="71" t="str">
        <f>IF(AND(fiche_sel&lt;&gt;"",A715=fiche_sel),COUNTIF(A$6:A715,fiche_sel),"")</f>
        <v/>
      </c>
    </row>
    <row r="716">
      <c r="A716" s="60" t="n"/>
      <c r="B716" s="60" t="n"/>
      <c r="C716" s="71" t="str">
        <f>IF(B716="","",IFERROR(INDEX(mat_des,MATCH(B716,mat_ref,0))&amp;"","Matière inconnue"))</f>
        <v/>
      </c>
      <c r="D716" s="69" t="str">
        <f>IF(B716="","",IFERROR(INDEX(mat_unit,MATCH(B716,mat_ref,0))&amp;"",""))</f>
        <v/>
      </c>
      <c r="E716" s="72" t="n"/>
      <c r="F716" s="65" t="n"/>
      <c r="G716" s="68" t="str">
        <f>IF(J716&lt;&gt;"OK","",IF(F716="",N(INDEX(mat_loss,MATCH(B716,mat_ref,0))),F716))</f>
        <v/>
      </c>
      <c r="H716" s="66" t="str">
        <f>IF(J716&lt;&gt;"OK","",INDEX(mat_price,MATCH(B716,mat_ref,0)))</f>
        <v/>
      </c>
      <c r="I716" s="66" t="str">
        <f>IF(J716&lt;&gt;"OK","",E716*(1+G716)*H716)</f>
        <v/>
      </c>
      <c r="J716" s="69" t="str">
        <f>IF(AND(A716="",B716=""),"",IF(A716="","Produit manquant",IF(COUNTIF(prod_ref,A716)=0,"Produit inconnu",IF(B716="","Matière manquante",IF(ISNA(MATCH(B716,mat_ref,0)),"Matière inconnue",IF(INDEX(mat_check,MATCH(B716,mat_ref,0))&lt;&gt;"OK","Matière à corriger",IF(OR(NOT(ISNUMBER(E716)),N(E716)&lt;=0),"Quantité invalide",IF(AND(F716&lt;&gt;"",OR(NOT(ISNUMBER(F716)),N(F716)&lt;0,N(F716)&gt;=1)),"Perte entre 0 et 99 %",IF(COUNTIFS(bom_prod,A716,bom_mat,B716)&gt;1,"Matière en double","OK")))))))))</f>
        <v/>
      </c>
      <c r="K716" s="71" t="str">
        <f>IF(AND(fiche_sel&lt;&gt;"",A716=fiche_sel),COUNTIF(A$6:A716,fiche_sel),"")</f>
        <v/>
      </c>
    </row>
    <row r="717">
      <c r="A717" s="60" t="n"/>
      <c r="B717" s="60" t="n"/>
      <c r="C717" s="71" t="str">
        <f>IF(B717="","",IFERROR(INDEX(mat_des,MATCH(B717,mat_ref,0))&amp;"","Matière inconnue"))</f>
        <v/>
      </c>
      <c r="D717" s="69" t="str">
        <f>IF(B717="","",IFERROR(INDEX(mat_unit,MATCH(B717,mat_ref,0))&amp;"",""))</f>
        <v/>
      </c>
      <c r="E717" s="72" t="n"/>
      <c r="F717" s="65" t="n"/>
      <c r="G717" s="68" t="str">
        <f>IF(J717&lt;&gt;"OK","",IF(F717="",N(INDEX(mat_loss,MATCH(B717,mat_ref,0))),F717))</f>
        <v/>
      </c>
      <c r="H717" s="66" t="str">
        <f>IF(J717&lt;&gt;"OK","",INDEX(mat_price,MATCH(B717,mat_ref,0)))</f>
        <v/>
      </c>
      <c r="I717" s="66" t="str">
        <f>IF(J717&lt;&gt;"OK","",E717*(1+G717)*H717)</f>
        <v/>
      </c>
      <c r="J717" s="69" t="str">
        <f>IF(AND(A717="",B717=""),"",IF(A717="","Produit manquant",IF(COUNTIF(prod_ref,A717)=0,"Produit inconnu",IF(B717="","Matière manquante",IF(ISNA(MATCH(B717,mat_ref,0)),"Matière inconnue",IF(INDEX(mat_check,MATCH(B717,mat_ref,0))&lt;&gt;"OK","Matière à corriger",IF(OR(NOT(ISNUMBER(E717)),N(E717)&lt;=0),"Quantité invalide",IF(AND(F717&lt;&gt;"",OR(NOT(ISNUMBER(F717)),N(F717)&lt;0,N(F717)&gt;=1)),"Perte entre 0 et 99 %",IF(COUNTIFS(bom_prod,A717,bom_mat,B717)&gt;1,"Matière en double","OK")))))))))</f>
        <v/>
      </c>
      <c r="K717" s="71" t="str">
        <f>IF(AND(fiche_sel&lt;&gt;"",A717=fiche_sel),COUNTIF(A$6:A717,fiche_sel),"")</f>
        <v/>
      </c>
    </row>
    <row r="718">
      <c r="A718" s="60" t="n"/>
      <c r="B718" s="60" t="n"/>
      <c r="C718" s="71" t="str">
        <f>IF(B718="","",IFERROR(INDEX(mat_des,MATCH(B718,mat_ref,0))&amp;"","Matière inconnue"))</f>
        <v/>
      </c>
      <c r="D718" s="69" t="str">
        <f>IF(B718="","",IFERROR(INDEX(mat_unit,MATCH(B718,mat_ref,0))&amp;"",""))</f>
        <v/>
      </c>
      <c r="E718" s="72" t="n"/>
      <c r="F718" s="65" t="n"/>
      <c r="G718" s="68" t="str">
        <f>IF(J718&lt;&gt;"OK","",IF(F718="",N(INDEX(mat_loss,MATCH(B718,mat_ref,0))),F718))</f>
        <v/>
      </c>
      <c r="H718" s="66" t="str">
        <f>IF(J718&lt;&gt;"OK","",INDEX(mat_price,MATCH(B718,mat_ref,0)))</f>
        <v/>
      </c>
      <c r="I718" s="66" t="str">
        <f>IF(J718&lt;&gt;"OK","",E718*(1+G718)*H718)</f>
        <v/>
      </c>
      <c r="J718" s="69" t="str">
        <f>IF(AND(A718="",B718=""),"",IF(A718="","Produit manquant",IF(COUNTIF(prod_ref,A718)=0,"Produit inconnu",IF(B718="","Matière manquante",IF(ISNA(MATCH(B718,mat_ref,0)),"Matière inconnue",IF(INDEX(mat_check,MATCH(B718,mat_ref,0))&lt;&gt;"OK","Matière à corriger",IF(OR(NOT(ISNUMBER(E718)),N(E718)&lt;=0),"Quantité invalide",IF(AND(F718&lt;&gt;"",OR(NOT(ISNUMBER(F718)),N(F718)&lt;0,N(F718)&gt;=1)),"Perte entre 0 et 99 %",IF(COUNTIFS(bom_prod,A718,bom_mat,B718)&gt;1,"Matière en double","OK")))))))))</f>
        <v/>
      </c>
      <c r="K718" s="71" t="str">
        <f>IF(AND(fiche_sel&lt;&gt;"",A718=fiche_sel),COUNTIF(A$6:A718,fiche_sel),"")</f>
        <v/>
      </c>
    </row>
    <row r="719">
      <c r="A719" s="60" t="n"/>
      <c r="B719" s="60" t="n"/>
      <c r="C719" s="71" t="str">
        <f>IF(B719="","",IFERROR(INDEX(mat_des,MATCH(B719,mat_ref,0))&amp;"","Matière inconnue"))</f>
        <v/>
      </c>
      <c r="D719" s="69" t="str">
        <f>IF(B719="","",IFERROR(INDEX(mat_unit,MATCH(B719,mat_ref,0))&amp;"",""))</f>
        <v/>
      </c>
      <c r="E719" s="72" t="n"/>
      <c r="F719" s="65" t="n"/>
      <c r="G719" s="68" t="str">
        <f>IF(J719&lt;&gt;"OK","",IF(F719="",N(INDEX(mat_loss,MATCH(B719,mat_ref,0))),F719))</f>
        <v/>
      </c>
      <c r="H719" s="66" t="str">
        <f>IF(J719&lt;&gt;"OK","",INDEX(mat_price,MATCH(B719,mat_ref,0)))</f>
        <v/>
      </c>
      <c r="I719" s="66" t="str">
        <f>IF(J719&lt;&gt;"OK","",E719*(1+G719)*H719)</f>
        <v/>
      </c>
      <c r="J719" s="69" t="str">
        <f>IF(AND(A719="",B719=""),"",IF(A719="","Produit manquant",IF(COUNTIF(prod_ref,A719)=0,"Produit inconnu",IF(B719="","Matière manquante",IF(ISNA(MATCH(B719,mat_ref,0)),"Matière inconnue",IF(INDEX(mat_check,MATCH(B719,mat_ref,0))&lt;&gt;"OK","Matière à corriger",IF(OR(NOT(ISNUMBER(E719)),N(E719)&lt;=0),"Quantité invalide",IF(AND(F719&lt;&gt;"",OR(NOT(ISNUMBER(F719)),N(F719)&lt;0,N(F719)&gt;=1)),"Perte entre 0 et 99 %",IF(COUNTIFS(bom_prod,A719,bom_mat,B719)&gt;1,"Matière en double","OK")))))))))</f>
        <v/>
      </c>
      <c r="K719" s="71" t="str">
        <f>IF(AND(fiche_sel&lt;&gt;"",A719=fiche_sel),COUNTIF(A$6:A719,fiche_sel),"")</f>
        <v/>
      </c>
    </row>
    <row r="720">
      <c r="A720" s="60" t="n"/>
      <c r="B720" s="60" t="n"/>
      <c r="C720" s="71" t="str">
        <f>IF(B720="","",IFERROR(INDEX(mat_des,MATCH(B720,mat_ref,0))&amp;"","Matière inconnue"))</f>
        <v/>
      </c>
      <c r="D720" s="69" t="str">
        <f>IF(B720="","",IFERROR(INDEX(mat_unit,MATCH(B720,mat_ref,0))&amp;"",""))</f>
        <v/>
      </c>
      <c r="E720" s="72" t="n"/>
      <c r="F720" s="65" t="n"/>
      <c r="G720" s="68" t="str">
        <f>IF(J720&lt;&gt;"OK","",IF(F720="",N(INDEX(mat_loss,MATCH(B720,mat_ref,0))),F720))</f>
        <v/>
      </c>
      <c r="H720" s="66" t="str">
        <f>IF(J720&lt;&gt;"OK","",INDEX(mat_price,MATCH(B720,mat_ref,0)))</f>
        <v/>
      </c>
      <c r="I720" s="66" t="str">
        <f>IF(J720&lt;&gt;"OK","",E720*(1+G720)*H720)</f>
        <v/>
      </c>
      <c r="J720" s="69" t="str">
        <f>IF(AND(A720="",B720=""),"",IF(A720="","Produit manquant",IF(COUNTIF(prod_ref,A720)=0,"Produit inconnu",IF(B720="","Matière manquante",IF(ISNA(MATCH(B720,mat_ref,0)),"Matière inconnue",IF(INDEX(mat_check,MATCH(B720,mat_ref,0))&lt;&gt;"OK","Matière à corriger",IF(OR(NOT(ISNUMBER(E720)),N(E720)&lt;=0),"Quantité invalide",IF(AND(F720&lt;&gt;"",OR(NOT(ISNUMBER(F720)),N(F720)&lt;0,N(F720)&gt;=1)),"Perte entre 0 et 99 %",IF(COUNTIFS(bom_prod,A720,bom_mat,B720)&gt;1,"Matière en double","OK")))))))))</f>
        <v/>
      </c>
      <c r="K720" s="71" t="str">
        <f>IF(AND(fiche_sel&lt;&gt;"",A720=fiche_sel),COUNTIF(A$6:A720,fiche_sel),"")</f>
        <v/>
      </c>
    </row>
    <row r="721">
      <c r="A721" s="60" t="n"/>
      <c r="B721" s="60" t="n"/>
      <c r="C721" s="71" t="str">
        <f>IF(B721="","",IFERROR(INDEX(mat_des,MATCH(B721,mat_ref,0))&amp;"","Matière inconnue"))</f>
        <v/>
      </c>
      <c r="D721" s="69" t="str">
        <f>IF(B721="","",IFERROR(INDEX(mat_unit,MATCH(B721,mat_ref,0))&amp;"",""))</f>
        <v/>
      </c>
      <c r="E721" s="72" t="n"/>
      <c r="F721" s="65" t="n"/>
      <c r="G721" s="68" t="str">
        <f>IF(J721&lt;&gt;"OK","",IF(F721="",N(INDEX(mat_loss,MATCH(B721,mat_ref,0))),F721))</f>
        <v/>
      </c>
      <c r="H721" s="66" t="str">
        <f>IF(J721&lt;&gt;"OK","",INDEX(mat_price,MATCH(B721,mat_ref,0)))</f>
        <v/>
      </c>
      <c r="I721" s="66" t="str">
        <f>IF(J721&lt;&gt;"OK","",E721*(1+G721)*H721)</f>
        <v/>
      </c>
      <c r="J721" s="69" t="str">
        <f>IF(AND(A721="",B721=""),"",IF(A721="","Produit manquant",IF(COUNTIF(prod_ref,A721)=0,"Produit inconnu",IF(B721="","Matière manquante",IF(ISNA(MATCH(B721,mat_ref,0)),"Matière inconnue",IF(INDEX(mat_check,MATCH(B721,mat_ref,0))&lt;&gt;"OK","Matière à corriger",IF(OR(NOT(ISNUMBER(E721)),N(E721)&lt;=0),"Quantité invalide",IF(AND(F721&lt;&gt;"",OR(NOT(ISNUMBER(F721)),N(F721)&lt;0,N(F721)&gt;=1)),"Perte entre 0 et 99 %",IF(COUNTIFS(bom_prod,A721,bom_mat,B721)&gt;1,"Matière en double","OK")))))))))</f>
        <v/>
      </c>
      <c r="K721" s="71" t="str">
        <f>IF(AND(fiche_sel&lt;&gt;"",A721=fiche_sel),COUNTIF(A$6:A721,fiche_sel),"")</f>
        <v/>
      </c>
    </row>
    <row r="722">
      <c r="A722" s="60" t="n"/>
      <c r="B722" s="60" t="n"/>
      <c r="C722" s="71" t="str">
        <f>IF(B722="","",IFERROR(INDEX(mat_des,MATCH(B722,mat_ref,0))&amp;"","Matière inconnue"))</f>
        <v/>
      </c>
      <c r="D722" s="69" t="str">
        <f>IF(B722="","",IFERROR(INDEX(mat_unit,MATCH(B722,mat_ref,0))&amp;"",""))</f>
        <v/>
      </c>
      <c r="E722" s="72" t="n"/>
      <c r="F722" s="65" t="n"/>
      <c r="G722" s="68" t="str">
        <f>IF(J722&lt;&gt;"OK","",IF(F722="",N(INDEX(mat_loss,MATCH(B722,mat_ref,0))),F722))</f>
        <v/>
      </c>
      <c r="H722" s="66" t="str">
        <f>IF(J722&lt;&gt;"OK","",INDEX(mat_price,MATCH(B722,mat_ref,0)))</f>
        <v/>
      </c>
      <c r="I722" s="66" t="str">
        <f>IF(J722&lt;&gt;"OK","",E722*(1+G722)*H722)</f>
        <v/>
      </c>
      <c r="J722" s="69" t="str">
        <f>IF(AND(A722="",B722=""),"",IF(A722="","Produit manquant",IF(COUNTIF(prod_ref,A722)=0,"Produit inconnu",IF(B722="","Matière manquante",IF(ISNA(MATCH(B722,mat_ref,0)),"Matière inconnue",IF(INDEX(mat_check,MATCH(B722,mat_ref,0))&lt;&gt;"OK","Matière à corriger",IF(OR(NOT(ISNUMBER(E722)),N(E722)&lt;=0),"Quantité invalide",IF(AND(F722&lt;&gt;"",OR(NOT(ISNUMBER(F722)),N(F722)&lt;0,N(F722)&gt;=1)),"Perte entre 0 et 99 %",IF(COUNTIFS(bom_prod,A722,bom_mat,B722)&gt;1,"Matière en double","OK")))))))))</f>
        <v/>
      </c>
      <c r="K722" s="71" t="str">
        <f>IF(AND(fiche_sel&lt;&gt;"",A722=fiche_sel),COUNTIF(A$6:A722,fiche_sel),"")</f>
        <v/>
      </c>
    </row>
    <row r="723">
      <c r="A723" s="60" t="n"/>
      <c r="B723" s="60" t="n"/>
      <c r="C723" s="71" t="str">
        <f>IF(B723="","",IFERROR(INDEX(mat_des,MATCH(B723,mat_ref,0))&amp;"","Matière inconnue"))</f>
        <v/>
      </c>
      <c r="D723" s="69" t="str">
        <f>IF(B723="","",IFERROR(INDEX(mat_unit,MATCH(B723,mat_ref,0))&amp;"",""))</f>
        <v/>
      </c>
      <c r="E723" s="72" t="n"/>
      <c r="F723" s="65" t="n"/>
      <c r="G723" s="68" t="str">
        <f>IF(J723&lt;&gt;"OK","",IF(F723="",N(INDEX(mat_loss,MATCH(B723,mat_ref,0))),F723))</f>
        <v/>
      </c>
      <c r="H723" s="66" t="str">
        <f>IF(J723&lt;&gt;"OK","",INDEX(mat_price,MATCH(B723,mat_ref,0)))</f>
        <v/>
      </c>
      <c r="I723" s="66" t="str">
        <f>IF(J723&lt;&gt;"OK","",E723*(1+G723)*H723)</f>
        <v/>
      </c>
      <c r="J723" s="69" t="str">
        <f>IF(AND(A723="",B723=""),"",IF(A723="","Produit manquant",IF(COUNTIF(prod_ref,A723)=0,"Produit inconnu",IF(B723="","Matière manquante",IF(ISNA(MATCH(B723,mat_ref,0)),"Matière inconnue",IF(INDEX(mat_check,MATCH(B723,mat_ref,0))&lt;&gt;"OK","Matière à corriger",IF(OR(NOT(ISNUMBER(E723)),N(E723)&lt;=0),"Quantité invalide",IF(AND(F723&lt;&gt;"",OR(NOT(ISNUMBER(F723)),N(F723)&lt;0,N(F723)&gt;=1)),"Perte entre 0 et 99 %",IF(COUNTIFS(bom_prod,A723,bom_mat,B723)&gt;1,"Matière en double","OK")))))))))</f>
        <v/>
      </c>
      <c r="K723" s="71" t="str">
        <f>IF(AND(fiche_sel&lt;&gt;"",A723=fiche_sel),COUNTIF(A$6:A723,fiche_sel),"")</f>
        <v/>
      </c>
    </row>
    <row r="724">
      <c r="A724" s="60" t="n"/>
      <c r="B724" s="60" t="n"/>
      <c r="C724" s="71" t="str">
        <f>IF(B724="","",IFERROR(INDEX(mat_des,MATCH(B724,mat_ref,0))&amp;"","Matière inconnue"))</f>
        <v/>
      </c>
      <c r="D724" s="69" t="str">
        <f>IF(B724="","",IFERROR(INDEX(mat_unit,MATCH(B724,mat_ref,0))&amp;"",""))</f>
        <v/>
      </c>
      <c r="E724" s="72" t="n"/>
      <c r="F724" s="65" t="n"/>
      <c r="G724" s="68" t="str">
        <f>IF(J724&lt;&gt;"OK","",IF(F724="",N(INDEX(mat_loss,MATCH(B724,mat_ref,0))),F724))</f>
        <v/>
      </c>
      <c r="H724" s="66" t="str">
        <f>IF(J724&lt;&gt;"OK","",INDEX(mat_price,MATCH(B724,mat_ref,0)))</f>
        <v/>
      </c>
      <c r="I724" s="66" t="str">
        <f>IF(J724&lt;&gt;"OK","",E724*(1+G724)*H724)</f>
        <v/>
      </c>
      <c r="J724" s="69" t="str">
        <f>IF(AND(A724="",B724=""),"",IF(A724="","Produit manquant",IF(COUNTIF(prod_ref,A724)=0,"Produit inconnu",IF(B724="","Matière manquante",IF(ISNA(MATCH(B724,mat_ref,0)),"Matière inconnue",IF(INDEX(mat_check,MATCH(B724,mat_ref,0))&lt;&gt;"OK","Matière à corriger",IF(OR(NOT(ISNUMBER(E724)),N(E724)&lt;=0),"Quantité invalide",IF(AND(F724&lt;&gt;"",OR(NOT(ISNUMBER(F724)),N(F724)&lt;0,N(F724)&gt;=1)),"Perte entre 0 et 99 %",IF(COUNTIFS(bom_prod,A724,bom_mat,B724)&gt;1,"Matière en double","OK")))))))))</f>
        <v/>
      </c>
      <c r="K724" s="71" t="str">
        <f>IF(AND(fiche_sel&lt;&gt;"",A724=fiche_sel),COUNTIF(A$6:A724,fiche_sel),"")</f>
        <v/>
      </c>
    </row>
    <row r="725">
      <c r="A725" s="60" t="n"/>
      <c r="B725" s="60" t="n"/>
      <c r="C725" s="71" t="str">
        <f>IF(B725="","",IFERROR(INDEX(mat_des,MATCH(B725,mat_ref,0))&amp;"","Matière inconnue"))</f>
        <v/>
      </c>
      <c r="D725" s="69" t="str">
        <f>IF(B725="","",IFERROR(INDEX(mat_unit,MATCH(B725,mat_ref,0))&amp;"",""))</f>
        <v/>
      </c>
      <c r="E725" s="72" t="n"/>
      <c r="F725" s="65" t="n"/>
      <c r="G725" s="68" t="str">
        <f>IF(J725&lt;&gt;"OK","",IF(F725="",N(INDEX(mat_loss,MATCH(B725,mat_ref,0))),F725))</f>
        <v/>
      </c>
      <c r="H725" s="66" t="str">
        <f>IF(J725&lt;&gt;"OK","",INDEX(mat_price,MATCH(B725,mat_ref,0)))</f>
        <v/>
      </c>
      <c r="I725" s="66" t="str">
        <f>IF(J725&lt;&gt;"OK","",E725*(1+G725)*H725)</f>
        <v/>
      </c>
      <c r="J725" s="69" t="str">
        <f>IF(AND(A725="",B725=""),"",IF(A725="","Produit manquant",IF(COUNTIF(prod_ref,A725)=0,"Produit inconnu",IF(B725="","Matière manquante",IF(ISNA(MATCH(B725,mat_ref,0)),"Matière inconnue",IF(INDEX(mat_check,MATCH(B725,mat_ref,0))&lt;&gt;"OK","Matière à corriger",IF(OR(NOT(ISNUMBER(E725)),N(E725)&lt;=0),"Quantité invalide",IF(AND(F725&lt;&gt;"",OR(NOT(ISNUMBER(F725)),N(F725)&lt;0,N(F725)&gt;=1)),"Perte entre 0 et 99 %",IF(COUNTIFS(bom_prod,A725,bom_mat,B725)&gt;1,"Matière en double","OK")))))))))</f>
        <v/>
      </c>
      <c r="K725" s="71" t="str">
        <f>IF(AND(fiche_sel&lt;&gt;"",A725=fiche_sel),COUNTIF(A$6:A725,fiche_sel),"")</f>
        <v/>
      </c>
    </row>
    <row r="726">
      <c r="A726" s="60" t="n"/>
      <c r="B726" s="60" t="n"/>
      <c r="C726" s="71" t="str">
        <f>IF(B726="","",IFERROR(INDEX(mat_des,MATCH(B726,mat_ref,0))&amp;"","Matière inconnue"))</f>
        <v/>
      </c>
      <c r="D726" s="69" t="str">
        <f>IF(B726="","",IFERROR(INDEX(mat_unit,MATCH(B726,mat_ref,0))&amp;"",""))</f>
        <v/>
      </c>
      <c r="E726" s="72" t="n"/>
      <c r="F726" s="65" t="n"/>
      <c r="G726" s="68" t="str">
        <f>IF(J726&lt;&gt;"OK","",IF(F726="",N(INDEX(mat_loss,MATCH(B726,mat_ref,0))),F726))</f>
        <v/>
      </c>
      <c r="H726" s="66" t="str">
        <f>IF(J726&lt;&gt;"OK","",INDEX(mat_price,MATCH(B726,mat_ref,0)))</f>
        <v/>
      </c>
      <c r="I726" s="66" t="str">
        <f>IF(J726&lt;&gt;"OK","",E726*(1+G726)*H726)</f>
        <v/>
      </c>
      <c r="J726" s="69" t="str">
        <f>IF(AND(A726="",B726=""),"",IF(A726="","Produit manquant",IF(COUNTIF(prod_ref,A726)=0,"Produit inconnu",IF(B726="","Matière manquante",IF(ISNA(MATCH(B726,mat_ref,0)),"Matière inconnue",IF(INDEX(mat_check,MATCH(B726,mat_ref,0))&lt;&gt;"OK","Matière à corriger",IF(OR(NOT(ISNUMBER(E726)),N(E726)&lt;=0),"Quantité invalide",IF(AND(F726&lt;&gt;"",OR(NOT(ISNUMBER(F726)),N(F726)&lt;0,N(F726)&gt;=1)),"Perte entre 0 et 99 %",IF(COUNTIFS(bom_prod,A726,bom_mat,B726)&gt;1,"Matière en double","OK")))))))))</f>
        <v/>
      </c>
      <c r="K726" s="71" t="str">
        <f>IF(AND(fiche_sel&lt;&gt;"",A726=fiche_sel),COUNTIF(A$6:A726,fiche_sel),"")</f>
        <v/>
      </c>
    </row>
    <row r="727">
      <c r="A727" s="60" t="n"/>
      <c r="B727" s="60" t="n"/>
      <c r="C727" s="71" t="str">
        <f>IF(B727="","",IFERROR(INDEX(mat_des,MATCH(B727,mat_ref,0))&amp;"","Matière inconnue"))</f>
        <v/>
      </c>
      <c r="D727" s="69" t="str">
        <f>IF(B727="","",IFERROR(INDEX(mat_unit,MATCH(B727,mat_ref,0))&amp;"",""))</f>
        <v/>
      </c>
      <c r="E727" s="72" t="n"/>
      <c r="F727" s="65" t="n"/>
      <c r="G727" s="68" t="str">
        <f>IF(J727&lt;&gt;"OK","",IF(F727="",N(INDEX(mat_loss,MATCH(B727,mat_ref,0))),F727))</f>
        <v/>
      </c>
      <c r="H727" s="66" t="str">
        <f>IF(J727&lt;&gt;"OK","",INDEX(mat_price,MATCH(B727,mat_ref,0)))</f>
        <v/>
      </c>
      <c r="I727" s="66" t="str">
        <f>IF(J727&lt;&gt;"OK","",E727*(1+G727)*H727)</f>
        <v/>
      </c>
      <c r="J727" s="69" t="str">
        <f>IF(AND(A727="",B727=""),"",IF(A727="","Produit manquant",IF(COUNTIF(prod_ref,A727)=0,"Produit inconnu",IF(B727="","Matière manquante",IF(ISNA(MATCH(B727,mat_ref,0)),"Matière inconnue",IF(INDEX(mat_check,MATCH(B727,mat_ref,0))&lt;&gt;"OK","Matière à corriger",IF(OR(NOT(ISNUMBER(E727)),N(E727)&lt;=0),"Quantité invalide",IF(AND(F727&lt;&gt;"",OR(NOT(ISNUMBER(F727)),N(F727)&lt;0,N(F727)&gt;=1)),"Perte entre 0 et 99 %",IF(COUNTIFS(bom_prod,A727,bom_mat,B727)&gt;1,"Matière en double","OK")))))))))</f>
        <v/>
      </c>
      <c r="K727" s="71" t="str">
        <f>IF(AND(fiche_sel&lt;&gt;"",A727=fiche_sel),COUNTIF(A$6:A727,fiche_sel),"")</f>
        <v/>
      </c>
    </row>
    <row r="728">
      <c r="A728" s="60" t="n"/>
      <c r="B728" s="60" t="n"/>
      <c r="C728" s="71" t="str">
        <f>IF(B728="","",IFERROR(INDEX(mat_des,MATCH(B728,mat_ref,0))&amp;"","Matière inconnue"))</f>
        <v/>
      </c>
      <c r="D728" s="69" t="str">
        <f>IF(B728="","",IFERROR(INDEX(mat_unit,MATCH(B728,mat_ref,0))&amp;"",""))</f>
        <v/>
      </c>
      <c r="E728" s="72" t="n"/>
      <c r="F728" s="65" t="n"/>
      <c r="G728" s="68" t="str">
        <f>IF(J728&lt;&gt;"OK","",IF(F728="",N(INDEX(mat_loss,MATCH(B728,mat_ref,0))),F728))</f>
        <v/>
      </c>
      <c r="H728" s="66" t="str">
        <f>IF(J728&lt;&gt;"OK","",INDEX(mat_price,MATCH(B728,mat_ref,0)))</f>
        <v/>
      </c>
      <c r="I728" s="66" t="str">
        <f>IF(J728&lt;&gt;"OK","",E728*(1+G728)*H728)</f>
        <v/>
      </c>
      <c r="J728" s="69" t="str">
        <f>IF(AND(A728="",B728=""),"",IF(A728="","Produit manquant",IF(COUNTIF(prod_ref,A728)=0,"Produit inconnu",IF(B728="","Matière manquante",IF(ISNA(MATCH(B728,mat_ref,0)),"Matière inconnue",IF(INDEX(mat_check,MATCH(B728,mat_ref,0))&lt;&gt;"OK","Matière à corriger",IF(OR(NOT(ISNUMBER(E728)),N(E728)&lt;=0),"Quantité invalide",IF(AND(F728&lt;&gt;"",OR(NOT(ISNUMBER(F728)),N(F728)&lt;0,N(F728)&gt;=1)),"Perte entre 0 et 99 %",IF(COUNTIFS(bom_prod,A728,bom_mat,B728)&gt;1,"Matière en double","OK")))))))))</f>
        <v/>
      </c>
      <c r="K728" s="71" t="str">
        <f>IF(AND(fiche_sel&lt;&gt;"",A728=fiche_sel),COUNTIF(A$6:A728,fiche_sel),"")</f>
        <v/>
      </c>
    </row>
    <row r="729">
      <c r="A729" s="60" t="n"/>
      <c r="B729" s="60" t="n"/>
      <c r="C729" s="71" t="str">
        <f>IF(B729="","",IFERROR(INDEX(mat_des,MATCH(B729,mat_ref,0))&amp;"","Matière inconnue"))</f>
        <v/>
      </c>
      <c r="D729" s="69" t="str">
        <f>IF(B729="","",IFERROR(INDEX(mat_unit,MATCH(B729,mat_ref,0))&amp;"",""))</f>
        <v/>
      </c>
      <c r="E729" s="72" t="n"/>
      <c r="F729" s="65" t="n"/>
      <c r="G729" s="68" t="str">
        <f>IF(J729&lt;&gt;"OK","",IF(F729="",N(INDEX(mat_loss,MATCH(B729,mat_ref,0))),F729))</f>
        <v/>
      </c>
      <c r="H729" s="66" t="str">
        <f>IF(J729&lt;&gt;"OK","",INDEX(mat_price,MATCH(B729,mat_ref,0)))</f>
        <v/>
      </c>
      <c r="I729" s="66" t="str">
        <f>IF(J729&lt;&gt;"OK","",E729*(1+G729)*H729)</f>
        <v/>
      </c>
      <c r="J729" s="69" t="str">
        <f>IF(AND(A729="",B729=""),"",IF(A729="","Produit manquant",IF(COUNTIF(prod_ref,A729)=0,"Produit inconnu",IF(B729="","Matière manquante",IF(ISNA(MATCH(B729,mat_ref,0)),"Matière inconnue",IF(INDEX(mat_check,MATCH(B729,mat_ref,0))&lt;&gt;"OK","Matière à corriger",IF(OR(NOT(ISNUMBER(E729)),N(E729)&lt;=0),"Quantité invalide",IF(AND(F729&lt;&gt;"",OR(NOT(ISNUMBER(F729)),N(F729)&lt;0,N(F729)&gt;=1)),"Perte entre 0 et 99 %",IF(COUNTIFS(bom_prod,A729,bom_mat,B729)&gt;1,"Matière en double","OK")))))))))</f>
        <v/>
      </c>
      <c r="K729" s="71" t="str">
        <f>IF(AND(fiche_sel&lt;&gt;"",A729=fiche_sel),COUNTIF(A$6:A729,fiche_sel),"")</f>
        <v/>
      </c>
    </row>
    <row r="730">
      <c r="A730" s="60" t="n"/>
      <c r="B730" s="60" t="n"/>
      <c r="C730" s="71" t="str">
        <f>IF(B730="","",IFERROR(INDEX(mat_des,MATCH(B730,mat_ref,0))&amp;"","Matière inconnue"))</f>
        <v/>
      </c>
      <c r="D730" s="69" t="str">
        <f>IF(B730="","",IFERROR(INDEX(mat_unit,MATCH(B730,mat_ref,0))&amp;"",""))</f>
        <v/>
      </c>
      <c r="E730" s="72" t="n"/>
      <c r="F730" s="65" t="n"/>
      <c r="G730" s="68" t="str">
        <f>IF(J730&lt;&gt;"OK","",IF(F730="",N(INDEX(mat_loss,MATCH(B730,mat_ref,0))),F730))</f>
        <v/>
      </c>
      <c r="H730" s="66" t="str">
        <f>IF(J730&lt;&gt;"OK","",INDEX(mat_price,MATCH(B730,mat_ref,0)))</f>
        <v/>
      </c>
      <c r="I730" s="66" t="str">
        <f>IF(J730&lt;&gt;"OK","",E730*(1+G730)*H730)</f>
        <v/>
      </c>
      <c r="J730" s="69" t="str">
        <f>IF(AND(A730="",B730=""),"",IF(A730="","Produit manquant",IF(COUNTIF(prod_ref,A730)=0,"Produit inconnu",IF(B730="","Matière manquante",IF(ISNA(MATCH(B730,mat_ref,0)),"Matière inconnue",IF(INDEX(mat_check,MATCH(B730,mat_ref,0))&lt;&gt;"OK","Matière à corriger",IF(OR(NOT(ISNUMBER(E730)),N(E730)&lt;=0),"Quantité invalide",IF(AND(F730&lt;&gt;"",OR(NOT(ISNUMBER(F730)),N(F730)&lt;0,N(F730)&gt;=1)),"Perte entre 0 et 99 %",IF(COUNTIFS(bom_prod,A730,bom_mat,B730)&gt;1,"Matière en double","OK")))))))))</f>
        <v/>
      </c>
      <c r="K730" s="71" t="str">
        <f>IF(AND(fiche_sel&lt;&gt;"",A730=fiche_sel),COUNTIF(A$6:A730,fiche_sel),"")</f>
        <v/>
      </c>
    </row>
    <row r="731">
      <c r="A731" s="60" t="n"/>
      <c r="B731" s="60" t="n"/>
      <c r="C731" s="71" t="str">
        <f>IF(B731="","",IFERROR(INDEX(mat_des,MATCH(B731,mat_ref,0))&amp;"","Matière inconnue"))</f>
        <v/>
      </c>
      <c r="D731" s="69" t="str">
        <f>IF(B731="","",IFERROR(INDEX(mat_unit,MATCH(B731,mat_ref,0))&amp;"",""))</f>
        <v/>
      </c>
      <c r="E731" s="72" t="n"/>
      <c r="F731" s="65" t="n"/>
      <c r="G731" s="68" t="str">
        <f>IF(J731&lt;&gt;"OK","",IF(F731="",N(INDEX(mat_loss,MATCH(B731,mat_ref,0))),F731))</f>
        <v/>
      </c>
      <c r="H731" s="66" t="str">
        <f>IF(J731&lt;&gt;"OK","",INDEX(mat_price,MATCH(B731,mat_ref,0)))</f>
        <v/>
      </c>
      <c r="I731" s="66" t="str">
        <f>IF(J731&lt;&gt;"OK","",E731*(1+G731)*H731)</f>
        <v/>
      </c>
      <c r="J731" s="69" t="str">
        <f>IF(AND(A731="",B731=""),"",IF(A731="","Produit manquant",IF(COUNTIF(prod_ref,A731)=0,"Produit inconnu",IF(B731="","Matière manquante",IF(ISNA(MATCH(B731,mat_ref,0)),"Matière inconnue",IF(INDEX(mat_check,MATCH(B731,mat_ref,0))&lt;&gt;"OK","Matière à corriger",IF(OR(NOT(ISNUMBER(E731)),N(E731)&lt;=0),"Quantité invalide",IF(AND(F731&lt;&gt;"",OR(NOT(ISNUMBER(F731)),N(F731)&lt;0,N(F731)&gt;=1)),"Perte entre 0 et 99 %",IF(COUNTIFS(bom_prod,A731,bom_mat,B731)&gt;1,"Matière en double","OK")))))))))</f>
        <v/>
      </c>
      <c r="K731" s="71" t="str">
        <f>IF(AND(fiche_sel&lt;&gt;"",A731=fiche_sel),COUNTIF(A$6:A731,fiche_sel),"")</f>
        <v/>
      </c>
    </row>
    <row r="732">
      <c r="A732" s="60" t="n"/>
      <c r="B732" s="60" t="n"/>
      <c r="C732" s="71" t="str">
        <f>IF(B732="","",IFERROR(INDEX(mat_des,MATCH(B732,mat_ref,0))&amp;"","Matière inconnue"))</f>
        <v/>
      </c>
      <c r="D732" s="69" t="str">
        <f>IF(B732="","",IFERROR(INDEX(mat_unit,MATCH(B732,mat_ref,0))&amp;"",""))</f>
        <v/>
      </c>
      <c r="E732" s="72" t="n"/>
      <c r="F732" s="65" t="n"/>
      <c r="G732" s="68" t="str">
        <f>IF(J732&lt;&gt;"OK","",IF(F732="",N(INDEX(mat_loss,MATCH(B732,mat_ref,0))),F732))</f>
        <v/>
      </c>
      <c r="H732" s="66" t="str">
        <f>IF(J732&lt;&gt;"OK","",INDEX(mat_price,MATCH(B732,mat_ref,0)))</f>
        <v/>
      </c>
      <c r="I732" s="66" t="str">
        <f>IF(J732&lt;&gt;"OK","",E732*(1+G732)*H732)</f>
        <v/>
      </c>
      <c r="J732" s="69" t="str">
        <f>IF(AND(A732="",B732=""),"",IF(A732="","Produit manquant",IF(COUNTIF(prod_ref,A732)=0,"Produit inconnu",IF(B732="","Matière manquante",IF(ISNA(MATCH(B732,mat_ref,0)),"Matière inconnue",IF(INDEX(mat_check,MATCH(B732,mat_ref,0))&lt;&gt;"OK","Matière à corriger",IF(OR(NOT(ISNUMBER(E732)),N(E732)&lt;=0),"Quantité invalide",IF(AND(F732&lt;&gt;"",OR(NOT(ISNUMBER(F732)),N(F732)&lt;0,N(F732)&gt;=1)),"Perte entre 0 et 99 %",IF(COUNTIFS(bom_prod,A732,bom_mat,B732)&gt;1,"Matière en double","OK")))))))))</f>
        <v/>
      </c>
      <c r="K732" s="71" t="str">
        <f>IF(AND(fiche_sel&lt;&gt;"",A732=fiche_sel),COUNTIF(A$6:A732,fiche_sel),"")</f>
        <v/>
      </c>
    </row>
    <row r="733">
      <c r="A733" s="60" t="n"/>
      <c r="B733" s="60" t="n"/>
      <c r="C733" s="71" t="str">
        <f>IF(B733="","",IFERROR(INDEX(mat_des,MATCH(B733,mat_ref,0))&amp;"","Matière inconnue"))</f>
        <v/>
      </c>
      <c r="D733" s="69" t="str">
        <f>IF(B733="","",IFERROR(INDEX(mat_unit,MATCH(B733,mat_ref,0))&amp;"",""))</f>
        <v/>
      </c>
      <c r="E733" s="72" t="n"/>
      <c r="F733" s="65" t="n"/>
      <c r="G733" s="68" t="str">
        <f>IF(J733&lt;&gt;"OK","",IF(F733="",N(INDEX(mat_loss,MATCH(B733,mat_ref,0))),F733))</f>
        <v/>
      </c>
      <c r="H733" s="66" t="str">
        <f>IF(J733&lt;&gt;"OK","",INDEX(mat_price,MATCH(B733,mat_ref,0)))</f>
        <v/>
      </c>
      <c r="I733" s="66" t="str">
        <f>IF(J733&lt;&gt;"OK","",E733*(1+G733)*H733)</f>
        <v/>
      </c>
      <c r="J733" s="69" t="str">
        <f>IF(AND(A733="",B733=""),"",IF(A733="","Produit manquant",IF(COUNTIF(prod_ref,A733)=0,"Produit inconnu",IF(B733="","Matière manquante",IF(ISNA(MATCH(B733,mat_ref,0)),"Matière inconnue",IF(INDEX(mat_check,MATCH(B733,mat_ref,0))&lt;&gt;"OK","Matière à corriger",IF(OR(NOT(ISNUMBER(E733)),N(E733)&lt;=0),"Quantité invalide",IF(AND(F733&lt;&gt;"",OR(NOT(ISNUMBER(F733)),N(F733)&lt;0,N(F733)&gt;=1)),"Perte entre 0 et 99 %",IF(COUNTIFS(bom_prod,A733,bom_mat,B733)&gt;1,"Matière en double","OK")))))))))</f>
        <v/>
      </c>
      <c r="K733" s="71" t="str">
        <f>IF(AND(fiche_sel&lt;&gt;"",A733=fiche_sel),COUNTIF(A$6:A733,fiche_sel),"")</f>
        <v/>
      </c>
    </row>
    <row r="734">
      <c r="A734" s="60" t="n"/>
      <c r="B734" s="60" t="n"/>
      <c r="C734" s="71" t="str">
        <f>IF(B734="","",IFERROR(INDEX(mat_des,MATCH(B734,mat_ref,0))&amp;"","Matière inconnue"))</f>
        <v/>
      </c>
      <c r="D734" s="69" t="str">
        <f>IF(B734="","",IFERROR(INDEX(mat_unit,MATCH(B734,mat_ref,0))&amp;"",""))</f>
        <v/>
      </c>
      <c r="E734" s="72" t="n"/>
      <c r="F734" s="65" t="n"/>
      <c r="G734" s="68" t="str">
        <f>IF(J734&lt;&gt;"OK","",IF(F734="",N(INDEX(mat_loss,MATCH(B734,mat_ref,0))),F734))</f>
        <v/>
      </c>
      <c r="H734" s="66" t="str">
        <f>IF(J734&lt;&gt;"OK","",INDEX(mat_price,MATCH(B734,mat_ref,0)))</f>
        <v/>
      </c>
      <c r="I734" s="66" t="str">
        <f>IF(J734&lt;&gt;"OK","",E734*(1+G734)*H734)</f>
        <v/>
      </c>
      <c r="J734" s="69" t="str">
        <f>IF(AND(A734="",B734=""),"",IF(A734="","Produit manquant",IF(COUNTIF(prod_ref,A734)=0,"Produit inconnu",IF(B734="","Matière manquante",IF(ISNA(MATCH(B734,mat_ref,0)),"Matière inconnue",IF(INDEX(mat_check,MATCH(B734,mat_ref,0))&lt;&gt;"OK","Matière à corriger",IF(OR(NOT(ISNUMBER(E734)),N(E734)&lt;=0),"Quantité invalide",IF(AND(F734&lt;&gt;"",OR(NOT(ISNUMBER(F734)),N(F734)&lt;0,N(F734)&gt;=1)),"Perte entre 0 et 99 %",IF(COUNTIFS(bom_prod,A734,bom_mat,B734)&gt;1,"Matière en double","OK")))))))))</f>
        <v/>
      </c>
      <c r="K734" s="71" t="str">
        <f>IF(AND(fiche_sel&lt;&gt;"",A734=fiche_sel),COUNTIF(A$6:A734,fiche_sel),"")</f>
        <v/>
      </c>
    </row>
    <row r="735">
      <c r="A735" s="60" t="n"/>
      <c r="B735" s="60" t="n"/>
      <c r="C735" s="71" t="str">
        <f>IF(B735="","",IFERROR(INDEX(mat_des,MATCH(B735,mat_ref,0))&amp;"","Matière inconnue"))</f>
        <v/>
      </c>
      <c r="D735" s="69" t="str">
        <f>IF(B735="","",IFERROR(INDEX(mat_unit,MATCH(B735,mat_ref,0))&amp;"",""))</f>
        <v/>
      </c>
      <c r="E735" s="72" t="n"/>
      <c r="F735" s="65" t="n"/>
      <c r="G735" s="68" t="str">
        <f>IF(J735&lt;&gt;"OK","",IF(F735="",N(INDEX(mat_loss,MATCH(B735,mat_ref,0))),F735))</f>
        <v/>
      </c>
      <c r="H735" s="66" t="str">
        <f>IF(J735&lt;&gt;"OK","",INDEX(mat_price,MATCH(B735,mat_ref,0)))</f>
        <v/>
      </c>
      <c r="I735" s="66" t="str">
        <f>IF(J735&lt;&gt;"OK","",E735*(1+G735)*H735)</f>
        <v/>
      </c>
      <c r="J735" s="69" t="str">
        <f>IF(AND(A735="",B735=""),"",IF(A735="","Produit manquant",IF(COUNTIF(prod_ref,A735)=0,"Produit inconnu",IF(B735="","Matière manquante",IF(ISNA(MATCH(B735,mat_ref,0)),"Matière inconnue",IF(INDEX(mat_check,MATCH(B735,mat_ref,0))&lt;&gt;"OK","Matière à corriger",IF(OR(NOT(ISNUMBER(E735)),N(E735)&lt;=0),"Quantité invalide",IF(AND(F735&lt;&gt;"",OR(NOT(ISNUMBER(F735)),N(F735)&lt;0,N(F735)&gt;=1)),"Perte entre 0 et 99 %",IF(COUNTIFS(bom_prod,A735,bom_mat,B735)&gt;1,"Matière en double","OK")))))))))</f>
        <v/>
      </c>
      <c r="K735" s="71" t="str">
        <f>IF(AND(fiche_sel&lt;&gt;"",A735=fiche_sel),COUNTIF(A$6:A735,fiche_sel),"")</f>
        <v/>
      </c>
    </row>
    <row r="736">
      <c r="A736" s="60" t="n"/>
      <c r="B736" s="60" t="n"/>
      <c r="C736" s="71" t="str">
        <f>IF(B736="","",IFERROR(INDEX(mat_des,MATCH(B736,mat_ref,0))&amp;"","Matière inconnue"))</f>
        <v/>
      </c>
      <c r="D736" s="69" t="str">
        <f>IF(B736="","",IFERROR(INDEX(mat_unit,MATCH(B736,mat_ref,0))&amp;"",""))</f>
        <v/>
      </c>
      <c r="E736" s="72" t="n"/>
      <c r="F736" s="65" t="n"/>
      <c r="G736" s="68" t="str">
        <f>IF(J736&lt;&gt;"OK","",IF(F736="",N(INDEX(mat_loss,MATCH(B736,mat_ref,0))),F736))</f>
        <v/>
      </c>
      <c r="H736" s="66" t="str">
        <f>IF(J736&lt;&gt;"OK","",INDEX(mat_price,MATCH(B736,mat_ref,0)))</f>
        <v/>
      </c>
      <c r="I736" s="66" t="str">
        <f>IF(J736&lt;&gt;"OK","",E736*(1+G736)*H736)</f>
        <v/>
      </c>
      <c r="J736" s="69" t="str">
        <f>IF(AND(A736="",B736=""),"",IF(A736="","Produit manquant",IF(COUNTIF(prod_ref,A736)=0,"Produit inconnu",IF(B736="","Matière manquante",IF(ISNA(MATCH(B736,mat_ref,0)),"Matière inconnue",IF(INDEX(mat_check,MATCH(B736,mat_ref,0))&lt;&gt;"OK","Matière à corriger",IF(OR(NOT(ISNUMBER(E736)),N(E736)&lt;=0),"Quantité invalide",IF(AND(F736&lt;&gt;"",OR(NOT(ISNUMBER(F736)),N(F736)&lt;0,N(F736)&gt;=1)),"Perte entre 0 et 99 %",IF(COUNTIFS(bom_prod,A736,bom_mat,B736)&gt;1,"Matière en double","OK")))))))))</f>
        <v/>
      </c>
      <c r="K736" s="71" t="str">
        <f>IF(AND(fiche_sel&lt;&gt;"",A736=fiche_sel),COUNTIF(A$6:A736,fiche_sel),"")</f>
        <v/>
      </c>
    </row>
    <row r="737">
      <c r="A737" s="60" t="n"/>
      <c r="B737" s="60" t="n"/>
      <c r="C737" s="71" t="str">
        <f>IF(B737="","",IFERROR(INDEX(mat_des,MATCH(B737,mat_ref,0))&amp;"","Matière inconnue"))</f>
        <v/>
      </c>
      <c r="D737" s="69" t="str">
        <f>IF(B737="","",IFERROR(INDEX(mat_unit,MATCH(B737,mat_ref,0))&amp;"",""))</f>
        <v/>
      </c>
      <c r="E737" s="72" t="n"/>
      <c r="F737" s="65" t="n"/>
      <c r="G737" s="68" t="str">
        <f>IF(J737&lt;&gt;"OK","",IF(F737="",N(INDEX(mat_loss,MATCH(B737,mat_ref,0))),F737))</f>
        <v/>
      </c>
      <c r="H737" s="66" t="str">
        <f>IF(J737&lt;&gt;"OK","",INDEX(mat_price,MATCH(B737,mat_ref,0)))</f>
        <v/>
      </c>
      <c r="I737" s="66" t="str">
        <f>IF(J737&lt;&gt;"OK","",E737*(1+G737)*H737)</f>
        <v/>
      </c>
      <c r="J737" s="69" t="str">
        <f>IF(AND(A737="",B737=""),"",IF(A737="","Produit manquant",IF(COUNTIF(prod_ref,A737)=0,"Produit inconnu",IF(B737="","Matière manquante",IF(ISNA(MATCH(B737,mat_ref,0)),"Matière inconnue",IF(INDEX(mat_check,MATCH(B737,mat_ref,0))&lt;&gt;"OK","Matière à corriger",IF(OR(NOT(ISNUMBER(E737)),N(E737)&lt;=0),"Quantité invalide",IF(AND(F737&lt;&gt;"",OR(NOT(ISNUMBER(F737)),N(F737)&lt;0,N(F737)&gt;=1)),"Perte entre 0 et 99 %",IF(COUNTIFS(bom_prod,A737,bom_mat,B737)&gt;1,"Matière en double","OK")))))))))</f>
        <v/>
      </c>
      <c r="K737" s="71" t="str">
        <f>IF(AND(fiche_sel&lt;&gt;"",A737=fiche_sel),COUNTIF(A$6:A737,fiche_sel),"")</f>
        <v/>
      </c>
    </row>
    <row r="738">
      <c r="A738" s="60" t="n"/>
      <c r="B738" s="60" t="n"/>
      <c r="C738" s="71" t="str">
        <f>IF(B738="","",IFERROR(INDEX(mat_des,MATCH(B738,mat_ref,0))&amp;"","Matière inconnue"))</f>
        <v/>
      </c>
      <c r="D738" s="69" t="str">
        <f>IF(B738="","",IFERROR(INDEX(mat_unit,MATCH(B738,mat_ref,0))&amp;"",""))</f>
        <v/>
      </c>
      <c r="E738" s="72" t="n"/>
      <c r="F738" s="65" t="n"/>
      <c r="G738" s="68" t="str">
        <f>IF(J738&lt;&gt;"OK","",IF(F738="",N(INDEX(mat_loss,MATCH(B738,mat_ref,0))),F738))</f>
        <v/>
      </c>
      <c r="H738" s="66" t="str">
        <f>IF(J738&lt;&gt;"OK","",INDEX(mat_price,MATCH(B738,mat_ref,0)))</f>
        <v/>
      </c>
      <c r="I738" s="66" t="str">
        <f>IF(J738&lt;&gt;"OK","",E738*(1+G738)*H738)</f>
        <v/>
      </c>
      <c r="J738" s="69" t="str">
        <f>IF(AND(A738="",B738=""),"",IF(A738="","Produit manquant",IF(COUNTIF(prod_ref,A738)=0,"Produit inconnu",IF(B738="","Matière manquante",IF(ISNA(MATCH(B738,mat_ref,0)),"Matière inconnue",IF(INDEX(mat_check,MATCH(B738,mat_ref,0))&lt;&gt;"OK","Matière à corriger",IF(OR(NOT(ISNUMBER(E738)),N(E738)&lt;=0),"Quantité invalide",IF(AND(F738&lt;&gt;"",OR(NOT(ISNUMBER(F738)),N(F738)&lt;0,N(F738)&gt;=1)),"Perte entre 0 et 99 %",IF(COUNTIFS(bom_prod,A738,bom_mat,B738)&gt;1,"Matière en double","OK")))))))))</f>
        <v/>
      </c>
      <c r="K738" s="71" t="str">
        <f>IF(AND(fiche_sel&lt;&gt;"",A738=fiche_sel),COUNTIF(A$6:A738,fiche_sel),"")</f>
        <v/>
      </c>
    </row>
    <row r="739">
      <c r="A739" s="60" t="n"/>
      <c r="B739" s="60" t="n"/>
      <c r="C739" s="71" t="str">
        <f>IF(B739="","",IFERROR(INDEX(mat_des,MATCH(B739,mat_ref,0))&amp;"","Matière inconnue"))</f>
        <v/>
      </c>
      <c r="D739" s="69" t="str">
        <f>IF(B739="","",IFERROR(INDEX(mat_unit,MATCH(B739,mat_ref,0))&amp;"",""))</f>
        <v/>
      </c>
      <c r="E739" s="72" t="n"/>
      <c r="F739" s="65" t="n"/>
      <c r="G739" s="68" t="str">
        <f>IF(J739&lt;&gt;"OK","",IF(F739="",N(INDEX(mat_loss,MATCH(B739,mat_ref,0))),F739))</f>
        <v/>
      </c>
      <c r="H739" s="66" t="str">
        <f>IF(J739&lt;&gt;"OK","",INDEX(mat_price,MATCH(B739,mat_ref,0)))</f>
        <v/>
      </c>
      <c r="I739" s="66" t="str">
        <f>IF(J739&lt;&gt;"OK","",E739*(1+G739)*H739)</f>
        <v/>
      </c>
      <c r="J739" s="69" t="str">
        <f>IF(AND(A739="",B739=""),"",IF(A739="","Produit manquant",IF(COUNTIF(prod_ref,A739)=0,"Produit inconnu",IF(B739="","Matière manquante",IF(ISNA(MATCH(B739,mat_ref,0)),"Matière inconnue",IF(INDEX(mat_check,MATCH(B739,mat_ref,0))&lt;&gt;"OK","Matière à corriger",IF(OR(NOT(ISNUMBER(E739)),N(E739)&lt;=0),"Quantité invalide",IF(AND(F739&lt;&gt;"",OR(NOT(ISNUMBER(F739)),N(F739)&lt;0,N(F739)&gt;=1)),"Perte entre 0 et 99 %",IF(COUNTIFS(bom_prod,A739,bom_mat,B739)&gt;1,"Matière en double","OK")))))))))</f>
        <v/>
      </c>
      <c r="K739" s="71" t="str">
        <f>IF(AND(fiche_sel&lt;&gt;"",A739=fiche_sel),COUNTIF(A$6:A739,fiche_sel),"")</f>
        <v/>
      </c>
    </row>
    <row r="740">
      <c r="A740" s="60" t="n"/>
      <c r="B740" s="60" t="n"/>
      <c r="C740" s="71" t="str">
        <f>IF(B740="","",IFERROR(INDEX(mat_des,MATCH(B740,mat_ref,0))&amp;"","Matière inconnue"))</f>
        <v/>
      </c>
      <c r="D740" s="69" t="str">
        <f>IF(B740="","",IFERROR(INDEX(mat_unit,MATCH(B740,mat_ref,0))&amp;"",""))</f>
        <v/>
      </c>
      <c r="E740" s="72" t="n"/>
      <c r="F740" s="65" t="n"/>
      <c r="G740" s="68" t="str">
        <f>IF(J740&lt;&gt;"OK","",IF(F740="",N(INDEX(mat_loss,MATCH(B740,mat_ref,0))),F740))</f>
        <v/>
      </c>
      <c r="H740" s="66" t="str">
        <f>IF(J740&lt;&gt;"OK","",INDEX(mat_price,MATCH(B740,mat_ref,0)))</f>
        <v/>
      </c>
      <c r="I740" s="66" t="str">
        <f>IF(J740&lt;&gt;"OK","",E740*(1+G740)*H740)</f>
        <v/>
      </c>
      <c r="J740" s="69" t="str">
        <f>IF(AND(A740="",B740=""),"",IF(A740="","Produit manquant",IF(COUNTIF(prod_ref,A740)=0,"Produit inconnu",IF(B740="","Matière manquante",IF(ISNA(MATCH(B740,mat_ref,0)),"Matière inconnue",IF(INDEX(mat_check,MATCH(B740,mat_ref,0))&lt;&gt;"OK","Matière à corriger",IF(OR(NOT(ISNUMBER(E740)),N(E740)&lt;=0),"Quantité invalide",IF(AND(F740&lt;&gt;"",OR(NOT(ISNUMBER(F740)),N(F740)&lt;0,N(F740)&gt;=1)),"Perte entre 0 et 99 %",IF(COUNTIFS(bom_prod,A740,bom_mat,B740)&gt;1,"Matière en double","OK")))))))))</f>
        <v/>
      </c>
      <c r="K740" s="71" t="str">
        <f>IF(AND(fiche_sel&lt;&gt;"",A740=fiche_sel),COUNTIF(A$6:A740,fiche_sel),"")</f>
        <v/>
      </c>
    </row>
    <row r="741">
      <c r="A741" s="60" t="n"/>
      <c r="B741" s="60" t="n"/>
      <c r="C741" s="71" t="str">
        <f>IF(B741="","",IFERROR(INDEX(mat_des,MATCH(B741,mat_ref,0))&amp;"","Matière inconnue"))</f>
        <v/>
      </c>
      <c r="D741" s="69" t="str">
        <f>IF(B741="","",IFERROR(INDEX(mat_unit,MATCH(B741,mat_ref,0))&amp;"",""))</f>
        <v/>
      </c>
      <c r="E741" s="72" t="n"/>
      <c r="F741" s="65" t="n"/>
      <c r="G741" s="68" t="str">
        <f>IF(J741&lt;&gt;"OK","",IF(F741="",N(INDEX(mat_loss,MATCH(B741,mat_ref,0))),F741))</f>
        <v/>
      </c>
      <c r="H741" s="66" t="str">
        <f>IF(J741&lt;&gt;"OK","",INDEX(mat_price,MATCH(B741,mat_ref,0)))</f>
        <v/>
      </c>
      <c r="I741" s="66" t="str">
        <f>IF(J741&lt;&gt;"OK","",E741*(1+G741)*H741)</f>
        <v/>
      </c>
      <c r="J741" s="69" t="str">
        <f>IF(AND(A741="",B741=""),"",IF(A741="","Produit manquant",IF(COUNTIF(prod_ref,A741)=0,"Produit inconnu",IF(B741="","Matière manquante",IF(ISNA(MATCH(B741,mat_ref,0)),"Matière inconnue",IF(INDEX(mat_check,MATCH(B741,mat_ref,0))&lt;&gt;"OK","Matière à corriger",IF(OR(NOT(ISNUMBER(E741)),N(E741)&lt;=0),"Quantité invalide",IF(AND(F741&lt;&gt;"",OR(NOT(ISNUMBER(F741)),N(F741)&lt;0,N(F741)&gt;=1)),"Perte entre 0 et 99 %",IF(COUNTIFS(bom_prod,A741,bom_mat,B741)&gt;1,"Matière en double","OK")))))))))</f>
        <v/>
      </c>
      <c r="K741" s="71" t="str">
        <f>IF(AND(fiche_sel&lt;&gt;"",A741=fiche_sel),COUNTIF(A$6:A741,fiche_sel),"")</f>
        <v/>
      </c>
    </row>
    <row r="742">
      <c r="A742" s="60" t="n"/>
      <c r="B742" s="60" t="n"/>
      <c r="C742" s="71" t="str">
        <f>IF(B742="","",IFERROR(INDEX(mat_des,MATCH(B742,mat_ref,0))&amp;"","Matière inconnue"))</f>
        <v/>
      </c>
      <c r="D742" s="69" t="str">
        <f>IF(B742="","",IFERROR(INDEX(mat_unit,MATCH(B742,mat_ref,0))&amp;"",""))</f>
        <v/>
      </c>
      <c r="E742" s="72" t="n"/>
      <c r="F742" s="65" t="n"/>
      <c r="G742" s="68" t="str">
        <f>IF(J742&lt;&gt;"OK","",IF(F742="",N(INDEX(mat_loss,MATCH(B742,mat_ref,0))),F742))</f>
        <v/>
      </c>
      <c r="H742" s="66" t="str">
        <f>IF(J742&lt;&gt;"OK","",INDEX(mat_price,MATCH(B742,mat_ref,0)))</f>
        <v/>
      </c>
      <c r="I742" s="66" t="str">
        <f>IF(J742&lt;&gt;"OK","",E742*(1+G742)*H742)</f>
        <v/>
      </c>
      <c r="J742" s="69" t="str">
        <f>IF(AND(A742="",B742=""),"",IF(A742="","Produit manquant",IF(COUNTIF(prod_ref,A742)=0,"Produit inconnu",IF(B742="","Matière manquante",IF(ISNA(MATCH(B742,mat_ref,0)),"Matière inconnue",IF(INDEX(mat_check,MATCH(B742,mat_ref,0))&lt;&gt;"OK","Matière à corriger",IF(OR(NOT(ISNUMBER(E742)),N(E742)&lt;=0),"Quantité invalide",IF(AND(F742&lt;&gt;"",OR(NOT(ISNUMBER(F742)),N(F742)&lt;0,N(F742)&gt;=1)),"Perte entre 0 et 99 %",IF(COUNTIFS(bom_prod,A742,bom_mat,B742)&gt;1,"Matière en double","OK")))))))))</f>
        <v/>
      </c>
      <c r="K742" s="71" t="str">
        <f>IF(AND(fiche_sel&lt;&gt;"",A742=fiche_sel),COUNTIF(A$6:A742,fiche_sel),"")</f>
        <v/>
      </c>
    </row>
    <row r="743">
      <c r="A743" s="60" t="n"/>
      <c r="B743" s="60" t="n"/>
      <c r="C743" s="71" t="str">
        <f>IF(B743="","",IFERROR(INDEX(mat_des,MATCH(B743,mat_ref,0))&amp;"","Matière inconnue"))</f>
        <v/>
      </c>
      <c r="D743" s="69" t="str">
        <f>IF(B743="","",IFERROR(INDEX(mat_unit,MATCH(B743,mat_ref,0))&amp;"",""))</f>
        <v/>
      </c>
      <c r="E743" s="72" t="n"/>
      <c r="F743" s="65" t="n"/>
      <c r="G743" s="68" t="str">
        <f>IF(J743&lt;&gt;"OK","",IF(F743="",N(INDEX(mat_loss,MATCH(B743,mat_ref,0))),F743))</f>
        <v/>
      </c>
      <c r="H743" s="66" t="str">
        <f>IF(J743&lt;&gt;"OK","",INDEX(mat_price,MATCH(B743,mat_ref,0)))</f>
        <v/>
      </c>
      <c r="I743" s="66" t="str">
        <f>IF(J743&lt;&gt;"OK","",E743*(1+G743)*H743)</f>
        <v/>
      </c>
      <c r="J743" s="69" t="str">
        <f>IF(AND(A743="",B743=""),"",IF(A743="","Produit manquant",IF(COUNTIF(prod_ref,A743)=0,"Produit inconnu",IF(B743="","Matière manquante",IF(ISNA(MATCH(B743,mat_ref,0)),"Matière inconnue",IF(INDEX(mat_check,MATCH(B743,mat_ref,0))&lt;&gt;"OK","Matière à corriger",IF(OR(NOT(ISNUMBER(E743)),N(E743)&lt;=0),"Quantité invalide",IF(AND(F743&lt;&gt;"",OR(NOT(ISNUMBER(F743)),N(F743)&lt;0,N(F743)&gt;=1)),"Perte entre 0 et 99 %",IF(COUNTIFS(bom_prod,A743,bom_mat,B743)&gt;1,"Matière en double","OK")))))))))</f>
        <v/>
      </c>
      <c r="K743" s="71" t="str">
        <f>IF(AND(fiche_sel&lt;&gt;"",A743=fiche_sel),COUNTIF(A$6:A743,fiche_sel),"")</f>
        <v/>
      </c>
    </row>
    <row r="744">
      <c r="A744" s="60" t="n"/>
      <c r="B744" s="60" t="n"/>
      <c r="C744" s="71" t="str">
        <f>IF(B744="","",IFERROR(INDEX(mat_des,MATCH(B744,mat_ref,0))&amp;"","Matière inconnue"))</f>
        <v/>
      </c>
      <c r="D744" s="69" t="str">
        <f>IF(B744="","",IFERROR(INDEX(mat_unit,MATCH(B744,mat_ref,0))&amp;"",""))</f>
        <v/>
      </c>
      <c r="E744" s="72" t="n"/>
      <c r="F744" s="65" t="n"/>
      <c r="G744" s="68" t="str">
        <f>IF(J744&lt;&gt;"OK","",IF(F744="",N(INDEX(mat_loss,MATCH(B744,mat_ref,0))),F744))</f>
        <v/>
      </c>
      <c r="H744" s="66" t="str">
        <f>IF(J744&lt;&gt;"OK","",INDEX(mat_price,MATCH(B744,mat_ref,0)))</f>
        <v/>
      </c>
      <c r="I744" s="66" t="str">
        <f>IF(J744&lt;&gt;"OK","",E744*(1+G744)*H744)</f>
        <v/>
      </c>
      <c r="J744" s="69" t="str">
        <f>IF(AND(A744="",B744=""),"",IF(A744="","Produit manquant",IF(COUNTIF(prod_ref,A744)=0,"Produit inconnu",IF(B744="","Matière manquante",IF(ISNA(MATCH(B744,mat_ref,0)),"Matière inconnue",IF(INDEX(mat_check,MATCH(B744,mat_ref,0))&lt;&gt;"OK","Matière à corriger",IF(OR(NOT(ISNUMBER(E744)),N(E744)&lt;=0),"Quantité invalide",IF(AND(F744&lt;&gt;"",OR(NOT(ISNUMBER(F744)),N(F744)&lt;0,N(F744)&gt;=1)),"Perte entre 0 et 99 %",IF(COUNTIFS(bom_prod,A744,bom_mat,B744)&gt;1,"Matière en double","OK")))))))))</f>
        <v/>
      </c>
      <c r="K744" s="71" t="str">
        <f>IF(AND(fiche_sel&lt;&gt;"",A744=fiche_sel),COUNTIF(A$6:A744,fiche_sel),"")</f>
        <v/>
      </c>
    </row>
    <row r="745">
      <c r="A745" s="60" t="n"/>
      <c r="B745" s="60" t="n"/>
      <c r="C745" s="71" t="str">
        <f>IF(B745="","",IFERROR(INDEX(mat_des,MATCH(B745,mat_ref,0))&amp;"","Matière inconnue"))</f>
        <v/>
      </c>
      <c r="D745" s="69" t="str">
        <f>IF(B745="","",IFERROR(INDEX(mat_unit,MATCH(B745,mat_ref,0))&amp;"",""))</f>
        <v/>
      </c>
      <c r="E745" s="72" t="n"/>
      <c r="F745" s="65" t="n"/>
      <c r="G745" s="68" t="str">
        <f>IF(J745&lt;&gt;"OK","",IF(F745="",N(INDEX(mat_loss,MATCH(B745,mat_ref,0))),F745))</f>
        <v/>
      </c>
      <c r="H745" s="66" t="str">
        <f>IF(J745&lt;&gt;"OK","",INDEX(mat_price,MATCH(B745,mat_ref,0)))</f>
        <v/>
      </c>
      <c r="I745" s="66" t="str">
        <f>IF(J745&lt;&gt;"OK","",E745*(1+G745)*H745)</f>
        <v/>
      </c>
      <c r="J745" s="69" t="str">
        <f>IF(AND(A745="",B745=""),"",IF(A745="","Produit manquant",IF(COUNTIF(prod_ref,A745)=0,"Produit inconnu",IF(B745="","Matière manquante",IF(ISNA(MATCH(B745,mat_ref,0)),"Matière inconnue",IF(INDEX(mat_check,MATCH(B745,mat_ref,0))&lt;&gt;"OK","Matière à corriger",IF(OR(NOT(ISNUMBER(E745)),N(E745)&lt;=0),"Quantité invalide",IF(AND(F745&lt;&gt;"",OR(NOT(ISNUMBER(F745)),N(F745)&lt;0,N(F745)&gt;=1)),"Perte entre 0 et 99 %",IF(COUNTIFS(bom_prod,A745,bom_mat,B745)&gt;1,"Matière en double","OK")))))))))</f>
        <v/>
      </c>
      <c r="K745" s="71" t="str">
        <f>IF(AND(fiche_sel&lt;&gt;"",A745=fiche_sel),COUNTIF(A$6:A745,fiche_sel),"")</f>
        <v/>
      </c>
    </row>
    <row r="746">
      <c r="A746" s="60" t="n"/>
      <c r="B746" s="60" t="n"/>
      <c r="C746" s="71" t="str">
        <f>IF(B746="","",IFERROR(INDEX(mat_des,MATCH(B746,mat_ref,0))&amp;"","Matière inconnue"))</f>
        <v/>
      </c>
      <c r="D746" s="69" t="str">
        <f>IF(B746="","",IFERROR(INDEX(mat_unit,MATCH(B746,mat_ref,0))&amp;"",""))</f>
        <v/>
      </c>
      <c r="E746" s="72" t="n"/>
      <c r="F746" s="65" t="n"/>
      <c r="G746" s="68" t="str">
        <f>IF(J746&lt;&gt;"OK","",IF(F746="",N(INDEX(mat_loss,MATCH(B746,mat_ref,0))),F746))</f>
        <v/>
      </c>
      <c r="H746" s="66" t="str">
        <f>IF(J746&lt;&gt;"OK","",INDEX(mat_price,MATCH(B746,mat_ref,0)))</f>
        <v/>
      </c>
      <c r="I746" s="66" t="str">
        <f>IF(J746&lt;&gt;"OK","",E746*(1+G746)*H746)</f>
        <v/>
      </c>
      <c r="J746" s="69" t="str">
        <f>IF(AND(A746="",B746=""),"",IF(A746="","Produit manquant",IF(COUNTIF(prod_ref,A746)=0,"Produit inconnu",IF(B746="","Matière manquante",IF(ISNA(MATCH(B746,mat_ref,0)),"Matière inconnue",IF(INDEX(mat_check,MATCH(B746,mat_ref,0))&lt;&gt;"OK","Matière à corriger",IF(OR(NOT(ISNUMBER(E746)),N(E746)&lt;=0),"Quantité invalide",IF(AND(F746&lt;&gt;"",OR(NOT(ISNUMBER(F746)),N(F746)&lt;0,N(F746)&gt;=1)),"Perte entre 0 et 99 %",IF(COUNTIFS(bom_prod,A746,bom_mat,B746)&gt;1,"Matière en double","OK")))))))))</f>
        <v/>
      </c>
      <c r="K746" s="71" t="str">
        <f>IF(AND(fiche_sel&lt;&gt;"",A746=fiche_sel),COUNTIF(A$6:A746,fiche_sel),"")</f>
        <v/>
      </c>
    </row>
    <row r="747">
      <c r="A747" s="60" t="n"/>
      <c r="B747" s="60" t="n"/>
      <c r="C747" s="71" t="str">
        <f>IF(B747="","",IFERROR(INDEX(mat_des,MATCH(B747,mat_ref,0))&amp;"","Matière inconnue"))</f>
        <v/>
      </c>
      <c r="D747" s="69" t="str">
        <f>IF(B747="","",IFERROR(INDEX(mat_unit,MATCH(B747,mat_ref,0))&amp;"",""))</f>
        <v/>
      </c>
      <c r="E747" s="72" t="n"/>
      <c r="F747" s="65" t="n"/>
      <c r="G747" s="68" t="str">
        <f>IF(J747&lt;&gt;"OK","",IF(F747="",N(INDEX(mat_loss,MATCH(B747,mat_ref,0))),F747))</f>
        <v/>
      </c>
      <c r="H747" s="66" t="str">
        <f>IF(J747&lt;&gt;"OK","",INDEX(mat_price,MATCH(B747,mat_ref,0)))</f>
        <v/>
      </c>
      <c r="I747" s="66" t="str">
        <f>IF(J747&lt;&gt;"OK","",E747*(1+G747)*H747)</f>
        <v/>
      </c>
      <c r="J747" s="69" t="str">
        <f>IF(AND(A747="",B747=""),"",IF(A747="","Produit manquant",IF(COUNTIF(prod_ref,A747)=0,"Produit inconnu",IF(B747="","Matière manquante",IF(ISNA(MATCH(B747,mat_ref,0)),"Matière inconnue",IF(INDEX(mat_check,MATCH(B747,mat_ref,0))&lt;&gt;"OK","Matière à corriger",IF(OR(NOT(ISNUMBER(E747)),N(E747)&lt;=0),"Quantité invalide",IF(AND(F747&lt;&gt;"",OR(NOT(ISNUMBER(F747)),N(F747)&lt;0,N(F747)&gt;=1)),"Perte entre 0 et 99 %",IF(COUNTIFS(bom_prod,A747,bom_mat,B747)&gt;1,"Matière en double","OK")))))))))</f>
        <v/>
      </c>
      <c r="K747" s="71" t="str">
        <f>IF(AND(fiche_sel&lt;&gt;"",A747=fiche_sel),COUNTIF(A$6:A747,fiche_sel),"")</f>
        <v/>
      </c>
    </row>
    <row r="748">
      <c r="A748" s="60" t="n"/>
      <c r="B748" s="60" t="n"/>
      <c r="C748" s="71" t="str">
        <f>IF(B748="","",IFERROR(INDEX(mat_des,MATCH(B748,mat_ref,0))&amp;"","Matière inconnue"))</f>
        <v/>
      </c>
      <c r="D748" s="69" t="str">
        <f>IF(B748="","",IFERROR(INDEX(mat_unit,MATCH(B748,mat_ref,0))&amp;"",""))</f>
        <v/>
      </c>
      <c r="E748" s="72" t="n"/>
      <c r="F748" s="65" t="n"/>
      <c r="G748" s="68" t="str">
        <f>IF(J748&lt;&gt;"OK","",IF(F748="",N(INDEX(mat_loss,MATCH(B748,mat_ref,0))),F748))</f>
        <v/>
      </c>
      <c r="H748" s="66" t="str">
        <f>IF(J748&lt;&gt;"OK","",INDEX(mat_price,MATCH(B748,mat_ref,0)))</f>
        <v/>
      </c>
      <c r="I748" s="66" t="str">
        <f>IF(J748&lt;&gt;"OK","",E748*(1+G748)*H748)</f>
        <v/>
      </c>
      <c r="J748" s="69" t="str">
        <f>IF(AND(A748="",B748=""),"",IF(A748="","Produit manquant",IF(COUNTIF(prod_ref,A748)=0,"Produit inconnu",IF(B748="","Matière manquante",IF(ISNA(MATCH(B748,mat_ref,0)),"Matière inconnue",IF(INDEX(mat_check,MATCH(B748,mat_ref,0))&lt;&gt;"OK","Matière à corriger",IF(OR(NOT(ISNUMBER(E748)),N(E748)&lt;=0),"Quantité invalide",IF(AND(F748&lt;&gt;"",OR(NOT(ISNUMBER(F748)),N(F748)&lt;0,N(F748)&gt;=1)),"Perte entre 0 et 99 %",IF(COUNTIFS(bom_prod,A748,bom_mat,B748)&gt;1,"Matière en double","OK")))))))))</f>
        <v/>
      </c>
      <c r="K748" s="71" t="str">
        <f>IF(AND(fiche_sel&lt;&gt;"",A748=fiche_sel),COUNTIF(A$6:A748,fiche_sel),"")</f>
        <v/>
      </c>
    </row>
    <row r="749">
      <c r="A749" s="60" t="n"/>
      <c r="B749" s="60" t="n"/>
      <c r="C749" s="71" t="str">
        <f>IF(B749="","",IFERROR(INDEX(mat_des,MATCH(B749,mat_ref,0))&amp;"","Matière inconnue"))</f>
        <v/>
      </c>
      <c r="D749" s="69" t="str">
        <f>IF(B749="","",IFERROR(INDEX(mat_unit,MATCH(B749,mat_ref,0))&amp;"",""))</f>
        <v/>
      </c>
      <c r="E749" s="72" t="n"/>
      <c r="F749" s="65" t="n"/>
      <c r="G749" s="68" t="str">
        <f>IF(J749&lt;&gt;"OK","",IF(F749="",N(INDEX(mat_loss,MATCH(B749,mat_ref,0))),F749))</f>
        <v/>
      </c>
      <c r="H749" s="66" t="str">
        <f>IF(J749&lt;&gt;"OK","",INDEX(mat_price,MATCH(B749,mat_ref,0)))</f>
        <v/>
      </c>
      <c r="I749" s="66" t="str">
        <f>IF(J749&lt;&gt;"OK","",E749*(1+G749)*H749)</f>
        <v/>
      </c>
      <c r="J749" s="69" t="str">
        <f>IF(AND(A749="",B749=""),"",IF(A749="","Produit manquant",IF(COUNTIF(prod_ref,A749)=0,"Produit inconnu",IF(B749="","Matière manquante",IF(ISNA(MATCH(B749,mat_ref,0)),"Matière inconnue",IF(INDEX(mat_check,MATCH(B749,mat_ref,0))&lt;&gt;"OK","Matière à corriger",IF(OR(NOT(ISNUMBER(E749)),N(E749)&lt;=0),"Quantité invalide",IF(AND(F749&lt;&gt;"",OR(NOT(ISNUMBER(F749)),N(F749)&lt;0,N(F749)&gt;=1)),"Perte entre 0 et 99 %",IF(COUNTIFS(bom_prod,A749,bom_mat,B749)&gt;1,"Matière en double","OK")))))))))</f>
        <v/>
      </c>
      <c r="K749" s="71" t="str">
        <f>IF(AND(fiche_sel&lt;&gt;"",A749=fiche_sel),COUNTIF(A$6:A749,fiche_sel),"")</f>
        <v/>
      </c>
    </row>
    <row r="750">
      <c r="A750" s="60" t="n"/>
      <c r="B750" s="60" t="n"/>
      <c r="C750" s="71" t="str">
        <f>IF(B750="","",IFERROR(INDEX(mat_des,MATCH(B750,mat_ref,0))&amp;"","Matière inconnue"))</f>
        <v/>
      </c>
      <c r="D750" s="69" t="str">
        <f>IF(B750="","",IFERROR(INDEX(mat_unit,MATCH(B750,mat_ref,0))&amp;"",""))</f>
        <v/>
      </c>
      <c r="E750" s="72" t="n"/>
      <c r="F750" s="65" t="n"/>
      <c r="G750" s="68" t="str">
        <f>IF(J750&lt;&gt;"OK","",IF(F750="",N(INDEX(mat_loss,MATCH(B750,mat_ref,0))),F750))</f>
        <v/>
      </c>
      <c r="H750" s="66" t="str">
        <f>IF(J750&lt;&gt;"OK","",INDEX(mat_price,MATCH(B750,mat_ref,0)))</f>
        <v/>
      </c>
      <c r="I750" s="66" t="str">
        <f>IF(J750&lt;&gt;"OK","",E750*(1+G750)*H750)</f>
        <v/>
      </c>
      <c r="J750" s="69" t="str">
        <f>IF(AND(A750="",B750=""),"",IF(A750="","Produit manquant",IF(COUNTIF(prod_ref,A750)=0,"Produit inconnu",IF(B750="","Matière manquante",IF(ISNA(MATCH(B750,mat_ref,0)),"Matière inconnue",IF(INDEX(mat_check,MATCH(B750,mat_ref,0))&lt;&gt;"OK","Matière à corriger",IF(OR(NOT(ISNUMBER(E750)),N(E750)&lt;=0),"Quantité invalide",IF(AND(F750&lt;&gt;"",OR(NOT(ISNUMBER(F750)),N(F750)&lt;0,N(F750)&gt;=1)),"Perte entre 0 et 99 %",IF(COUNTIFS(bom_prod,A750,bom_mat,B750)&gt;1,"Matière en double","OK")))))))))</f>
        <v/>
      </c>
      <c r="K750" s="71" t="str">
        <f>IF(AND(fiche_sel&lt;&gt;"",A750=fiche_sel),COUNTIF(A$6:A750,fiche_sel),"")</f>
        <v/>
      </c>
    </row>
    <row r="751">
      <c r="A751" s="60" t="n"/>
      <c r="B751" s="60" t="n"/>
      <c r="C751" s="71" t="str">
        <f>IF(B751="","",IFERROR(INDEX(mat_des,MATCH(B751,mat_ref,0))&amp;"","Matière inconnue"))</f>
        <v/>
      </c>
      <c r="D751" s="69" t="str">
        <f>IF(B751="","",IFERROR(INDEX(mat_unit,MATCH(B751,mat_ref,0))&amp;"",""))</f>
        <v/>
      </c>
      <c r="E751" s="72" t="n"/>
      <c r="F751" s="65" t="n"/>
      <c r="G751" s="68" t="str">
        <f>IF(J751&lt;&gt;"OK","",IF(F751="",N(INDEX(mat_loss,MATCH(B751,mat_ref,0))),F751))</f>
        <v/>
      </c>
      <c r="H751" s="66" t="str">
        <f>IF(J751&lt;&gt;"OK","",INDEX(mat_price,MATCH(B751,mat_ref,0)))</f>
        <v/>
      </c>
      <c r="I751" s="66" t="str">
        <f>IF(J751&lt;&gt;"OK","",E751*(1+G751)*H751)</f>
        <v/>
      </c>
      <c r="J751" s="69" t="str">
        <f>IF(AND(A751="",B751=""),"",IF(A751="","Produit manquant",IF(COUNTIF(prod_ref,A751)=0,"Produit inconnu",IF(B751="","Matière manquante",IF(ISNA(MATCH(B751,mat_ref,0)),"Matière inconnue",IF(INDEX(mat_check,MATCH(B751,mat_ref,0))&lt;&gt;"OK","Matière à corriger",IF(OR(NOT(ISNUMBER(E751)),N(E751)&lt;=0),"Quantité invalide",IF(AND(F751&lt;&gt;"",OR(NOT(ISNUMBER(F751)),N(F751)&lt;0,N(F751)&gt;=1)),"Perte entre 0 et 99 %",IF(COUNTIFS(bom_prod,A751,bom_mat,B751)&gt;1,"Matière en double","OK")))))))))</f>
        <v/>
      </c>
      <c r="K751" s="71" t="str">
        <f>IF(AND(fiche_sel&lt;&gt;"",A751=fiche_sel),COUNTIF(A$6:A751,fiche_sel),"")</f>
        <v/>
      </c>
    </row>
    <row r="752">
      <c r="A752" s="60" t="n"/>
      <c r="B752" s="60" t="n"/>
      <c r="C752" s="71" t="str">
        <f>IF(B752="","",IFERROR(INDEX(mat_des,MATCH(B752,mat_ref,0))&amp;"","Matière inconnue"))</f>
        <v/>
      </c>
      <c r="D752" s="69" t="str">
        <f>IF(B752="","",IFERROR(INDEX(mat_unit,MATCH(B752,mat_ref,0))&amp;"",""))</f>
        <v/>
      </c>
      <c r="E752" s="72" t="n"/>
      <c r="F752" s="65" t="n"/>
      <c r="G752" s="68" t="str">
        <f>IF(J752&lt;&gt;"OK","",IF(F752="",N(INDEX(mat_loss,MATCH(B752,mat_ref,0))),F752))</f>
        <v/>
      </c>
      <c r="H752" s="66" t="str">
        <f>IF(J752&lt;&gt;"OK","",INDEX(mat_price,MATCH(B752,mat_ref,0)))</f>
        <v/>
      </c>
      <c r="I752" s="66" t="str">
        <f>IF(J752&lt;&gt;"OK","",E752*(1+G752)*H752)</f>
        <v/>
      </c>
      <c r="J752" s="69" t="str">
        <f>IF(AND(A752="",B752=""),"",IF(A752="","Produit manquant",IF(COUNTIF(prod_ref,A752)=0,"Produit inconnu",IF(B752="","Matière manquante",IF(ISNA(MATCH(B752,mat_ref,0)),"Matière inconnue",IF(INDEX(mat_check,MATCH(B752,mat_ref,0))&lt;&gt;"OK","Matière à corriger",IF(OR(NOT(ISNUMBER(E752)),N(E752)&lt;=0),"Quantité invalide",IF(AND(F752&lt;&gt;"",OR(NOT(ISNUMBER(F752)),N(F752)&lt;0,N(F752)&gt;=1)),"Perte entre 0 et 99 %",IF(COUNTIFS(bom_prod,A752,bom_mat,B752)&gt;1,"Matière en double","OK")))))))))</f>
        <v/>
      </c>
      <c r="K752" s="71" t="str">
        <f>IF(AND(fiche_sel&lt;&gt;"",A752=fiche_sel),COUNTIF(A$6:A752,fiche_sel),"")</f>
        <v/>
      </c>
    </row>
    <row r="753">
      <c r="A753" s="60" t="n"/>
      <c r="B753" s="60" t="n"/>
      <c r="C753" s="71" t="str">
        <f>IF(B753="","",IFERROR(INDEX(mat_des,MATCH(B753,mat_ref,0))&amp;"","Matière inconnue"))</f>
        <v/>
      </c>
      <c r="D753" s="69" t="str">
        <f>IF(B753="","",IFERROR(INDEX(mat_unit,MATCH(B753,mat_ref,0))&amp;"",""))</f>
        <v/>
      </c>
      <c r="E753" s="72" t="n"/>
      <c r="F753" s="65" t="n"/>
      <c r="G753" s="68" t="str">
        <f>IF(J753&lt;&gt;"OK","",IF(F753="",N(INDEX(mat_loss,MATCH(B753,mat_ref,0))),F753))</f>
        <v/>
      </c>
      <c r="H753" s="66" t="str">
        <f>IF(J753&lt;&gt;"OK","",INDEX(mat_price,MATCH(B753,mat_ref,0)))</f>
        <v/>
      </c>
      <c r="I753" s="66" t="str">
        <f>IF(J753&lt;&gt;"OK","",E753*(1+G753)*H753)</f>
        <v/>
      </c>
      <c r="J753" s="69" t="str">
        <f>IF(AND(A753="",B753=""),"",IF(A753="","Produit manquant",IF(COUNTIF(prod_ref,A753)=0,"Produit inconnu",IF(B753="","Matière manquante",IF(ISNA(MATCH(B753,mat_ref,0)),"Matière inconnue",IF(INDEX(mat_check,MATCH(B753,mat_ref,0))&lt;&gt;"OK","Matière à corriger",IF(OR(NOT(ISNUMBER(E753)),N(E753)&lt;=0),"Quantité invalide",IF(AND(F753&lt;&gt;"",OR(NOT(ISNUMBER(F753)),N(F753)&lt;0,N(F753)&gt;=1)),"Perte entre 0 et 99 %",IF(COUNTIFS(bom_prod,A753,bom_mat,B753)&gt;1,"Matière en double","OK")))))))))</f>
        <v/>
      </c>
      <c r="K753" s="71" t="str">
        <f>IF(AND(fiche_sel&lt;&gt;"",A753=fiche_sel),COUNTIF(A$6:A753,fiche_sel),"")</f>
        <v/>
      </c>
    </row>
    <row r="754">
      <c r="A754" s="60" t="n"/>
      <c r="B754" s="60" t="n"/>
      <c r="C754" s="71" t="str">
        <f>IF(B754="","",IFERROR(INDEX(mat_des,MATCH(B754,mat_ref,0))&amp;"","Matière inconnue"))</f>
        <v/>
      </c>
      <c r="D754" s="69" t="str">
        <f>IF(B754="","",IFERROR(INDEX(mat_unit,MATCH(B754,mat_ref,0))&amp;"",""))</f>
        <v/>
      </c>
      <c r="E754" s="72" t="n"/>
      <c r="F754" s="65" t="n"/>
      <c r="G754" s="68" t="str">
        <f>IF(J754&lt;&gt;"OK","",IF(F754="",N(INDEX(mat_loss,MATCH(B754,mat_ref,0))),F754))</f>
        <v/>
      </c>
      <c r="H754" s="66" t="str">
        <f>IF(J754&lt;&gt;"OK","",INDEX(mat_price,MATCH(B754,mat_ref,0)))</f>
        <v/>
      </c>
      <c r="I754" s="66" t="str">
        <f>IF(J754&lt;&gt;"OK","",E754*(1+G754)*H754)</f>
        <v/>
      </c>
      <c r="J754" s="69" t="str">
        <f>IF(AND(A754="",B754=""),"",IF(A754="","Produit manquant",IF(COUNTIF(prod_ref,A754)=0,"Produit inconnu",IF(B754="","Matière manquante",IF(ISNA(MATCH(B754,mat_ref,0)),"Matière inconnue",IF(INDEX(mat_check,MATCH(B754,mat_ref,0))&lt;&gt;"OK","Matière à corriger",IF(OR(NOT(ISNUMBER(E754)),N(E754)&lt;=0),"Quantité invalide",IF(AND(F754&lt;&gt;"",OR(NOT(ISNUMBER(F754)),N(F754)&lt;0,N(F754)&gt;=1)),"Perte entre 0 et 99 %",IF(COUNTIFS(bom_prod,A754,bom_mat,B754)&gt;1,"Matière en double","OK")))))))))</f>
        <v/>
      </c>
      <c r="K754" s="71" t="str">
        <f>IF(AND(fiche_sel&lt;&gt;"",A754=fiche_sel),COUNTIF(A$6:A754,fiche_sel),"")</f>
        <v/>
      </c>
    </row>
    <row r="755">
      <c r="A755" s="60" t="n"/>
      <c r="B755" s="60" t="n"/>
      <c r="C755" s="71" t="str">
        <f>IF(B755="","",IFERROR(INDEX(mat_des,MATCH(B755,mat_ref,0))&amp;"","Matière inconnue"))</f>
        <v/>
      </c>
      <c r="D755" s="69" t="str">
        <f>IF(B755="","",IFERROR(INDEX(mat_unit,MATCH(B755,mat_ref,0))&amp;"",""))</f>
        <v/>
      </c>
      <c r="E755" s="72" t="n"/>
      <c r="F755" s="65" t="n"/>
      <c r="G755" s="68" t="str">
        <f>IF(J755&lt;&gt;"OK","",IF(F755="",N(INDEX(mat_loss,MATCH(B755,mat_ref,0))),F755))</f>
        <v/>
      </c>
      <c r="H755" s="66" t="str">
        <f>IF(J755&lt;&gt;"OK","",INDEX(mat_price,MATCH(B755,mat_ref,0)))</f>
        <v/>
      </c>
      <c r="I755" s="66" t="str">
        <f>IF(J755&lt;&gt;"OK","",E755*(1+G755)*H755)</f>
        <v/>
      </c>
      <c r="J755" s="69" t="str">
        <f>IF(AND(A755="",B755=""),"",IF(A755="","Produit manquant",IF(COUNTIF(prod_ref,A755)=0,"Produit inconnu",IF(B755="","Matière manquante",IF(ISNA(MATCH(B755,mat_ref,0)),"Matière inconnue",IF(INDEX(mat_check,MATCH(B755,mat_ref,0))&lt;&gt;"OK","Matière à corriger",IF(OR(NOT(ISNUMBER(E755)),N(E755)&lt;=0),"Quantité invalide",IF(AND(F755&lt;&gt;"",OR(NOT(ISNUMBER(F755)),N(F755)&lt;0,N(F755)&gt;=1)),"Perte entre 0 et 99 %",IF(COUNTIFS(bom_prod,A755,bom_mat,B755)&gt;1,"Matière en double","OK")))))))))</f>
        <v/>
      </c>
      <c r="K755" s="71" t="str">
        <f>IF(AND(fiche_sel&lt;&gt;"",A755=fiche_sel),COUNTIF(A$6:A755,fiche_sel),"")</f>
        <v/>
      </c>
    </row>
    <row r="756">
      <c r="A756" s="60" t="n"/>
      <c r="B756" s="60" t="n"/>
      <c r="C756" s="71" t="str">
        <f>IF(B756="","",IFERROR(INDEX(mat_des,MATCH(B756,mat_ref,0))&amp;"","Matière inconnue"))</f>
        <v/>
      </c>
      <c r="D756" s="69" t="str">
        <f>IF(B756="","",IFERROR(INDEX(mat_unit,MATCH(B756,mat_ref,0))&amp;"",""))</f>
        <v/>
      </c>
      <c r="E756" s="72" t="n"/>
      <c r="F756" s="65" t="n"/>
      <c r="G756" s="68" t="str">
        <f>IF(J756&lt;&gt;"OK","",IF(F756="",N(INDEX(mat_loss,MATCH(B756,mat_ref,0))),F756))</f>
        <v/>
      </c>
      <c r="H756" s="66" t="str">
        <f>IF(J756&lt;&gt;"OK","",INDEX(mat_price,MATCH(B756,mat_ref,0)))</f>
        <v/>
      </c>
      <c r="I756" s="66" t="str">
        <f>IF(J756&lt;&gt;"OK","",E756*(1+G756)*H756)</f>
        <v/>
      </c>
      <c r="J756" s="69" t="str">
        <f>IF(AND(A756="",B756=""),"",IF(A756="","Produit manquant",IF(COUNTIF(prod_ref,A756)=0,"Produit inconnu",IF(B756="","Matière manquante",IF(ISNA(MATCH(B756,mat_ref,0)),"Matière inconnue",IF(INDEX(mat_check,MATCH(B756,mat_ref,0))&lt;&gt;"OK","Matière à corriger",IF(OR(NOT(ISNUMBER(E756)),N(E756)&lt;=0),"Quantité invalide",IF(AND(F756&lt;&gt;"",OR(NOT(ISNUMBER(F756)),N(F756)&lt;0,N(F756)&gt;=1)),"Perte entre 0 et 99 %",IF(COUNTIFS(bom_prod,A756,bom_mat,B756)&gt;1,"Matière en double","OK")))))))))</f>
        <v/>
      </c>
      <c r="K756" s="71" t="str">
        <f>IF(AND(fiche_sel&lt;&gt;"",A756=fiche_sel),COUNTIF(A$6:A756,fiche_sel),"")</f>
        <v/>
      </c>
    </row>
    <row r="757">
      <c r="A757" s="60" t="n"/>
      <c r="B757" s="60" t="n"/>
      <c r="C757" s="71" t="str">
        <f>IF(B757="","",IFERROR(INDEX(mat_des,MATCH(B757,mat_ref,0))&amp;"","Matière inconnue"))</f>
        <v/>
      </c>
      <c r="D757" s="69" t="str">
        <f>IF(B757="","",IFERROR(INDEX(mat_unit,MATCH(B757,mat_ref,0))&amp;"",""))</f>
        <v/>
      </c>
      <c r="E757" s="72" t="n"/>
      <c r="F757" s="65" t="n"/>
      <c r="G757" s="68" t="str">
        <f>IF(J757&lt;&gt;"OK","",IF(F757="",N(INDEX(mat_loss,MATCH(B757,mat_ref,0))),F757))</f>
        <v/>
      </c>
      <c r="H757" s="66" t="str">
        <f>IF(J757&lt;&gt;"OK","",INDEX(mat_price,MATCH(B757,mat_ref,0)))</f>
        <v/>
      </c>
      <c r="I757" s="66" t="str">
        <f>IF(J757&lt;&gt;"OK","",E757*(1+G757)*H757)</f>
        <v/>
      </c>
      <c r="J757" s="69" t="str">
        <f>IF(AND(A757="",B757=""),"",IF(A757="","Produit manquant",IF(COUNTIF(prod_ref,A757)=0,"Produit inconnu",IF(B757="","Matière manquante",IF(ISNA(MATCH(B757,mat_ref,0)),"Matière inconnue",IF(INDEX(mat_check,MATCH(B757,mat_ref,0))&lt;&gt;"OK","Matière à corriger",IF(OR(NOT(ISNUMBER(E757)),N(E757)&lt;=0),"Quantité invalide",IF(AND(F757&lt;&gt;"",OR(NOT(ISNUMBER(F757)),N(F757)&lt;0,N(F757)&gt;=1)),"Perte entre 0 et 99 %",IF(COUNTIFS(bom_prod,A757,bom_mat,B757)&gt;1,"Matière en double","OK")))))))))</f>
        <v/>
      </c>
      <c r="K757" s="71" t="str">
        <f>IF(AND(fiche_sel&lt;&gt;"",A757=fiche_sel),COUNTIF(A$6:A757,fiche_sel),"")</f>
        <v/>
      </c>
    </row>
    <row r="758">
      <c r="A758" s="60" t="n"/>
      <c r="B758" s="60" t="n"/>
      <c r="C758" s="71" t="str">
        <f>IF(B758="","",IFERROR(INDEX(mat_des,MATCH(B758,mat_ref,0))&amp;"","Matière inconnue"))</f>
        <v/>
      </c>
      <c r="D758" s="69" t="str">
        <f>IF(B758="","",IFERROR(INDEX(mat_unit,MATCH(B758,mat_ref,0))&amp;"",""))</f>
        <v/>
      </c>
      <c r="E758" s="72" t="n"/>
      <c r="F758" s="65" t="n"/>
      <c r="G758" s="68" t="str">
        <f>IF(J758&lt;&gt;"OK","",IF(F758="",N(INDEX(mat_loss,MATCH(B758,mat_ref,0))),F758))</f>
        <v/>
      </c>
      <c r="H758" s="66" t="str">
        <f>IF(J758&lt;&gt;"OK","",INDEX(mat_price,MATCH(B758,mat_ref,0)))</f>
        <v/>
      </c>
      <c r="I758" s="66" t="str">
        <f>IF(J758&lt;&gt;"OK","",E758*(1+G758)*H758)</f>
        <v/>
      </c>
      <c r="J758" s="69" t="str">
        <f>IF(AND(A758="",B758=""),"",IF(A758="","Produit manquant",IF(COUNTIF(prod_ref,A758)=0,"Produit inconnu",IF(B758="","Matière manquante",IF(ISNA(MATCH(B758,mat_ref,0)),"Matière inconnue",IF(INDEX(mat_check,MATCH(B758,mat_ref,0))&lt;&gt;"OK","Matière à corriger",IF(OR(NOT(ISNUMBER(E758)),N(E758)&lt;=0),"Quantité invalide",IF(AND(F758&lt;&gt;"",OR(NOT(ISNUMBER(F758)),N(F758)&lt;0,N(F758)&gt;=1)),"Perte entre 0 et 99 %",IF(COUNTIFS(bom_prod,A758,bom_mat,B758)&gt;1,"Matière en double","OK")))))))))</f>
        <v/>
      </c>
      <c r="K758" s="71" t="str">
        <f>IF(AND(fiche_sel&lt;&gt;"",A758=fiche_sel),COUNTIF(A$6:A758,fiche_sel),"")</f>
        <v/>
      </c>
    </row>
    <row r="759">
      <c r="A759" s="60" t="n"/>
      <c r="B759" s="60" t="n"/>
      <c r="C759" s="71" t="str">
        <f>IF(B759="","",IFERROR(INDEX(mat_des,MATCH(B759,mat_ref,0))&amp;"","Matière inconnue"))</f>
        <v/>
      </c>
      <c r="D759" s="69" t="str">
        <f>IF(B759="","",IFERROR(INDEX(mat_unit,MATCH(B759,mat_ref,0))&amp;"",""))</f>
        <v/>
      </c>
      <c r="E759" s="72" t="n"/>
      <c r="F759" s="65" t="n"/>
      <c r="G759" s="68" t="str">
        <f>IF(J759&lt;&gt;"OK","",IF(F759="",N(INDEX(mat_loss,MATCH(B759,mat_ref,0))),F759))</f>
        <v/>
      </c>
      <c r="H759" s="66" t="str">
        <f>IF(J759&lt;&gt;"OK","",INDEX(mat_price,MATCH(B759,mat_ref,0)))</f>
        <v/>
      </c>
      <c r="I759" s="66" t="str">
        <f>IF(J759&lt;&gt;"OK","",E759*(1+G759)*H759)</f>
        <v/>
      </c>
      <c r="J759" s="69" t="str">
        <f>IF(AND(A759="",B759=""),"",IF(A759="","Produit manquant",IF(COUNTIF(prod_ref,A759)=0,"Produit inconnu",IF(B759="","Matière manquante",IF(ISNA(MATCH(B759,mat_ref,0)),"Matière inconnue",IF(INDEX(mat_check,MATCH(B759,mat_ref,0))&lt;&gt;"OK","Matière à corriger",IF(OR(NOT(ISNUMBER(E759)),N(E759)&lt;=0),"Quantité invalide",IF(AND(F759&lt;&gt;"",OR(NOT(ISNUMBER(F759)),N(F759)&lt;0,N(F759)&gt;=1)),"Perte entre 0 et 99 %",IF(COUNTIFS(bom_prod,A759,bom_mat,B759)&gt;1,"Matière en double","OK")))))))))</f>
        <v/>
      </c>
      <c r="K759" s="71" t="str">
        <f>IF(AND(fiche_sel&lt;&gt;"",A759=fiche_sel),COUNTIF(A$6:A759,fiche_sel),"")</f>
        <v/>
      </c>
    </row>
    <row r="760">
      <c r="A760" s="60" t="n"/>
      <c r="B760" s="60" t="n"/>
      <c r="C760" s="71" t="str">
        <f>IF(B760="","",IFERROR(INDEX(mat_des,MATCH(B760,mat_ref,0))&amp;"","Matière inconnue"))</f>
        <v/>
      </c>
      <c r="D760" s="69" t="str">
        <f>IF(B760="","",IFERROR(INDEX(mat_unit,MATCH(B760,mat_ref,0))&amp;"",""))</f>
        <v/>
      </c>
      <c r="E760" s="72" t="n"/>
      <c r="F760" s="65" t="n"/>
      <c r="G760" s="68" t="str">
        <f>IF(J760&lt;&gt;"OK","",IF(F760="",N(INDEX(mat_loss,MATCH(B760,mat_ref,0))),F760))</f>
        <v/>
      </c>
      <c r="H760" s="66" t="str">
        <f>IF(J760&lt;&gt;"OK","",INDEX(mat_price,MATCH(B760,mat_ref,0)))</f>
        <v/>
      </c>
      <c r="I760" s="66" t="str">
        <f>IF(J760&lt;&gt;"OK","",E760*(1+G760)*H760)</f>
        <v/>
      </c>
      <c r="J760" s="69" t="str">
        <f>IF(AND(A760="",B760=""),"",IF(A760="","Produit manquant",IF(COUNTIF(prod_ref,A760)=0,"Produit inconnu",IF(B760="","Matière manquante",IF(ISNA(MATCH(B760,mat_ref,0)),"Matière inconnue",IF(INDEX(mat_check,MATCH(B760,mat_ref,0))&lt;&gt;"OK","Matière à corriger",IF(OR(NOT(ISNUMBER(E760)),N(E760)&lt;=0),"Quantité invalide",IF(AND(F760&lt;&gt;"",OR(NOT(ISNUMBER(F760)),N(F760)&lt;0,N(F760)&gt;=1)),"Perte entre 0 et 99 %",IF(COUNTIFS(bom_prod,A760,bom_mat,B760)&gt;1,"Matière en double","OK")))))))))</f>
        <v/>
      </c>
      <c r="K760" s="71" t="str">
        <f>IF(AND(fiche_sel&lt;&gt;"",A760=fiche_sel),COUNTIF(A$6:A760,fiche_sel),"")</f>
        <v/>
      </c>
    </row>
    <row r="761">
      <c r="A761" s="60" t="n"/>
      <c r="B761" s="60" t="n"/>
      <c r="C761" s="71" t="str">
        <f>IF(B761="","",IFERROR(INDEX(mat_des,MATCH(B761,mat_ref,0))&amp;"","Matière inconnue"))</f>
        <v/>
      </c>
      <c r="D761" s="69" t="str">
        <f>IF(B761="","",IFERROR(INDEX(mat_unit,MATCH(B761,mat_ref,0))&amp;"",""))</f>
        <v/>
      </c>
      <c r="E761" s="72" t="n"/>
      <c r="F761" s="65" t="n"/>
      <c r="G761" s="68" t="str">
        <f>IF(J761&lt;&gt;"OK","",IF(F761="",N(INDEX(mat_loss,MATCH(B761,mat_ref,0))),F761))</f>
        <v/>
      </c>
      <c r="H761" s="66" t="str">
        <f>IF(J761&lt;&gt;"OK","",INDEX(mat_price,MATCH(B761,mat_ref,0)))</f>
        <v/>
      </c>
      <c r="I761" s="66" t="str">
        <f>IF(J761&lt;&gt;"OK","",E761*(1+G761)*H761)</f>
        <v/>
      </c>
      <c r="J761" s="69" t="str">
        <f>IF(AND(A761="",B761=""),"",IF(A761="","Produit manquant",IF(COUNTIF(prod_ref,A761)=0,"Produit inconnu",IF(B761="","Matière manquante",IF(ISNA(MATCH(B761,mat_ref,0)),"Matière inconnue",IF(INDEX(mat_check,MATCH(B761,mat_ref,0))&lt;&gt;"OK","Matière à corriger",IF(OR(NOT(ISNUMBER(E761)),N(E761)&lt;=0),"Quantité invalide",IF(AND(F761&lt;&gt;"",OR(NOT(ISNUMBER(F761)),N(F761)&lt;0,N(F761)&gt;=1)),"Perte entre 0 et 99 %",IF(COUNTIFS(bom_prod,A761,bom_mat,B761)&gt;1,"Matière en double","OK")))))))))</f>
        <v/>
      </c>
      <c r="K761" s="71" t="str">
        <f>IF(AND(fiche_sel&lt;&gt;"",A761=fiche_sel),COUNTIF(A$6:A761,fiche_sel),"")</f>
        <v/>
      </c>
    </row>
    <row r="762">
      <c r="A762" s="60" t="n"/>
      <c r="B762" s="60" t="n"/>
      <c r="C762" s="71" t="str">
        <f>IF(B762="","",IFERROR(INDEX(mat_des,MATCH(B762,mat_ref,0))&amp;"","Matière inconnue"))</f>
        <v/>
      </c>
      <c r="D762" s="69" t="str">
        <f>IF(B762="","",IFERROR(INDEX(mat_unit,MATCH(B762,mat_ref,0))&amp;"",""))</f>
        <v/>
      </c>
      <c r="E762" s="72" t="n"/>
      <c r="F762" s="65" t="n"/>
      <c r="G762" s="68" t="str">
        <f>IF(J762&lt;&gt;"OK","",IF(F762="",N(INDEX(mat_loss,MATCH(B762,mat_ref,0))),F762))</f>
        <v/>
      </c>
      <c r="H762" s="66" t="str">
        <f>IF(J762&lt;&gt;"OK","",INDEX(mat_price,MATCH(B762,mat_ref,0)))</f>
        <v/>
      </c>
      <c r="I762" s="66" t="str">
        <f>IF(J762&lt;&gt;"OK","",E762*(1+G762)*H762)</f>
        <v/>
      </c>
      <c r="J762" s="69" t="str">
        <f>IF(AND(A762="",B762=""),"",IF(A762="","Produit manquant",IF(COUNTIF(prod_ref,A762)=0,"Produit inconnu",IF(B762="","Matière manquante",IF(ISNA(MATCH(B762,mat_ref,0)),"Matière inconnue",IF(INDEX(mat_check,MATCH(B762,mat_ref,0))&lt;&gt;"OK","Matière à corriger",IF(OR(NOT(ISNUMBER(E762)),N(E762)&lt;=0),"Quantité invalide",IF(AND(F762&lt;&gt;"",OR(NOT(ISNUMBER(F762)),N(F762)&lt;0,N(F762)&gt;=1)),"Perte entre 0 et 99 %",IF(COUNTIFS(bom_prod,A762,bom_mat,B762)&gt;1,"Matière en double","OK")))))))))</f>
        <v/>
      </c>
      <c r="K762" s="71" t="str">
        <f>IF(AND(fiche_sel&lt;&gt;"",A762=fiche_sel),COUNTIF(A$6:A762,fiche_sel),"")</f>
        <v/>
      </c>
    </row>
    <row r="763">
      <c r="A763" s="60" t="n"/>
      <c r="B763" s="60" t="n"/>
      <c r="C763" s="71" t="str">
        <f>IF(B763="","",IFERROR(INDEX(mat_des,MATCH(B763,mat_ref,0))&amp;"","Matière inconnue"))</f>
        <v/>
      </c>
      <c r="D763" s="69" t="str">
        <f>IF(B763="","",IFERROR(INDEX(mat_unit,MATCH(B763,mat_ref,0))&amp;"",""))</f>
        <v/>
      </c>
      <c r="E763" s="72" t="n"/>
      <c r="F763" s="65" t="n"/>
      <c r="G763" s="68" t="str">
        <f>IF(J763&lt;&gt;"OK","",IF(F763="",N(INDEX(mat_loss,MATCH(B763,mat_ref,0))),F763))</f>
        <v/>
      </c>
      <c r="H763" s="66" t="str">
        <f>IF(J763&lt;&gt;"OK","",INDEX(mat_price,MATCH(B763,mat_ref,0)))</f>
        <v/>
      </c>
      <c r="I763" s="66" t="str">
        <f>IF(J763&lt;&gt;"OK","",E763*(1+G763)*H763)</f>
        <v/>
      </c>
      <c r="J763" s="69" t="str">
        <f>IF(AND(A763="",B763=""),"",IF(A763="","Produit manquant",IF(COUNTIF(prod_ref,A763)=0,"Produit inconnu",IF(B763="","Matière manquante",IF(ISNA(MATCH(B763,mat_ref,0)),"Matière inconnue",IF(INDEX(mat_check,MATCH(B763,mat_ref,0))&lt;&gt;"OK","Matière à corriger",IF(OR(NOT(ISNUMBER(E763)),N(E763)&lt;=0),"Quantité invalide",IF(AND(F763&lt;&gt;"",OR(NOT(ISNUMBER(F763)),N(F763)&lt;0,N(F763)&gt;=1)),"Perte entre 0 et 99 %",IF(COUNTIFS(bom_prod,A763,bom_mat,B763)&gt;1,"Matière en double","OK")))))))))</f>
        <v/>
      </c>
      <c r="K763" s="71" t="str">
        <f>IF(AND(fiche_sel&lt;&gt;"",A763=fiche_sel),COUNTIF(A$6:A763,fiche_sel),"")</f>
        <v/>
      </c>
    </row>
    <row r="764">
      <c r="A764" s="60" t="n"/>
      <c r="B764" s="60" t="n"/>
      <c r="C764" s="71" t="str">
        <f>IF(B764="","",IFERROR(INDEX(mat_des,MATCH(B764,mat_ref,0))&amp;"","Matière inconnue"))</f>
        <v/>
      </c>
      <c r="D764" s="69" t="str">
        <f>IF(B764="","",IFERROR(INDEX(mat_unit,MATCH(B764,mat_ref,0))&amp;"",""))</f>
        <v/>
      </c>
      <c r="E764" s="72" t="n"/>
      <c r="F764" s="65" t="n"/>
      <c r="G764" s="68" t="str">
        <f>IF(J764&lt;&gt;"OK","",IF(F764="",N(INDEX(mat_loss,MATCH(B764,mat_ref,0))),F764))</f>
        <v/>
      </c>
      <c r="H764" s="66" t="str">
        <f>IF(J764&lt;&gt;"OK","",INDEX(mat_price,MATCH(B764,mat_ref,0)))</f>
        <v/>
      </c>
      <c r="I764" s="66" t="str">
        <f>IF(J764&lt;&gt;"OK","",E764*(1+G764)*H764)</f>
        <v/>
      </c>
      <c r="J764" s="69" t="str">
        <f>IF(AND(A764="",B764=""),"",IF(A764="","Produit manquant",IF(COUNTIF(prod_ref,A764)=0,"Produit inconnu",IF(B764="","Matière manquante",IF(ISNA(MATCH(B764,mat_ref,0)),"Matière inconnue",IF(INDEX(mat_check,MATCH(B764,mat_ref,0))&lt;&gt;"OK","Matière à corriger",IF(OR(NOT(ISNUMBER(E764)),N(E764)&lt;=0),"Quantité invalide",IF(AND(F764&lt;&gt;"",OR(NOT(ISNUMBER(F764)),N(F764)&lt;0,N(F764)&gt;=1)),"Perte entre 0 et 99 %",IF(COUNTIFS(bom_prod,A764,bom_mat,B764)&gt;1,"Matière en double","OK")))))))))</f>
        <v/>
      </c>
      <c r="K764" s="71" t="str">
        <f>IF(AND(fiche_sel&lt;&gt;"",A764=fiche_sel),COUNTIF(A$6:A764,fiche_sel),"")</f>
        <v/>
      </c>
    </row>
    <row r="765">
      <c r="A765" s="60" t="n"/>
      <c r="B765" s="60" t="n"/>
      <c r="C765" s="71" t="str">
        <f>IF(B765="","",IFERROR(INDEX(mat_des,MATCH(B765,mat_ref,0))&amp;"","Matière inconnue"))</f>
        <v/>
      </c>
      <c r="D765" s="69" t="str">
        <f>IF(B765="","",IFERROR(INDEX(mat_unit,MATCH(B765,mat_ref,0))&amp;"",""))</f>
        <v/>
      </c>
      <c r="E765" s="72" t="n"/>
      <c r="F765" s="65" t="n"/>
      <c r="G765" s="68" t="str">
        <f>IF(J765&lt;&gt;"OK","",IF(F765="",N(INDEX(mat_loss,MATCH(B765,mat_ref,0))),F765))</f>
        <v/>
      </c>
      <c r="H765" s="66" t="str">
        <f>IF(J765&lt;&gt;"OK","",INDEX(mat_price,MATCH(B765,mat_ref,0)))</f>
        <v/>
      </c>
      <c r="I765" s="66" t="str">
        <f>IF(J765&lt;&gt;"OK","",E765*(1+G765)*H765)</f>
        <v/>
      </c>
      <c r="J765" s="69" t="str">
        <f>IF(AND(A765="",B765=""),"",IF(A765="","Produit manquant",IF(COUNTIF(prod_ref,A765)=0,"Produit inconnu",IF(B765="","Matière manquante",IF(ISNA(MATCH(B765,mat_ref,0)),"Matière inconnue",IF(INDEX(mat_check,MATCH(B765,mat_ref,0))&lt;&gt;"OK","Matière à corriger",IF(OR(NOT(ISNUMBER(E765)),N(E765)&lt;=0),"Quantité invalide",IF(AND(F765&lt;&gt;"",OR(NOT(ISNUMBER(F765)),N(F765)&lt;0,N(F765)&gt;=1)),"Perte entre 0 et 99 %",IF(COUNTIFS(bom_prod,A765,bom_mat,B765)&gt;1,"Matière en double","OK")))))))))</f>
        <v/>
      </c>
      <c r="K765" s="71" t="str">
        <f>IF(AND(fiche_sel&lt;&gt;"",A765=fiche_sel),COUNTIF(A$6:A765,fiche_sel),"")</f>
        <v/>
      </c>
    </row>
    <row r="766">
      <c r="A766" s="60" t="n"/>
      <c r="B766" s="60" t="n"/>
      <c r="C766" s="71" t="str">
        <f>IF(B766="","",IFERROR(INDEX(mat_des,MATCH(B766,mat_ref,0))&amp;"","Matière inconnue"))</f>
        <v/>
      </c>
      <c r="D766" s="69" t="str">
        <f>IF(B766="","",IFERROR(INDEX(mat_unit,MATCH(B766,mat_ref,0))&amp;"",""))</f>
        <v/>
      </c>
      <c r="E766" s="72" t="n"/>
      <c r="F766" s="65" t="n"/>
      <c r="G766" s="68" t="str">
        <f>IF(J766&lt;&gt;"OK","",IF(F766="",N(INDEX(mat_loss,MATCH(B766,mat_ref,0))),F766))</f>
        <v/>
      </c>
      <c r="H766" s="66" t="str">
        <f>IF(J766&lt;&gt;"OK","",INDEX(mat_price,MATCH(B766,mat_ref,0)))</f>
        <v/>
      </c>
      <c r="I766" s="66" t="str">
        <f>IF(J766&lt;&gt;"OK","",E766*(1+G766)*H766)</f>
        <v/>
      </c>
      <c r="J766" s="69" t="str">
        <f>IF(AND(A766="",B766=""),"",IF(A766="","Produit manquant",IF(COUNTIF(prod_ref,A766)=0,"Produit inconnu",IF(B766="","Matière manquante",IF(ISNA(MATCH(B766,mat_ref,0)),"Matière inconnue",IF(INDEX(mat_check,MATCH(B766,mat_ref,0))&lt;&gt;"OK","Matière à corriger",IF(OR(NOT(ISNUMBER(E766)),N(E766)&lt;=0),"Quantité invalide",IF(AND(F766&lt;&gt;"",OR(NOT(ISNUMBER(F766)),N(F766)&lt;0,N(F766)&gt;=1)),"Perte entre 0 et 99 %",IF(COUNTIFS(bom_prod,A766,bom_mat,B766)&gt;1,"Matière en double","OK")))))))))</f>
        <v/>
      </c>
      <c r="K766" s="71" t="str">
        <f>IF(AND(fiche_sel&lt;&gt;"",A766=fiche_sel),COUNTIF(A$6:A766,fiche_sel),"")</f>
        <v/>
      </c>
    </row>
    <row r="767">
      <c r="A767" s="60" t="n"/>
      <c r="B767" s="60" t="n"/>
      <c r="C767" s="71" t="str">
        <f>IF(B767="","",IFERROR(INDEX(mat_des,MATCH(B767,mat_ref,0))&amp;"","Matière inconnue"))</f>
        <v/>
      </c>
      <c r="D767" s="69" t="str">
        <f>IF(B767="","",IFERROR(INDEX(mat_unit,MATCH(B767,mat_ref,0))&amp;"",""))</f>
        <v/>
      </c>
      <c r="E767" s="72" t="n"/>
      <c r="F767" s="65" t="n"/>
      <c r="G767" s="68" t="str">
        <f>IF(J767&lt;&gt;"OK","",IF(F767="",N(INDEX(mat_loss,MATCH(B767,mat_ref,0))),F767))</f>
        <v/>
      </c>
      <c r="H767" s="66" t="str">
        <f>IF(J767&lt;&gt;"OK","",INDEX(mat_price,MATCH(B767,mat_ref,0)))</f>
        <v/>
      </c>
      <c r="I767" s="66" t="str">
        <f>IF(J767&lt;&gt;"OK","",E767*(1+G767)*H767)</f>
        <v/>
      </c>
      <c r="J767" s="69" t="str">
        <f>IF(AND(A767="",B767=""),"",IF(A767="","Produit manquant",IF(COUNTIF(prod_ref,A767)=0,"Produit inconnu",IF(B767="","Matière manquante",IF(ISNA(MATCH(B767,mat_ref,0)),"Matière inconnue",IF(INDEX(mat_check,MATCH(B767,mat_ref,0))&lt;&gt;"OK","Matière à corriger",IF(OR(NOT(ISNUMBER(E767)),N(E767)&lt;=0),"Quantité invalide",IF(AND(F767&lt;&gt;"",OR(NOT(ISNUMBER(F767)),N(F767)&lt;0,N(F767)&gt;=1)),"Perte entre 0 et 99 %",IF(COUNTIFS(bom_prod,A767,bom_mat,B767)&gt;1,"Matière en double","OK")))))))))</f>
        <v/>
      </c>
      <c r="K767" s="71" t="str">
        <f>IF(AND(fiche_sel&lt;&gt;"",A767=fiche_sel),COUNTIF(A$6:A767,fiche_sel),"")</f>
        <v/>
      </c>
    </row>
    <row r="768">
      <c r="A768" s="60" t="n"/>
      <c r="B768" s="60" t="n"/>
      <c r="C768" s="71" t="str">
        <f>IF(B768="","",IFERROR(INDEX(mat_des,MATCH(B768,mat_ref,0))&amp;"","Matière inconnue"))</f>
        <v/>
      </c>
      <c r="D768" s="69" t="str">
        <f>IF(B768="","",IFERROR(INDEX(mat_unit,MATCH(B768,mat_ref,0))&amp;"",""))</f>
        <v/>
      </c>
      <c r="E768" s="72" t="n"/>
      <c r="F768" s="65" t="n"/>
      <c r="G768" s="68" t="str">
        <f>IF(J768&lt;&gt;"OK","",IF(F768="",N(INDEX(mat_loss,MATCH(B768,mat_ref,0))),F768))</f>
        <v/>
      </c>
      <c r="H768" s="66" t="str">
        <f>IF(J768&lt;&gt;"OK","",INDEX(mat_price,MATCH(B768,mat_ref,0)))</f>
        <v/>
      </c>
      <c r="I768" s="66" t="str">
        <f>IF(J768&lt;&gt;"OK","",E768*(1+G768)*H768)</f>
        <v/>
      </c>
      <c r="J768" s="69" t="str">
        <f>IF(AND(A768="",B768=""),"",IF(A768="","Produit manquant",IF(COUNTIF(prod_ref,A768)=0,"Produit inconnu",IF(B768="","Matière manquante",IF(ISNA(MATCH(B768,mat_ref,0)),"Matière inconnue",IF(INDEX(mat_check,MATCH(B768,mat_ref,0))&lt;&gt;"OK","Matière à corriger",IF(OR(NOT(ISNUMBER(E768)),N(E768)&lt;=0),"Quantité invalide",IF(AND(F768&lt;&gt;"",OR(NOT(ISNUMBER(F768)),N(F768)&lt;0,N(F768)&gt;=1)),"Perte entre 0 et 99 %",IF(COUNTIFS(bom_prod,A768,bom_mat,B768)&gt;1,"Matière en double","OK")))))))))</f>
        <v/>
      </c>
      <c r="K768" s="71" t="str">
        <f>IF(AND(fiche_sel&lt;&gt;"",A768=fiche_sel),COUNTIF(A$6:A768,fiche_sel),"")</f>
        <v/>
      </c>
    </row>
    <row r="769">
      <c r="A769" s="60" t="n"/>
      <c r="B769" s="60" t="n"/>
      <c r="C769" s="71" t="str">
        <f>IF(B769="","",IFERROR(INDEX(mat_des,MATCH(B769,mat_ref,0))&amp;"","Matière inconnue"))</f>
        <v/>
      </c>
      <c r="D769" s="69" t="str">
        <f>IF(B769="","",IFERROR(INDEX(mat_unit,MATCH(B769,mat_ref,0))&amp;"",""))</f>
        <v/>
      </c>
      <c r="E769" s="72" t="n"/>
      <c r="F769" s="65" t="n"/>
      <c r="G769" s="68" t="str">
        <f>IF(J769&lt;&gt;"OK","",IF(F769="",N(INDEX(mat_loss,MATCH(B769,mat_ref,0))),F769))</f>
        <v/>
      </c>
      <c r="H769" s="66" t="str">
        <f>IF(J769&lt;&gt;"OK","",INDEX(mat_price,MATCH(B769,mat_ref,0)))</f>
        <v/>
      </c>
      <c r="I769" s="66" t="str">
        <f>IF(J769&lt;&gt;"OK","",E769*(1+G769)*H769)</f>
        <v/>
      </c>
      <c r="J769" s="69" t="str">
        <f>IF(AND(A769="",B769=""),"",IF(A769="","Produit manquant",IF(COUNTIF(prod_ref,A769)=0,"Produit inconnu",IF(B769="","Matière manquante",IF(ISNA(MATCH(B769,mat_ref,0)),"Matière inconnue",IF(INDEX(mat_check,MATCH(B769,mat_ref,0))&lt;&gt;"OK","Matière à corriger",IF(OR(NOT(ISNUMBER(E769)),N(E769)&lt;=0),"Quantité invalide",IF(AND(F769&lt;&gt;"",OR(NOT(ISNUMBER(F769)),N(F769)&lt;0,N(F769)&gt;=1)),"Perte entre 0 et 99 %",IF(COUNTIFS(bom_prod,A769,bom_mat,B769)&gt;1,"Matière en double","OK")))))))))</f>
        <v/>
      </c>
      <c r="K769" s="71" t="str">
        <f>IF(AND(fiche_sel&lt;&gt;"",A769=fiche_sel),COUNTIF(A$6:A769,fiche_sel),"")</f>
        <v/>
      </c>
    </row>
    <row r="770">
      <c r="A770" s="60" t="n"/>
      <c r="B770" s="60" t="n"/>
      <c r="C770" s="71" t="str">
        <f>IF(B770="","",IFERROR(INDEX(mat_des,MATCH(B770,mat_ref,0))&amp;"","Matière inconnue"))</f>
        <v/>
      </c>
      <c r="D770" s="69" t="str">
        <f>IF(B770="","",IFERROR(INDEX(mat_unit,MATCH(B770,mat_ref,0))&amp;"",""))</f>
        <v/>
      </c>
      <c r="E770" s="72" t="n"/>
      <c r="F770" s="65" t="n"/>
      <c r="G770" s="68" t="str">
        <f>IF(J770&lt;&gt;"OK","",IF(F770="",N(INDEX(mat_loss,MATCH(B770,mat_ref,0))),F770))</f>
        <v/>
      </c>
      <c r="H770" s="66" t="str">
        <f>IF(J770&lt;&gt;"OK","",INDEX(mat_price,MATCH(B770,mat_ref,0)))</f>
        <v/>
      </c>
      <c r="I770" s="66" t="str">
        <f>IF(J770&lt;&gt;"OK","",E770*(1+G770)*H770)</f>
        <v/>
      </c>
      <c r="J770" s="69" t="str">
        <f>IF(AND(A770="",B770=""),"",IF(A770="","Produit manquant",IF(COUNTIF(prod_ref,A770)=0,"Produit inconnu",IF(B770="","Matière manquante",IF(ISNA(MATCH(B770,mat_ref,0)),"Matière inconnue",IF(INDEX(mat_check,MATCH(B770,mat_ref,0))&lt;&gt;"OK","Matière à corriger",IF(OR(NOT(ISNUMBER(E770)),N(E770)&lt;=0),"Quantité invalide",IF(AND(F770&lt;&gt;"",OR(NOT(ISNUMBER(F770)),N(F770)&lt;0,N(F770)&gt;=1)),"Perte entre 0 et 99 %",IF(COUNTIFS(bom_prod,A770,bom_mat,B770)&gt;1,"Matière en double","OK")))))))))</f>
        <v/>
      </c>
      <c r="K770" s="71" t="str">
        <f>IF(AND(fiche_sel&lt;&gt;"",A770=fiche_sel),COUNTIF(A$6:A770,fiche_sel),"")</f>
        <v/>
      </c>
    </row>
    <row r="771">
      <c r="A771" s="60" t="n"/>
      <c r="B771" s="60" t="n"/>
      <c r="C771" s="71" t="str">
        <f>IF(B771="","",IFERROR(INDEX(mat_des,MATCH(B771,mat_ref,0))&amp;"","Matière inconnue"))</f>
        <v/>
      </c>
      <c r="D771" s="69" t="str">
        <f>IF(B771="","",IFERROR(INDEX(mat_unit,MATCH(B771,mat_ref,0))&amp;"",""))</f>
        <v/>
      </c>
      <c r="E771" s="72" t="n"/>
      <c r="F771" s="65" t="n"/>
      <c r="G771" s="68" t="str">
        <f>IF(J771&lt;&gt;"OK","",IF(F771="",N(INDEX(mat_loss,MATCH(B771,mat_ref,0))),F771))</f>
        <v/>
      </c>
      <c r="H771" s="66" t="str">
        <f>IF(J771&lt;&gt;"OK","",INDEX(mat_price,MATCH(B771,mat_ref,0)))</f>
        <v/>
      </c>
      <c r="I771" s="66" t="str">
        <f>IF(J771&lt;&gt;"OK","",E771*(1+G771)*H771)</f>
        <v/>
      </c>
      <c r="J771" s="69" t="str">
        <f>IF(AND(A771="",B771=""),"",IF(A771="","Produit manquant",IF(COUNTIF(prod_ref,A771)=0,"Produit inconnu",IF(B771="","Matière manquante",IF(ISNA(MATCH(B771,mat_ref,0)),"Matière inconnue",IF(INDEX(mat_check,MATCH(B771,mat_ref,0))&lt;&gt;"OK","Matière à corriger",IF(OR(NOT(ISNUMBER(E771)),N(E771)&lt;=0),"Quantité invalide",IF(AND(F771&lt;&gt;"",OR(NOT(ISNUMBER(F771)),N(F771)&lt;0,N(F771)&gt;=1)),"Perte entre 0 et 99 %",IF(COUNTIFS(bom_prod,A771,bom_mat,B771)&gt;1,"Matière en double","OK")))))))))</f>
        <v/>
      </c>
      <c r="K771" s="71" t="str">
        <f>IF(AND(fiche_sel&lt;&gt;"",A771=fiche_sel),COUNTIF(A$6:A771,fiche_sel),"")</f>
        <v/>
      </c>
    </row>
    <row r="772">
      <c r="A772" s="60" t="n"/>
      <c r="B772" s="60" t="n"/>
      <c r="C772" s="71" t="str">
        <f>IF(B772="","",IFERROR(INDEX(mat_des,MATCH(B772,mat_ref,0))&amp;"","Matière inconnue"))</f>
        <v/>
      </c>
      <c r="D772" s="69" t="str">
        <f>IF(B772="","",IFERROR(INDEX(mat_unit,MATCH(B772,mat_ref,0))&amp;"",""))</f>
        <v/>
      </c>
      <c r="E772" s="72" t="n"/>
      <c r="F772" s="65" t="n"/>
      <c r="G772" s="68" t="str">
        <f>IF(J772&lt;&gt;"OK","",IF(F772="",N(INDEX(mat_loss,MATCH(B772,mat_ref,0))),F772))</f>
        <v/>
      </c>
      <c r="H772" s="66" t="str">
        <f>IF(J772&lt;&gt;"OK","",INDEX(mat_price,MATCH(B772,mat_ref,0)))</f>
        <v/>
      </c>
      <c r="I772" s="66" t="str">
        <f>IF(J772&lt;&gt;"OK","",E772*(1+G772)*H772)</f>
        <v/>
      </c>
      <c r="J772" s="69" t="str">
        <f>IF(AND(A772="",B772=""),"",IF(A772="","Produit manquant",IF(COUNTIF(prod_ref,A772)=0,"Produit inconnu",IF(B772="","Matière manquante",IF(ISNA(MATCH(B772,mat_ref,0)),"Matière inconnue",IF(INDEX(mat_check,MATCH(B772,mat_ref,0))&lt;&gt;"OK","Matière à corriger",IF(OR(NOT(ISNUMBER(E772)),N(E772)&lt;=0),"Quantité invalide",IF(AND(F772&lt;&gt;"",OR(NOT(ISNUMBER(F772)),N(F772)&lt;0,N(F772)&gt;=1)),"Perte entre 0 et 99 %",IF(COUNTIFS(bom_prod,A772,bom_mat,B772)&gt;1,"Matière en double","OK")))))))))</f>
        <v/>
      </c>
      <c r="K772" s="71" t="str">
        <f>IF(AND(fiche_sel&lt;&gt;"",A772=fiche_sel),COUNTIF(A$6:A772,fiche_sel),"")</f>
        <v/>
      </c>
    </row>
    <row r="773">
      <c r="A773" s="60" t="n"/>
      <c r="B773" s="60" t="n"/>
      <c r="C773" s="71" t="str">
        <f>IF(B773="","",IFERROR(INDEX(mat_des,MATCH(B773,mat_ref,0))&amp;"","Matière inconnue"))</f>
        <v/>
      </c>
      <c r="D773" s="69" t="str">
        <f>IF(B773="","",IFERROR(INDEX(mat_unit,MATCH(B773,mat_ref,0))&amp;"",""))</f>
        <v/>
      </c>
      <c r="E773" s="72" t="n"/>
      <c r="F773" s="65" t="n"/>
      <c r="G773" s="68" t="str">
        <f>IF(J773&lt;&gt;"OK","",IF(F773="",N(INDEX(mat_loss,MATCH(B773,mat_ref,0))),F773))</f>
        <v/>
      </c>
      <c r="H773" s="66" t="str">
        <f>IF(J773&lt;&gt;"OK","",INDEX(mat_price,MATCH(B773,mat_ref,0)))</f>
        <v/>
      </c>
      <c r="I773" s="66" t="str">
        <f>IF(J773&lt;&gt;"OK","",E773*(1+G773)*H773)</f>
        <v/>
      </c>
      <c r="J773" s="69" t="str">
        <f>IF(AND(A773="",B773=""),"",IF(A773="","Produit manquant",IF(COUNTIF(prod_ref,A773)=0,"Produit inconnu",IF(B773="","Matière manquante",IF(ISNA(MATCH(B773,mat_ref,0)),"Matière inconnue",IF(INDEX(mat_check,MATCH(B773,mat_ref,0))&lt;&gt;"OK","Matière à corriger",IF(OR(NOT(ISNUMBER(E773)),N(E773)&lt;=0),"Quantité invalide",IF(AND(F773&lt;&gt;"",OR(NOT(ISNUMBER(F773)),N(F773)&lt;0,N(F773)&gt;=1)),"Perte entre 0 et 99 %",IF(COUNTIFS(bom_prod,A773,bom_mat,B773)&gt;1,"Matière en double","OK")))))))))</f>
        <v/>
      </c>
      <c r="K773" s="71" t="str">
        <f>IF(AND(fiche_sel&lt;&gt;"",A773=fiche_sel),COUNTIF(A$6:A773,fiche_sel),"")</f>
        <v/>
      </c>
    </row>
    <row r="774">
      <c r="A774" s="60" t="n"/>
      <c r="B774" s="60" t="n"/>
      <c r="C774" s="71" t="str">
        <f>IF(B774="","",IFERROR(INDEX(mat_des,MATCH(B774,mat_ref,0))&amp;"","Matière inconnue"))</f>
        <v/>
      </c>
      <c r="D774" s="69" t="str">
        <f>IF(B774="","",IFERROR(INDEX(mat_unit,MATCH(B774,mat_ref,0))&amp;"",""))</f>
        <v/>
      </c>
      <c r="E774" s="72" t="n"/>
      <c r="F774" s="65" t="n"/>
      <c r="G774" s="68" t="str">
        <f>IF(J774&lt;&gt;"OK","",IF(F774="",N(INDEX(mat_loss,MATCH(B774,mat_ref,0))),F774))</f>
        <v/>
      </c>
      <c r="H774" s="66" t="str">
        <f>IF(J774&lt;&gt;"OK","",INDEX(mat_price,MATCH(B774,mat_ref,0)))</f>
        <v/>
      </c>
      <c r="I774" s="66" t="str">
        <f>IF(J774&lt;&gt;"OK","",E774*(1+G774)*H774)</f>
        <v/>
      </c>
      <c r="J774" s="69" t="str">
        <f>IF(AND(A774="",B774=""),"",IF(A774="","Produit manquant",IF(COUNTIF(prod_ref,A774)=0,"Produit inconnu",IF(B774="","Matière manquante",IF(ISNA(MATCH(B774,mat_ref,0)),"Matière inconnue",IF(INDEX(mat_check,MATCH(B774,mat_ref,0))&lt;&gt;"OK","Matière à corriger",IF(OR(NOT(ISNUMBER(E774)),N(E774)&lt;=0),"Quantité invalide",IF(AND(F774&lt;&gt;"",OR(NOT(ISNUMBER(F774)),N(F774)&lt;0,N(F774)&gt;=1)),"Perte entre 0 et 99 %",IF(COUNTIFS(bom_prod,A774,bom_mat,B774)&gt;1,"Matière en double","OK")))))))))</f>
        <v/>
      </c>
      <c r="K774" s="71" t="str">
        <f>IF(AND(fiche_sel&lt;&gt;"",A774=fiche_sel),COUNTIF(A$6:A774,fiche_sel),"")</f>
        <v/>
      </c>
    </row>
    <row r="775">
      <c r="A775" s="60" t="n"/>
      <c r="B775" s="60" t="n"/>
      <c r="C775" s="71" t="str">
        <f>IF(B775="","",IFERROR(INDEX(mat_des,MATCH(B775,mat_ref,0))&amp;"","Matière inconnue"))</f>
        <v/>
      </c>
      <c r="D775" s="69" t="str">
        <f>IF(B775="","",IFERROR(INDEX(mat_unit,MATCH(B775,mat_ref,0))&amp;"",""))</f>
        <v/>
      </c>
      <c r="E775" s="72" t="n"/>
      <c r="F775" s="65" t="n"/>
      <c r="G775" s="68" t="str">
        <f>IF(J775&lt;&gt;"OK","",IF(F775="",N(INDEX(mat_loss,MATCH(B775,mat_ref,0))),F775))</f>
        <v/>
      </c>
      <c r="H775" s="66" t="str">
        <f>IF(J775&lt;&gt;"OK","",INDEX(mat_price,MATCH(B775,mat_ref,0)))</f>
        <v/>
      </c>
      <c r="I775" s="66" t="str">
        <f>IF(J775&lt;&gt;"OK","",E775*(1+G775)*H775)</f>
        <v/>
      </c>
      <c r="J775" s="69" t="str">
        <f>IF(AND(A775="",B775=""),"",IF(A775="","Produit manquant",IF(COUNTIF(prod_ref,A775)=0,"Produit inconnu",IF(B775="","Matière manquante",IF(ISNA(MATCH(B775,mat_ref,0)),"Matière inconnue",IF(INDEX(mat_check,MATCH(B775,mat_ref,0))&lt;&gt;"OK","Matière à corriger",IF(OR(NOT(ISNUMBER(E775)),N(E775)&lt;=0),"Quantité invalide",IF(AND(F775&lt;&gt;"",OR(NOT(ISNUMBER(F775)),N(F775)&lt;0,N(F775)&gt;=1)),"Perte entre 0 et 99 %",IF(COUNTIFS(bom_prod,A775,bom_mat,B775)&gt;1,"Matière en double","OK")))))))))</f>
        <v/>
      </c>
      <c r="K775" s="71" t="str">
        <f>IF(AND(fiche_sel&lt;&gt;"",A775=fiche_sel),COUNTIF(A$6:A775,fiche_sel),"")</f>
        <v/>
      </c>
    </row>
    <row r="776">
      <c r="A776" s="60" t="n"/>
      <c r="B776" s="60" t="n"/>
      <c r="C776" s="71" t="str">
        <f>IF(B776="","",IFERROR(INDEX(mat_des,MATCH(B776,mat_ref,0))&amp;"","Matière inconnue"))</f>
        <v/>
      </c>
      <c r="D776" s="69" t="str">
        <f>IF(B776="","",IFERROR(INDEX(mat_unit,MATCH(B776,mat_ref,0))&amp;"",""))</f>
        <v/>
      </c>
      <c r="E776" s="72" t="n"/>
      <c r="F776" s="65" t="n"/>
      <c r="G776" s="68" t="str">
        <f>IF(J776&lt;&gt;"OK","",IF(F776="",N(INDEX(mat_loss,MATCH(B776,mat_ref,0))),F776))</f>
        <v/>
      </c>
      <c r="H776" s="66" t="str">
        <f>IF(J776&lt;&gt;"OK","",INDEX(mat_price,MATCH(B776,mat_ref,0)))</f>
        <v/>
      </c>
      <c r="I776" s="66" t="str">
        <f>IF(J776&lt;&gt;"OK","",E776*(1+G776)*H776)</f>
        <v/>
      </c>
      <c r="J776" s="69" t="str">
        <f>IF(AND(A776="",B776=""),"",IF(A776="","Produit manquant",IF(COUNTIF(prod_ref,A776)=0,"Produit inconnu",IF(B776="","Matière manquante",IF(ISNA(MATCH(B776,mat_ref,0)),"Matière inconnue",IF(INDEX(mat_check,MATCH(B776,mat_ref,0))&lt;&gt;"OK","Matière à corriger",IF(OR(NOT(ISNUMBER(E776)),N(E776)&lt;=0),"Quantité invalide",IF(AND(F776&lt;&gt;"",OR(NOT(ISNUMBER(F776)),N(F776)&lt;0,N(F776)&gt;=1)),"Perte entre 0 et 99 %",IF(COUNTIFS(bom_prod,A776,bom_mat,B776)&gt;1,"Matière en double","OK")))))))))</f>
        <v/>
      </c>
      <c r="K776" s="71" t="str">
        <f>IF(AND(fiche_sel&lt;&gt;"",A776=fiche_sel),COUNTIF(A$6:A776,fiche_sel),"")</f>
        <v/>
      </c>
    </row>
    <row r="777">
      <c r="A777" s="60" t="n"/>
      <c r="B777" s="60" t="n"/>
      <c r="C777" s="71" t="str">
        <f>IF(B777="","",IFERROR(INDEX(mat_des,MATCH(B777,mat_ref,0))&amp;"","Matière inconnue"))</f>
        <v/>
      </c>
      <c r="D777" s="69" t="str">
        <f>IF(B777="","",IFERROR(INDEX(mat_unit,MATCH(B777,mat_ref,0))&amp;"",""))</f>
        <v/>
      </c>
      <c r="E777" s="72" t="n"/>
      <c r="F777" s="65" t="n"/>
      <c r="G777" s="68" t="str">
        <f>IF(J777&lt;&gt;"OK","",IF(F777="",N(INDEX(mat_loss,MATCH(B777,mat_ref,0))),F777))</f>
        <v/>
      </c>
      <c r="H777" s="66" t="str">
        <f>IF(J777&lt;&gt;"OK","",INDEX(mat_price,MATCH(B777,mat_ref,0)))</f>
        <v/>
      </c>
      <c r="I777" s="66" t="str">
        <f>IF(J777&lt;&gt;"OK","",E777*(1+G777)*H777)</f>
        <v/>
      </c>
      <c r="J777" s="69" t="str">
        <f>IF(AND(A777="",B777=""),"",IF(A777="","Produit manquant",IF(COUNTIF(prod_ref,A777)=0,"Produit inconnu",IF(B777="","Matière manquante",IF(ISNA(MATCH(B777,mat_ref,0)),"Matière inconnue",IF(INDEX(mat_check,MATCH(B777,mat_ref,0))&lt;&gt;"OK","Matière à corriger",IF(OR(NOT(ISNUMBER(E777)),N(E777)&lt;=0),"Quantité invalide",IF(AND(F777&lt;&gt;"",OR(NOT(ISNUMBER(F777)),N(F777)&lt;0,N(F777)&gt;=1)),"Perte entre 0 et 99 %",IF(COUNTIFS(bom_prod,A777,bom_mat,B777)&gt;1,"Matière en double","OK")))))))))</f>
        <v/>
      </c>
      <c r="K777" s="71" t="str">
        <f>IF(AND(fiche_sel&lt;&gt;"",A777=fiche_sel),COUNTIF(A$6:A777,fiche_sel),"")</f>
        <v/>
      </c>
    </row>
    <row r="778">
      <c r="A778" s="60" t="n"/>
      <c r="B778" s="60" t="n"/>
      <c r="C778" s="71" t="str">
        <f>IF(B778="","",IFERROR(INDEX(mat_des,MATCH(B778,mat_ref,0))&amp;"","Matière inconnue"))</f>
        <v/>
      </c>
      <c r="D778" s="69" t="str">
        <f>IF(B778="","",IFERROR(INDEX(mat_unit,MATCH(B778,mat_ref,0))&amp;"",""))</f>
        <v/>
      </c>
      <c r="E778" s="72" t="n"/>
      <c r="F778" s="65" t="n"/>
      <c r="G778" s="68" t="str">
        <f>IF(J778&lt;&gt;"OK","",IF(F778="",N(INDEX(mat_loss,MATCH(B778,mat_ref,0))),F778))</f>
        <v/>
      </c>
      <c r="H778" s="66" t="str">
        <f>IF(J778&lt;&gt;"OK","",INDEX(mat_price,MATCH(B778,mat_ref,0)))</f>
        <v/>
      </c>
      <c r="I778" s="66" t="str">
        <f>IF(J778&lt;&gt;"OK","",E778*(1+G778)*H778)</f>
        <v/>
      </c>
      <c r="J778" s="69" t="str">
        <f>IF(AND(A778="",B778=""),"",IF(A778="","Produit manquant",IF(COUNTIF(prod_ref,A778)=0,"Produit inconnu",IF(B778="","Matière manquante",IF(ISNA(MATCH(B778,mat_ref,0)),"Matière inconnue",IF(INDEX(mat_check,MATCH(B778,mat_ref,0))&lt;&gt;"OK","Matière à corriger",IF(OR(NOT(ISNUMBER(E778)),N(E778)&lt;=0),"Quantité invalide",IF(AND(F778&lt;&gt;"",OR(NOT(ISNUMBER(F778)),N(F778)&lt;0,N(F778)&gt;=1)),"Perte entre 0 et 99 %",IF(COUNTIFS(bom_prod,A778,bom_mat,B778)&gt;1,"Matière en double","OK")))))))))</f>
        <v/>
      </c>
      <c r="K778" s="71" t="str">
        <f>IF(AND(fiche_sel&lt;&gt;"",A778=fiche_sel),COUNTIF(A$6:A778,fiche_sel),"")</f>
        <v/>
      </c>
    </row>
    <row r="779">
      <c r="A779" s="60" t="n"/>
      <c r="B779" s="60" t="n"/>
      <c r="C779" s="71" t="str">
        <f>IF(B779="","",IFERROR(INDEX(mat_des,MATCH(B779,mat_ref,0))&amp;"","Matière inconnue"))</f>
        <v/>
      </c>
      <c r="D779" s="69" t="str">
        <f>IF(B779="","",IFERROR(INDEX(mat_unit,MATCH(B779,mat_ref,0))&amp;"",""))</f>
        <v/>
      </c>
      <c r="E779" s="72" t="n"/>
      <c r="F779" s="65" t="n"/>
      <c r="G779" s="68" t="str">
        <f>IF(J779&lt;&gt;"OK","",IF(F779="",N(INDEX(mat_loss,MATCH(B779,mat_ref,0))),F779))</f>
        <v/>
      </c>
      <c r="H779" s="66" t="str">
        <f>IF(J779&lt;&gt;"OK","",INDEX(mat_price,MATCH(B779,mat_ref,0)))</f>
        <v/>
      </c>
      <c r="I779" s="66" t="str">
        <f>IF(J779&lt;&gt;"OK","",E779*(1+G779)*H779)</f>
        <v/>
      </c>
      <c r="J779" s="69" t="str">
        <f>IF(AND(A779="",B779=""),"",IF(A779="","Produit manquant",IF(COUNTIF(prod_ref,A779)=0,"Produit inconnu",IF(B779="","Matière manquante",IF(ISNA(MATCH(B779,mat_ref,0)),"Matière inconnue",IF(INDEX(mat_check,MATCH(B779,mat_ref,0))&lt;&gt;"OK","Matière à corriger",IF(OR(NOT(ISNUMBER(E779)),N(E779)&lt;=0),"Quantité invalide",IF(AND(F779&lt;&gt;"",OR(NOT(ISNUMBER(F779)),N(F779)&lt;0,N(F779)&gt;=1)),"Perte entre 0 et 99 %",IF(COUNTIFS(bom_prod,A779,bom_mat,B779)&gt;1,"Matière en double","OK")))))))))</f>
        <v/>
      </c>
      <c r="K779" s="71" t="str">
        <f>IF(AND(fiche_sel&lt;&gt;"",A779=fiche_sel),COUNTIF(A$6:A779,fiche_sel),"")</f>
        <v/>
      </c>
    </row>
    <row r="780">
      <c r="A780" s="60" t="n"/>
      <c r="B780" s="60" t="n"/>
      <c r="C780" s="71" t="str">
        <f>IF(B780="","",IFERROR(INDEX(mat_des,MATCH(B780,mat_ref,0))&amp;"","Matière inconnue"))</f>
        <v/>
      </c>
      <c r="D780" s="69" t="str">
        <f>IF(B780="","",IFERROR(INDEX(mat_unit,MATCH(B780,mat_ref,0))&amp;"",""))</f>
        <v/>
      </c>
      <c r="E780" s="72" t="n"/>
      <c r="F780" s="65" t="n"/>
      <c r="G780" s="68" t="str">
        <f>IF(J780&lt;&gt;"OK","",IF(F780="",N(INDEX(mat_loss,MATCH(B780,mat_ref,0))),F780))</f>
        <v/>
      </c>
      <c r="H780" s="66" t="str">
        <f>IF(J780&lt;&gt;"OK","",INDEX(mat_price,MATCH(B780,mat_ref,0)))</f>
        <v/>
      </c>
      <c r="I780" s="66" t="str">
        <f>IF(J780&lt;&gt;"OK","",E780*(1+G780)*H780)</f>
        <v/>
      </c>
      <c r="J780" s="69" t="str">
        <f>IF(AND(A780="",B780=""),"",IF(A780="","Produit manquant",IF(COUNTIF(prod_ref,A780)=0,"Produit inconnu",IF(B780="","Matière manquante",IF(ISNA(MATCH(B780,mat_ref,0)),"Matière inconnue",IF(INDEX(mat_check,MATCH(B780,mat_ref,0))&lt;&gt;"OK","Matière à corriger",IF(OR(NOT(ISNUMBER(E780)),N(E780)&lt;=0),"Quantité invalide",IF(AND(F780&lt;&gt;"",OR(NOT(ISNUMBER(F780)),N(F780)&lt;0,N(F780)&gt;=1)),"Perte entre 0 et 99 %",IF(COUNTIFS(bom_prod,A780,bom_mat,B780)&gt;1,"Matière en double","OK")))))))))</f>
        <v/>
      </c>
      <c r="K780" s="71" t="str">
        <f>IF(AND(fiche_sel&lt;&gt;"",A780=fiche_sel),COUNTIF(A$6:A780,fiche_sel),"")</f>
        <v/>
      </c>
    </row>
    <row r="781">
      <c r="A781" s="60" t="n"/>
      <c r="B781" s="60" t="n"/>
      <c r="C781" s="71" t="str">
        <f>IF(B781="","",IFERROR(INDEX(mat_des,MATCH(B781,mat_ref,0))&amp;"","Matière inconnue"))</f>
        <v/>
      </c>
      <c r="D781" s="69" t="str">
        <f>IF(B781="","",IFERROR(INDEX(mat_unit,MATCH(B781,mat_ref,0))&amp;"",""))</f>
        <v/>
      </c>
      <c r="E781" s="72" t="n"/>
      <c r="F781" s="65" t="n"/>
      <c r="G781" s="68" t="str">
        <f>IF(J781&lt;&gt;"OK","",IF(F781="",N(INDEX(mat_loss,MATCH(B781,mat_ref,0))),F781))</f>
        <v/>
      </c>
      <c r="H781" s="66" t="str">
        <f>IF(J781&lt;&gt;"OK","",INDEX(mat_price,MATCH(B781,mat_ref,0)))</f>
        <v/>
      </c>
      <c r="I781" s="66" t="str">
        <f>IF(J781&lt;&gt;"OK","",E781*(1+G781)*H781)</f>
        <v/>
      </c>
      <c r="J781" s="69" t="str">
        <f>IF(AND(A781="",B781=""),"",IF(A781="","Produit manquant",IF(COUNTIF(prod_ref,A781)=0,"Produit inconnu",IF(B781="","Matière manquante",IF(ISNA(MATCH(B781,mat_ref,0)),"Matière inconnue",IF(INDEX(mat_check,MATCH(B781,mat_ref,0))&lt;&gt;"OK","Matière à corriger",IF(OR(NOT(ISNUMBER(E781)),N(E781)&lt;=0),"Quantité invalide",IF(AND(F781&lt;&gt;"",OR(NOT(ISNUMBER(F781)),N(F781)&lt;0,N(F781)&gt;=1)),"Perte entre 0 et 99 %",IF(COUNTIFS(bom_prod,A781,bom_mat,B781)&gt;1,"Matière en double","OK")))))))))</f>
        <v/>
      </c>
      <c r="K781" s="71" t="str">
        <f>IF(AND(fiche_sel&lt;&gt;"",A781=fiche_sel),COUNTIF(A$6:A781,fiche_sel),"")</f>
        <v/>
      </c>
    </row>
    <row r="782">
      <c r="A782" s="60" t="n"/>
      <c r="B782" s="60" t="n"/>
      <c r="C782" s="71" t="str">
        <f>IF(B782="","",IFERROR(INDEX(mat_des,MATCH(B782,mat_ref,0))&amp;"","Matière inconnue"))</f>
        <v/>
      </c>
      <c r="D782" s="69" t="str">
        <f>IF(B782="","",IFERROR(INDEX(mat_unit,MATCH(B782,mat_ref,0))&amp;"",""))</f>
        <v/>
      </c>
      <c r="E782" s="72" t="n"/>
      <c r="F782" s="65" t="n"/>
      <c r="G782" s="68" t="str">
        <f>IF(J782&lt;&gt;"OK","",IF(F782="",N(INDEX(mat_loss,MATCH(B782,mat_ref,0))),F782))</f>
        <v/>
      </c>
      <c r="H782" s="66" t="str">
        <f>IF(J782&lt;&gt;"OK","",INDEX(mat_price,MATCH(B782,mat_ref,0)))</f>
        <v/>
      </c>
      <c r="I782" s="66" t="str">
        <f>IF(J782&lt;&gt;"OK","",E782*(1+G782)*H782)</f>
        <v/>
      </c>
      <c r="J782" s="69" t="str">
        <f>IF(AND(A782="",B782=""),"",IF(A782="","Produit manquant",IF(COUNTIF(prod_ref,A782)=0,"Produit inconnu",IF(B782="","Matière manquante",IF(ISNA(MATCH(B782,mat_ref,0)),"Matière inconnue",IF(INDEX(mat_check,MATCH(B782,mat_ref,0))&lt;&gt;"OK","Matière à corriger",IF(OR(NOT(ISNUMBER(E782)),N(E782)&lt;=0),"Quantité invalide",IF(AND(F782&lt;&gt;"",OR(NOT(ISNUMBER(F782)),N(F782)&lt;0,N(F782)&gt;=1)),"Perte entre 0 et 99 %",IF(COUNTIFS(bom_prod,A782,bom_mat,B782)&gt;1,"Matière en double","OK")))))))))</f>
        <v/>
      </c>
      <c r="K782" s="71" t="str">
        <f>IF(AND(fiche_sel&lt;&gt;"",A782=fiche_sel),COUNTIF(A$6:A782,fiche_sel),"")</f>
        <v/>
      </c>
    </row>
    <row r="783">
      <c r="A783" s="60" t="n"/>
      <c r="B783" s="60" t="n"/>
      <c r="C783" s="71" t="str">
        <f>IF(B783="","",IFERROR(INDEX(mat_des,MATCH(B783,mat_ref,0))&amp;"","Matière inconnue"))</f>
        <v/>
      </c>
      <c r="D783" s="69" t="str">
        <f>IF(B783="","",IFERROR(INDEX(mat_unit,MATCH(B783,mat_ref,0))&amp;"",""))</f>
        <v/>
      </c>
      <c r="E783" s="72" t="n"/>
      <c r="F783" s="65" t="n"/>
      <c r="G783" s="68" t="str">
        <f>IF(J783&lt;&gt;"OK","",IF(F783="",N(INDEX(mat_loss,MATCH(B783,mat_ref,0))),F783))</f>
        <v/>
      </c>
      <c r="H783" s="66" t="str">
        <f>IF(J783&lt;&gt;"OK","",INDEX(mat_price,MATCH(B783,mat_ref,0)))</f>
        <v/>
      </c>
      <c r="I783" s="66" t="str">
        <f>IF(J783&lt;&gt;"OK","",E783*(1+G783)*H783)</f>
        <v/>
      </c>
      <c r="J783" s="69" t="str">
        <f>IF(AND(A783="",B783=""),"",IF(A783="","Produit manquant",IF(COUNTIF(prod_ref,A783)=0,"Produit inconnu",IF(B783="","Matière manquante",IF(ISNA(MATCH(B783,mat_ref,0)),"Matière inconnue",IF(INDEX(mat_check,MATCH(B783,mat_ref,0))&lt;&gt;"OK","Matière à corriger",IF(OR(NOT(ISNUMBER(E783)),N(E783)&lt;=0),"Quantité invalide",IF(AND(F783&lt;&gt;"",OR(NOT(ISNUMBER(F783)),N(F783)&lt;0,N(F783)&gt;=1)),"Perte entre 0 et 99 %",IF(COUNTIFS(bom_prod,A783,bom_mat,B783)&gt;1,"Matière en double","OK")))))))))</f>
        <v/>
      </c>
      <c r="K783" s="71" t="str">
        <f>IF(AND(fiche_sel&lt;&gt;"",A783=fiche_sel),COUNTIF(A$6:A783,fiche_sel),"")</f>
        <v/>
      </c>
    </row>
    <row r="784">
      <c r="A784" s="60" t="n"/>
      <c r="B784" s="60" t="n"/>
      <c r="C784" s="71" t="str">
        <f>IF(B784="","",IFERROR(INDEX(mat_des,MATCH(B784,mat_ref,0))&amp;"","Matière inconnue"))</f>
        <v/>
      </c>
      <c r="D784" s="69" t="str">
        <f>IF(B784="","",IFERROR(INDEX(mat_unit,MATCH(B784,mat_ref,0))&amp;"",""))</f>
        <v/>
      </c>
      <c r="E784" s="72" t="n"/>
      <c r="F784" s="65" t="n"/>
      <c r="G784" s="68" t="str">
        <f>IF(J784&lt;&gt;"OK","",IF(F784="",N(INDEX(mat_loss,MATCH(B784,mat_ref,0))),F784))</f>
        <v/>
      </c>
      <c r="H784" s="66" t="str">
        <f>IF(J784&lt;&gt;"OK","",INDEX(mat_price,MATCH(B784,mat_ref,0)))</f>
        <v/>
      </c>
      <c r="I784" s="66" t="str">
        <f>IF(J784&lt;&gt;"OK","",E784*(1+G784)*H784)</f>
        <v/>
      </c>
      <c r="J784" s="69" t="str">
        <f>IF(AND(A784="",B784=""),"",IF(A784="","Produit manquant",IF(COUNTIF(prod_ref,A784)=0,"Produit inconnu",IF(B784="","Matière manquante",IF(ISNA(MATCH(B784,mat_ref,0)),"Matière inconnue",IF(INDEX(mat_check,MATCH(B784,mat_ref,0))&lt;&gt;"OK","Matière à corriger",IF(OR(NOT(ISNUMBER(E784)),N(E784)&lt;=0),"Quantité invalide",IF(AND(F784&lt;&gt;"",OR(NOT(ISNUMBER(F784)),N(F784)&lt;0,N(F784)&gt;=1)),"Perte entre 0 et 99 %",IF(COUNTIFS(bom_prod,A784,bom_mat,B784)&gt;1,"Matière en double","OK")))))))))</f>
        <v/>
      </c>
      <c r="K784" s="71" t="str">
        <f>IF(AND(fiche_sel&lt;&gt;"",A784=fiche_sel),COUNTIF(A$6:A784,fiche_sel),"")</f>
        <v/>
      </c>
    </row>
    <row r="785">
      <c r="A785" s="60" t="n"/>
      <c r="B785" s="60" t="n"/>
      <c r="C785" s="71" t="str">
        <f>IF(B785="","",IFERROR(INDEX(mat_des,MATCH(B785,mat_ref,0))&amp;"","Matière inconnue"))</f>
        <v/>
      </c>
      <c r="D785" s="69" t="str">
        <f>IF(B785="","",IFERROR(INDEX(mat_unit,MATCH(B785,mat_ref,0))&amp;"",""))</f>
        <v/>
      </c>
      <c r="E785" s="72" t="n"/>
      <c r="F785" s="65" t="n"/>
      <c r="G785" s="68" t="str">
        <f>IF(J785&lt;&gt;"OK","",IF(F785="",N(INDEX(mat_loss,MATCH(B785,mat_ref,0))),F785))</f>
        <v/>
      </c>
      <c r="H785" s="66" t="str">
        <f>IF(J785&lt;&gt;"OK","",INDEX(mat_price,MATCH(B785,mat_ref,0)))</f>
        <v/>
      </c>
      <c r="I785" s="66" t="str">
        <f>IF(J785&lt;&gt;"OK","",E785*(1+G785)*H785)</f>
        <v/>
      </c>
      <c r="J785" s="69" t="str">
        <f>IF(AND(A785="",B785=""),"",IF(A785="","Produit manquant",IF(COUNTIF(prod_ref,A785)=0,"Produit inconnu",IF(B785="","Matière manquante",IF(ISNA(MATCH(B785,mat_ref,0)),"Matière inconnue",IF(INDEX(mat_check,MATCH(B785,mat_ref,0))&lt;&gt;"OK","Matière à corriger",IF(OR(NOT(ISNUMBER(E785)),N(E785)&lt;=0),"Quantité invalide",IF(AND(F785&lt;&gt;"",OR(NOT(ISNUMBER(F785)),N(F785)&lt;0,N(F785)&gt;=1)),"Perte entre 0 et 99 %",IF(COUNTIFS(bom_prod,A785,bom_mat,B785)&gt;1,"Matière en double","OK")))))))))</f>
        <v/>
      </c>
      <c r="K785" s="71" t="str">
        <f>IF(AND(fiche_sel&lt;&gt;"",A785=fiche_sel),COUNTIF(A$6:A785,fiche_sel),"")</f>
        <v/>
      </c>
    </row>
    <row r="786">
      <c r="A786" s="60" t="n"/>
      <c r="B786" s="60" t="n"/>
      <c r="C786" s="71" t="str">
        <f>IF(B786="","",IFERROR(INDEX(mat_des,MATCH(B786,mat_ref,0))&amp;"","Matière inconnue"))</f>
        <v/>
      </c>
      <c r="D786" s="69" t="str">
        <f>IF(B786="","",IFERROR(INDEX(mat_unit,MATCH(B786,mat_ref,0))&amp;"",""))</f>
        <v/>
      </c>
      <c r="E786" s="72" t="n"/>
      <c r="F786" s="65" t="n"/>
      <c r="G786" s="68" t="str">
        <f>IF(J786&lt;&gt;"OK","",IF(F786="",N(INDEX(mat_loss,MATCH(B786,mat_ref,0))),F786))</f>
        <v/>
      </c>
      <c r="H786" s="66" t="str">
        <f>IF(J786&lt;&gt;"OK","",INDEX(mat_price,MATCH(B786,mat_ref,0)))</f>
        <v/>
      </c>
      <c r="I786" s="66" t="str">
        <f>IF(J786&lt;&gt;"OK","",E786*(1+G786)*H786)</f>
        <v/>
      </c>
      <c r="J786" s="69" t="str">
        <f>IF(AND(A786="",B786=""),"",IF(A786="","Produit manquant",IF(COUNTIF(prod_ref,A786)=0,"Produit inconnu",IF(B786="","Matière manquante",IF(ISNA(MATCH(B786,mat_ref,0)),"Matière inconnue",IF(INDEX(mat_check,MATCH(B786,mat_ref,0))&lt;&gt;"OK","Matière à corriger",IF(OR(NOT(ISNUMBER(E786)),N(E786)&lt;=0),"Quantité invalide",IF(AND(F786&lt;&gt;"",OR(NOT(ISNUMBER(F786)),N(F786)&lt;0,N(F786)&gt;=1)),"Perte entre 0 et 99 %",IF(COUNTIFS(bom_prod,A786,bom_mat,B786)&gt;1,"Matière en double","OK")))))))))</f>
        <v/>
      </c>
      <c r="K786" s="71" t="str">
        <f>IF(AND(fiche_sel&lt;&gt;"",A786=fiche_sel),COUNTIF(A$6:A786,fiche_sel),"")</f>
        <v/>
      </c>
    </row>
    <row r="787">
      <c r="A787" s="60" t="n"/>
      <c r="B787" s="60" t="n"/>
      <c r="C787" s="71" t="str">
        <f>IF(B787="","",IFERROR(INDEX(mat_des,MATCH(B787,mat_ref,0))&amp;"","Matière inconnue"))</f>
        <v/>
      </c>
      <c r="D787" s="69" t="str">
        <f>IF(B787="","",IFERROR(INDEX(mat_unit,MATCH(B787,mat_ref,0))&amp;"",""))</f>
        <v/>
      </c>
      <c r="E787" s="72" t="n"/>
      <c r="F787" s="65" t="n"/>
      <c r="G787" s="68" t="str">
        <f>IF(J787&lt;&gt;"OK","",IF(F787="",N(INDEX(mat_loss,MATCH(B787,mat_ref,0))),F787))</f>
        <v/>
      </c>
      <c r="H787" s="66" t="str">
        <f>IF(J787&lt;&gt;"OK","",INDEX(mat_price,MATCH(B787,mat_ref,0)))</f>
        <v/>
      </c>
      <c r="I787" s="66" t="str">
        <f>IF(J787&lt;&gt;"OK","",E787*(1+G787)*H787)</f>
        <v/>
      </c>
      <c r="J787" s="69" t="str">
        <f>IF(AND(A787="",B787=""),"",IF(A787="","Produit manquant",IF(COUNTIF(prod_ref,A787)=0,"Produit inconnu",IF(B787="","Matière manquante",IF(ISNA(MATCH(B787,mat_ref,0)),"Matière inconnue",IF(INDEX(mat_check,MATCH(B787,mat_ref,0))&lt;&gt;"OK","Matière à corriger",IF(OR(NOT(ISNUMBER(E787)),N(E787)&lt;=0),"Quantité invalide",IF(AND(F787&lt;&gt;"",OR(NOT(ISNUMBER(F787)),N(F787)&lt;0,N(F787)&gt;=1)),"Perte entre 0 et 99 %",IF(COUNTIFS(bom_prod,A787,bom_mat,B787)&gt;1,"Matière en double","OK")))))))))</f>
        <v/>
      </c>
      <c r="K787" s="71" t="str">
        <f>IF(AND(fiche_sel&lt;&gt;"",A787=fiche_sel),COUNTIF(A$6:A787,fiche_sel),"")</f>
        <v/>
      </c>
    </row>
    <row r="788">
      <c r="A788" s="60" t="n"/>
      <c r="B788" s="60" t="n"/>
      <c r="C788" s="71" t="str">
        <f>IF(B788="","",IFERROR(INDEX(mat_des,MATCH(B788,mat_ref,0))&amp;"","Matière inconnue"))</f>
        <v/>
      </c>
      <c r="D788" s="69" t="str">
        <f>IF(B788="","",IFERROR(INDEX(mat_unit,MATCH(B788,mat_ref,0))&amp;"",""))</f>
        <v/>
      </c>
      <c r="E788" s="72" t="n"/>
      <c r="F788" s="65" t="n"/>
      <c r="G788" s="68" t="str">
        <f>IF(J788&lt;&gt;"OK","",IF(F788="",N(INDEX(mat_loss,MATCH(B788,mat_ref,0))),F788))</f>
        <v/>
      </c>
      <c r="H788" s="66" t="str">
        <f>IF(J788&lt;&gt;"OK","",INDEX(mat_price,MATCH(B788,mat_ref,0)))</f>
        <v/>
      </c>
      <c r="I788" s="66" t="str">
        <f>IF(J788&lt;&gt;"OK","",E788*(1+G788)*H788)</f>
        <v/>
      </c>
      <c r="J788" s="69" t="str">
        <f>IF(AND(A788="",B788=""),"",IF(A788="","Produit manquant",IF(COUNTIF(prod_ref,A788)=0,"Produit inconnu",IF(B788="","Matière manquante",IF(ISNA(MATCH(B788,mat_ref,0)),"Matière inconnue",IF(INDEX(mat_check,MATCH(B788,mat_ref,0))&lt;&gt;"OK","Matière à corriger",IF(OR(NOT(ISNUMBER(E788)),N(E788)&lt;=0),"Quantité invalide",IF(AND(F788&lt;&gt;"",OR(NOT(ISNUMBER(F788)),N(F788)&lt;0,N(F788)&gt;=1)),"Perte entre 0 et 99 %",IF(COUNTIFS(bom_prod,A788,bom_mat,B788)&gt;1,"Matière en double","OK")))))))))</f>
        <v/>
      </c>
      <c r="K788" s="71" t="str">
        <f>IF(AND(fiche_sel&lt;&gt;"",A788=fiche_sel),COUNTIF(A$6:A788,fiche_sel),"")</f>
        <v/>
      </c>
    </row>
    <row r="789">
      <c r="A789" s="60" t="n"/>
      <c r="B789" s="60" t="n"/>
      <c r="C789" s="71" t="str">
        <f>IF(B789="","",IFERROR(INDEX(mat_des,MATCH(B789,mat_ref,0))&amp;"","Matière inconnue"))</f>
        <v/>
      </c>
      <c r="D789" s="69" t="str">
        <f>IF(B789="","",IFERROR(INDEX(mat_unit,MATCH(B789,mat_ref,0))&amp;"",""))</f>
        <v/>
      </c>
      <c r="E789" s="72" t="n"/>
      <c r="F789" s="65" t="n"/>
      <c r="G789" s="68" t="str">
        <f>IF(J789&lt;&gt;"OK","",IF(F789="",N(INDEX(mat_loss,MATCH(B789,mat_ref,0))),F789))</f>
        <v/>
      </c>
      <c r="H789" s="66" t="str">
        <f>IF(J789&lt;&gt;"OK","",INDEX(mat_price,MATCH(B789,mat_ref,0)))</f>
        <v/>
      </c>
      <c r="I789" s="66" t="str">
        <f>IF(J789&lt;&gt;"OK","",E789*(1+G789)*H789)</f>
        <v/>
      </c>
      <c r="J789" s="69" t="str">
        <f>IF(AND(A789="",B789=""),"",IF(A789="","Produit manquant",IF(COUNTIF(prod_ref,A789)=0,"Produit inconnu",IF(B789="","Matière manquante",IF(ISNA(MATCH(B789,mat_ref,0)),"Matière inconnue",IF(INDEX(mat_check,MATCH(B789,mat_ref,0))&lt;&gt;"OK","Matière à corriger",IF(OR(NOT(ISNUMBER(E789)),N(E789)&lt;=0),"Quantité invalide",IF(AND(F789&lt;&gt;"",OR(NOT(ISNUMBER(F789)),N(F789)&lt;0,N(F789)&gt;=1)),"Perte entre 0 et 99 %",IF(COUNTIFS(bom_prod,A789,bom_mat,B789)&gt;1,"Matière en double","OK")))))))))</f>
        <v/>
      </c>
      <c r="K789" s="71" t="str">
        <f>IF(AND(fiche_sel&lt;&gt;"",A789=fiche_sel),COUNTIF(A$6:A789,fiche_sel),"")</f>
        <v/>
      </c>
    </row>
    <row r="790">
      <c r="A790" s="60" t="n"/>
      <c r="B790" s="60" t="n"/>
      <c r="C790" s="71" t="str">
        <f>IF(B790="","",IFERROR(INDEX(mat_des,MATCH(B790,mat_ref,0))&amp;"","Matière inconnue"))</f>
        <v/>
      </c>
      <c r="D790" s="69" t="str">
        <f>IF(B790="","",IFERROR(INDEX(mat_unit,MATCH(B790,mat_ref,0))&amp;"",""))</f>
        <v/>
      </c>
      <c r="E790" s="72" t="n"/>
      <c r="F790" s="65" t="n"/>
      <c r="G790" s="68" t="str">
        <f>IF(J790&lt;&gt;"OK","",IF(F790="",N(INDEX(mat_loss,MATCH(B790,mat_ref,0))),F790))</f>
        <v/>
      </c>
      <c r="H790" s="66" t="str">
        <f>IF(J790&lt;&gt;"OK","",INDEX(mat_price,MATCH(B790,mat_ref,0)))</f>
        <v/>
      </c>
      <c r="I790" s="66" t="str">
        <f>IF(J790&lt;&gt;"OK","",E790*(1+G790)*H790)</f>
        <v/>
      </c>
      <c r="J790" s="69" t="str">
        <f>IF(AND(A790="",B790=""),"",IF(A790="","Produit manquant",IF(COUNTIF(prod_ref,A790)=0,"Produit inconnu",IF(B790="","Matière manquante",IF(ISNA(MATCH(B790,mat_ref,0)),"Matière inconnue",IF(INDEX(mat_check,MATCH(B790,mat_ref,0))&lt;&gt;"OK","Matière à corriger",IF(OR(NOT(ISNUMBER(E790)),N(E790)&lt;=0),"Quantité invalide",IF(AND(F790&lt;&gt;"",OR(NOT(ISNUMBER(F790)),N(F790)&lt;0,N(F790)&gt;=1)),"Perte entre 0 et 99 %",IF(COUNTIFS(bom_prod,A790,bom_mat,B790)&gt;1,"Matière en double","OK")))))))))</f>
        <v/>
      </c>
      <c r="K790" s="71" t="str">
        <f>IF(AND(fiche_sel&lt;&gt;"",A790=fiche_sel),COUNTIF(A$6:A790,fiche_sel),"")</f>
        <v/>
      </c>
    </row>
    <row r="791">
      <c r="A791" s="60" t="n"/>
      <c r="B791" s="60" t="n"/>
      <c r="C791" s="71" t="str">
        <f>IF(B791="","",IFERROR(INDEX(mat_des,MATCH(B791,mat_ref,0))&amp;"","Matière inconnue"))</f>
        <v/>
      </c>
      <c r="D791" s="69" t="str">
        <f>IF(B791="","",IFERROR(INDEX(mat_unit,MATCH(B791,mat_ref,0))&amp;"",""))</f>
        <v/>
      </c>
      <c r="E791" s="72" t="n"/>
      <c r="F791" s="65" t="n"/>
      <c r="G791" s="68" t="str">
        <f>IF(J791&lt;&gt;"OK","",IF(F791="",N(INDEX(mat_loss,MATCH(B791,mat_ref,0))),F791))</f>
        <v/>
      </c>
      <c r="H791" s="66" t="str">
        <f>IF(J791&lt;&gt;"OK","",INDEX(mat_price,MATCH(B791,mat_ref,0)))</f>
        <v/>
      </c>
      <c r="I791" s="66" t="str">
        <f>IF(J791&lt;&gt;"OK","",E791*(1+G791)*H791)</f>
        <v/>
      </c>
      <c r="J791" s="69" t="str">
        <f>IF(AND(A791="",B791=""),"",IF(A791="","Produit manquant",IF(COUNTIF(prod_ref,A791)=0,"Produit inconnu",IF(B791="","Matière manquante",IF(ISNA(MATCH(B791,mat_ref,0)),"Matière inconnue",IF(INDEX(mat_check,MATCH(B791,mat_ref,0))&lt;&gt;"OK","Matière à corriger",IF(OR(NOT(ISNUMBER(E791)),N(E791)&lt;=0),"Quantité invalide",IF(AND(F791&lt;&gt;"",OR(NOT(ISNUMBER(F791)),N(F791)&lt;0,N(F791)&gt;=1)),"Perte entre 0 et 99 %",IF(COUNTIFS(bom_prod,A791,bom_mat,B791)&gt;1,"Matière en double","OK")))))))))</f>
        <v/>
      </c>
      <c r="K791" s="71" t="str">
        <f>IF(AND(fiche_sel&lt;&gt;"",A791=fiche_sel),COUNTIF(A$6:A791,fiche_sel),"")</f>
        <v/>
      </c>
    </row>
    <row r="792">
      <c r="A792" s="60" t="n"/>
      <c r="B792" s="60" t="n"/>
      <c r="C792" s="71" t="str">
        <f>IF(B792="","",IFERROR(INDEX(mat_des,MATCH(B792,mat_ref,0))&amp;"","Matière inconnue"))</f>
        <v/>
      </c>
      <c r="D792" s="69" t="str">
        <f>IF(B792="","",IFERROR(INDEX(mat_unit,MATCH(B792,mat_ref,0))&amp;"",""))</f>
        <v/>
      </c>
      <c r="E792" s="72" t="n"/>
      <c r="F792" s="65" t="n"/>
      <c r="G792" s="68" t="str">
        <f>IF(J792&lt;&gt;"OK","",IF(F792="",N(INDEX(mat_loss,MATCH(B792,mat_ref,0))),F792))</f>
        <v/>
      </c>
      <c r="H792" s="66" t="str">
        <f>IF(J792&lt;&gt;"OK","",INDEX(mat_price,MATCH(B792,mat_ref,0)))</f>
        <v/>
      </c>
      <c r="I792" s="66" t="str">
        <f>IF(J792&lt;&gt;"OK","",E792*(1+G792)*H792)</f>
        <v/>
      </c>
      <c r="J792" s="69" t="str">
        <f>IF(AND(A792="",B792=""),"",IF(A792="","Produit manquant",IF(COUNTIF(prod_ref,A792)=0,"Produit inconnu",IF(B792="","Matière manquante",IF(ISNA(MATCH(B792,mat_ref,0)),"Matière inconnue",IF(INDEX(mat_check,MATCH(B792,mat_ref,0))&lt;&gt;"OK","Matière à corriger",IF(OR(NOT(ISNUMBER(E792)),N(E792)&lt;=0),"Quantité invalide",IF(AND(F792&lt;&gt;"",OR(NOT(ISNUMBER(F792)),N(F792)&lt;0,N(F792)&gt;=1)),"Perte entre 0 et 99 %",IF(COUNTIFS(bom_prod,A792,bom_mat,B792)&gt;1,"Matière en double","OK")))))))))</f>
        <v/>
      </c>
      <c r="K792" s="71" t="str">
        <f>IF(AND(fiche_sel&lt;&gt;"",A792=fiche_sel),COUNTIF(A$6:A792,fiche_sel),"")</f>
        <v/>
      </c>
    </row>
    <row r="793">
      <c r="A793" s="60" t="n"/>
      <c r="B793" s="60" t="n"/>
      <c r="C793" s="71" t="str">
        <f>IF(B793="","",IFERROR(INDEX(mat_des,MATCH(B793,mat_ref,0))&amp;"","Matière inconnue"))</f>
        <v/>
      </c>
      <c r="D793" s="69" t="str">
        <f>IF(B793="","",IFERROR(INDEX(mat_unit,MATCH(B793,mat_ref,0))&amp;"",""))</f>
        <v/>
      </c>
      <c r="E793" s="72" t="n"/>
      <c r="F793" s="65" t="n"/>
      <c r="G793" s="68" t="str">
        <f>IF(J793&lt;&gt;"OK","",IF(F793="",N(INDEX(mat_loss,MATCH(B793,mat_ref,0))),F793))</f>
        <v/>
      </c>
      <c r="H793" s="66" t="str">
        <f>IF(J793&lt;&gt;"OK","",INDEX(mat_price,MATCH(B793,mat_ref,0)))</f>
        <v/>
      </c>
      <c r="I793" s="66" t="str">
        <f>IF(J793&lt;&gt;"OK","",E793*(1+G793)*H793)</f>
        <v/>
      </c>
      <c r="J793" s="69" t="str">
        <f>IF(AND(A793="",B793=""),"",IF(A793="","Produit manquant",IF(COUNTIF(prod_ref,A793)=0,"Produit inconnu",IF(B793="","Matière manquante",IF(ISNA(MATCH(B793,mat_ref,0)),"Matière inconnue",IF(INDEX(mat_check,MATCH(B793,mat_ref,0))&lt;&gt;"OK","Matière à corriger",IF(OR(NOT(ISNUMBER(E793)),N(E793)&lt;=0),"Quantité invalide",IF(AND(F793&lt;&gt;"",OR(NOT(ISNUMBER(F793)),N(F793)&lt;0,N(F793)&gt;=1)),"Perte entre 0 et 99 %",IF(COUNTIFS(bom_prod,A793,bom_mat,B793)&gt;1,"Matière en double","OK")))))))))</f>
        <v/>
      </c>
      <c r="K793" s="71" t="str">
        <f>IF(AND(fiche_sel&lt;&gt;"",A793=fiche_sel),COUNTIF(A$6:A793,fiche_sel),"")</f>
        <v/>
      </c>
    </row>
    <row r="794">
      <c r="A794" s="60" t="n"/>
      <c r="B794" s="60" t="n"/>
      <c r="C794" s="71" t="str">
        <f>IF(B794="","",IFERROR(INDEX(mat_des,MATCH(B794,mat_ref,0))&amp;"","Matière inconnue"))</f>
        <v/>
      </c>
      <c r="D794" s="69" t="str">
        <f>IF(B794="","",IFERROR(INDEX(mat_unit,MATCH(B794,mat_ref,0))&amp;"",""))</f>
        <v/>
      </c>
      <c r="E794" s="72" t="n"/>
      <c r="F794" s="65" t="n"/>
      <c r="G794" s="68" t="str">
        <f>IF(J794&lt;&gt;"OK","",IF(F794="",N(INDEX(mat_loss,MATCH(B794,mat_ref,0))),F794))</f>
        <v/>
      </c>
      <c r="H794" s="66" t="str">
        <f>IF(J794&lt;&gt;"OK","",INDEX(mat_price,MATCH(B794,mat_ref,0)))</f>
        <v/>
      </c>
      <c r="I794" s="66" t="str">
        <f>IF(J794&lt;&gt;"OK","",E794*(1+G794)*H794)</f>
        <v/>
      </c>
      <c r="J794" s="69" t="str">
        <f>IF(AND(A794="",B794=""),"",IF(A794="","Produit manquant",IF(COUNTIF(prod_ref,A794)=0,"Produit inconnu",IF(B794="","Matière manquante",IF(ISNA(MATCH(B794,mat_ref,0)),"Matière inconnue",IF(INDEX(mat_check,MATCH(B794,mat_ref,0))&lt;&gt;"OK","Matière à corriger",IF(OR(NOT(ISNUMBER(E794)),N(E794)&lt;=0),"Quantité invalide",IF(AND(F794&lt;&gt;"",OR(NOT(ISNUMBER(F794)),N(F794)&lt;0,N(F794)&gt;=1)),"Perte entre 0 et 99 %",IF(COUNTIFS(bom_prod,A794,bom_mat,B794)&gt;1,"Matière en double","OK")))))))))</f>
        <v/>
      </c>
      <c r="K794" s="71" t="str">
        <f>IF(AND(fiche_sel&lt;&gt;"",A794=fiche_sel),COUNTIF(A$6:A794,fiche_sel),"")</f>
        <v/>
      </c>
    </row>
    <row r="795">
      <c r="A795" s="60" t="n"/>
      <c r="B795" s="60" t="n"/>
      <c r="C795" s="71" t="str">
        <f>IF(B795="","",IFERROR(INDEX(mat_des,MATCH(B795,mat_ref,0))&amp;"","Matière inconnue"))</f>
        <v/>
      </c>
      <c r="D795" s="69" t="str">
        <f>IF(B795="","",IFERROR(INDEX(mat_unit,MATCH(B795,mat_ref,0))&amp;"",""))</f>
        <v/>
      </c>
      <c r="E795" s="72" t="n"/>
      <c r="F795" s="65" t="n"/>
      <c r="G795" s="68" t="str">
        <f>IF(J795&lt;&gt;"OK","",IF(F795="",N(INDEX(mat_loss,MATCH(B795,mat_ref,0))),F795))</f>
        <v/>
      </c>
      <c r="H795" s="66" t="str">
        <f>IF(J795&lt;&gt;"OK","",INDEX(mat_price,MATCH(B795,mat_ref,0)))</f>
        <v/>
      </c>
      <c r="I795" s="66" t="str">
        <f>IF(J795&lt;&gt;"OK","",E795*(1+G795)*H795)</f>
        <v/>
      </c>
      <c r="J795" s="69" t="str">
        <f>IF(AND(A795="",B795=""),"",IF(A795="","Produit manquant",IF(COUNTIF(prod_ref,A795)=0,"Produit inconnu",IF(B795="","Matière manquante",IF(ISNA(MATCH(B795,mat_ref,0)),"Matière inconnue",IF(INDEX(mat_check,MATCH(B795,mat_ref,0))&lt;&gt;"OK","Matière à corriger",IF(OR(NOT(ISNUMBER(E795)),N(E795)&lt;=0),"Quantité invalide",IF(AND(F795&lt;&gt;"",OR(NOT(ISNUMBER(F795)),N(F795)&lt;0,N(F795)&gt;=1)),"Perte entre 0 et 99 %",IF(COUNTIFS(bom_prod,A795,bom_mat,B795)&gt;1,"Matière en double","OK")))))))))</f>
        <v/>
      </c>
      <c r="K795" s="71" t="str">
        <f>IF(AND(fiche_sel&lt;&gt;"",A795=fiche_sel),COUNTIF(A$6:A795,fiche_sel),"")</f>
        <v/>
      </c>
    </row>
    <row r="796">
      <c r="A796" s="60" t="n"/>
      <c r="B796" s="60" t="n"/>
      <c r="C796" s="71" t="str">
        <f>IF(B796="","",IFERROR(INDEX(mat_des,MATCH(B796,mat_ref,0))&amp;"","Matière inconnue"))</f>
        <v/>
      </c>
      <c r="D796" s="69" t="str">
        <f>IF(B796="","",IFERROR(INDEX(mat_unit,MATCH(B796,mat_ref,0))&amp;"",""))</f>
        <v/>
      </c>
      <c r="E796" s="72" t="n"/>
      <c r="F796" s="65" t="n"/>
      <c r="G796" s="68" t="str">
        <f>IF(J796&lt;&gt;"OK","",IF(F796="",N(INDEX(mat_loss,MATCH(B796,mat_ref,0))),F796))</f>
        <v/>
      </c>
      <c r="H796" s="66" t="str">
        <f>IF(J796&lt;&gt;"OK","",INDEX(mat_price,MATCH(B796,mat_ref,0)))</f>
        <v/>
      </c>
      <c r="I796" s="66" t="str">
        <f>IF(J796&lt;&gt;"OK","",E796*(1+G796)*H796)</f>
        <v/>
      </c>
      <c r="J796" s="69" t="str">
        <f>IF(AND(A796="",B796=""),"",IF(A796="","Produit manquant",IF(COUNTIF(prod_ref,A796)=0,"Produit inconnu",IF(B796="","Matière manquante",IF(ISNA(MATCH(B796,mat_ref,0)),"Matière inconnue",IF(INDEX(mat_check,MATCH(B796,mat_ref,0))&lt;&gt;"OK","Matière à corriger",IF(OR(NOT(ISNUMBER(E796)),N(E796)&lt;=0),"Quantité invalide",IF(AND(F796&lt;&gt;"",OR(NOT(ISNUMBER(F796)),N(F796)&lt;0,N(F796)&gt;=1)),"Perte entre 0 et 99 %",IF(COUNTIFS(bom_prod,A796,bom_mat,B796)&gt;1,"Matière en double","OK")))))))))</f>
        <v/>
      </c>
      <c r="K796" s="71" t="str">
        <f>IF(AND(fiche_sel&lt;&gt;"",A796=fiche_sel),COUNTIF(A$6:A796,fiche_sel),"")</f>
        <v/>
      </c>
    </row>
    <row r="797">
      <c r="A797" s="60" t="n"/>
      <c r="B797" s="60" t="n"/>
      <c r="C797" s="71" t="str">
        <f>IF(B797="","",IFERROR(INDEX(mat_des,MATCH(B797,mat_ref,0))&amp;"","Matière inconnue"))</f>
        <v/>
      </c>
      <c r="D797" s="69" t="str">
        <f>IF(B797="","",IFERROR(INDEX(mat_unit,MATCH(B797,mat_ref,0))&amp;"",""))</f>
        <v/>
      </c>
      <c r="E797" s="72" t="n"/>
      <c r="F797" s="65" t="n"/>
      <c r="G797" s="68" t="str">
        <f>IF(J797&lt;&gt;"OK","",IF(F797="",N(INDEX(mat_loss,MATCH(B797,mat_ref,0))),F797))</f>
        <v/>
      </c>
      <c r="H797" s="66" t="str">
        <f>IF(J797&lt;&gt;"OK","",INDEX(mat_price,MATCH(B797,mat_ref,0)))</f>
        <v/>
      </c>
      <c r="I797" s="66" t="str">
        <f>IF(J797&lt;&gt;"OK","",E797*(1+G797)*H797)</f>
        <v/>
      </c>
      <c r="J797" s="69" t="str">
        <f>IF(AND(A797="",B797=""),"",IF(A797="","Produit manquant",IF(COUNTIF(prod_ref,A797)=0,"Produit inconnu",IF(B797="","Matière manquante",IF(ISNA(MATCH(B797,mat_ref,0)),"Matière inconnue",IF(INDEX(mat_check,MATCH(B797,mat_ref,0))&lt;&gt;"OK","Matière à corriger",IF(OR(NOT(ISNUMBER(E797)),N(E797)&lt;=0),"Quantité invalide",IF(AND(F797&lt;&gt;"",OR(NOT(ISNUMBER(F797)),N(F797)&lt;0,N(F797)&gt;=1)),"Perte entre 0 et 99 %",IF(COUNTIFS(bom_prod,A797,bom_mat,B797)&gt;1,"Matière en double","OK")))))))))</f>
        <v/>
      </c>
      <c r="K797" s="71" t="str">
        <f>IF(AND(fiche_sel&lt;&gt;"",A797=fiche_sel),COUNTIF(A$6:A797,fiche_sel),"")</f>
        <v/>
      </c>
    </row>
    <row r="798">
      <c r="A798" s="60" t="n"/>
      <c r="B798" s="60" t="n"/>
      <c r="C798" s="71" t="str">
        <f>IF(B798="","",IFERROR(INDEX(mat_des,MATCH(B798,mat_ref,0))&amp;"","Matière inconnue"))</f>
        <v/>
      </c>
      <c r="D798" s="69" t="str">
        <f>IF(B798="","",IFERROR(INDEX(mat_unit,MATCH(B798,mat_ref,0))&amp;"",""))</f>
        <v/>
      </c>
      <c r="E798" s="72" t="n"/>
      <c r="F798" s="65" t="n"/>
      <c r="G798" s="68" t="str">
        <f>IF(J798&lt;&gt;"OK","",IF(F798="",N(INDEX(mat_loss,MATCH(B798,mat_ref,0))),F798))</f>
        <v/>
      </c>
      <c r="H798" s="66" t="str">
        <f>IF(J798&lt;&gt;"OK","",INDEX(mat_price,MATCH(B798,mat_ref,0)))</f>
        <v/>
      </c>
      <c r="I798" s="66" t="str">
        <f>IF(J798&lt;&gt;"OK","",E798*(1+G798)*H798)</f>
        <v/>
      </c>
      <c r="J798" s="69" t="str">
        <f>IF(AND(A798="",B798=""),"",IF(A798="","Produit manquant",IF(COUNTIF(prod_ref,A798)=0,"Produit inconnu",IF(B798="","Matière manquante",IF(ISNA(MATCH(B798,mat_ref,0)),"Matière inconnue",IF(INDEX(mat_check,MATCH(B798,mat_ref,0))&lt;&gt;"OK","Matière à corriger",IF(OR(NOT(ISNUMBER(E798)),N(E798)&lt;=0),"Quantité invalide",IF(AND(F798&lt;&gt;"",OR(NOT(ISNUMBER(F798)),N(F798)&lt;0,N(F798)&gt;=1)),"Perte entre 0 et 99 %",IF(COUNTIFS(bom_prod,A798,bom_mat,B798)&gt;1,"Matière en double","OK")))))))))</f>
        <v/>
      </c>
      <c r="K798" s="71" t="str">
        <f>IF(AND(fiche_sel&lt;&gt;"",A798=fiche_sel),COUNTIF(A$6:A798,fiche_sel),"")</f>
        <v/>
      </c>
    </row>
    <row r="799">
      <c r="A799" s="60" t="n"/>
      <c r="B799" s="60" t="n"/>
      <c r="C799" s="71" t="str">
        <f>IF(B799="","",IFERROR(INDEX(mat_des,MATCH(B799,mat_ref,0))&amp;"","Matière inconnue"))</f>
        <v/>
      </c>
      <c r="D799" s="69" t="str">
        <f>IF(B799="","",IFERROR(INDEX(mat_unit,MATCH(B799,mat_ref,0))&amp;"",""))</f>
        <v/>
      </c>
      <c r="E799" s="72" t="n"/>
      <c r="F799" s="65" t="n"/>
      <c r="G799" s="68" t="str">
        <f>IF(J799&lt;&gt;"OK","",IF(F799="",N(INDEX(mat_loss,MATCH(B799,mat_ref,0))),F799))</f>
        <v/>
      </c>
      <c r="H799" s="66" t="str">
        <f>IF(J799&lt;&gt;"OK","",INDEX(mat_price,MATCH(B799,mat_ref,0)))</f>
        <v/>
      </c>
      <c r="I799" s="66" t="str">
        <f>IF(J799&lt;&gt;"OK","",E799*(1+G799)*H799)</f>
        <v/>
      </c>
      <c r="J799" s="69" t="str">
        <f>IF(AND(A799="",B799=""),"",IF(A799="","Produit manquant",IF(COUNTIF(prod_ref,A799)=0,"Produit inconnu",IF(B799="","Matière manquante",IF(ISNA(MATCH(B799,mat_ref,0)),"Matière inconnue",IF(INDEX(mat_check,MATCH(B799,mat_ref,0))&lt;&gt;"OK","Matière à corriger",IF(OR(NOT(ISNUMBER(E799)),N(E799)&lt;=0),"Quantité invalide",IF(AND(F799&lt;&gt;"",OR(NOT(ISNUMBER(F799)),N(F799)&lt;0,N(F799)&gt;=1)),"Perte entre 0 et 99 %",IF(COUNTIFS(bom_prod,A799,bom_mat,B799)&gt;1,"Matière en double","OK")))))))))</f>
        <v/>
      </c>
      <c r="K799" s="71" t="str">
        <f>IF(AND(fiche_sel&lt;&gt;"",A799=fiche_sel),COUNTIF(A$6:A799,fiche_sel),"")</f>
        <v/>
      </c>
    </row>
    <row r="800">
      <c r="A800" s="60" t="n"/>
      <c r="B800" s="60" t="n"/>
      <c r="C800" s="71" t="str">
        <f>IF(B800="","",IFERROR(INDEX(mat_des,MATCH(B800,mat_ref,0))&amp;"","Matière inconnue"))</f>
        <v/>
      </c>
      <c r="D800" s="69" t="str">
        <f>IF(B800="","",IFERROR(INDEX(mat_unit,MATCH(B800,mat_ref,0))&amp;"",""))</f>
        <v/>
      </c>
      <c r="E800" s="72" t="n"/>
      <c r="F800" s="65" t="n"/>
      <c r="G800" s="68" t="str">
        <f>IF(J800&lt;&gt;"OK","",IF(F800="",N(INDEX(mat_loss,MATCH(B800,mat_ref,0))),F800))</f>
        <v/>
      </c>
      <c r="H800" s="66" t="str">
        <f>IF(J800&lt;&gt;"OK","",INDEX(mat_price,MATCH(B800,mat_ref,0)))</f>
        <v/>
      </c>
      <c r="I800" s="66" t="str">
        <f>IF(J800&lt;&gt;"OK","",E800*(1+G800)*H800)</f>
        <v/>
      </c>
      <c r="J800" s="69" t="str">
        <f>IF(AND(A800="",B800=""),"",IF(A800="","Produit manquant",IF(COUNTIF(prod_ref,A800)=0,"Produit inconnu",IF(B800="","Matière manquante",IF(ISNA(MATCH(B800,mat_ref,0)),"Matière inconnue",IF(INDEX(mat_check,MATCH(B800,mat_ref,0))&lt;&gt;"OK","Matière à corriger",IF(OR(NOT(ISNUMBER(E800)),N(E800)&lt;=0),"Quantité invalide",IF(AND(F800&lt;&gt;"",OR(NOT(ISNUMBER(F800)),N(F800)&lt;0,N(F800)&gt;=1)),"Perte entre 0 et 99 %",IF(COUNTIFS(bom_prod,A800,bom_mat,B800)&gt;1,"Matière en double","OK")))))))))</f>
        <v/>
      </c>
      <c r="K800" s="71" t="str">
        <f>IF(AND(fiche_sel&lt;&gt;"",A800=fiche_sel),COUNTIF(A$6:A800,fiche_sel),"")</f>
        <v/>
      </c>
    </row>
    <row r="801">
      <c r="A801" s="60" t="n"/>
      <c r="B801" s="60" t="n"/>
      <c r="C801" s="71" t="str">
        <f>IF(B801="","",IFERROR(INDEX(mat_des,MATCH(B801,mat_ref,0))&amp;"","Matière inconnue"))</f>
        <v/>
      </c>
      <c r="D801" s="69" t="str">
        <f>IF(B801="","",IFERROR(INDEX(mat_unit,MATCH(B801,mat_ref,0))&amp;"",""))</f>
        <v/>
      </c>
      <c r="E801" s="72" t="n"/>
      <c r="F801" s="65" t="n"/>
      <c r="G801" s="68" t="str">
        <f>IF(J801&lt;&gt;"OK","",IF(F801="",N(INDEX(mat_loss,MATCH(B801,mat_ref,0))),F801))</f>
        <v/>
      </c>
      <c r="H801" s="66" t="str">
        <f>IF(J801&lt;&gt;"OK","",INDEX(mat_price,MATCH(B801,mat_ref,0)))</f>
        <v/>
      </c>
      <c r="I801" s="66" t="str">
        <f>IF(J801&lt;&gt;"OK","",E801*(1+G801)*H801)</f>
        <v/>
      </c>
      <c r="J801" s="69" t="str">
        <f>IF(AND(A801="",B801=""),"",IF(A801="","Produit manquant",IF(COUNTIF(prod_ref,A801)=0,"Produit inconnu",IF(B801="","Matière manquante",IF(ISNA(MATCH(B801,mat_ref,0)),"Matière inconnue",IF(INDEX(mat_check,MATCH(B801,mat_ref,0))&lt;&gt;"OK","Matière à corriger",IF(OR(NOT(ISNUMBER(E801)),N(E801)&lt;=0),"Quantité invalide",IF(AND(F801&lt;&gt;"",OR(NOT(ISNUMBER(F801)),N(F801)&lt;0,N(F801)&gt;=1)),"Perte entre 0 et 99 %",IF(COUNTIFS(bom_prod,A801,bom_mat,B801)&gt;1,"Matière en double","OK")))))))))</f>
        <v/>
      </c>
      <c r="K801" s="71" t="str">
        <f>IF(AND(fiche_sel&lt;&gt;"",A801=fiche_sel),COUNTIF(A$6:A801,fiche_sel),"")</f>
        <v/>
      </c>
    </row>
    <row r="802">
      <c r="A802" s="60" t="n"/>
      <c r="B802" s="60" t="n"/>
      <c r="C802" s="71" t="str">
        <f>IF(B802="","",IFERROR(INDEX(mat_des,MATCH(B802,mat_ref,0))&amp;"","Matière inconnue"))</f>
        <v/>
      </c>
      <c r="D802" s="69" t="str">
        <f>IF(B802="","",IFERROR(INDEX(mat_unit,MATCH(B802,mat_ref,0))&amp;"",""))</f>
        <v/>
      </c>
      <c r="E802" s="72" t="n"/>
      <c r="F802" s="65" t="n"/>
      <c r="G802" s="68" t="str">
        <f>IF(J802&lt;&gt;"OK","",IF(F802="",N(INDEX(mat_loss,MATCH(B802,mat_ref,0))),F802))</f>
        <v/>
      </c>
      <c r="H802" s="66" t="str">
        <f>IF(J802&lt;&gt;"OK","",INDEX(mat_price,MATCH(B802,mat_ref,0)))</f>
        <v/>
      </c>
      <c r="I802" s="66" t="str">
        <f>IF(J802&lt;&gt;"OK","",E802*(1+G802)*H802)</f>
        <v/>
      </c>
      <c r="J802" s="69" t="str">
        <f>IF(AND(A802="",B802=""),"",IF(A802="","Produit manquant",IF(COUNTIF(prod_ref,A802)=0,"Produit inconnu",IF(B802="","Matière manquante",IF(ISNA(MATCH(B802,mat_ref,0)),"Matière inconnue",IF(INDEX(mat_check,MATCH(B802,mat_ref,0))&lt;&gt;"OK","Matière à corriger",IF(OR(NOT(ISNUMBER(E802)),N(E802)&lt;=0),"Quantité invalide",IF(AND(F802&lt;&gt;"",OR(NOT(ISNUMBER(F802)),N(F802)&lt;0,N(F802)&gt;=1)),"Perte entre 0 et 99 %",IF(COUNTIFS(bom_prod,A802,bom_mat,B802)&gt;1,"Matière en double","OK")))))))))</f>
        <v/>
      </c>
      <c r="K802" s="71" t="str">
        <f>IF(AND(fiche_sel&lt;&gt;"",A802=fiche_sel),COUNTIF(A$6:A802,fiche_sel),"")</f>
        <v/>
      </c>
    </row>
    <row r="803">
      <c r="A803" s="60" t="n"/>
      <c r="B803" s="60" t="n"/>
      <c r="C803" s="71" t="str">
        <f>IF(B803="","",IFERROR(INDEX(mat_des,MATCH(B803,mat_ref,0))&amp;"","Matière inconnue"))</f>
        <v/>
      </c>
      <c r="D803" s="69" t="str">
        <f>IF(B803="","",IFERROR(INDEX(mat_unit,MATCH(B803,mat_ref,0))&amp;"",""))</f>
        <v/>
      </c>
      <c r="E803" s="72" t="n"/>
      <c r="F803" s="65" t="n"/>
      <c r="G803" s="68" t="str">
        <f>IF(J803&lt;&gt;"OK","",IF(F803="",N(INDEX(mat_loss,MATCH(B803,mat_ref,0))),F803))</f>
        <v/>
      </c>
      <c r="H803" s="66" t="str">
        <f>IF(J803&lt;&gt;"OK","",INDEX(mat_price,MATCH(B803,mat_ref,0)))</f>
        <v/>
      </c>
      <c r="I803" s="66" t="str">
        <f>IF(J803&lt;&gt;"OK","",E803*(1+G803)*H803)</f>
        <v/>
      </c>
      <c r="J803" s="69" t="str">
        <f>IF(AND(A803="",B803=""),"",IF(A803="","Produit manquant",IF(COUNTIF(prod_ref,A803)=0,"Produit inconnu",IF(B803="","Matière manquante",IF(ISNA(MATCH(B803,mat_ref,0)),"Matière inconnue",IF(INDEX(mat_check,MATCH(B803,mat_ref,0))&lt;&gt;"OK","Matière à corriger",IF(OR(NOT(ISNUMBER(E803)),N(E803)&lt;=0),"Quantité invalide",IF(AND(F803&lt;&gt;"",OR(NOT(ISNUMBER(F803)),N(F803)&lt;0,N(F803)&gt;=1)),"Perte entre 0 et 99 %",IF(COUNTIFS(bom_prod,A803,bom_mat,B803)&gt;1,"Matière en double","OK")))))))))</f>
        <v/>
      </c>
      <c r="K803" s="71" t="str">
        <f>IF(AND(fiche_sel&lt;&gt;"",A803=fiche_sel),COUNTIF(A$6:A803,fiche_sel),"")</f>
        <v/>
      </c>
    </row>
    <row r="804">
      <c r="A804" s="60" t="n"/>
      <c r="B804" s="60" t="n"/>
      <c r="C804" s="71" t="str">
        <f>IF(B804="","",IFERROR(INDEX(mat_des,MATCH(B804,mat_ref,0))&amp;"","Matière inconnue"))</f>
        <v/>
      </c>
      <c r="D804" s="69" t="str">
        <f>IF(B804="","",IFERROR(INDEX(mat_unit,MATCH(B804,mat_ref,0))&amp;"",""))</f>
        <v/>
      </c>
      <c r="E804" s="72" t="n"/>
      <c r="F804" s="65" t="n"/>
      <c r="G804" s="68" t="str">
        <f>IF(J804&lt;&gt;"OK","",IF(F804="",N(INDEX(mat_loss,MATCH(B804,mat_ref,0))),F804))</f>
        <v/>
      </c>
      <c r="H804" s="66" t="str">
        <f>IF(J804&lt;&gt;"OK","",INDEX(mat_price,MATCH(B804,mat_ref,0)))</f>
        <v/>
      </c>
      <c r="I804" s="66" t="str">
        <f>IF(J804&lt;&gt;"OK","",E804*(1+G804)*H804)</f>
        <v/>
      </c>
      <c r="J804" s="69" t="str">
        <f>IF(AND(A804="",B804=""),"",IF(A804="","Produit manquant",IF(COUNTIF(prod_ref,A804)=0,"Produit inconnu",IF(B804="","Matière manquante",IF(ISNA(MATCH(B804,mat_ref,0)),"Matière inconnue",IF(INDEX(mat_check,MATCH(B804,mat_ref,0))&lt;&gt;"OK","Matière à corriger",IF(OR(NOT(ISNUMBER(E804)),N(E804)&lt;=0),"Quantité invalide",IF(AND(F804&lt;&gt;"",OR(NOT(ISNUMBER(F804)),N(F804)&lt;0,N(F804)&gt;=1)),"Perte entre 0 et 99 %",IF(COUNTIFS(bom_prod,A804,bom_mat,B804)&gt;1,"Matière en double","OK")))))))))</f>
        <v/>
      </c>
      <c r="K804" s="71" t="str">
        <f>IF(AND(fiche_sel&lt;&gt;"",A804=fiche_sel),COUNTIF(A$6:A804,fiche_sel),"")</f>
        <v/>
      </c>
    </row>
    <row r="805">
      <c r="A805" s="60" t="n"/>
      <c r="B805" s="60" t="n"/>
      <c r="C805" s="71" t="str">
        <f>IF(B805="","",IFERROR(INDEX(mat_des,MATCH(B805,mat_ref,0))&amp;"","Matière inconnue"))</f>
        <v/>
      </c>
      <c r="D805" s="69" t="str">
        <f>IF(B805="","",IFERROR(INDEX(mat_unit,MATCH(B805,mat_ref,0))&amp;"",""))</f>
        <v/>
      </c>
      <c r="E805" s="72" t="n"/>
      <c r="F805" s="65" t="n"/>
      <c r="G805" s="68" t="str">
        <f>IF(J805&lt;&gt;"OK","",IF(F805="",N(INDEX(mat_loss,MATCH(B805,mat_ref,0))),F805))</f>
        <v/>
      </c>
      <c r="H805" s="66" t="str">
        <f>IF(J805&lt;&gt;"OK","",INDEX(mat_price,MATCH(B805,mat_ref,0)))</f>
        <v/>
      </c>
      <c r="I805" s="66" t="str">
        <f>IF(J805&lt;&gt;"OK","",E805*(1+G805)*H805)</f>
        <v/>
      </c>
      <c r="J805" s="69" t="str">
        <f>IF(AND(A805="",B805=""),"",IF(A805="","Produit manquant",IF(COUNTIF(prod_ref,A805)=0,"Produit inconnu",IF(B805="","Matière manquante",IF(ISNA(MATCH(B805,mat_ref,0)),"Matière inconnue",IF(INDEX(mat_check,MATCH(B805,mat_ref,0))&lt;&gt;"OK","Matière à corriger",IF(OR(NOT(ISNUMBER(E805)),N(E805)&lt;=0),"Quantité invalide",IF(AND(F805&lt;&gt;"",OR(NOT(ISNUMBER(F805)),N(F805)&lt;0,N(F805)&gt;=1)),"Perte entre 0 et 99 %",IF(COUNTIFS(bom_prod,A805,bom_mat,B805)&gt;1,"Matière en double","OK")))))))))</f>
        <v/>
      </c>
      <c r="K805" s="71" t="str">
        <f>IF(AND(fiche_sel&lt;&gt;"",A805=fiche_sel),COUNTIF(A$6:A805,fiche_sel),"")</f>
        <v/>
      </c>
    </row>
    <row r="806">
      <c r="A806" s="60" t="n"/>
      <c r="B806" s="60" t="n"/>
      <c r="C806" s="71" t="str">
        <f>IF(B806="","",IFERROR(INDEX(mat_des,MATCH(B806,mat_ref,0))&amp;"","Matière inconnue"))</f>
        <v/>
      </c>
      <c r="D806" s="69" t="str">
        <f>IF(B806="","",IFERROR(INDEX(mat_unit,MATCH(B806,mat_ref,0))&amp;"",""))</f>
        <v/>
      </c>
      <c r="E806" s="72" t="n"/>
      <c r="F806" s="65" t="n"/>
      <c r="G806" s="68" t="str">
        <f>IF(J806&lt;&gt;"OK","",IF(F806="",N(INDEX(mat_loss,MATCH(B806,mat_ref,0))),F806))</f>
        <v/>
      </c>
      <c r="H806" s="66" t="str">
        <f>IF(J806&lt;&gt;"OK","",INDEX(mat_price,MATCH(B806,mat_ref,0)))</f>
        <v/>
      </c>
      <c r="I806" s="66" t="str">
        <f>IF(J806&lt;&gt;"OK","",E806*(1+G806)*H806)</f>
        <v/>
      </c>
      <c r="J806" s="69" t="str">
        <f>IF(AND(A806="",B806=""),"",IF(A806="","Produit manquant",IF(COUNTIF(prod_ref,A806)=0,"Produit inconnu",IF(B806="","Matière manquante",IF(ISNA(MATCH(B806,mat_ref,0)),"Matière inconnue",IF(INDEX(mat_check,MATCH(B806,mat_ref,0))&lt;&gt;"OK","Matière à corriger",IF(OR(NOT(ISNUMBER(E806)),N(E806)&lt;=0),"Quantité invalide",IF(AND(F806&lt;&gt;"",OR(NOT(ISNUMBER(F806)),N(F806)&lt;0,N(F806)&gt;=1)),"Perte entre 0 et 99 %",IF(COUNTIFS(bom_prod,A806,bom_mat,B806)&gt;1,"Matière en double","OK")))))))))</f>
        <v/>
      </c>
      <c r="K806" s="71" t="str">
        <f>IF(AND(fiche_sel&lt;&gt;"",A806=fiche_sel),COUNTIF(A$6:A806,fiche_sel),"")</f>
        <v/>
      </c>
    </row>
    <row r="807">
      <c r="A807" s="60" t="n"/>
      <c r="B807" s="60" t="n"/>
      <c r="C807" s="71" t="str">
        <f>IF(B807="","",IFERROR(INDEX(mat_des,MATCH(B807,mat_ref,0))&amp;"","Matière inconnue"))</f>
        <v/>
      </c>
      <c r="D807" s="69" t="str">
        <f>IF(B807="","",IFERROR(INDEX(mat_unit,MATCH(B807,mat_ref,0))&amp;"",""))</f>
        <v/>
      </c>
      <c r="E807" s="72" t="n"/>
      <c r="F807" s="65" t="n"/>
      <c r="G807" s="68" t="str">
        <f>IF(J807&lt;&gt;"OK","",IF(F807="",N(INDEX(mat_loss,MATCH(B807,mat_ref,0))),F807))</f>
        <v/>
      </c>
      <c r="H807" s="66" t="str">
        <f>IF(J807&lt;&gt;"OK","",INDEX(mat_price,MATCH(B807,mat_ref,0)))</f>
        <v/>
      </c>
      <c r="I807" s="66" t="str">
        <f>IF(J807&lt;&gt;"OK","",E807*(1+G807)*H807)</f>
        <v/>
      </c>
      <c r="J807" s="69" t="str">
        <f>IF(AND(A807="",B807=""),"",IF(A807="","Produit manquant",IF(COUNTIF(prod_ref,A807)=0,"Produit inconnu",IF(B807="","Matière manquante",IF(ISNA(MATCH(B807,mat_ref,0)),"Matière inconnue",IF(INDEX(mat_check,MATCH(B807,mat_ref,0))&lt;&gt;"OK","Matière à corriger",IF(OR(NOT(ISNUMBER(E807)),N(E807)&lt;=0),"Quantité invalide",IF(AND(F807&lt;&gt;"",OR(NOT(ISNUMBER(F807)),N(F807)&lt;0,N(F807)&gt;=1)),"Perte entre 0 et 99 %",IF(COUNTIFS(bom_prod,A807,bom_mat,B807)&gt;1,"Matière en double","OK")))))))))</f>
        <v/>
      </c>
      <c r="K807" s="71" t="str">
        <f>IF(AND(fiche_sel&lt;&gt;"",A807=fiche_sel),COUNTIF(A$6:A807,fiche_sel),"")</f>
        <v/>
      </c>
    </row>
    <row r="808">
      <c r="A808" s="60" t="n"/>
      <c r="B808" s="60" t="n"/>
      <c r="C808" s="71" t="str">
        <f>IF(B808="","",IFERROR(INDEX(mat_des,MATCH(B808,mat_ref,0))&amp;"","Matière inconnue"))</f>
        <v/>
      </c>
      <c r="D808" s="69" t="str">
        <f>IF(B808="","",IFERROR(INDEX(mat_unit,MATCH(B808,mat_ref,0))&amp;"",""))</f>
        <v/>
      </c>
      <c r="E808" s="72" t="n"/>
      <c r="F808" s="65" t="n"/>
      <c r="G808" s="68" t="str">
        <f>IF(J808&lt;&gt;"OK","",IF(F808="",N(INDEX(mat_loss,MATCH(B808,mat_ref,0))),F808))</f>
        <v/>
      </c>
      <c r="H808" s="66" t="str">
        <f>IF(J808&lt;&gt;"OK","",INDEX(mat_price,MATCH(B808,mat_ref,0)))</f>
        <v/>
      </c>
      <c r="I808" s="66" t="str">
        <f>IF(J808&lt;&gt;"OK","",E808*(1+G808)*H808)</f>
        <v/>
      </c>
      <c r="J808" s="69" t="str">
        <f>IF(AND(A808="",B808=""),"",IF(A808="","Produit manquant",IF(COUNTIF(prod_ref,A808)=0,"Produit inconnu",IF(B808="","Matière manquante",IF(ISNA(MATCH(B808,mat_ref,0)),"Matière inconnue",IF(INDEX(mat_check,MATCH(B808,mat_ref,0))&lt;&gt;"OK","Matière à corriger",IF(OR(NOT(ISNUMBER(E808)),N(E808)&lt;=0),"Quantité invalide",IF(AND(F808&lt;&gt;"",OR(NOT(ISNUMBER(F808)),N(F808)&lt;0,N(F808)&gt;=1)),"Perte entre 0 et 99 %",IF(COUNTIFS(bom_prod,A808,bom_mat,B808)&gt;1,"Matière en double","OK")))))))))</f>
        <v/>
      </c>
      <c r="K808" s="71" t="str">
        <f>IF(AND(fiche_sel&lt;&gt;"",A808=fiche_sel),COUNTIF(A$6:A808,fiche_sel),"")</f>
        <v/>
      </c>
    </row>
    <row r="809">
      <c r="A809" s="60" t="n"/>
      <c r="B809" s="60" t="n"/>
      <c r="C809" s="71" t="str">
        <f>IF(B809="","",IFERROR(INDEX(mat_des,MATCH(B809,mat_ref,0))&amp;"","Matière inconnue"))</f>
        <v/>
      </c>
      <c r="D809" s="69" t="str">
        <f>IF(B809="","",IFERROR(INDEX(mat_unit,MATCH(B809,mat_ref,0))&amp;"",""))</f>
        <v/>
      </c>
      <c r="E809" s="72" t="n"/>
      <c r="F809" s="65" t="n"/>
      <c r="G809" s="68" t="str">
        <f>IF(J809&lt;&gt;"OK","",IF(F809="",N(INDEX(mat_loss,MATCH(B809,mat_ref,0))),F809))</f>
        <v/>
      </c>
      <c r="H809" s="66" t="str">
        <f>IF(J809&lt;&gt;"OK","",INDEX(mat_price,MATCH(B809,mat_ref,0)))</f>
        <v/>
      </c>
      <c r="I809" s="66" t="str">
        <f>IF(J809&lt;&gt;"OK","",E809*(1+G809)*H809)</f>
        <v/>
      </c>
      <c r="J809" s="69" t="str">
        <f>IF(AND(A809="",B809=""),"",IF(A809="","Produit manquant",IF(COUNTIF(prod_ref,A809)=0,"Produit inconnu",IF(B809="","Matière manquante",IF(ISNA(MATCH(B809,mat_ref,0)),"Matière inconnue",IF(INDEX(mat_check,MATCH(B809,mat_ref,0))&lt;&gt;"OK","Matière à corriger",IF(OR(NOT(ISNUMBER(E809)),N(E809)&lt;=0),"Quantité invalide",IF(AND(F809&lt;&gt;"",OR(NOT(ISNUMBER(F809)),N(F809)&lt;0,N(F809)&gt;=1)),"Perte entre 0 et 99 %",IF(COUNTIFS(bom_prod,A809,bom_mat,B809)&gt;1,"Matière en double","OK")))))))))</f>
        <v/>
      </c>
      <c r="K809" s="71" t="str">
        <f>IF(AND(fiche_sel&lt;&gt;"",A809=fiche_sel),COUNTIF(A$6:A809,fiche_sel),"")</f>
        <v/>
      </c>
    </row>
    <row r="810">
      <c r="A810" s="60" t="n"/>
      <c r="B810" s="60" t="n"/>
      <c r="C810" s="71" t="str">
        <f>IF(B810="","",IFERROR(INDEX(mat_des,MATCH(B810,mat_ref,0))&amp;"","Matière inconnue"))</f>
        <v/>
      </c>
      <c r="D810" s="69" t="str">
        <f>IF(B810="","",IFERROR(INDEX(mat_unit,MATCH(B810,mat_ref,0))&amp;"",""))</f>
        <v/>
      </c>
      <c r="E810" s="72" t="n"/>
      <c r="F810" s="65" t="n"/>
      <c r="G810" s="68" t="str">
        <f>IF(J810&lt;&gt;"OK","",IF(F810="",N(INDEX(mat_loss,MATCH(B810,mat_ref,0))),F810))</f>
        <v/>
      </c>
      <c r="H810" s="66" t="str">
        <f>IF(J810&lt;&gt;"OK","",INDEX(mat_price,MATCH(B810,mat_ref,0)))</f>
        <v/>
      </c>
      <c r="I810" s="66" t="str">
        <f>IF(J810&lt;&gt;"OK","",E810*(1+G810)*H810)</f>
        <v/>
      </c>
      <c r="J810" s="69" t="str">
        <f>IF(AND(A810="",B810=""),"",IF(A810="","Produit manquant",IF(COUNTIF(prod_ref,A810)=0,"Produit inconnu",IF(B810="","Matière manquante",IF(ISNA(MATCH(B810,mat_ref,0)),"Matière inconnue",IF(INDEX(mat_check,MATCH(B810,mat_ref,0))&lt;&gt;"OK","Matière à corriger",IF(OR(NOT(ISNUMBER(E810)),N(E810)&lt;=0),"Quantité invalide",IF(AND(F810&lt;&gt;"",OR(NOT(ISNUMBER(F810)),N(F810)&lt;0,N(F810)&gt;=1)),"Perte entre 0 et 99 %",IF(COUNTIFS(bom_prod,A810,bom_mat,B810)&gt;1,"Matière en double","OK")))))))))</f>
        <v/>
      </c>
      <c r="K810" s="71" t="str">
        <f>IF(AND(fiche_sel&lt;&gt;"",A810=fiche_sel),COUNTIF(A$6:A810,fiche_sel),"")</f>
        <v/>
      </c>
    </row>
    <row r="811">
      <c r="A811" s="60" t="n"/>
      <c r="B811" s="60" t="n"/>
      <c r="C811" s="71" t="str">
        <f>IF(B811="","",IFERROR(INDEX(mat_des,MATCH(B811,mat_ref,0))&amp;"","Matière inconnue"))</f>
        <v/>
      </c>
      <c r="D811" s="69" t="str">
        <f>IF(B811="","",IFERROR(INDEX(mat_unit,MATCH(B811,mat_ref,0))&amp;"",""))</f>
        <v/>
      </c>
      <c r="E811" s="72" t="n"/>
      <c r="F811" s="65" t="n"/>
      <c r="G811" s="68" t="str">
        <f>IF(J811&lt;&gt;"OK","",IF(F811="",N(INDEX(mat_loss,MATCH(B811,mat_ref,0))),F811))</f>
        <v/>
      </c>
      <c r="H811" s="66" t="str">
        <f>IF(J811&lt;&gt;"OK","",INDEX(mat_price,MATCH(B811,mat_ref,0)))</f>
        <v/>
      </c>
      <c r="I811" s="66" t="str">
        <f>IF(J811&lt;&gt;"OK","",E811*(1+G811)*H811)</f>
        <v/>
      </c>
      <c r="J811" s="69" t="str">
        <f>IF(AND(A811="",B811=""),"",IF(A811="","Produit manquant",IF(COUNTIF(prod_ref,A811)=0,"Produit inconnu",IF(B811="","Matière manquante",IF(ISNA(MATCH(B811,mat_ref,0)),"Matière inconnue",IF(INDEX(mat_check,MATCH(B811,mat_ref,0))&lt;&gt;"OK","Matière à corriger",IF(OR(NOT(ISNUMBER(E811)),N(E811)&lt;=0),"Quantité invalide",IF(AND(F811&lt;&gt;"",OR(NOT(ISNUMBER(F811)),N(F811)&lt;0,N(F811)&gt;=1)),"Perte entre 0 et 99 %",IF(COUNTIFS(bom_prod,A811,bom_mat,B811)&gt;1,"Matière en double","OK")))))))))</f>
        <v/>
      </c>
      <c r="K811" s="71" t="str">
        <f>IF(AND(fiche_sel&lt;&gt;"",A811=fiche_sel),COUNTIF(A$6:A811,fiche_sel),"")</f>
        <v/>
      </c>
    </row>
    <row r="812">
      <c r="A812" s="60" t="n"/>
      <c r="B812" s="60" t="n"/>
      <c r="C812" s="71" t="str">
        <f>IF(B812="","",IFERROR(INDEX(mat_des,MATCH(B812,mat_ref,0))&amp;"","Matière inconnue"))</f>
        <v/>
      </c>
      <c r="D812" s="69" t="str">
        <f>IF(B812="","",IFERROR(INDEX(mat_unit,MATCH(B812,mat_ref,0))&amp;"",""))</f>
        <v/>
      </c>
      <c r="E812" s="72" t="n"/>
      <c r="F812" s="65" t="n"/>
      <c r="G812" s="68" t="str">
        <f>IF(J812&lt;&gt;"OK","",IF(F812="",N(INDEX(mat_loss,MATCH(B812,mat_ref,0))),F812))</f>
        <v/>
      </c>
      <c r="H812" s="66" t="str">
        <f>IF(J812&lt;&gt;"OK","",INDEX(mat_price,MATCH(B812,mat_ref,0)))</f>
        <v/>
      </c>
      <c r="I812" s="66" t="str">
        <f>IF(J812&lt;&gt;"OK","",E812*(1+G812)*H812)</f>
        <v/>
      </c>
      <c r="J812" s="69" t="str">
        <f>IF(AND(A812="",B812=""),"",IF(A812="","Produit manquant",IF(COUNTIF(prod_ref,A812)=0,"Produit inconnu",IF(B812="","Matière manquante",IF(ISNA(MATCH(B812,mat_ref,0)),"Matière inconnue",IF(INDEX(mat_check,MATCH(B812,mat_ref,0))&lt;&gt;"OK","Matière à corriger",IF(OR(NOT(ISNUMBER(E812)),N(E812)&lt;=0),"Quantité invalide",IF(AND(F812&lt;&gt;"",OR(NOT(ISNUMBER(F812)),N(F812)&lt;0,N(F812)&gt;=1)),"Perte entre 0 et 99 %",IF(COUNTIFS(bom_prod,A812,bom_mat,B812)&gt;1,"Matière en double","OK")))))))))</f>
        <v/>
      </c>
      <c r="K812" s="71" t="str">
        <f>IF(AND(fiche_sel&lt;&gt;"",A812=fiche_sel),COUNTIF(A$6:A812,fiche_sel),"")</f>
        <v/>
      </c>
    </row>
    <row r="813">
      <c r="A813" s="60" t="n"/>
      <c r="B813" s="60" t="n"/>
      <c r="C813" s="71" t="str">
        <f>IF(B813="","",IFERROR(INDEX(mat_des,MATCH(B813,mat_ref,0))&amp;"","Matière inconnue"))</f>
        <v/>
      </c>
      <c r="D813" s="69" t="str">
        <f>IF(B813="","",IFERROR(INDEX(mat_unit,MATCH(B813,mat_ref,0))&amp;"",""))</f>
        <v/>
      </c>
      <c r="E813" s="72" t="n"/>
      <c r="F813" s="65" t="n"/>
      <c r="G813" s="68" t="str">
        <f>IF(J813&lt;&gt;"OK","",IF(F813="",N(INDEX(mat_loss,MATCH(B813,mat_ref,0))),F813))</f>
        <v/>
      </c>
      <c r="H813" s="66" t="str">
        <f>IF(J813&lt;&gt;"OK","",INDEX(mat_price,MATCH(B813,mat_ref,0)))</f>
        <v/>
      </c>
      <c r="I813" s="66" t="str">
        <f>IF(J813&lt;&gt;"OK","",E813*(1+G813)*H813)</f>
        <v/>
      </c>
      <c r="J813" s="69" t="str">
        <f>IF(AND(A813="",B813=""),"",IF(A813="","Produit manquant",IF(COUNTIF(prod_ref,A813)=0,"Produit inconnu",IF(B813="","Matière manquante",IF(ISNA(MATCH(B813,mat_ref,0)),"Matière inconnue",IF(INDEX(mat_check,MATCH(B813,mat_ref,0))&lt;&gt;"OK","Matière à corriger",IF(OR(NOT(ISNUMBER(E813)),N(E813)&lt;=0),"Quantité invalide",IF(AND(F813&lt;&gt;"",OR(NOT(ISNUMBER(F813)),N(F813)&lt;0,N(F813)&gt;=1)),"Perte entre 0 et 99 %",IF(COUNTIFS(bom_prod,A813,bom_mat,B813)&gt;1,"Matière en double","OK")))))))))</f>
        <v/>
      </c>
      <c r="K813" s="71" t="str">
        <f>IF(AND(fiche_sel&lt;&gt;"",A813=fiche_sel),COUNTIF(A$6:A813,fiche_sel),"")</f>
        <v/>
      </c>
    </row>
    <row r="814">
      <c r="A814" s="60" t="n"/>
      <c r="B814" s="60" t="n"/>
      <c r="C814" s="71" t="str">
        <f>IF(B814="","",IFERROR(INDEX(mat_des,MATCH(B814,mat_ref,0))&amp;"","Matière inconnue"))</f>
        <v/>
      </c>
      <c r="D814" s="69" t="str">
        <f>IF(B814="","",IFERROR(INDEX(mat_unit,MATCH(B814,mat_ref,0))&amp;"",""))</f>
        <v/>
      </c>
      <c r="E814" s="72" t="n"/>
      <c r="F814" s="65" t="n"/>
      <c r="G814" s="68" t="str">
        <f>IF(J814&lt;&gt;"OK","",IF(F814="",N(INDEX(mat_loss,MATCH(B814,mat_ref,0))),F814))</f>
        <v/>
      </c>
      <c r="H814" s="66" t="str">
        <f>IF(J814&lt;&gt;"OK","",INDEX(mat_price,MATCH(B814,mat_ref,0)))</f>
        <v/>
      </c>
      <c r="I814" s="66" t="str">
        <f>IF(J814&lt;&gt;"OK","",E814*(1+G814)*H814)</f>
        <v/>
      </c>
      <c r="J814" s="69" t="str">
        <f>IF(AND(A814="",B814=""),"",IF(A814="","Produit manquant",IF(COUNTIF(prod_ref,A814)=0,"Produit inconnu",IF(B814="","Matière manquante",IF(ISNA(MATCH(B814,mat_ref,0)),"Matière inconnue",IF(INDEX(mat_check,MATCH(B814,mat_ref,0))&lt;&gt;"OK","Matière à corriger",IF(OR(NOT(ISNUMBER(E814)),N(E814)&lt;=0),"Quantité invalide",IF(AND(F814&lt;&gt;"",OR(NOT(ISNUMBER(F814)),N(F814)&lt;0,N(F814)&gt;=1)),"Perte entre 0 et 99 %",IF(COUNTIFS(bom_prod,A814,bom_mat,B814)&gt;1,"Matière en double","OK")))))))))</f>
        <v/>
      </c>
      <c r="K814" s="71" t="str">
        <f>IF(AND(fiche_sel&lt;&gt;"",A814=fiche_sel),COUNTIF(A$6:A814,fiche_sel),"")</f>
        <v/>
      </c>
    </row>
    <row r="815">
      <c r="A815" s="60" t="n"/>
      <c r="B815" s="60" t="n"/>
      <c r="C815" s="71" t="str">
        <f>IF(B815="","",IFERROR(INDEX(mat_des,MATCH(B815,mat_ref,0))&amp;"","Matière inconnue"))</f>
        <v/>
      </c>
      <c r="D815" s="69" t="str">
        <f>IF(B815="","",IFERROR(INDEX(mat_unit,MATCH(B815,mat_ref,0))&amp;"",""))</f>
        <v/>
      </c>
      <c r="E815" s="72" t="n"/>
      <c r="F815" s="65" t="n"/>
      <c r="G815" s="68" t="str">
        <f>IF(J815&lt;&gt;"OK","",IF(F815="",N(INDEX(mat_loss,MATCH(B815,mat_ref,0))),F815))</f>
        <v/>
      </c>
      <c r="H815" s="66" t="str">
        <f>IF(J815&lt;&gt;"OK","",INDEX(mat_price,MATCH(B815,mat_ref,0)))</f>
        <v/>
      </c>
      <c r="I815" s="66" t="str">
        <f>IF(J815&lt;&gt;"OK","",E815*(1+G815)*H815)</f>
        <v/>
      </c>
      <c r="J815" s="69" t="str">
        <f>IF(AND(A815="",B815=""),"",IF(A815="","Produit manquant",IF(COUNTIF(prod_ref,A815)=0,"Produit inconnu",IF(B815="","Matière manquante",IF(ISNA(MATCH(B815,mat_ref,0)),"Matière inconnue",IF(INDEX(mat_check,MATCH(B815,mat_ref,0))&lt;&gt;"OK","Matière à corriger",IF(OR(NOT(ISNUMBER(E815)),N(E815)&lt;=0),"Quantité invalide",IF(AND(F815&lt;&gt;"",OR(NOT(ISNUMBER(F815)),N(F815)&lt;0,N(F815)&gt;=1)),"Perte entre 0 et 99 %",IF(COUNTIFS(bom_prod,A815,bom_mat,B815)&gt;1,"Matière en double","OK")))))))))</f>
        <v/>
      </c>
      <c r="K815" s="71" t="str">
        <f>IF(AND(fiche_sel&lt;&gt;"",A815=fiche_sel),COUNTIF(A$6:A815,fiche_sel),"")</f>
        <v/>
      </c>
    </row>
    <row r="816">
      <c r="A816" s="60" t="n"/>
      <c r="B816" s="60" t="n"/>
      <c r="C816" s="71" t="str">
        <f>IF(B816="","",IFERROR(INDEX(mat_des,MATCH(B816,mat_ref,0))&amp;"","Matière inconnue"))</f>
        <v/>
      </c>
      <c r="D816" s="69" t="str">
        <f>IF(B816="","",IFERROR(INDEX(mat_unit,MATCH(B816,mat_ref,0))&amp;"",""))</f>
        <v/>
      </c>
      <c r="E816" s="72" t="n"/>
      <c r="F816" s="65" t="n"/>
      <c r="G816" s="68" t="str">
        <f>IF(J816&lt;&gt;"OK","",IF(F816="",N(INDEX(mat_loss,MATCH(B816,mat_ref,0))),F816))</f>
        <v/>
      </c>
      <c r="H816" s="66" t="str">
        <f>IF(J816&lt;&gt;"OK","",INDEX(mat_price,MATCH(B816,mat_ref,0)))</f>
        <v/>
      </c>
      <c r="I816" s="66" t="str">
        <f>IF(J816&lt;&gt;"OK","",E816*(1+G816)*H816)</f>
        <v/>
      </c>
      <c r="J816" s="69" t="str">
        <f>IF(AND(A816="",B816=""),"",IF(A816="","Produit manquant",IF(COUNTIF(prod_ref,A816)=0,"Produit inconnu",IF(B816="","Matière manquante",IF(ISNA(MATCH(B816,mat_ref,0)),"Matière inconnue",IF(INDEX(mat_check,MATCH(B816,mat_ref,0))&lt;&gt;"OK","Matière à corriger",IF(OR(NOT(ISNUMBER(E816)),N(E816)&lt;=0),"Quantité invalide",IF(AND(F816&lt;&gt;"",OR(NOT(ISNUMBER(F816)),N(F816)&lt;0,N(F816)&gt;=1)),"Perte entre 0 et 99 %",IF(COUNTIFS(bom_prod,A816,bom_mat,B816)&gt;1,"Matière en double","OK")))))))))</f>
        <v/>
      </c>
      <c r="K816" s="71" t="str">
        <f>IF(AND(fiche_sel&lt;&gt;"",A816=fiche_sel),COUNTIF(A$6:A816,fiche_sel),"")</f>
        <v/>
      </c>
    </row>
    <row r="817">
      <c r="A817" s="60" t="n"/>
      <c r="B817" s="60" t="n"/>
      <c r="C817" s="71" t="str">
        <f>IF(B817="","",IFERROR(INDEX(mat_des,MATCH(B817,mat_ref,0))&amp;"","Matière inconnue"))</f>
        <v/>
      </c>
      <c r="D817" s="69" t="str">
        <f>IF(B817="","",IFERROR(INDEX(mat_unit,MATCH(B817,mat_ref,0))&amp;"",""))</f>
        <v/>
      </c>
      <c r="E817" s="72" t="n"/>
      <c r="F817" s="65" t="n"/>
      <c r="G817" s="68" t="str">
        <f>IF(J817&lt;&gt;"OK","",IF(F817="",N(INDEX(mat_loss,MATCH(B817,mat_ref,0))),F817))</f>
        <v/>
      </c>
      <c r="H817" s="66" t="str">
        <f>IF(J817&lt;&gt;"OK","",INDEX(mat_price,MATCH(B817,mat_ref,0)))</f>
        <v/>
      </c>
      <c r="I817" s="66" t="str">
        <f>IF(J817&lt;&gt;"OK","",E817*(1+G817)*H817)</f>
        <v/>
      </c>
      <c r="J817" s="69" t="str">
        <f>IF(AND(A817="",B817=""),"",IF(A817="","Produit manquant",IF(COUNTIF(prod_ref,A817)=0,"Produit inconnu",IF(B817="","Matière manquante",IF(ISNA(MATCH(B817,mat_ref,0)),"Matière inconnue",IF(INDEX(mat_check,MATCH(B817,mat_ref,0))&lt;&gt;"OK","Matière à corriger",IF(OR(NOT(ISNUMBER(E817)),N(E817)&lt;=0),"Quantité invalide",IF(AND(F817&lt;&gt;"",OR(NOT(ISNUMBER(F817)),N(F817)&lt;0,N(F817)&gt;=1)),"Perte entre 0 et 99 %",IF(COUNTIFS(bom_prod,A817,bom_mat,B817)&gt;1,"Matière en double","OK")))))))))</f>
        <v/>
      </c>
      <c r="K817" s="71" t="str">
        <f>IF(AND(fiche_sel&lt;&gt;"",A817=fiche_sel),COUNTIF(A$6:A817,fiche_sel),"")</f>
        <v/>
      </c>
    </row>
    <row r="818">
      <c r="A818" s="60" t="n"/>
      <c r="B818" s="60" t="n"/>
      <c r="C818" s="71" t="str">
        <f>IF(B818="","",IFERROR(INDEX(mat_des,MATCH(B818,mat_ref,0))&amp;"","Matière inconnue"))</f>
        <v/>
      </c>
      <c r="D818" s="69" t="str">
        <f>IF(B818="","",IFERROR(INDEX(mat_unit,MATCH(B818,mat_ref,0))&amp;"",""))</f>
        <v/>
      </c>
      <c r="E818" s="72" t="n"/>
      <c r="F818" s="65" t="n"/>
      <c r="G818" s="68" t="str">
        <f>IF(J818&lt;&gt;"OK","",IF(F818="",N(INDEX(mat_loss,MATCH(B818,mat_ref,0))),F818))</f>
        <v/>
      </c>
      <c r="H818" s="66" t="str">
        <f>IF(J818&lt;&gt;"OK","",INDEX(mat_price,MATCH(B818,mat_ref,0)))</f>
        <v/>
      </c>
      <c r="I818" s="66" t="str">
        <f>IF(J818&lt;&gt;"OK","",E818*(1+G818)*H818)</f>
        <v/>
      </c>
      <c r="J818" s="69" t="str">
        <f>IF(AND(A818="",B818=""),"",IF(A818="","Produit manquant",IF(COUNTIF(prod_ref,A818)=0,"Produit inconnu",IF(B818="","Matière manquante",IF(ISNA(MATCH(B818,mat_ref,0)),"Matière inconnue",IF(INDEX(mat_check,MATCH(B818,mat_ref,0))&lt;&gt;"OK","Matière à corriger",IF(OR(NOT(ISNUMBER(E818)),N(E818)&lt;=0),"Quantité invalide",IF(AND(F818&lt;&gt;"",OR(NOT(ISNUMBER(F818)),N(F818)&lt;0,N(F818)&gt;=1)),"Perte entre 0 et 99 %",IF(COUNTIFS(bom_prod,A818,bom_mat,B818)&gt;1,"Matière en double","OK")))))))))</f>
        <v/>
      </c>
      <c r="K818" s="71" t="str">
        <f>IF(AND(fiche_sel&lt;&gt;"",A818=fiche_sel),COUNTIF(A$6:A818,fiche_sel),"")</f>
        <v/>
      </c>
    </row>
    <row r="819">
      <c r="A819" s="60" t="n"/>
      <c r="B819" s="60" t="n"/>
      <c r="C819" s="71" t="str">
        <f>IF(B819="","",IFERROR(INDEX(mat_des,MATCH(B819,mat_ref,0))&amp;"","Matière inconnue"))</f>
        <v/>
      </c>
      <c r="D819" s="69" t="str">
        <f>IF(B819="","",IFERROR(INDEX(mat_unit,MATCH(B819,mat_ref,0))&amp;"",""))</f>
        <v/>
      </c>
      <c r="E819" s="72" t="n"/>
      <c r="F819" s="65" t="n"/>
      <c r="G819" s="68" t="str">
        <f>IF(J819&lt;&gt;"OK","",IF(F819="",N(INDEX(mat_loss,MATCH(B819,mat_ref,0))),F819))</f>
        <v/>
      </c>
      <c r="H819" s="66" t="str">
        <f>IF(J819&lt;&gt;"OK","",INDEX(mat_price,MATCH(B819,mat_ref,0)))</f>
        <v/>
      </c>
      <c r="I819" s="66" t="str">
        <f>IF(J819&lt;&gt;"OK","",E819*(1+G819)*H819)</f>
        <v/>
      </c>
      <c r="J819" s="69" t="str">
        <f>IF(AND(A819="",B819=""),"",IF(A819="","Produit manquant",IF(COUNTIF(prod_ref,A819)=0,"Produit inconnu",IF(B819="","Matière manquante",IF(ISNA(MATCH(B819,mat_ref,0)),"Matière inconnue",IF(INDEX(mat_check,MATCH(B819,mat_ref,0))&lt;&gt;"OK","Matière à corriger",IF(OR(NOT(ISNUMBER(E819)),N(E819)&lt;=0),"Quantité invalide",IF(AND(F819&lt;&gt;"",OR(NOT(ISNUMBER(F819)),N(F819)&lt;0,N(F819)&gt;=1)),"Perte entre 0 et 99 %",IF(COUNTIFS(bom_prod,A819,bom_mat,B819)&gt;1,"Matière en double","OK")))))))))</f>
        <v/>
      </c>
      <c r="K819" s="71" t="str">
        <f>IF(AND(fiche_sel&lt;&gt;"",A819=fiche_sel),COUNTIF(A$6:A819,fiche_sel),"")</f>
        <v/>
      </c>
    </row>
    <row r="820">
      <c r="A820" s="60" t="n"/>
      <c r="B820" s="60" t="n"/>
      <c r="C820" s="71" t="str">
        <f>IF(B820="","",IFERROR(INDEX(mat_des,MATCH(B820,mat_ref,0))&amp;"","Matière inconnue"))</f>
        <v/>
      </c>
      <c r="D820" s="69" t="str">
        <f>IF(B820="","",IFERROR(INDEX(mat_unit,MATCH(B820,mat_ref,0))&amp;"",""))</f>
        <v/>
      </c>
      <c r="E820" s="72" t="n"/>
      <c r="F820" s="65" t="n"/>
      <c r="G820" s="68" t="str">
        <f>IF(J820&lt;&gt;"OK","",IF(F820="",N(INDEX(mat_loss,MATCH(B820,mat_ref,0))),F820))</f>
        <v/>
      </c>
      <c r="H820" s="66" t="str">
        <f>IF(J820&lt;&gt;"OK","",INDEX(mat_price,MATCH(B820,mat_ref,0)))</f>
        <v/>
      </c>
      <c r="I820" s="66" t="str">
        <f>IF(J820&lt;&gt;"OK","",E820*(1+G820)*H820)</f>
        <v/>
      </c>
      <c r="J820" s="69" t="str">
        <f>IF(AND(A820="",B820=""),"",IF(A820="","Produit manquant",IF(COUNTIF(prod_ref,A820)=0,"Produit inconnu",IF(B820="","Matière manquante",IF(ISNA(MATCH(B820,mat_ref,0)),"Matière inconnue",IF(INDEX(mat_check,MATCH(B820,mat_ref,0))&lt;&gt;"OK","Matière à corriger",IF(OR(NOT(ISNUMBER(E820)),N(E820)&lt;=0),"Quantité invalide",IF(AND(F820&lt;&gt;"",OR(NOT(ISNUMBER(F820)),N(F820)&lt;0,N(F820)&gt;=1)),"Perte entre 0 et 99 %",IF(COUNTIFS(bom_prod,A820,bom_mat,B820)&gt;1,"Matière en double","OK")))))))))</f>
        <v/>
      </c>
      <c r="K820" s="71" t="str">
        <f>IF(AND(fiche_sel&lt;&gt;"",A820=fiche_sel),COUNTIF(A$6:A820,fiche_sel),"")</f>
        <v/>
      </c>
    </row>
    <row r="821">
      <c r="A821" s="60" t="n"/>
      <c r="B821" s="60" t="n"/>
      <c r="C821" s="71" t="str">
        <f>IF(B821="","",IFERROR(INDEX(mat_des,MATCH(B821,mat_ref,0))&amp;"","Matière inconnue"))</f>
        <v/>
      </c>
      <c r="D821" s="69" t="str">
        <f>IF(B821="","",IFERROR(INDEX(mat_unit,MATCH(B821,mat_ref,0))&amp;"",""))</f>
        <v/>
      </c>
      <c r="E821" s="72" t="n"/>
      <c r="F821" s="65" t="n"/>
      <c r="G821" s="68" t="str">
        <f>IF(J821&lt;&gt;"OK","",IF(F821="",N(INDEX(mat_loss,MATCH(B821,mat_ref,0))),F821))</f>
        <v/>
      </c>
      <c r="H821" s="66" t="str">
        <f>IF(J821&lt;&gt;"OK","",INDEX(mat_price,MATCH(B821,mat_ref,0)))</f>
        <v/>
      </c>
      <c r="I821" s="66" t="str">
        <f>IF(J821&lt;&gt;"OK","",E821*(1+G821)*H821)</f>
        <v/>
      </c>
      <c r="J821" s="69" t="str">
        <f>IF(AND(A821="",B821=""),"",IF(A821="","Produit manquant",IF(COUNTIF(prod_ref,A821)=0,"Produit inconnu",IF(B821="","Matière manquante",IF(ISNA(MATCH(B821,mat_ref,0)),"Matière inconnue",IF(INDEX(mat_check,MATCH(B821,mat_ref,0))&lt;&gt;"OK","Matière à corriger",IF(OR(NOT(ISNUMBER(E821)),N(E821)&lt;=0),"Quantité invalide",IF(AND(F821&lt;&gt;"",OR(NOT(ISNUMBER(F821)),N(F821)&lt;0,N(F821)&gt;=1)),"Perte entre 0 et 99 %",IF(COUNTIFS(bom_prod,A821,bom_mat,B821)&gt;1,"Matière en double","OK")))))))))</f>
        <v/>
      </c>
      <c r="K821" s="71" t="str">
        <f>IF(AND(fiche_sel&lt;&gt;"",A821=fiche_sel),COUNTIF(A$6:A821,fiche_sel),"")</f>
        <v/>
      </c>
    </row>
    <row r="822">
      <c r="A822" s="60" t="n"/>
      <c r="B822" s="60" t="n"/>
      <c r="C822" s="71" t="str">
        <f>IF(B822="","",IFERROR(INDEX(mat_des,MATCH(B822,mat_ref,0))&amp;"","Matière inconnue"))</f>
        <v/>
      </c>
      <c r="D822" s="69" t="str">
        <f>IF(B822="","",IFERROR(INDEX(mat_unit,MATCH(B822,mat_ref,0))&amp;"",""))</f>
        <v/>
      </c>
      <c r="E822" s="72" t="n"/>
      <c r="F822" s="65" t="n"/>
      <c r="G822" s="68" t="str">
        <f>IF(J822&lt;&gt;"OK","",IF(F822="",N(INDEX(mat_loss,MATCH(B822,mat_ref,0))),F822))</f>
        <v/>
      </c>
      <c r="H822" s="66" t="str">
        <f>IF(J822&lt;&gt;"OK","",INDEX(mat_price,MATCH(B822,mat_ref,0)))</f>
        <v/>
      </c>
      <c r="I822" s="66" t="str">
        <f>IF(J822&lt;&gt;"OK","",E822*(1+G822)*H822)</f>
        <v/>
      </c>
      <c r="J822" s="69" t="str">
        <f>IF(AND(A822="",B822=""),"",IF(A822="","Produit manquant",IF(COUNTIF(prod_ref,A822)=0,"Produit inconnu",IF(B822="","Matière manquante",IF(ISNA(MATCH(B822,mat_ref,0)),"Matière inconnue",IF(INDEX(mat_check,MATCH(B822,mat_ref,0))&lt;&gt;"OK","Matière à corriger",IF(OR(NOT(ISNUMBER(E822)),N(E822)&lt;=0),"Quantité invalide",IF(AND(F822&lt;&gt;"",OR(NOT(ISNUMBER(F822)),N(F822)&lt;0,N(F822)&gt;=1)),"Perte entre 0 et 99 %",IF(COUNTIFS(bom_prod,A822,bom_mat,B822)&gt;1,"Matière en double","OK")))))))))</f>
        <v/>
      </c>
      <c r="K822" s="71" t="str">
        <f>IF(AND(fiche_sel&lt;&gt;"",A822=fiche_sel),COUNTIF(A$6:A822,fiche_sel),"")</f>
        <v/>
      </c>
    </row>
    <row r="823">
      <c r="A823" s="60" t="n"/>
      <c r="B823" s="60" t="n"/>
      <c r="C823" s="71" t="str">
        <f>IF(B823="","",IFERROR(INDEX(mat_des,MATCH(B823,mat_ref,0))&amp;"","Matière inconnue"))</f>
        <v/>
      </c>
      <c r="D823" s="69" t="str">
        <f>IF(B823="","",IFERROR(INDEX(mat_unit,MATCH(B823,mat_ref,0))&amp;"",""))</f>
        <v/>
      </c>
      <c r="E823" s="72" t="n"/>
      <c r="F823" s="65" t="n"/>
      <c r="G823" s="68" t="str">
        <f>IF(J823&lt;&gt;"OK","",IF(F823="",N(INDEX(mat_loss,MATCH(B823,mat_ref,0))),F823))</f>
        <v/>
      </c>
      <c r="H823" s="66" t="str">
        <f>IF(J823&lt;&gt;"OK","",INDEX(mat_price,MATCH(B823,mat_ref,0)))</f>
        <v/>
      </c>
      <c r="I823" s="66" t="str">
        <f>IF(J823&lt;&gt;"OK","",E823*(1+G823)*H823)</f>
        <v/>
      </c>
      <c r="J823" s="69" t="str">
        <f>IF(AND(A823="",B823=""),"",IF(A823="","Produit manquant",IF(COUNTIF(prod_ref,A823)=0,"Produit inconnu",IF(B823="","Matière manquante",IF(ISNA(MATCH(B823,mat_ref,0)),"Matière inconnue",IF(INDEX(mat_check,MATCH(B823,mat_ref,0))&lt;&gt;"OK","Matière à corriger",IF(OR(NOT(ISNUMBER(E823)),N(E823)&lt;=0),"Quantité invalide",IF(AND(F823&lt;&gt;"",OR(NOT(ISNUMBER(F823)),N(F823)&lt;0,N(F823)&gt;=1)),"Perte entre 0 et 99 %",IF(COUNTIFS(bom_prod,A823,bom_mat,B823)&gt;1,"Matière en double","OK")))))))))</f>
        <v/>
      </c>
      <c r="K823" s="71" t="str">
        <f>IF(AND(fiche_sel&lt;&gt;"",A823=fiche_sel),COUNTIF(A$6:A823,fiche_sel),"")</f>
        <v/>
      </c>
    </row>
    <row r="824">
      <c r="A824" s="60" t="n"/>
      <c r="B824" s="60" t="n"/>
      <c r="C824" s="71" t="str">
        <f>IF(B824="","",IFERROR(INDEX(mat_des,MATCH(B824,mat_ref,0))&amp;"","Matière inconnue"))</f>
        <v/>
      </c>
      <c r="D824" s="69" t="str">
        <f>IF(B824="","",IFERROR(INDEX(mat_unit,MATCH(B824,mat_ref,0))&amp;"",""))</f>
        <v/>
      </c>
      <c r="E824" s="72" t="n"/>
      <c r="F824" s="65" t="n"/>
      <c r="G824" s="68" t="str">
        <f>IF(J824&lt;&gt;"OK","",IF(F824="",N(INDEX(mat_loss,MATCH(B824,mat_ref,0))),F824))</f>
        <v/>
      </c>
      <c r="H824" s="66" t="str">
        <f>IF(J824&lt;&gt;"OK","",INDEX(mat_price,MATCH(B824,mat_ref,0)))</f>
        <v/>
      </c>
      <c r="I824" s="66" t="str">
        <f>IF(J824&lt;&gt;"OK","",E824*(1+G824)*H824)</f>
        <v/>
      </c>
      <c r="J824" s="69" t="str">
        <f>IF(AND(A824="",B824=""),"",IF(A824="","Produit manquant",IF(COUNTIF(prod_ref,A824)=0,"Produit inconnu",IF(B824="","Matière manquante",IF(ISNA(MATCH(B824,mat_ref,0)),"Matière inconnue",IF(INDEX(mat_check,MATCH(B824,mat_ref,0))&lt;&gt;"OK","Matière à corriger",IF(OR(NOT(ISNUMBER(E824)),N(E824)&lt;=0),"Quantité invalide",IF(AND(F824&lt;&gt;"",OR(NOT(ISNUMBER(F824)),N(F824)&lt;0,N(F824)&gt;=1)),"Perte entre 0 et 99 %",IF(COUNTIFS(bom_prod,A824,bom_mat,B824)&gt;1,"Matière en double","OK")))))))))</f>
        <v/>
      </c>
      <c r="K824" s="71" t="str">
        <f>IF(AND(fiche_sel&lt;&gt;"",A824=fiche_sel),COUNTIF(A$6:A824,fiche_sel),"")</f>
        <v/>
      </c>
    </row>
    <row r="825">
      <c r="A825" s="60" t="n"/>
      <c r="B825" s="60" t="n"/>
      <c r="C825" s="71" t="str">
        <f>IF(B825="","",IFERROR(INDEX(mat_des,MATCH(B825,mat_ref,0))&amp;"","Matière inconnue"))</f>
        <v/>
      </c>
      <c r="D825" s="69" t="str">
        <f>IF(B825="","",IFERROR(INDEX(mat_unit,MATCH(B825,mat_ref,0))&amp;"",""))</f>
        <v/>
      </c>
      <c r="E825" s="72" t="n"/>
      <c r="F825" s="65" t="n"/>
      <c r="G825" s="68" t="str">
        <f>IF(J825&lt;&gt;"OK","",IF(F825="",N(INDEX(mat_loss,MATCH(B825,mat_ref,0))),F825))</f>
        <v/>
      </c>
      <c r="H825" s="66" t="str">
        <f>IF(J825&lt;&gt;"OK","",INDEX(mat_price,MATCH(B825,mat_ref,0)))</f>
        <v/>
      </c>
      <c r="I825" s="66" t="str">
        <f>IF(J825&lt;&gt;"OK","",E825*(1+G825)*H825)</f>
        <v/>
      </c>
      <c r="J825" s="69" t="str">
        <f>IF(AND(A825="",B825=""),"",IF(A825="","Produit manquant",IF(COUNTIF(prod_ref,A825)=0,"Produit inconnu",IF(B825="","Matière manquante",IF(ISNA(MATCH(B825,mat_ref,0)),"Matière inconnue",IF(INDEX(mat_check,MATCH(B825,mat_ref,0))&lt;&gt;"OK","Matière à corriger",IF(OR(NOT(ISNUMBER(E825)),N(E825)&lt;=0),"Quantité invalide",IF(AND(F825&lt;&gt;"",OR(NOT(ISNUMBER(F825)),N(F825)&lt;0,N(F825)&gt;=1)),"Perte entre 0 et 99 %",IF(COUNTIFS(bom_prod,A825,bom_mat,B825)&gt;1,"Matière en double","OK")))))))))</f>
        <v/>
      </c>
      <c r="K825" s="71" t="str">
        <f>IF(AND(fiche_sel&lt;&gt;"",A825=fiche_sel),COUNTIF(A$6:A825,fiche_sel),"")</f>
        <v/>
      </c>
    </row>
    <row r="826">
      <c r="A826" s="60" t="n"/>
      <c r="B826" s="60" t="n"/>
      <c r="C826" s="71" t="str">
        <f>IF(B826="","",IFERROR(INDEX(mat_des,MATCH(B826,mat_ref,0))&amp;"","Matière inconnue"))</f>
        <v/>
      </c>
      <c r="D826" s="69" t="str">
        <f>IF(B826="","",IFERROR(INDEX(mat_unit,MATCH(B826,mat_ref,0))&amp;"",""))</f>
        <v/>
      </c>
      <c r="E826" s="72" t="n"/>
      <c r="F826" s="65" t="n"/>
      <c r="G826" s="68" t="str">
        <f>IF(J826&lt;&gt;"OK","",IF(F826="",N(INDEX(mat_loss,MATCH(B826,mat_ref,0))),F826))</f>
        <v/>
      </c>
      <c r="H826" s="66" t="str">
        <f>IF(J826&lt;&gt;"OK","",INDEX(mat_price,MATCH(B826,mat_ref,0)))</f>
        <v/>
      </c>
      <c r="I826" s="66" t="str">
        <f>IF(J826&lt;&gt;"OK","",E826*(1+G826)*H826)</f>
        <v/>
      </c>
      <c r="J826" s="69" t="str">
        <f>IF(AND(A826="",B826=""),"",IF(A826="","Produit manquant",IF(COUNTIF(prod_ref,A826)=0,"Produit inconnu",IF(B826="","Matière manquante",IF(ISNA(MATCH(B826,mat_ref,0)),"Matière inconnue",IF(INDEX(mat_check,MATCH(B826,mat_ref,0))&lt;&gt;"OK","Matière à corriger",IF(OR(NOT(ISNUMBER(E826)),N(E826)&lt;=0),"Quantité invalide",IF(AND(F826&lt;&gt;"",OR(NOT(ISNUMBER(F826)),N(F826)&lt;0,N(F826)&gt;=1)),"Perte entre 0 et 99 %",IF(COUNTIFS(bom_prod,A826,bom_mat,B826)&gt;1,"Matière en double","OK")))))))))</f>
        <v/>
      </c>
      <c r="K826" s="71" t="str">
        <f>IF(AND(fiche_sel&lt;&gt;"",A826=fiche_sel),COUNTIF(A$6:A826,fiche_sel),"")</f>
        <v/>
      </c>
    </row>
    <row r="827">
      <c r="A827" s="60" t="n"/>
      <c r="B827" s="60" t="n"/>
      <c r="C827" s="71" t="str">
        <f>IF(B827="","",IFERROR(INDEX(mat_des,MATCH(B827,mat_ref,0))&amp;"","Matière inconnue"))</f>
        <v/>
      </c>
      <c r="D827" s="69" t="str">
        <f>IF(B827="","",IFERROR(INDEX(mat_unit,MATCH(B827,mat_ref,0))&amp;"",""))</f>
        <v/>
      </c>
      <c r="E827" s="72" t="n"/>
      <c r="F827" s="65" t="n"/>
      <c r="G827" s="68" t="str">
        <f>IF(J827&lt;&gt;"OK","",IF(F827="",N(INDEX(mat_loss,MATCH(B827,mat_ref,0))),F827))</f>
        <v/>
      </c>
      <c r="H827" s="66" t="str">
        <f>IF(J827&lt;&gt;"OK","",INDEX(mat_price,MATCH(B827,mat_ref,0)))</f>
        <v/>
      </c>
      <c r="I827" s="66" t="str">
        <f>IF(J827&lt;&gt;"OK","",E827*(1+G827)*H827)</f>
        <v/>
      </c>
      <c r="J827" s="69" t="str">
        <f>IF(AND(A827="",B827=""),"",IF(A827="","Produit manquant",IF(COUNTIF(prod_ref,A827)=0,"Produit inconnu",IF(B827="","Matière manquante",IF(ISNA(MATCH(B827,mat_ref,0)),"Matière inconnue",IF(INDEX(mat_check,MATCH(B827,mat_ref,0))&lt;&gt;"OK","Matière à corriger",IF(OR(NOT(ISNUMBER(E827)),N(E827)&lt;=0),"Quantité invalide",IF(AND(F827&lt;&gt;"",OR(NOT(ISNUMBER(F827)),N(F827)&lt;0,N(F827)&gt;=1)),"Perte entre 0 et 99 %",IF(COUNTIFS(bom_prod,A827,bom_mat,B827)&gt;1,"Matière en double","OK")))))))))</f>
        <v/>
      </c>
      <c r="K827" s="71" t="str">
        <f>IF(AND(fiche_sel&lt;&gt;"",A827=fiche_sel),COUNTIF(A$6:A827,fiche_sel),"")</f>
        <v/>
      </c>
    </row>
    <row r="828">
      <c r="A828" s="60" t="n"/>
      <c r="B828" s="60" t="n"/>
      <c r="C828" s="71" t="str">
        <f>IF(B828="","",IFERROR(INDEX(mat_des,MATCH(B828,mat_ref,0))&amp;"","Matière inconnue"))</f>
        <v/>
      </c>
      <c r="D828" s="69" t="str">
        <f>IF(B828="","",IFERROR(INDEX(mat_unit,MATCH(B828,mat_ref,0))&amp;"",""))</f>
        <v/>
      </c>
      <c r="E828" s="72" t="n"/>
      <c r="F828" s="65" t="n"/>
      <c r="G828" s="68" t="str">
        <f>IF(J828&lt;&gt;"OK","",IF(F828="",N(INDEX(mat_loss,MATCH(B828,mat_ref,0))),F828))</f>
        <v/>
      </c>
      <c r="H828" s="66" t="str">
        <f>IF(J828&lt;&gt;"OK","",INDEX(mat_price,MATCH(B828,mat_ref,0)))</f>
        <v/>
      </c>
      <c r="I828" s="66" t="str">
        <f>IF(J828&lt;&gt;"OK","",E828*(1+G828)*H828)</f>
        <v/>
      </c>
      <c r="J828" s="69" t="str">
        <f>IF(AND(A828="",B828=""),"",IF(A828="","Produit manquant",IF(COUNTIF(prod_ref,A828)=0,"Produit inconnu",IF(B828="","Matière manquante",IF(ISNA(MATCH(B828,mat_ref,0)),"Matière inconnue",IF(INDEX(mat_check,MATCH(B828,mat_ref,0))&lt;&gt;"OK","Matière à corriger",IF(OR(NOT(ISNUMBER(E828)),N(E828)&lt;=0),"Quantité invalide",IF(AND(F828&lt;&gt;"",OR(NOT(ISNUMBER(F828)),N(F828)&lt;0,N(F828)&gt;=1)),"Perte entre 0 et 99 %",IF(COUNTIFS(bom_prod,A828,bom_mat,B828)&gt;1,"Matière en double","OK")))))))))</f>
        <v/>
      </c>
      <c r="K828" s="71" t="str">
        <f>IF(AND(fiche_sel&lt;&gt;"",A828=fiche_sel),COUNTIF(A$6:A828,fiche_sel),"")</f>
        <v/>
      </c>
    </row>
    <row r="829">
      <c r="A829" s="60" t="n"/>
      <c r="B829" s="60" t="n"/>
      <c r="C829" s="71" t="str">
        <f>IF(B829="","",IFERROR(INDEX(mat_des,MATCH(B829,mat_ref,0))&amp;"","Matière inconnue"))</f>
        <v/>
      </c>
      <c r="D829" s="69" t="str">
        <f>IF(B829="","",IFERROR(INDEX(mat_unit,MATCH(B829,mat_ref,0))&amp;"",""))</f>
        <v/>
      </c>
      <c r="E829" s="72" t="n"/>
      <c r="F829" s="65" t="n"/>
      <c r="G829" s="68" t="str">
        <f>IF(J829&lt;&gt;"OK","",IF(F829="",N(INDEX(mat_loss,MATCH(B829,mat_ref,0))),F829))</f>
        <v/>
      </c>
      <c r="H829" s="66" t="str">
        <f>IF(J829&lt;&gt;"OK","",INDEX(mat_price,MATCH(B829,mat_ref,0)))</f>
        <v/>
      </c>
      <c r="I829" s="66" t="str">
        <f>IF(J829&lt;&gt;"OK","",E829*(1+G829)*H829)</f>
        <v/>
      </c>
      <c r="J829" s="69" t="str">
        <f>IF(AND(A829="",B829=""),"",IF(A829="","Produit manquant",IF(COUNTIF(prod_ref,A829)=0,"Produit inconnu",IF(B829="","Matière manquante",IF(ISNA(MATCH(B829,mat_ref,0)),"Matière inconnue",IF(INDEX(mat_check,MATCH(B829,mat_ref,0))&lt;&gt;"OK","Matière à corriger",IF(OR(NOT(ISNUMBER(E829)),N(E829)&lt;=0),"Quantité invalide",IF(AND(F829&lt;&gt;"",OR(NOT(ISNUMBER(F829)),N(F829)&lt;0,N(F829)&gt;=1)),"Perte entre 0 et 99 %",IF(COUNTIFS(bom_prod,A829,bom_mat,B829)&gt;1,"Matière en double","OK")))))))))</f>
        <v/>
      </c>
      <c r="K829" s="71" t="str">
        <f>IF(AND(fiche_sel&lt;&gt;"",A829=fiche_sel),COUNTIF(A$6:A829,fiche_sel),"")</f>
        <v/>
      </c>
    </row>
    <row r="830">
      <c r="A830" s="60" t="n"/>
      <c r="B830" s="60" t="n"/>
      <c r="C830" s="71" t="str">
        <f>IF(B830="","",IFERROR(INDEX(mat_des,MATCH(B830,mat_ref,0))&amp;"","Matière inconnue"))</f>
        <v/>
      </c>
      <c r="D830" s="69" t="str">
        <f>IF(B830="","",IFERROR(INDEX(mat_unit,MATCH(B830,mat_ref,0))&amp;"",""))</f>
        <v/>
      </c>
      <c r="E830" s="72" t="n"/>
      <c r="F830" s="65" t="n"/>
      <c r="G830" s="68" t="str">
        <f>IF(J830&lt;&gt;"OK","",IF(F830="",N(INDEX(mat_loss,MATCH(B830,mat_ref,0))),F830))</f>
        <v/>
      </c>
      <c r="H830" s="66" t="str">
        <f>IF(J830&lt;&gt;"OK","",INDEX(mat_price,MATCH(B830,mat_ref,0)))</f>
        <v/>
      </c>
      <c r="I830" s="66" t="str">
        <f>IF(J830&lt;&gt;"OK","",E830*(1+G830)*H830)</f>
        <v/>
      </c>
      <c r="J830" s="69" t="str">
        <f>IF(AND(A830="",B830=""),"",IF(A830="","Produit manquant",IF(COUNTIF(prod_ref,A830)=0,"Produit inconnu",IF(B830="","Matière manquante",IF(ISNA(MATCH(B830,mat_ref,0)),"Matière inconnue",IF(INDEX(mat_check,MATCH(B830,mat_ref,0))&lt;&gt;"OK","Matière à corriger",IF(OR(NOT(ISNUMBER(E830)),N(E830)&lt;=0),"Quantité invalide",IF(AND(F830&lt;&gt;"",OR(NOT(ISNUMBER(F830)),N(F830)&lt;0,N(F830)&gt;=1)),"Perte entre 0 et 99 %",IF(COUNTIFS(bom_prod,A830,bom_mat,B830)&gt;1,"Matière en double","OK")))))))))</f>
        <v/>
      </c>
      <c r="K830" s="71" t="str">
        <f>IF(AND(fiche_sel&lt;&gt;"",A830=fiche_sel),COUNTIF(A$6:A830,fiche_sel),"")</f>
        <v/>
      </c>
    </row>
    <row r="831">
      <c r="A831" s="60" t="n"/>
      <c r="B831" s="60" t="n"/>
      <c r="C831" s="71" t="str">
        <f>IF(B831="","",IFERROR(INDEX(mat_des,MATCH(B831,mat_ref,0))&amp;"","Matière inconnue"))</f>
        <v/>
      </c>
      <c r="D831" s="69" t="str">
        <f>IF(B831="","",IFERROR(INDEX(mat_unit,MATCH(B831,mat_ref,0))&amp;"",""))</f>
        <v/>
      </c>
      <c r="E831" s="72" t="n"/>
      <c r="F831" s="65" t="n"/>
      <c r="G831" s="68" t="str">
        <f>IF(J831&lt;&gt;"OK","",IF(F831="",N(INDEX(mat_loss,MATCH(B831,mat_ref,0))),F831))</f>
        <v/>
      </c>
      <c r="H831" s="66" t="str">
        <f>IF(J831&lt;&gt;"OK","",INDEX(mat_price,MATCH(B831,mat_ref,0)))</f>
        <v/>
      </c>
      <c r="I831" s="66" t="str">
        <f>IF(J831&lt;&gt;"OK","",E831*(1+G831)*H831)</f>
        <v/>
      </c>
      <c r="J831" s="69" t="str">
        <f>IF(AND(A831="",B831=""),"",IF(A831="","Produit manquant",IF(COUNTIF(prod_ref,A831)=0,"Produit inconnu",IF(B831="","Matière manquante",IF(ISNA(MATCH(B831,mat_ref,0)),"Matière inconnue",IF(INDEX(mat_check,MATCH(B831,mat_ref,0))&lt;&gt;"OK","Matière à corriger",IF(OR(NOT(ISNUMBER(E831)),N(E831)&lt;=0),"Quantité invalide",IF(AND(F831&lt;&gt;"",OR(NOT(ISNUMBER(F831)),N(F831)&lt;0,N(F831)&gt;=1)),"Perte entre 0 et 99 %",IF(COUNTIFS(bom_prod,A831,bom_mat,B831)&gt;1,"Matière en double","OK")))))))))</f>
        <v/>
      </c>
      <c r="K831" s="71" t="str">
        <f>IF(AND(fiche_sel&lt;&gt;"",A831=fiche_sel),COUNTIF(A$6:A831,fiche_sel),"")</f>
        <v/>
      </c>
    </row>
    <row r="832">
      <c r="A832" s="60" t="n"/>
      <c r="B832" s="60" t="n"/>
      <c r="C832" s="71" t="str">
        <f>IF(B832="","",IFERROR(INDEX(mat_des,MATCH(B832,mat_ref,0))&amp;"","Matière inconnue"))</f>
        <v/>
      </c>
      <c r="D832" s="69" t="str">
        <f>IF(B832="","",IFERROR(INDEX(mat_unit,MATCH(B832,mat_ref,0))&amp;"",""))</f>
        <v/>
      </c>
      <c r="E832" s="72" t="n"/>
      <c r="F832" s="65" t="n"/>
      <c r="G832" s="68" t="str">
        <f>IF(J832&lt;&gt;"OK","",IF(F832="",N(INDEX(mat_loss,MATCH(B832,mat_ref,0))),F832))</f>
        <v/>
      </c>
      <c r="H832" s="66" t="str">
        <f>IF(J832&lt;&gt;"OK","",INDEX(mat_price,MATCH(B832,mat_ref,0)))</f>
        <v/>
      </c>
      <c r="I832" s="66" t="str">
        <f>IF(J832&lt;&gt;"OK","",E832*(1+G832)*H832)</f>
        <v/>
      </c>
      <c r="J832" s="69" t="str">
        <f>IF(AND(A832="",B832=""),"",IF(A832="","Produit manquant",IF(COUNTIF(prod_ref,A832)=0,"Produit inconnu",IF(B832="","Matière manquante",IF(ISNA(MATCH(B832,mat_ref,0)),"Matière inconnue",IF(INDEX(mat_check,MATCH(B832,mat_ref,0))&lt;&gt;"OK","Matière à corriger",IF(OR(NOT(ISNUMBER(E832)),N(E832)&lt;=0),"Quantité invalide",IF(AND(F832&lt;&gt;"",OR(NOT(ISNUMBER(F832)),N(F832)&lt;0,N(F832)&gt;=1)),"Perte entre 0 et 99 %",IF(COUNTIFS(bom_prod,A832,bom_mat,B832)&gt;1,"Matière en double","OK")))))))))</f>
        <v/>
      </c>
      <c r="K832" s="71" t="str">
        <f>IF(AND(fiche_sel&lt;&gt;"",A832=fiche_sel),COUNTIF(A$6:A832,fiche_sel),"")</f>
        <v/>
      </c>
    </row>
    <row r="833">
      <c r="A833" s="60" t="n"/>
      <c r="B833" s="60" t="n"/>
      <c r="C833" s="71" t="str">
        <f>IF(B833="","",IFERROR(INDEX(mat_des,MATCH(B833,mat_ref,0))&amp;"","Matière inconnue"))</f>
        <v/>
      </c>
      <c r="D833" s="69" t="str">
        <f>IF(B833="","",IFERROR(INDEX(mat_unit,MATCH(B833,mat_ref,0))&amp;"",""))</f>
        <v/>
      </c>
      <c r="E833" s="72" t="n"/>
      <c r="F833" s="65" t="n"/>
      <c r="G833" s="68" t="str">
        <f>IF(J833&lt;&gt;"OK","",IF(F833="",N(INDEX(mat_loss,MATCH(B833,mat_ref,0))),F833))</f>
        <v/>
      </c>
      <c r="H833" s="66" t="str">
        <f>IF(J833&lt;&gt;"OK","",INDEX(mat_price,MATCH(B833,mat_ref,0)))</f>
        <v/>
      </c>
      <c r="I833" s="66" t="str">
        <f>IF(J833&lt;&gt;"OK","",E833*(1+G833)*H833)</f>
        <v/>
      </c>
      <c r="J833" s="69" t="str">
        <f>IF(AND(A833="",B833=""),"",IF(A833="","Produit manquant",IF(COUNTIF(prod_ref,A833)=0,"Produit inconnu",IF(B833="","Matière manquante",IF(ISNA(MATCH(B833,mat_ref,0)),"Matière inconnue",IF(INDEX(mat_check,MATCH(B833,mat_ref,0))&lt;&gt;"OK","Matière à corriger",IF(OR(NOT(ISNUMBER(E833)),N(E833)&lt;=0),"Quantité invalide",IF(AND(F833&lt;&gt;"",OR(NOT(ISNUMBER(F833)),N(F833)&lt;0,N(F833)&gt;=1)),"Perte entre 0 et 99 %",IF(COUNTIFS(bom_prod,A833,bom_mat,B833)&gt;1,"Matière en double","OK")))))))))</f>
        <v/>
      </c>
      <c r="K833" s="71" t="str">
        <f>IF(AND(fiche_sel&lt;&gt;"",A833=fiche_sel),COUNTIF(A$6:A833,fiche_sel),"")</f>
        <v/>
      </c>
    </row>
    <row r="834">
      <c r="A834" s="60" t="n"/>
      <c r="B834" s="60" t="n"/>
      <c r="C834" s="71" t="str">
        <f>IF(B834="","",IFERROR(INDEX(mat_des,MATCH(B834,mat_ref,0))&amp;"","Matière inconnue"))</f>
        <v/>
      </c>
      <c r="D834" s="69" t="str">
        <f>IF(B834="","",IFERROR(INDEX(mat_unit,MATCH(B834,mat_ref,0))&amp;"",""))</f>
        <v/>
      </c>
      <c r="E834" s="72" t="n"/>
      <c r="F834" s="65" t="n"/>
      <c r="G834" s="68" t="str">
        <f>IF(J834&lt;&gt;"OK","",IF(F834="",N(INDEX(mat_loss,MATCH(B834,mat_ref,0))),F834))</f>
        <v/>
      </c>
      <c r="H834" s="66" t="str">
        <f>IF(J834&lt;&gt;"OK","",INDEX(mat_price,MATCH(B834,mat_ref,0)))</f>
        <v/>
      </c>
      <c r="I834" s="66" t="str">
        <f>IF(J834&lt;&gt;"OK","",E834*(1+G834)*H834)</f>
        <v/>
      </c>
      <c r="J834" s="69" t="str">
        <f>IF(AND(A834="",B834=""),"",IF(A834="","Produit manquant",IF(COUNTIF(prod_ref,A834)=0,"Produit inconnu",IF(B834="","Matière manquante",IF(ISNA(MATCH(B834,mat_ref,0)),"Matière inconnue",IF(INDEX(mat_check,MATCH(B834,mat_ref,0))&lt;&gt;"OK","Matière à corriger",IF(OR(NOT(ISNUMBER(E834)),N(E834)&lt;=0),"Quantité invalide",IF(AND(F834&lt;&gt;"",OR(NOT(ISNUMBER(F834)),N(F834)&lt;0,N(F834)&gt;=1)),"Perte entre 0 et 99 %",IF(COUNTIFS(bom_prod,A834,bom_mat,B834)&gt;1,"Matière en double","OK")))))))))</f>
        <v/>
      </c>
      <c r="K834" s="71" t="str">
        <f>IF(AND(fiche_sel&lt;&gt;"",A834=fiche_sel),COUNTIF(A$6:A834,fiche_sel),"")</f>
        <v/>
      </c>
    </row>
    <row r="835">
      <c r="A835" s="60" t="n"/>
      <c r="B835" s="60" t="n"/>
      <c r="C835" s="71" t="str">
        <f>IF(B835="","",IFERROR(INDEX(mat_des,MATCH(B835,mat_ref,0))&amp;"","Matière inconnue"))</f>
        <v/>
      </c>
      <c r="D835" s="69" t="str">
        <f>IF(B835="","",IFERROR(INDEX(mat_unit,MATCH(B835,mat_ref,0))&amp;"",""))</f>
        <v/>
      </c>
      <c r="E835" s="72" t="n"/>
      <c r="F835" s="65" t="n"/>
      <c r="G835" s="68" t="str">
        <f>IF(J835&lt;&gt;"OK","",IF(F835="",N(INDEX(mat_loss,MATCH(B835,mat_ref,0))),F835))</f>
        <v/>
      </c>
      <c r="H835" s="66" t="str">
        <f>IF(J835&lt;&gt;"OK","",INDEX(mat_price,MATCH(B835,mat_ref,0)))</f>
        <v/>
      </c>
      <c r="I835" s="66" t="str">
        <f>IF(J835&lt;&gt;"OK","",E835*(1+G835)*H835)</f>
        <v/>
      </c>
      <c r="J835" s="69" t="str">
        <f>IF(AND(A835="",B835=""),"",IF(A835="","Produit manquant",IF(COUNTIF(prod_ref,A835)=0,"Produit inconnu",IF(B835="","Matière manquante",IF(ISNA(MATCH(B835,mat_ref,0)),"Matière inconnue",IF(INDEX(mat_check,MATCH(B835,mat_ref,0))&lt;&gt;"OK","Matière à corriger",IF(OR(NOT(ISNUMBER(E835)),N(E835)&lt;=0),"Quantité invalide",IF(AND(F835&lt;&gt;"",OR(NOT(ISNUMBER(F835)),N(F835)&lt;0,N(F835)&gt;=1)),"Perte entre 0 et 99 %",IF(COUNTIFS(bom_prod,A835,bom_mat,B835)&gt;1,"Matière en double","OK")))))))))</f>
        <v/>
      </c>
      <c r="K835" s="71" t="str">
        <f>IF(AND(fiche_sel&lt;&gt;"",A835=fiche_sel),COUNTIF(A$6:A835,fiche_sel),"")</f>
        <v/>
      </c>
    </row>
    <row r="836">
      <c r="A836" s="60" t="n"/>
      <c r="B836" s="60" t="n"/>
      <c r="C836" s="71" t="str">
        <f>IF(B836="","",IFERROR(INDEX(mat_des,MATCH(B836,mat_ref,0))&amp;"","Matière inconnue"))</f>
        <v/>
      </c>
      <c r="D836" s="69" t="str">
        <f>IF(B836="","",IFERROR(INDEX(mat_unit,MATCH(B836,mat_ref,0))&amp;"",""))</f>
        <v/>
      </c>
      <c r="E836" s="72" t="n"/>
      <c r="F836" s="65" t="n"/>
      <c r="G836" s="68" t="str">
        <f>IF(J836&lt;&gt;"OK","",IF(F836="",N(INDEX(mat_loss,MATCH(B836,mat_ref,0))),F836))</f>
        <v/>
      </c>
      <c r="H836" s="66" t="str">
        <f>IF(J836&lt;&gt;"OK","",INDEX(mat_price,MATCH(B836,mat_ref,0)))</f>
        <v/>
      </c>
      <c r="I836" s="66" t="str">
        <f>IF(J836&lt;&gt;"OK","",E836*(1+G836)*H836)</f>
        <v/>
      </c>
      <c r="J836" s="69" t="str">
        <f>IF(AND(A836="",B836=""),"",IF(A836="","Produit manquant",IF(COUNTIF(prod_ref,A836)=0,"Produit inconnu",IF(B836="","Matière manquante",IF(ISNA(MATCH(B836,mat_ref,0)),"Matière inconnue",IF(INDEX(mat_check,MATCH(B836,mat_ref,0))&lt;&gt;"OK","Matière à corriger",IF(OR(NOT(ISNUMBER(E836)),N(E836)&lt;=0),"Quantité invalide",IF(AND(F836&lt;&gt;"",OR(NOT(ISNUMBER(F836)),N(F836)&lt;0,N(F836)&gt;=1)),"Perte entre 0 et 99 %",IF(COUNTIFS(bom_prod,A836,bom_mat,B836)&gt;1,"Matière en double","OK")))))))))</f>
        <v/>
      </c>
      <c r="K836" s="71" t="str">
        <f>IF(AND(fiche_sel&lt;&gt;"",A836=fiche_sel),COUNTIF(A$6:A836,fiche_sel),"")</f>
        <v/>
      </c>
    </row>
    <row r="837">
      <c r="A837" s="60" t="n"/>
      <c r="B837" s="60" t="n"/>
      <c r="C837" s="71" t="str">
        <f>IF(B837="","",IFERROR(INDEX(mat_des,MATCH(B837,mat_ref,0))&amp;"","Matière inconnue"))</f>
        <v/>
      </c>
      <c r="D837" s="69" t="str">
        <f>IF(B837="","",IFERROR(INDEX(mat_unit,MATCH(B837,mat_ref,0))&amp;"",""))</f>
        <v/>
      </c>
      <c r="E837" s="72" t="n"/>
      <c r="F837" s="65" t="n"/>
      <c r="G837" s="68" t="str">
        <f>IF(J837&lt;&gt;"OK","",IF(F837="",N(INDEX(mat_loss,MATCH(B837,mat_ref,0))),F837))</f>
        <v/>
      </c>
      <c r="H837" s="66" t="str">
        <f>IF(J837&lt;&gt;"OK","",INDEX(mat_price,MATCH(B837,mat_ref,0)))</f>
        <v/>
      </c>
      <c r="I837" s="66" t="str">
        <f>IF(J837&lt;&gt;"OK","",E837*(1+G837)*H837)</f>
        <v/>
      </c>
      <c r="J837" s="69" t="str">
        <f>IF(AND(A837="",B837=""),"",IF(A837="","Produit manquant",IF(COUNTIF(prod_ref,A837)=0,"Produit inconnu",IF(B837="","Matière manquante",IF(ISNA(MATCH(B837,mat_ref,0)),"Matière inconnue",IF(INDEX(mat_check,MATCH(B837,mat_ref,0))&lt;&gt;"OK","Matière à corriger",IF(OR(NOT(ISNUMBER(E837)),N(E837)&lt;=0),"Quantité invalide",IF(AND(F837&lt;&gt;"",OR(NOT(ISNUMBER(F837)),N(F837)&lt;0,N(F837)&gt;=1)),"Perte entre 0 et 99 %",IF(COUNTIFS(bom_prod,A837,bom_mat,B837)&gt;1,"Matière en double","OK")))))))))</f>
        <v/>
      </c>
      <c r="K837" s="71" t="str">
        <f>IF(AND(fiche_sel&lt;&gt;"",A837=fiche_sel),COUNTIF(A$6:A837,fiche_sel),"")</f>
        <v/>
      </c>
    </row>
    <row r="838">
      <c r="A838" s="60" t="n"/>
      <c r="B838" s="60" t="n"/>
      <c r="C838" s="71" t="str">
        <f>IF(B838="","",IFERROR(INDEX(mat_des,MATCH(B838,mat_ref,0))&amp;"","Matière inconnue"))</f>
        <v/>
      </c>
      <c r="D838" s="69" t="str">
        <f>IF(B838="","",IFERROR(INDEX(mat_unit,MATCH(B838,mat_ref,0))&amp;"",""))</f>
        <v/>
      </c>
      <c r="E838" s="72" t="n"/>
      <c r="F838" s="65" t="n"/>
      <c r="G838" s="68" t="str">
        <f>IF(J838&lt;&gt;"OK","",IF(F838="",N(INDEX(mat_loss,MATCH(B838,mat_ref,0))),F838))</f>
        <v/>
      </c>
      <c r="H838" s="66" t="str">
        <f>IF(J838&lt;&gt;"OK","",INDEX(mat_price,MATCH(B838,mat_ref,0)))</f>
        <v/>
      </c>
      <c r="I838" s="66" t="str">
        <f>IF(J838&lt;&gt;"OK","",E838*(1+G838)*H838)</f>
        <v/>
      </c>
      <c r="J838" s="69" t="str">
        <f>IF(AND(A838="",B838=""),"",IF(A838="","Produit manquant",IF(COUNTIF(prod_ref,A838)=0,"Produit inconnu",IF(B838="","Matière manquante",IF(ISNA(MATCH(B838,mat_ref,0)),"Matière inconnue",IF(INDEX(mat_check,MATCH(B838,mat_ref,0))&lt;&gt;"OK","Matière à corriger",IF(OR(NOT(ISNUMBER(E838)),N(E838)&lt;=0),"Quantité invalide",IF(AND(F838&lt;&gt;"",OR(NOT(ISNUMBER(F838)),N(F838)&lt;0,N(F838)&gt;=1)),"Perte entre 0 et 99 %",IF(COUNTIFS(bom_prod,A838,bom_mat,B838)&gt;1,"Matière en double","OK")))))))))</f>
        <v/>
      </c>
      <c r="K838" s="71" t="str">
        <f>IF(AND(fiche_sel&lt;&gt;"",A838=fiche_sel),COUNTIF(A$6:A838,fiche_sel),"")</f>
        <v/>
      </c>
    </row>
    <row r="839">
      <c r="A839" s="60" t="n"/>
      <c r="B839" s="60" t="n"/>
      <c r="C839" s="71" t="str">
        <f>IF(B839="","",IFERROR(INDEX(mat_des,MATCH(B839,mat_ref,0))&amp;"","Matière inconnue"))</f>
        <v/>
      </c>
      <c r="D839" s="69" t="str">
        <f>IF(B839="","",IFERROR(INDEX(mat_unit,MATCH(B839,mat_ref,0))&amp;"",""))</f>
        <v/>
      </c>
      <c r="E839" s="72" t="n"/>
      <c r="F839" s="65" t="n"/>
      <c r="G839" s="68" t="str">
        <f>IF(J839&lt;&gt;"OK","",IF(F839="",N(INDEX(mat_loss,MATCH(B839,mat_ref,0))),F839))</f>
        <v/>
      </c>
      <c r="H839" s="66" t="str">
        <f>IF(J839&lt;&gt;"OK","",INDEX(mat_price,MATCH(B839,mat_ref,0)))</f>
        <v/>
      </c>
      <c r="I839" s="66" t="str">
        <f>IF(J839&lt;&gt;"OK","",E839*(1+G839)*H839)</f>
        <v/>
      </c>
      <c r="J839" s="69" t="str">
        <f>IF(AND(A839="",B839=""),"",IF(A839="","Produit manquant",IF(COUNTIF(prod_ref,A839)=0,"Produit inconnu",IF(B839="","Matière manquante",IF(ISNA(MATCH(B839,mat_ref,0)),"Matière inconnue",IF(INDEX(mat_check,MATCH(B839,mat_ref,0))&lt;&gt;"OK","Matière à corriger",IF(OR(NOT(ISNUMBER(E839)),N(E839)&lt;=0),"Quantité invalide",IF(AND(F839&lt;&gt;"",OR(NOT(ISNUMBER(F839)),N(F839)&lt;0,N(F839)&gt;=1)),"Perte entre 0 et 99 %",IF(COUNTIFS(bom_prod,A839,bom_mat,B839)&gt;1,"Matière en double","OK")))))))))</f>
        <v/>
      </c>
      <c r="K839" s="71" t="str">
        <f>IF(AND(fiche_sel&lt;&gt;"",A839=fiche_sel),COUNTIF(A$6:A839,fiche_sel),"")</f>
        <v/>
      </c>
    </row>
    <row r="840">
      <c r="A840" s="60" t="n"/>
      <c r="B840" s="60" t="n"/>
      <c r="C840" s="71" t="str">
        <f>IF(B840="","",IFERROR(INDEX(mat_des,MATCH(B840,mat_ref,0))&amp;"","Matière inconnue"))</f>
        <v/>
      </c>
      <c r="D840" s="69" t="str">
        <f>IF(B840="","",IFERROR(INDEX(mat_unit,MATCH(B840,mat_ref,0))&amp;"",""))</f>
        <v/>
      </c>
      <c r="E840" s="72" t="n"/>
      <c r="F840" s="65" t="n"/>
      <c r="G840" s="68" t="str">
        <f>IF(J840&lt;&gt;"OK","",IF(F840="",N(INDEX(mat_loss,MATCH(B840,mat_ref,0))),F840))</f>
        <v/>
      </c>
      <c r="H840" s="66" t="str">
        <f>IF(J840&lt;&gt;"OK","",INDEX(mat_price,MATCH(B840,mat_ref,0)))</f>
        <v/>
      </c>
      <c r="I840" s="66" t="str">
        <f>IF(J840&lt;&gt;"OK","",E840*(1+G840)*H840)</f>
        <v/>
      </c>
      <c r="J840" s="69" t="str">
        <f>IF(AND(A840="",B840=""),"",IF(A840="","Produit manquant",IF(COUNTIF(prod_ref,A840)=0,"Produit inconnu",IF(B840="","Matière manquante",IF(ISNA(MATCH(B840,mat_ref,0)),"Matière inconnue",IF(INDEX(mat_check,MATCH(B840,mat_ref,0))&lt;&gt;"OK","Matière à corriger",IF(OR(NOT(ISNUMBER(E840)),N(E840)&lt;=0),"Quantité invalide",IF(AND(F840&lt;&gt;"",OR(NOT(ISNUMBER(F840)),N(F840)&lt;0,N(F840)&gt;=1)),"Perte entre 0 et 99 %",IF(COUNTIFS(bom_prod,A840,bom_mat,B840)&gt;1,"Matière en double","OK")))))))))</f>
        <v/>
      </c>
      <c r="K840" s="71" t="str">
        <f>IF(AND(fiche_sel&lt;&gt;"",A840=fiche_sel),COUNTIF(A$6:A840,fiche_sel),"")</f>
        <v/>
      </c>
    </row>
    <row r="841">
      <c r="A841" s="60" t="n"/>
      <c r="B841" s="60" t="n"/>
      <c r="C841" s="71" t="str">
        <f>IF(B841="","",IFERROR(INDEX(mat_des,MATCH(B841,mat_ref,0))&amp;"","Matière inconnue"))</f>
        <v/>
      </c>
      <c r="D841" s="69" t="str">
        <f>IF(B841="","",IFERROR(INDEX(mat_unit,MATCH(B841,mat_ref,0))&amp;"",""))</f>
        <v/>
      </c>
      <c r="E841" s="72" t="n"/>
      <c r="F841" s="65" t="n"/>
      <c r="G841" s="68" t="str">
        <f>IF(J841&lt;&gt;"OK","",IF(F841="",N(INDEX(mat_loss,MATCH(B841,mat_ref,0))),F841))</f>
        <v/>
      </c>
      <c r="H841" s="66" t="str">
        <f>IF(J841&lt;&gt;"OK","",INDEX(mat_price,MATCH(B841,mat_ref,0)))</f>
        <v/>
      </c>
      <c r="I841" s="66" t="str">
        <f>IF(J841&lt;&gt;"OK","",E841*(1+G841)*H841)</f>
        <v/>
      </c>
      <c r="J841" s="69" t="str">
        <f>IF(AND(A841="",B841=""),"",IF(A841="","Produit manquant",IF(COUNTIF(prod_ref,A841)=0,"Produit inconnu",IF(B841="","Matière manquante",IF(ISNA(MATCH(B841,mat_ref,0)),"Matière inconnue",IF(INDEX(mat_check,MATCH(B841,mat_ref,0))&lt;&gt;"OK","Matière à corriger",IF(OR(NOT(ISNUMBER(E841)),N(E841)&lt;=0),"Quantité invalide",IF(AND(F841&lt;&gt;"",OR(NOT(ISNUMBER(F841)),N(F841)&lt;0,N(F841)&gt;=1)),"Perte entre 0 et 99 %",IF(COUNTIFS(bom_prod,A841,bom_mat,B841)&gt;1,"Matière en double","OK")))))))))</f>
        <v/>
      </c>
      <c r="K841" s="71" t="str">
        <f>IF(AND(fiche_sel&lt;&gt;"",A841=fiche_sel),COUNTIF(A$6:A841,fiche_sel),"")</f>
        <v/>
      </c>
    </row>
    <row r="842">
      <c r="A842" s="60" t="n"/>
      <c r="B842" s="60" t="n"/>
      <c r="C842" s="71" t="str">
        <f>IF(B842="","",IFERROR(INDEX(mat_des,MATCH(B842,mat_ref,0))&amp;"","Matière inconnue"))</f>
        <v/>
      </c>
      <c r="D842" s="69" t="str">
        <f>IF(B842="","",IFERROR(INDEX(mat_unit,MATCH(B842,mat_ref,0))&amp;"",""))</f>
        <v/>
      </c>
      <c r="E842" s="72" t="n"/>
      <c r="F842" s="65" t="n"/>
      <c r="G842" s="68" t="str">
        <f>IF(J842&lt;&gt;"OK","",IF(F842="",N(INDEX(mat_loss,MATCH(B842,mat_ref,0))),F842))</f>
        <v/>
      </c>
      <c r="H842" s="66" t="str">
        <f>IF(J842&lt;&gt;"OK","",INDEX(mat_price,MATCH(B842,mat_ref,0)))</f>
        <v/>
      </c>
      <c r="I842" s="66" t="str">
        <f>IF(J842&lt;&gt;"OK","",E842*(1+G842)*H842)</f>
        <v/>
      </c>
      <c r="J842" s="69" t="str">
        <f>IF(AND(A842="",B842=""),"",IF(A842="","Produit manquant",IF(COUNTIF(prod_ref,A842)=0,"Produit inconnu",IF(B842="","Matière manquante",IF(ISNA(MATCH(B842,mat_ref,0)),"Matière inconnue",IF(INDEX(mat_check,MATCH(B842,mat_ref,0))&lt;&gt;"OK","Matière à corriger",IF(OR(NOT(ISNUMBER(E842)),N(E842)&lt;=0),"Quantité invalide",IF(AND(F842&lt;&gt;"",OR(NOT(ISNUMBER(F842)),N(F842)&lt;0,N(F842)&gt;=1)),"Perte entre 0 et 99 %",IF(COUNTIFS(bom_prod,A842,bom_mat,B842)&gt;1,"Matière en double","OK")))))))))</f>
        <v/>
      </c>
      <c r="K842" s="71" t="str">
        <f>IF(AND(fiche_sel&lt;&gt;"",A842=fiche_sel),COUNTIF(A$6:A842,fiche_sel),"")</f>
        <v/>
      </c>
    </row>
    <row r="843">
      <c r="A843" s="60" t="n"/>
      <c r="B843" s="60" t="n"/>
      <c r="C843" s="71" t="str">
        <f>IF(B843="","",IFERROR(INDEX(mat_des,MATCH(B843,mat_ref,0))&amp;"","Matière inconnue"))</f>
        <v/>
      </c>
      <c r="D843" s="69" t="str">
        <f>IF(B843="","",IFERROR(INDEX(mat_unit,MATCH(B843,mat_ref,0))&amp;"",""))</f>
        <v/>
      </c>
      <c r="E843" s="72" t="n"/>
      <c r="F843" s="65" t="n"/>
      <c r="G843" s="68" t="str">
        <f>IF(J843&lt;&gt;"OK","",IF(F843="",N(INDEX(mat_loss,MATCH(B843,mat_ref,0))),F843))</f>
        <v/>
      </c>
      <c r="H843" s="66" t="str">
        <f>IF(J843&lt;&gt;"OK","",INDEX(mat_price,MATCH(B843,mat_ref,0)))</f>
        <v/>
      </c>
      <c r="I843" s="66" t="str">
        <f>IF(J843&lt;&gt;"OK","",E843*(1+G843)*H843)</f>
        <v/>
      </c>
      <c r="J843" s="69" t="str">
        <f>IF(AND(A843="",B843=""),"",IF(A843="","Produit manquant",IF(COUNTIF(prod_ref,A843)=0,"Produit inconnu",IF(B843="","Matière manquante",IF(ISNA(MATCH(B843,mat_ref,0)),"Matière inconnue",IF(INDEX(mat_check,MATCH(B843,mat_ref,0))&lt;&gt;"OK","Matière à corriger",IF(OR(NOT(ISNUMBER(E843)),N(E843)&lt;=0),"Quantité invalide",IF(AND(F843&lt;&gt;"",OR(NOT(ISNUMBER(F843)),N(F843)&lt;0,N(F843)&gt;=1)),"Perte entre 0 et 99 %",IF(COUNTIFS(bom_prod,A843,bom_mat,B843)&gt;1,"Matière en double","OK")))))))))</f>
        <v/>
      </c>
      <c r="K843" s="71" t="str">
        <f>IF(AND(fiche_sel&lt;&gt;"",A843=fiche_sel),COUNTIF(A$6:A843,fiche_sel),"")</f>
        <v/>
      </c>
    </row>
    <row r="844">
      <c r="A844" s="60" t="n"/>
      <c r="B844" s="60" t="n"/>
      <c r="C844" s="71" t="str">
        <f>IF(B844="","",IFERROR(INDEX(mat_des,MATCH(B844,mat_ref,0))&amp;"","Matière inconnue"))</f>
        <v/>
      </c>
      <c r="D844" s="69" t="str">
        <f>IF(B844="","",IFERROR(INDEX(mat_unit,MATCH(B844,mat_ref,0))&amp;"",""))</f>
        <v/>
      </c>
      <c r="E844" s="72" t="n"/>
      <c r="F844" s="65" t="n"/>
      <c r="G844" s="68" t="str">
        <f>IF(J844&lt;&gt;"OK","",IF(F844="",N(INDEX(mat_loss,MATCH(B844,mat_ref,0))),F844))</f>
        <v/>
      </c>
      <c r="H844" s="66" t="str">
        <f>IF(J844&lt;&gt;"OK","",INDEX(mat_price,MATCH(B844,mat_ref,0)))</f>
        <v/>
      </c>
      <c r="I844" s="66" t="str">
        <f>IF(J844&lt;&gt;"OK","",E844*(1+G844)*H844)</f>
        <v/>
      </c>
      <c r="J844" s="69" t="str">
        <f>IF(AND(A844="",B844=""),"",IF(A844="","Produit manquant",IF(COUNTIF(prod_ref,A844)=0,"Produit inconnu",IF(B844="","Matière manquante",IF(ISNA(MATCH(B844,mat_ref,0)),"Matière inconnue",IF(INDEX(mat_check,MATCH(B844,mat_ref,0))&lt;&gt;"OK","Matière à corriger",IF(OR(NOT(ISNUMBER(E844)),N(E844)&lt;=0),"Quantité invalide",IF(AND(F844&lt;&gt;"",OR(NOT(ISNUMBER(F844)),N(F844)&lt;0,N(F844)&gt;=1)),"Perte entre 0 et 99 %",IF(COUNTIFS(bom_prod,A844,bom_mat,B844)&gt;1,"Matière en double","OK")))))))))</f>
        <v/>
      </c>
      <c r="K844" s="71" t="str">
        <f>IF(AND(fiche_sel&lt;&gt;"",A844=fiche_sel),COUNTIF(A$6:A844,fiche_sel),"")</f>
        <v/>
      </c>
    </row>
    <row r="845">
      <c r="A845" s="60" t="n"/>
      <c r="B845" s="60" t="n"/>
      <c r="C845" s="71" t="str">
        <f>IF(B845="","",IFERROR(INDEX(mat_des,MATCH(B845,mat_ref,0))&amp;"","Matière inconnue"))</f>
        <v/>
      </c>
      <c r="D845" s="69" t="str">
        <f>IF(B845="","",IFERROR(INDEX(mat_unit,MATCH(B845,mat_ref,0))&amp;"",""))</f>
        <v/>
      </c>
      <c r="E845" s="72" t="n"/>
      <c r="F845" s="65" t="n"/>
      <c r="G845" s="68" t="str">
        <f>IF(J845&lt;&gt;"OK","",IF(F845="",N(INDEX(mat_loss,MATCH(B845,mat_ref,0))),F845))</f>
        <v/>
      </c>
      <c r="H845" s="66" t="str">
        <f>IF(J845&lt;&gt;"OK","",INDEX(mat_price,MATCH(B845,mat_ref,0)))</f>
        <v/>
      </c>
      <c r="I845" s="66" t="str">
        <f>IF(J845&lt;&gt;"OK","",E845*(1+G845)*H845)</f>
        <v/>
      </c>
      <c r="J845" s="69" t="str">
        <f>IF(AND(A845="",B845=""),"",IF(A845="","Produit manquant",IF(COUNTIF(prod_ref,A845)=0,"Produit inconnu",IF(B845="","Matière manquante",IF(ISNA(MATCH(B845,mat_ref,0)),"Matière inconnue",IF(INDEX(mat_check,MATCH(B845,mat_ref,0))&lt;&gt;"OK","Matière à corriger",IF(OR(NOT(ISNUMBER(E845)),N(E845)&lt;=0),"Quantité invalide",IF(AND(F845&lt;&gt;"",OR(NOT(ISNUMBER(F845)),N(F845)&lt;0,N(F845)&gt;=1)),"Perte entre 0 et 99 %",IF(COUNTIFS(bom_prod,A845,bom_mat,B845)&gt;1,"Matière en double","OK")))))))))</f>
        <v/>
      </c>
      <c r="K845" s="71" t="str">
        <f>IF(AND(fiche_sel&lt;&gt;"",A845=fiche_sel),COUNTIF(A$6:A845,fiche_sel),"")</f>
        <v/>
      </c>
    </row>
    <row r="846">
      <c r="A846" s="60" t="n"/>
      <c r="B846" s="60" t="n"/>
      <c r="C846" s="71" t="str">
        <f>IF(B846="","",IFERROR(INDEX(mat_des,MATCH(B846,mat_ref,0))&amp;"","Matière inconnue"))</f>
        <v/>
      </c>
      <c r="D846" s="69" t="str">
        <f>IF(B846="","",IFERROR(INDEX(mat_unit,MATCH(B846,mat_ref,0))&amp;"",""))</f>
        <v/>
      </c>
      <c r="E846" s="72" t="n"/>
      <c r="F846" s="65" t="n"/>
      <c r="G846" s="68" t="str">
        <f>IF(J846&lt;&gt;"OK","",IF(F846="",N(INDEX(mat_loss,MATCH(B846,mat_ref,0))),F846))</f>
        <v/>
      </c>
      <c r="H846" s="66" t="str">
        <f>IF(J846&lt;&gt;"OK","",INDEX(mat_price,MATCH(B846,mat_ref,0)))</f>
        <v/>
      </c>
      <c r="I846" s="66" t="str">
        <f>IF(J846&lt;&gt;"OK","",E846*(1+G846)*H846)</f>
        <v/>
      </c>
      <c r="J846" s="69" t="str">
        <f>IF(AND(A846="",B846=""),"",IF(A846="","Produit manquant",IF(COUNTIF(prod_ref,A846)=0,"Produit inconnu",IF(B846="","Matière manquante",IF(ISNA(MATCH(B846,mat_ref,0)),"Matière inconnue",IF(INDEX(mat_check,MATCH(B846,mat_ref,0))&lt;&gt;"OK","Matière à corriger",IF(OR(NOT(ISNUMBER(E846)),N(E846)&lt;=0),"Quantité invalide",IF(AND(F846&lt;&gt;"",OR(NOT(ISNUMBER(F846)),N(F846)&lt;0,N(F846)&gt;=1)),"Perte entre 0 et 99 %",IF(COUNTIFS(bom_prod,A846,bom_mat,B846)&gt;1,"Matière en double","OK")))))))))</f>
        <v/>
      </c>
      <c r="K846" s="71" t="str">
        <f>IF(AND(fiche_sel&lt;&gt;"",A846=fiche_sel),COUNTIF(A$6:A846,fiche_sel),"")</f>
        <v/>
      </c>
    </row>
    <row r="847">
      <c r="A847" s="60" t="n"/>
      <c r="B847" s="60" t="n"/>
      <c r="C847" s="71" t="str">
        <f>IF(B847="","",IFERROR(INDEX(mat_des,MATCH(B847,mat_ref,0))&amp;"","Matière inconnue"))</f>
        <v/>
      </c>
      <c r="D847" s="69" t="str">
        <f>IF(B847="","",IFERROR(INDEX(mat_unit,MATCH(B847,mat_ref,0))&amp;"",""))</f>
        <v/>
      </c>
      <c r="E847" s="72" t="n"/>
      <c r="F847" s="65" t="n"/>
      <c r="G847" s="68" t="str">
        <f>IF(J847&lt;&gt;"OK","",IF(F847="",N(INDEX(mat_loss,MATCH(B847,mat_ref,0))),F847))</f>
        <v/>
      </c>
      <c r="H847" s="66" t="str">
        <f>IF(J847&lt;&gt;"OK","",INDEX(mat_price,MATCH(B847,mat_ref,0)))</f>
        <v/>
      </c>
      <c r="I847" s="66" t="str">
        <f>IF(J847&lt;&gt;"OK","",E847*(1+G847)*H847)</f>
        <v/>
      </c>
      <c r="J847" s="69" t="str">
        <f>IF(AND(A847="",B847=""),"",IF(A847="","Produit manquant",IF(COUNTIF(prod_ref,A847)=0,"Produit inconnu",IF(B847="","Matière manquante",IF(ISNA(MATCH(B847,mat_ref,0)),"Matière inconnue",IF(INDEX(mat_check,MATCH(B847,mat_ref,0))&lt;&gt;"OK","Matière à corriger",IF(OR(NOT(ISNUMBER(E847)),N(E847)&lt;=0),"Quantité invalide",IF(AND(F847&lt;&gt;"",OR(NOT(ISNUMBER(F847)),N(F847)&lt;0,N(F847)&gt;=1)),"Perte entre 0 et 99 %",IF(COUNTIFS(bom_prod,A847,bom_mat,B847)&gt;1,"Matière en double","OK")))))))))</f>
        <v/>
      </c>
      <c r="K847" s="71" t="str">
        <f>IF(AND(fiche_sel&lt;&gt;"",A847=fiche_sel),COUNTIF(A$6:A847,fiche_sel),"")</f>
        <v/>
      </c>
    </row>
    <row r="848">
      <c r="A848" s="60" t="n"/>
      <c r="B848" s="60" t="n"/>
      <c r="C848" s="71" t="str">
        <f>IF(B848="","",IFERROR(INDEX(mat_des,MATCH(B848,mat_ref,0))&amp;"","Matière inconnue"))</f>
        <v/>
      </c>
      <c r="D848" s="69" t="str">
        <f>IF(B848="","",IFERROR(INDEX(mat_unit,MATCH(B848,mat_ref,0))&amp;"",""))</f>
        <v/>
      </c>
      <c r="E848" s="72" t="n"/>
      <c r="F848" s="65" t="n"/>
      <c r="G848" s="68" t="str">
        <f>IF(J848&lt;&gt;"OK","",IF(F848="",N(INDEX(mat_loss,MATCH(B848,mat_ref,0))),F848))</f>
        <v/>
      </c>
      <c r="H848" s="66" t="str">
        <f>IF(J848&lt;&gt;"OK","",INDEX(mat_price,MATCH(B848,mat_ref,0)))</f>
        <v/>
      </c>
      <c r="I848" s="66" t="str">
        <f>IF(J848&lt;&gt;"OK","",E848*(1+G848)*H848)</f>
        <v/>
      </c>
      <c r="J848" s="69" t="str">
        <f>IF(AND(A848="",B848=""),"",IF(A848="","Produit manquant",IF(COUNTIF(prod_ref,A848)=0,"Produit inconnu",IF(B848="","Matière manquante",IF(ISNA(MATCH(B848,mat_ref,0)),"Matière inconnue",IF(INDEX(mat_check,MATCH(B848,mat_ref,0))&lt;&gt;"OK","Matière à corriger",IF(OR(NOT(ISNUMBER(E848)),N(E848)&lt;=0),"Quantité invalide",IF(AND(F848&lt;&gt;"",OR(NOT(ISNUMBER(F848)),N(F848)&lt;0,N(F848)&gt;=1)),"Perte entre 0 et 99 %",IF(COUNTIFS(bom_prod,A848,bom_mat,B848)&gt;1,"Matière en double","OK")))))))))</f>
        <v/>
      </c>
      <c r="K848" s="71" t="str">
        <f>IF(AND(fiche_sel&lt;&gt;"",A848=fiche_sel),COUNTIF(A$6:A848,fiche_sel),"")</f>
        <v/>
      </c>
    </row>
    <row r="849">
      <c r="A849" s="60" t="n"/>
      <c r="B849" s="60" t="n"/>
      <c r="C849" s="71" t="str">
        <f>IF(B849="","",IFERROR(INDEX(mat_des,MATCH(B849,mat_ref,0))&amp;"","Matière inconnue"))</f>
        <v/>
      </c>
      <c r="D849" s="69" t="str">
        <f>IF(B849="","",IFERROR(INDEX(mat_unit,MATCH(B849,mat_ref,0))&amp;"",""))</f>
        <v/>
      </c>
      <c r="E849" s="72" t="n"/>
      <c r="F849" s="65" t="n"/>
      <c r="G849" s="68" t="str">
        <f>IF(J849&lt;&gt;"OK","",IF(F849="",N(INDEX(mat_loss,MATCH(B849,mat_ref,0))),F849))</f>
        <v/>
      </c>
      <c r="H849" s="66" t="str">
        <f>IF(J849&lt;&gt;"OK","",INDEX(mat_price,MATCH(B849,mat_ref,0)))</f>
        <v/>
      </c>
      <c r="I849" s="66" t="str">
        <f>IF(J849&lt;&gt;"OK","",E849*(1+G849)*H849)</f>
        <v/>
      </c>
      <c r="J849" s="69" t="str">
        <f>IF(AND(A849="",B849=""),"",IF(A849="","Produit manquant",IF(COUNTIF(prod_ref,A849)=0,"Produit inconnu",IF(B849="","Matière manquante",IF(ISNA(MATCH(B849,mat_ref,0)),"Matière inconnue",IF(INDEX(mat_check,MATCH(B849,mat_ref,0))&lt;&gt;"OK","Matière à corriger",IF(OR(NOT(ISNUMBER(E849)),N(E849)&lt;=0),"Quantité invalide",IF(AND(F849&lt;&gt;"",OR(NOT(ISNUMBER(F849)),N(F849)&lt;0,N(F849)&gt;=1)),"Perte entre 0 et 99 %",IF(COUNTIFS(bom_prod,A849,bom_mat,B849)&gt;1,"Matière en double","OK")))))))))</f>
        <v/>
      </c>
      <c r="K849" s="71" t="str">
        <f>IF(AND(fiche_sel&lt;&gt;"",A849=fiche_sel),COUNTIF(A$6:A849,fiche_sel),"")</f>
        <v/>
      </c>
    </row>
    <row r="850">
      <c r="A850" s="60" t="n"/>
      <c r="B850" s="60" t="n"/>
      <c r="C850" s="71" t="str">
        <f>IF(B850="","",IFERROR(INDEX(mat_des,MATCH(B850,mat_ref,0))&amp;"","Matière inconnue"))</f>
        <v/>
      </c>
      <c r="D850" s="69" t="str">
        <f>IF(B850="","",IFERROR(INDEX(mat_unit,MATCH(B850,mat_ref,0))&amp;"",""))</f>
        <v/>
      </c>
      <c r="E850" s="72" t="n"/>
      <c r="F850" s="65" t="n"/>
      <c r="G850" s="68" t="str">
        <f>IF(J850&lt;&gt;"OK","",IF(F850="",N(INDEX(mat_loss,MATCH(B850,mat_ref,0))),F850))</f>
        <v/>
      </c>
      <c r="H850" s="66" t="str">
        <f>IF(J850&lt;&gt;"OK","",INDEX(mat_price,MATCH(B850,mat_ref,0)))</f>
        <v/>
      </c>
      <c r="I850" s="66" t="str">
        <f>IF(J850&lt;&gt;"OK","",E850*(1+G850)*H850)</f>
        <v/>
      </c>
      <c r="J850" s="69" t="str">
        <f>IF(AND(A850="",B850=""),"",IF(A850="","Produit manquant",IF(COUNTIF(prod_ref,A850)=0,"Produit inconnu",IF(B850="","Matière manquante",IF(ISNA(MATCH(B850,mat_ref,0)),"Matière inconnue",IF(INDEX(mat_check,MATCH(B850,mat_ref,0))&lt;&gt;"OK","Matière à corriger",IF(OR(NOT(ISNUMBER(E850)),N(E850)&lt;=0),"Quantité invalide",IF(AND(F850&lt;&gt;"",OR(NOT(ISNUMBER(F850)),N(F850)&lt;0,N(F850)&gt;=1)),"Perte entre 0 et 99 %",IF(COUNTIFS(bom_prod,A850,bom_mat,B850)&gt;1,"Matière en double","OK")))))))))</f>
        <v/>
      </c>
      <c r="K850" s="71" t="str">
        <f>IF(AND(fiche_sel&lt;&gt;"",A850=fiche_sel),COUNTIF(A$6:A850,fiche_sel),"")</f>
        <v/>
      </c>
    </row>
    <row r="851">
      <c r="A851" s="60" t="n"/>
      <c r="B851" s="60" t="n"/>
      <c r="C851" s="71" t="str">
        <f>IF(B851="","",IFERROR(INDEX(mat_des,MATCH(B851,mat_ref,0))&amp;"","Matière inconnue"))</f>
        <v/>
      </c>
      <c r="D851" s="69" t="str">
        <f>IF(B851="","",IFERROR(INDEX(mat_unit,MATCH(B851,mat_ref,0))&amp;"",""))</f>
        <v/>
      </c>
      <c r="E851" s="72" t="n"/>
      <c r="F851" s="65" t="n"/>
      <c r="G851" s="68" t="str">
        <f>IF(J851&lt;&gt;"OK","",IF(F851="",N(INDEX(mat_loss,MATCH(B851,mat_ref,0))),F851))</f>
        <v/>
      </c>
      <c r="H851" s="66" t="str">
        <f>IF(J851&lt;&gt;"OK","",INDEX(mat_price,MATCH(B851,mat_ref,0)))</f>
        <v/>
      </c>
      <c r="I851" s="66" t="str">
        <f>IF(J851&lt;&gt;"OK","",E851*(1+G851)*H851)</f>
        <v/>
      </c>
      <c r="J851" s="69" t="str">
        <f>IF(AND(A851="",B851=""),"",IF(A851="","Produit manquant",IF(COUNTIF(prod_ref,A851)=0,"Produit inconnu",IF(B851="","Matière manquante",IF(ISNA(MATCH(B851,mat_ref,0)),"Matière inconnue",IF(INDEX(mat_check,MATCH(B851,mat_ref,0))&lt;&gt;"OK","Matière à corriger",IF(OR(NOT(ISNUMBER(E851)),N(E851)&lt;=0),"Quantité invalide",IF(AND(F851&lt;&gt;"",OR(NOT(ISNUMBER(F851)),N(F851)&lt;0,N(F851)&gt;=1)),"Perte entre 0 et 99 %",IF(COUNTIFS(bom_prod,A851,bom_mat,B851)&gt;1,"Matière en double","OK")))))))))</f>
        <v/>
      </c>
      <c r="K851" s="71" t="str">
        <f>IF(AND(fiche_sel&lt;&gt;"",A851=fiche_sel),COUNTIF(A$6:A851,fiche_sel),"")</f>
        <v/>
      </c>
    </row>
    <row r="852">
      <c r="A852" s="60" t="n"/>
      <c r="B852" s="60" t="n"/>
      <c r="C852" s="71" t="str">
        <f>IF(B852="","",IFERROR(INDEX(mat_des,MATCH(B852,mat_ref,0))&amp;"","Matière inconnue"))</f>
        <v/>
      </c>
      <c r="D852" s="69" t="str">
        <f>IF(B852="","",IFERROR(INDEX(mat_unit,MATCH(B852,mat_ref,0))&amp;"",""))</f>
        <v/>
      </c>
      <c r="E852" s="72" t="n"/>
      <c r="F852" s="65" t="n"/>
      <c r="G852" s="68" t="str">
        <f>IF(J852&lt;&gt;"OK","",IF(F852="",N(INDEX(mat_loss,MATCH(B852,mat_ref,0))),F852))</f>
        <v/>
      </c>
      <c r="H852" s="66" t="str">
        <f>IF(J852&lt;&gt;"OK","",INDEX(mat_price,MATCH(B852,mat_ref,0)))</f>
        <v/>
      </c>
      <c r="I852" s="66" t="str">
        <f>IF(J852&lt;&gt;"OK","",E852*(1+G852)*H852)</f>
        <v/>
      </c>
      <c r="J852" s="69" t="str">
        <f>IF(AND(A852="",B852=""),"",IF(A852="","Produit manquant",IF(COUNTIF(prod_ref,A852)=0,"Produit inconnu",IF(B852="","Matière manquante",IF(ISNA(MATCH(B852,mat_ref,0)),"Matière inconnue",IF(INDEX(mat_check,MATCH(B852,mat_ref,0))&lt;&gt;"OK","Matière à corriger",IF(OR(NOT(ISNUMBER(E852)),N(E852)&lt;=0),"Quantité invalide",IF(AND(F852&lt;&gt;"",OR(NOT(ISNUMBER(F852)),N(F852)&lt;0,N(F852)&gt;=1)),"Perte entre 0 et 99 %",IF(COUNTIFS(bom_prod,A852,bom_mat,B852)&gt;1,"Matière en double","OK")))))))))</f>
        <v/>
      </c>
      <c r="K852" s="71" t="str">
        <f>IF(AND(fiche_sel&lt;&gt;"",A852=fiche_sel),COUNTIF(A$6:A852,fiche_sel),"")</f>
        <v/>
      </c>
    </row>
    <row r="853">
      <c r="A853" s="60" t="n"/>
      <c r="B853" s="60" t="n"/>
      <c r="C853" s="71" t="str">
        <f>IF(B853="","",IFERROR(INDEX(mat_des,MATCH(B853,mat_ref,0))&amp;"","Matière inconnue"))</f>
        <v/>
      </c>
      <c r="D853" s="69" t="str">
        <f>IF(B853="","",IFERROR(INDEX(mat_unit,MATCH(B853,mat_ref,0))&amp;"",""))</f>
        <v/>
      </c>
      <c r="E853" s="72" t="n"/>
      <c r="F853" s="65" t="n"/>
      <c r="G853" s="68" t="str">
        <f>IF(J853&lt;&gt;"OK","",IF(F853="",N(INDEX(mat_loss,MATCH(B853,mat_ref,0))),F853))</f>
        <v/>
      </c>
      <c r="H853" s="66" t="str">
        <f>IF(J853&lt;&gt;"OK","",INDEX(mat_price,MATCH(B853,mat_ref,0)))</f>
        <v/>
      </c>
      <c r="I853" s="66" t="str">
        <f>IF(J853&lt;&gt;"OK","",E853*(1+G853)*H853)</f>
        <v/>
      </c>
      <c r="J853" s="69" t="str">
        <f>IF(AND(A853="",B853=""),"",IF(A853="","Produit manquant",IF(COUNTIF(prod_ref,A853)=0,"Produit inconnu",IF(B853="","Matière manquante",IF(ISNA(MATCH(B853,mat_ref,0)),"Matière inconnue",IF(INDEX(mat_check,MATCH(B853,mat_ref,0))&lt;&gt;"OK","Matière à corriger",IF(OR(NOT(ISNUMBER(E853)),N(E853)&lt;=0),"Quantité invalide",IF(AND(F853&lt;&gt;"",OR(NOT(ISNUMBER(F853)),N(F853)&lt;0,N(F853)&gt;=1)),"Perte entre 0 et 99 %",IF(COUNTIFS(bom_prod,A853,bom_mat,B853)&gt;1,"Matière en double","OK")))))))))</f>
        <v/>
      </c>
      <c r="K853" s="71" t="str">
        <f>IF(AND(fiche_sel&lt;&gt;"",A853=fiche_sel),COUNTIF(A$6:A853,fiche_sel),"")</f>
        <v/>
      </c>
    </row>
    <row r="854">
      <c r="A854" s="60" t="n"/>
      <c r="B854" s="60" t="n"/>
      <c r="C854" s="71" t="str">
        <f>IF(B854="","",IFERROR(INDEX(mat_des,MATCH(B854,mat_ref,0))&amp;"","Matière inconnue"))</f>
        <v/>
      </c>
      <c r="D854" s="69" t="str">
        <f>IF(B854="","",IFERROR(INDEX(mat_unit,MATCH(B854,mat_ref,0))&amp;"",""))</f>
        <v/>
      </c>
      <c r="E854" s="72" t="n"/>
      <c r="F854" s="65" t="n"/>
      <c r="G854" s="68" t="str">
        <f>IF(J854&lt;&gt;"OK","",IF(F854="",N(INDEX(mat_loss,MATCH(B854,mat_ref,0))),F854))</f>
        <v/>
      </c>
      <c r="H854" s="66" t="str">
        <f>IF(J854&lt;&gt;"OK","",INDEX(mat_price,MATCH(B854,mat_ref,0)))</f>
        <v/>
      </c>
      <c r="I854" s="66" t="str">
        <f>IF(J854&lt;&gt;"OK","",E854*(1+G854)*H854)</f>
        <v/>
      </c>
      <c r="J854" s="69" t="str">
        <f>IF(AND(A854="",B854=""),"",IF(A854="","Produit manquant",IF(COUNTIF(prod_ref,A854)=0,"Produit inconnu",IF(B854="","Matière manquante",IF(ISNA(MATCH(B854,mat_ref,0)),"Matière inconnue",IF(INDEX(mat_check,MATCH(B854,mat_ref,0))&lt;&gt;"OK","Matière à corriger",IF(OR(NOT(ISNUMBER(E854)),N(E854)&lt;=0),"Quantité invalide",IF(AND(F854&lt;&gt;"",OR(NOT(ISNUMBER(F854)),N(F854)&lt;0,N(F854)&gt;=1)),"Perte entre 0 et 99 %",IF(COUNTIFS(bom_prod,A854,bom_mat,B854)&gt;1,"Matière en double","OK")))))))))</f>
        <v/>
      </c>
      <c r="K854" s="71" t="str">
        <f>IF(AND(fiche_sel&lt;&gt;"",A854=fiche_sel),COUNTIF(A$6:A854,fiche_sel),"")</f>
        <v/>
      </c>
    </row>
    <row r="855">
      <c r="A855" s="60" t="n"/>
      <c r="B855" s="60" t="n"/>
      <c r="C855" s="71" t="str">
        <f>IF(B855="","",IFERROR(INDEX(mat_des,MATCH(B855,mat_ref,0))&amp;"","Matière inconnue"))</f>
        <v/>
      </c>
      <c r="D855" s="69" t="str">
        <f>IF(B855="","",IFERROR(INDEX(mat_unit,MATCH(B855,mat_ref,0))&amp;"",""))</f>
        <v/>
      </c>
      <c r="E855" s="72" t="n"/>
      <c r="F855" s="65" t="n"/>
      <c r="G855" s="68" t="str">
        <f>IF(J855&lt;&gt;"OK","",IF(F855="",N(INDEX(mat_loss,MATCH(B855,mat_ref,0))),F855))</f>
        <v/>
      </c>
      <c r="H855" s="66" t="str">
        <f>IF(J855&lt;&gt;"OK","",INDEX(mat_price,MATCH(B855,mat_ref,0)))</f>
        <v/>
      </c>
      <c r="I855" s="66" t="str">
        <f>IF(J855&lt;&gt;"OK","",E855*(1+G855)*H855)</f>
        <v/>
      </c>
      <c r="J855" s="69" t="str">
        <f>IF(AND(A855="",B855=""),"",IF(A855="","Produit manquant",IF(COUNTIF(prod_ref,A855)=0,"Produit inconnu",IF(B855="","Matière manquante",IF(ISNA(MATCH(B855,mat_ref,0)),"Matière inconnue",IF(INDEX(mat_check,MATCH(B855,mat_ref,0))&lt;&gt;"OK","Matière à corriger",IF(OR(NOT(ISNUMBER(E855)),N(E855)&lt;=0),"Quantité invalide",IF(AND(F855&lt;&gt;"",OR(NOT(ISNUMBER(F855)),N(F855)&lt;0,N(F855)&gt;=1)),"Perte entre 0 et 99 %",IF(COUNTIFS(bom_prod,A855,bom_mat,B855)&gt;1,"Matière en double","OK")))))))))</f>
        <v/>
      </c>
      <c r="K855" s="71" t="str">
        <f>IF(AND(fiche_sel&lt;&gt;"",A855=fiche_sel),COUNTIF(A$6:A855,fiche_sel),"")</f>
        <v/>
      </c>
    </row>
    <row r="856">
      <c r="A856" s="60" t="n"/>
      <c r="B856" s="60" t="n"/>
      <c r="C856" s="71" t="str">
        <f>IF(B856="","",IFERROR(INDEX(mat_des,MATCH(B856,mat_ref,0))&amp;"","Matière inconnue"))</f>
        <v/>
      </c>
      <c r="D856" s="69" t="str">
        <f>IF(B856="","",IFERROR(INDEX(mat_unit,MATCH(B856,mat_ref,0))&amp;"",""))</f>
        <v/>
      </c>
      <c r="E856" s="72" t="n"/>
      <c r="F856" s="65" t="n"/>
      <c r="G856" s="68" t="str">
        <f>IF(J856&lt;&gt;"OK","",IF(F856="",N(INDEX(mat_loss,MATCH(B856,mat_ref,0))),F856))</f>
        <v/>
      </c>
      <c r="H856" s="66" t="str">
        <f>IF(J856&lt;&gt;"OK","",INDEX(mat_price,MATCH(B856,mat_ref,0)))</f>
        <v/>
      </c>
      <c r="I856" s="66" t="str">
        <f>IF(J856&lt;&gt;"OK","",E856*(1+G856)*H856)</f>
        <v/>
      </c>
      <c r="J856" s="69" t="str">
        <f>IF(AND(A856="",B856=""),"",IF(A856="","Produit manquant",IF(COUNTIF(prod_ref,A856)=0,"Produit inconnu",IF(B856="","Matière manquante",IF(ISNA(MATCH(B856,mat_ref,0)),"Matière inconnue",IF(INDEX(mat_check,MATCH(B856,mat_ref,0))&lt;&gt;"OK","Matière à corriger",IF(OR(NOT(ISNUMBER(E856)),N(E856)&lt;=0),"Quantité invalide",IF(AND(F856&lt;&gt;"",OR(NOT(ISNUMBER(F856)),N(F856)&lt;0,N(F856)&gt;=1)),"Perte entre 0 et 99 %",IF(COUNTIFS(bom_prod,A856,bom_mat,B856)&gt;1,"Matière en double","OK")))))))))</f>
        <v/>
      </c>
      <c r="K856" s="71" t="str">
        <f>IF(AND(fiche_sel&lt;&gt;"",A856=fiche_sel),COUNTIF(A$6:A856,fiche_sel),"")</f>
        <v/>
      </c>
    </row>
    <row r="857">
      <c r="A857" s="60" t="n"/>
      <c r="B857" s="60" t="n"/>
      <c r="C857" s="71" t="str">
        <f>IF(B857="","",IFERROR(INDEX(mat_des,MATCH(B857,mat_ref,0))&amp;"","Matière inconnue"))</f>
        <v/>
      </c>
      <c r="D857" s="69" t="str">
        <f>IF(B857="","",IFERROR(INDEX(mat_unit,MATCH(B857,mat_ref,0))&amp;"",""))</f>
        <v/>
      </c>
      <c r="E857" s="72" t="n"/>
      <c r="F857" s="65" t="n"/>
      <c r="G857" s="68" t="str">
        <f>IF(J857&lt;&gt;"OK","",IF(F857="",N(INDEX(mat_loss,MATCH(B857,mat_ref,0))),F857))</f>
        <v/>
      </c>
      <c r="H857" s="66" t="str">
        <f>IF(J857&lt;&gt;"OK","",INDEX(mat_price,MATCH(B857,mat_ref,0)))</f>
        <v/>
      </c>
      <c r="I857" s="66" t="str">
        <f>IF(J857&lt;&gt;"OK","",E857*(1+G857)*H857)</f>
        <v/>
      </c>
      <c r="J857" s="69" t="str">
        <f>IF(AND(A857="",B857=""),"",IF(A857="","Produit manquant",IF(COUNTIF(prod_ref,A857)=0,"Produit inconnu",IF(B857="","Matière manquante",IF(ISNA(MATCH(B857,mat_ref,0)),"Matière inconnue",IF(INDEX(mat_check,MATCH(B857,mat_ref,0))&lt;&gt;"OK","Matière à corriger",IF(OR(NOT(ISNUMBER(E857)),N(E857)&lt;=0),"Quantité invalide",IF(AND(F857&lt;&gt;"",OR(NOT(ISNUMBER(F857)),N(F857)&lt;0,N(F857)&gt;=1)),"Perte entre 0 et 99 %",IF(COUNTIFS(bom_prod,A857,bom_mat,B857)&gt;1,"Matière en double","OK")))))))))</f>
        <v/>
      </c>
      <c r="K857" s="71" t="str">
        <f>IF(AND(fiche_sel&lt;&gt;"",A857=fiche_sel),COUNTIF(A$6:A857,fiche_sel),"")</f>
        <v/>
      </c>
    </row>
    <row r="858">
      <c r="A858" s="60" t="n"/>
      <c r="B858" s="60" t="n"/>
      <c r="C858" s="71" t="str">
        <f>IF(B858="","",IFERROR(INDEX(mat_des,MATCH(B858,mat_ref,0))&amp;"","Matière inconnue"))</f>
        <v/>
      </c>
      <c r="D858" s="69" t="str">
        <f>IF(B858="","",IFERROR(INDEX(mat_unit,MATCH(B858,mat_ref,0))&amp;"",""))</f>
        <v/>
      </c>
      <c r="E858" s="72" t="n"/>
      <c r="F858" s="65" t="n"/>
      <c r="G858" s="68" t="str">
        <f>IF(J858&lt;&gt;"OK","",IF(F858="",N(INDEX(mat_loss,MATCH(B858,mat_ref,0))),F858))</f>
        <v/>
      </c>
      <c r="H858" s="66" t="str">
        <f>IF(J858&lt;&gt;"OK","",INDEX(mat_price,MATCH(B858,mat_ref,0)))</f>
        <v/>
      </c>
      <c r="I858" s="66" t="str">
        <f>IF(J858&lt;&gt;"OK","",E858*(1+G858)*H858)</f>
        <v/>
      </c>
      <c r="J858" s="69" t="str">
        <f>IF(AND(A858="",B858=""),"",IF(A858="","Produit manquant",IF(COUNTIF(prod_ref,A858)=0,"Produit inconnu",IF(B858="","Matière manquante",IF(ISNA(MATCH(B858,mat_ref,0)),"Matière inconnue",IF(INDEX(mat_check,MATCH(B858,mat_ref,0))&lt;&gt;"OK","Matière à corriger",IF(OR(NOT(ISNUMBER(E858)),N(E858)&lt;=0),"Quantité invalide",IF(AND(F858&lt;&gt;"",OR(NOT(ISNUMBER(F858)),N(F858)&lt;0,N(F858)&gt;=1)),"Perte entre 0 et 99 %",IF(COUNTIFS(bom_prod,A858,bom_mat,B858)&gt;1,"Matière en double","OK")))))))))</f>
        <v/>
      </c>
      <c r="K858" s="71" t="str">
        <f>IF(AND(fiche_sel&lt;&gt;"",A858=fiche_sel),COUNTIF(A$6:A858,fiche_sel),"")</f>
        <v/>
      </c>
    </row>
    <row r="859">
      <c r="A859" s="60" t="n"/>
      <c r="B859" s="60" t="n"/>
      <c r="C859" s="71" t="str">
        <f>IF(B859="","",IFERROR(INDEX(mat_des,MATCH(B859,mat_ref,0))&amp;"","Matière inconnue"))</f>
        <v/>
      </c>
      <c r="D859" s="69" t="str">
        <f>IF(B859="","",IFERROR(INDEX(mat_unit,MATCH(B859,mat_ref,0))&amp;"",""))</f>
        <v/>
      </c>
      <c r="E859" s="72" t="n"/>
      <c r="F859" s="65" t="n"/>
      <c r="G859" s="68" t="str">
        <f>IF(J859&lt;&gt;"OK","",IF(F859="",N(INDEX(mat_loss,MATCH(B859,mat_ref,0))),F859))</f>
        <v/>
      </c>
      <c r="H859" s="66" t="str">
        <f>IF(J859&lt;&gt;"OK","",INDEX(mat_price,MATCH(B859,mat_ref,0)))</f>
        <v/>
      </c>
      <c r="I859" s="66" t="str">
        <f>IF(J859&lt;&gt;"OK","",E859*(1+G859)*H859)</f>
        <v/>
      </c>
      <c r="J859" s="69" t="str">
        <f>IF(AND(A859="",B859=""),"",IF(A859="","Produit manquant",IF(COUNTIF(prod_ref,A859)=0,"Produit inconnu",IF(B859="","Matière manquante",IF(ISNA(MATCH(B859,mat_ref,0)),"Matière inconnue",IF(INDEX(mat_check,MATCH(B859,mat_ref,0))&lt;&gt;"OK","Matière à corriger",IF(OR(NOT(ISNUMBER(E859)),N(E859)&lt;=0),"Quantité invalide",IF(AND(F859&lt;&gt;"",OR(NOT(ISNUMBER(F859)),N(F859)&lt;0,N(F859)&gt;=1)),"Perte entre 0 et 99 %",IF(COUNTIFS(bom_prod,A859,bom_mat,B859)&gt;1,"Matière en double","OK")))))))))</f>
        <v/>
      </c>
      <c r="K859" s="71" t="str">
        <f>IF(AND(fiche_sel&lt;&gt;"",A859=fiche_sel),COUNTIF(A$6:A859,fiche_sel),"")</f>
        <v/>
      </c>
    </row>
    <row r="860">
      <c r="A860" s="60" t="n"/>
      <c r="B860" s="60" t="n"/>
      <c r="C860" s="71" t="str">
        <f>IF(B860="","",IFERROR(INDEX(mat_des,MATCH(B860,mat_ref,0))&amp;"","Matière inconnue"))</f>
        <v/>
      </c>
      <c r="D860" s="69" t="str">
        <f>IF(B860="","",IFERROR(INDEX(mat_unit,MATCH(B860,mat_ref,0))&amp;"",""))</f>
        <v/>
      </c>
      <c r="E860" s="72" t="n"/>
      <c r="F860" s="65" t="n"/>
      <c r="G860" s="68" t="str">
        <f>IF(J860&lt;&gt;"OK","",IF(F860="",N(INDEX(mat_loss,MATCH(B860,mat_ref,0))),F860))</f>
        <v/>
      </c>
      <c r="H860" s="66" t="str">
        <f>IF(J860&lt;&gt;"OK","",INDEX(mat_price,MATCH(B860,mat_ref,0)))</f>
        <v/>
      </c>
      <c r="I860" s="66" t="str">
        <f>IF(J860&lt;&gt;"OK","",E860*(1+G860)*H860)</f>
        <v/>
      </c>
      <c r="J860" s="69" t="str">
        <f>IF(AND(A860="",B860=""),"",IF(A860="","Produit manquant",IF(COUNTIF(prod_ref,A860)=0,"Produit inconnu",IF(B860="","Matière manquante",IF(ISNA(MATCH(B860,mat_ref,0)),"Matière inconnue",IF(INDEX(mat_check,MATCH(B860,mat_ref,0))&lt;&gt;"OK","Matière à corriger",IF(OR(NOT(ISNUMBER(E860)),N(E860)&lt;=0),"Quantité invalide",IF(AND(F860&lt;&gt;"",OR(NOT(ISNUMBER(F860)),N(F860)&lt;0,N(F860)&gt;=1)),"Perte entre 0 et 99 %",IF(COUNTIFS(bom_prod,A860,bom_mat,B860)&gt;1,"Matière en double","OK")))))))))</f>
        <v/>
      </c>
      <c r="K860" s="71" t="str">
        <f>IF(AND(fiche_sel&lt;&gt;"",A860=fiche_sel),COUNTIF(A$6:A860,fiche_sel),"")</f>
        <v/>
      </c>
    </row>
    <row r="861">
      <c r="A861" s="60" t="n"/>
      <c r="B861" s="60" t="n"/>
      <c r="C861" s="71" t="str">
        <f>IF(B861="","",IFERROR(INDEX(mat_des,MATCH(B861,mat_ref,0))&amp;"","Matière inconnue"))</f>
        <v/>
      </c>
      <c r="D861" s="69" t="str">
        <f>IF(B861="","",IFERROR(INDEX(mat_unit,MATCH(B861,mat_ref,0))&amp;"",""))</f>
        <v/>
      </c>
      <c r="E861" s="72" t="n"/>
      <c r="F861" s="65" t="n"/>
      <c r="G861" s="68" t="str">
        <f>IF(J861&lt;&gt;"OK","",IF(F861="",N(INDEX(mat_loss,MATCH(B861,mat_ref,0))),F861))</f>
        <v/>
      </c>
      <c r="H861" s="66" t="str">
        <f>IF(J861&lt;&gt;"OK","",INDEX(mat_price,MATCH(B861,mat_ref,0)))</f>
        <v/>
      </c>
      <c r="I861" s="66" t="str">
        <f>IF(J861&lt;&gt;"OK","",E861*(1+G861)*H861)</f>
        <v/>
      </c>
      <c r="J861" s="69" t="str">
        <f>IF(AND(A861="",B861=""),"",IF(A861="","Produit manquant",IF(COUNTIF(prod_ref,A861)=0,"Produit inconnu",IF(B861="","Matière manquante",IF(ISNA(MATCH(B861,mat_ref,0)),"Matière inconnue",IF(INDEX(mat_check,MATCH(B861,mat_ref,0))&lt;&gt;"OK","Matière à corriger",IF(OR(NOT(ISNUMBER(E861)),N(E861)&lt;=0),"Quantité invalide",IF(AND(F861&lt;&gt;"",OR(NOT(ISNUMBER(F861)),N(F861)&lt;0,N(F861)&gt;=1)),"Perte entre 0 et 99 %",IF(COUNTIFS(bom_prod,A861,bom_mat,B861)&gt;1,"Matière en double","OK")))))))))</f>
        <v/>
      </c>
      <c r="K861" s="71" t="str">
        <f>IF(AND(fiche_sel&lt;&gt;"",A861=fiche_sel),COUNTIF(A$6:A861,fiche_sel),"")</f>
        <v/>
      </c>
    </row>
    <row r="862">
      <c r="A862" s="60" t="n"/>
      <c r="B862" s="60" t="n"/>
      <c r="C862" s="71" t="str">
        <f>IF(B862="","",IFERROR(INDEX(mat_des,MATCH(B862,mat_ref,0))&amp;"","Matière inconnue"))</f>
        <v/>
      </c>
      <c r="D862" s="69" t="str">
        <f>IF(B862="","",IFERROR(INDEX(mat_unit,MATCH(B862,mat_ref,0))&amp;"",""))</f>
        <v/>
      </c>
      <c r="E862" s="72" t="n"/>
      <c r="F862" s="65" t="n"/>
      <c r="G862" s="68" t="str">
        <f>IF(J862&lt;&gt;"OK","",IF(F862="",N(INDEX(mat_loss,MATCH(B862,mat_ref,0))),F862))</f>
        <v/>
      </c>
      <c r="H862" s="66" t="str">
        <f>IF(J862&lt;&gt;"OK","",INDEX(mat_price,MATCH(B862,mat_ref,0)))</f>
        <v/>
      </c>
      <c r="I862" s="66" t="str">
        <f>IF(J862&lt;&gt;"OK","",E862*(1+G862)*H862)</f>
        <v/>
      </c>
      <c r="J862" s="69" t="str">
        <f>IF(AND(A862="",B862=""),"",IF(A862="","Produit manquant",IF(COUNTIF(prod_ref,A862)=0,"Produit inconnu",IF(B862="","Matière manquante",IF(ISNA(MATCH(B862,mat_ref,0)),"Matière inconnue",IF(INDEX(mat_check,MATCH(B862,mat_ref,0))&lt;&gt;"OK","Matière à corriger",IF(OR(NOT(ISNUMBER(E862)),N(E862)&lt;=0),"Quantité invalide",IF(AND(F862&lt;&gt;"",OR(NOT(ISNUMBER(F862)),N(F862)&lt;0,N(F862)&gt;=1)),"Perte entre 0 et 99 %",IF(COUNTIFS(bom_prod,A862,bom_mat,B862)&gt;1,"Matière en double","OK")))))))))</f>
        <v/>
      </c>
      <c r="K862" s="71" t="str">
        <f>IF(AND(fiche_sel&lt;&gt;"",A862=fiche_sel),COUNTIF(A$6:A862,fiche_sel),"")</f>
        <v/>
      </c>
    </row>
    <row r="863">
      <c r="A863" s="60" t="n"/>
      <c r="B863" s="60" t="n"/>
      <c r="C863" s="71" t="str">
        <f>IF(B863="","",IFERROR(INDEX(mat_des,MATCH(B863,mat_ref,0))&amp;"","Matière inconnue"))</f>
        <v/>
      </c>
      <c r="D863" s="69" t="str">
        <f>IF(B863="","",IFERROR(INDEX(mat_unit,MATCH(B863,mat_ref,0))&amp;"",""))</f>
        <v/>
      </c>
      <c r="E863" s="72" t="n"/>
      <c r="F863" s="65" t="n"/>
      <c r="G863" s="68" t="str">
        <f>IF(J863&lt;&gt;"OK","",IF(F863="",N(INDEX(mat_loss,MATCH(B863,mat_ref,0))),F863))</f>
        <v/>
      </c>
      <c r="H863" s="66" t="str">
        <f>IF(J863&lt;&gt;"OK","",INDEX(mat_price,MATCH(B863,mat_ref,0)))</f>
        <v/>
      </c>
      <c r="I863" s="66" t="str">
        <f>IF(J863&lt;&gt;"OK","",E863*(1+G863)*H863)</f>
        <v/>
      </c>
      <c r="J863" s="69" t="str">
        <f>IF(AND(A863="",B863=""),"",IF(A863="","Produit manquant",IF(COUNTIF(prod_ref,A863)=0,"Produit inconnu",IF(B863="","Matière manquante",IF(ISNA(MATCH(B863,mat_ref,0)),"Matière inconnue",IF(INDEX(mat_check,MATCH(B863,mat_ref,0))&lt;&gt;"OK","Matière à corriger",IF(OR(NOT(ISNUMBER(E863)),N(E863)&lt;=0),"Quantité invalide",IF(AND(F863&lt;&gt;"",OR(NOT(ISNUMBER(F863)),N(F863)&lt;0,N(F863)&gt;=1)),"Perte entre 0 et 99 %",IF(COUNTIFS(bom_prod,A863,bom_mat,B863)&gt;1,"Matière en double","OK")))))))))</f>
        <v/>
      </c>
      <c r="K863" s="71" t="str">
        <f>IF(AND(fiche_sel&lt;&gt;"",A863=fiche_sel),COUNTIF(A$6:A863,fiche_sel),"")</f>
        <v/>
      </c>
    </row>
    <row r="864">
      <c r="A864" s="60" t="n"/>
      <c r="B864" s="60" t="n"/>
      <c r="C864" s="71" t="str">
        <f>IF(B864="","",IFERROR(INDEX(mat_des,MATCH(B864,mat_ref,0))&amp;"","Matière inconnue"))</f>
        <v/>
      </c>
      <c r="D864" s="69" t="str">
        <f>IF(B864="","",IFERROR(INDEX(mat_unit,MATCH(B864,mat_ref,0))&amp;"",""))</f>
        <v/>
      </c>
      <c r="E864" s="72" t="n"/>
      <c r="F864" s="65" t="n"/>
      <c r="G864" s="68" t="str">
        <f>IF(J864&lt;&gt;"OK","",IF(F864="",N(INDEX(mat_loss,MATCH(B864,mat_ref,0))),F864))</f>
        <v/>
      </c>
      <c r="H864" s="66" t="str">
        <f>IF(J864&lt;&gt;"OK","",INDEX(mat_price,MATCH(B864,mat_ref,0)))</f>
        <v/>
      </c>
      <c r="I864" s="66" t="str">
        <f>IF(J864&lt;&gt;"OK","",E864*(1+G864)*H864)</f>
        <v/>
      </c>
      <c r="J864" s="69" t="str">
        <f>IF(AND(A864="",B864=""),"",IF(A864="","Produit manquant",IF(COUNTIF(prod_ref,A864)=0,"Produit inconnu",IF(B864="","Matière manquante",IF(ISNA(MATCH(B864,mat_ref,0)),"Matière inconnue",IF(INDEX(mat_check,MATCH(B864,mat_ref,0))&lt;&gt;"OK","Matière à corriger",IF(OR(NOT(ISNUMBER(E864)),N(E864)&lt;=0),"Quantité invalide",IF(AND(F864&lt;&gt;"",OR(NOT(ISNUMBER(F864)),N(F864)&lt;0,N(F864)&gt;=1)),"Perte entre 0 et 99 %",IF(COUNTIFS(bom_prod,A864,bom_mat,B864)&gt;1,"Matière en double","OK")))))))))</f>
        <v/>
      </c>
      <c r="K864" s="71" t="str">
        <f>IF(AND(fiche_sel&lt;&gt;"",A864=fiche_sel),COUNTIF(A$6:A864,fiche_sel),"")</f>
        <v/>
      </c>
    </row>
    <row r="865">
      <c r="A865" s="60" t="n"/>
      <c r="B865" s="60" t="n"/>
      <c r="C865" s="71" t="str">
        <f>IF(B865="","",IFERROR(INDEX(mat_des,MATCH(B865,mat_ref,0))&amp;"","Matière inconnue"))</f>
        <v/>
      </c>
      <c r="D865" s="69" t="str">
        <f>IF(B865="","",IFERROR(INDEX(mat_unit,MATCH(B865,mat_ref,0))&amp;"",""))</f>
        <v/>
      </c>
      <c r="E865" s="72" t="n"/>
      <c r="F865" s="65" t="n"/>
      <c r="G865" s="68" t="str">
        <f>IF(J865&lt;&gt;"OK","",IF(F865="",N(INDEX(mat_loss,MATCH(B865,mat_ref,0))),F865))</f>
        <v/>
      </c>
      <c r="H865" s="66" t="str">
        <f>IF(J865&lt;&gt;"OK","",INDEX(mat_price,MATCH(B865,mat_ref,0)))</f>
        <v/>
      </c>
      <c r="I865" s="66" t="str">
        <f>IF(J865&lt;&gt;"OK","",E865*(1+G865)*H865)</f>
        <v/>
      </c>
      <c r="J865" s="69" t="str">
        <f>IF(AND(A865="",B865=""),"",IF(A865="","Produit manquant",IF(COUNTIF(prod_ref,A865)=0,"Produit inconnu",IF(B865="","Matière manquante",IF(ISNA(MATCH(B865,mat_ref,0)),"Matière inconnue",IF(INDEX(mat_check,MATCH(B865,mat_ref,0))&lt;&gt;"OK","Matière à corriger",IF(OR(NOT(ISNUMBER(E865)),N(E865)&lt;=0),"Quantité invalide",IF(AND(F865&lt;&gt;"",OR(NOT(ISNUMBER(F865)),N(F865)&lt;0,N(F865)&gt;=1)),"Perte entre 0 et 99 %",IF(COUNTIFS(bom_prod,A865,bom_mat,B865)&gt;1,"Matière en double","OK")))))))))</f>
        <v/>
      </c>
      <c r="K865" s="71" t="str">
        <f>IF(AND(fiche_sel&lt;&gt;"",A865=fiche_sel),COUNTIF(A$6:A865,fiche_sel),"")</f>
        <v/>
      </c>
    </row>
    <row r="866">
      <c r="A866" s="60" t="n"/>
      <c r="B866" s="60" t="n"/>
      <c r="C866" s="71" t="str">
        <f>IF(B866="","",IFERROR(INDEX(mat_des,MATCH(B866,mat_ref,0))&amp;"","Matière inconnue"))</f>
        <v/>
      </c>
      <c r="D866" s="69" t="str">
        <f>IF(B866="","",IFERROR(INDEX(mat_unit,MATCH(B866,mat_ref,0))&amp;"",""))</f>
        <v/>
      </c>
      <c r="E866" s="72" t="n"/>
      <c r="F866" s="65" t="n"/>
      <c r="G866" s="68" t="str">
        <f>IF(J866&lt;&gt;"OK","",IF(F866="",N(INDEX(mat_loss,MATCH(B866,mat_ref,0))),F866))</f>
        <v/>
      </c>
      <c r="H866" s="66" t="str">
        <f>IF(J866&lt;&gt;"OK","",INDEX(mat_price,MATCH(B866,mat_ref,0)))</f>
        <v/>
      </c>
      <c r="I866" s="66" t="str">
        <f>IF(J866&lt;&gt;"OK","",E866*(1+G866)*H866)</f>
        <v/>
      </c>
      <c r="J866" s="69" t="str">
        <f>IF(AND(A866="",B866=""),"",IF(A866="","Produit manquant",IF(COUNTIF(prod_ref,A866)=0,"Produit inconnu",IF(B866="","Matière manquante",IF(ISNA(MATCH(B866,mat_ref,0)),"Matière inconnue",IF(INDEX(mat_check,MATCH(B866,mat_ref,0))&lt;&gt;"OK","Matière à corriger",IF(OR(NOT(ISNUMBER(E866)),N(E866)&lt;=0),"Quantité invalide",IF(AND(F866&lt;&gt;"",OR(NOT(ISNUMBER(F866)),N(F866)&lt;0,N(F866)&gt;=1)),"Perte entre 0 et 99 %",IF(COUNTIFS(bom_prod,A866,bom_mat,B866)&gt;1,"Matière en double","OK")))))))))</f>
        <v/>
      </c>
      <c r="K866" s="71" t="str">
        <f>IF(AND(fiche_sel&lt;&gt;"",A866=fiche_sel),COUNTIF(A$6:A866,fiche_sel),"")</f>
        <v/>
      </c>
    </row>
    <row r="867">
      <c r="A867" s="60" t="n"/>
      <c r="B867" s="60" t="n"/>
      <c r="C867" s="71" t="str">
        <f>IF(B867="","",IFERROR(INDEX(mat_des,MATCH(B867,mat_ref,0))&amp;"","Matière inconnue"))</f>
        <v/>
      </c>
      <c r="D867" s="69" t="str">
        <f>IF(B867="","",IFERROR(INDEX(mat_unit,MATCH(B867,mat_ref,0))&amp;"",""))</f>
        <v/>
      </c>
      <c r="E867" s="72" t="n"/>
      <c r="F867" s="65" t="n"/>
      <c r="G867" s="68" t="str">
        <f>IF(J867&lt;&gt;"OK","",IF(F867="",N(INDEX(mat_loss,MATCH(B867,mat_ref,0))),F867))</f>
        <v/>
      </c>
      <c r="H867" s="66" t="str">
        <f>IF(J867&lt;&gt;"OK","",INDEX(mat_price,MATCH(B867,mat_ref,0)))</f>
        <v/>
      </c>
      <c r="I867" s="66" t="str">
        <f>IF(J867&lt;&gt;"OK","",E867*(1+G867)*H867)</f>
        <v/>
      </c>
      <c r="J867" s="69" t="str">
        <f>IF(AND(A867="",B867=""),"",IF(A867="","Produit manquant",IF(COUNTIF(prod_ref,A867)=0,"Produit inconnu",IF(B867="","Matière manquante",IF(ISNA(MATCH(B867,mat_ref,0)),"Matière inconnue",IF(INDEX(mat_check,MATCH(B867,mat_ref,0))&lt;&gt;"OK","Matière à corriger",IF(OR(NOT(ISNUMBER(E867)),N(E867)&lt;=0),"Quantité invalide",IF(AND(F867&lt;&gt;"",OR(NOT(ISNUMBER(F867)),N(F867)&lt;0,N(F867)&gt;=1)),"Perte entre 0 et 99 %",IF(COUNTIFS(bom_prod,A867,bom_mat,B867)&gt;1,"Matière en double","OK")))))))))</f>
        <v/>
      </c>
      <c r="K867" s="71" t="str">
        <f>IF(AND(fiche_sel&lt;&gt;"",A867=fiche_sel),COUNTIF(A$6:A867,fiche_sel),"")</f>
        <v/>
      </c>
    </row>
    <row r="868">
      <c r="A868" s="60" t="n"/>
      <c r="B868" s="60" t="n"/>
      <c r="C868" s="71" t="str">
        <f>IF(B868="","",IFERROR(INDEX(mat_des,MATCH(B868,mat_ref,0))&amp;"","Matière inconnue"))</f>
        <v/>
      </c>
      <c r="D868" s="69" t="str">
        <f>IF(B868="","",IFERROR(INDEX(mat_unit,MATCH(B868,mat_ref,0))&amp;"",""))</f>
        <v/>
      </c>
      <c r="E868" s="72" t="n"/>
      <c r="F868" s="65" t="n"/>
      <c r="G868" s="68" t="str">
        <f>IF(J868&lt;&gt;"OK","",IF(F868="",N(INDEX(mat_loss,MATCH(B868,mat_ref,0))),F868))</f>
        <v/>
      </c>
      <c r="H868" s="66" t="str">
        <f>IF(J868&lt;&gt;"OK","",INDEX(mat_price,MATCH(B868,mat_ref,0)))</f>
        <v/>
      </c>
      <c r="I868" s="66" t="str">
        <f>IF(J868&lt;&gt;"OK","",E868*(1+G868)*H868)</f>
        <v/>
      </c>
      <c r="J868" s="69" t="str">
        <f>IF(AND(A868="",B868=""),"",IF(A868="","Produit manquant",IF(COUNTIF(prod_ref,A868)=0,"Produit inconnu",IF(B868="","Matière manquante",IF(ISNA(MATCH(B868,mat_ref,0)),"Matière inconnue",IF(INDEX(mat_check,MATCH(B868,mat_ref,0))&lt;&gt;"OK","Matière à corriger",IF(OR(NOT(ISNUMBER(E868)),N(E868)&lt;=0),"Quantité invalide",IF(AND(F868&lt;&gt;"",OR(NOT(ISNUMBER(F868)),N(F868)&lt;0,N(F868)&gt;=1)),"Perte entre 0 et 99 %",IF(COUNTIFS(bom_prod,A868,bom_mat,B868)&gt;1,"Matière en double","OK")))))))))</f>
        <v/>
      </c>
      <c r="K868" s="71" t="str">
        <f>IF(AND(fiche_sel&lt;&gt;"",A868=fiche_sel),COUNTIF(A$6:A868,fiche_sel),"")</f>
        <v/>
      </c>
    </row>
    <row r="869">
      <c r="A869" s="60" t="n"/>
      <c r="B869" s="60" t="n"/>
      <c r="C869" s="71" t="str">
        <f>IF(B869="","",IFERROR(INDEX(mat_des,MATCH(B869,mat_ref,0))&amp;"","Matière inconnue"))</f>
        <v/>
      </c>
      <c r="D869" s="69" t="str">
        <f>IF(B869="","",IFERROR(INDEX(mat_unit,MATCH(B869,mat_ref,0))&amp;"",""))</f>
        <v/>
      </c>
      <c r="E869" s="72" t="n"/>
      <c r="F869" s="65" t="n"/>
      <c r="G869" s="68" t="str">
        <f>IF(J869&lt;&gt;"OK","",IF(F869="",N(INDEX(mat_loss,MATCH(B869,mat_ref,0))),F869))</f>
        <v/>
      </c>
      <c r="H869" s="66" t="str">
        <f>IF(J869&lt;&gt;"OK","",INDEX(mat_price,MATCH(B869,mat_ref,0)))</f>
        <v/>
      </c>
      <c r="I869" s="66" t="str">
        <f>IF(J869&lt;&gt;"OK","",E869*(1+G869)*H869)</f>
        <v/>
      </c>
      <c r="J869" s="69" t="str">
        <f>IF(AND(A869="",B869=""),"",IF(A869="","Produit manquant",IF(COUNTIF(prod_ref,A869)=0,"Produit inconnu",IF(B869="","Matière manquante",IF(ISNA(MATCH(B869,mat_ref,0)),"Matière inconnue",IF(INDEX(mat_check,MATCH(B869,mat_ref,0))&lt;&gt;"OK","Matière à corriger",IF(OR(NOT(ISNUMBER(E869)),N(E869)&lt;=0),"Quantité invalide",IF(AND(F869&lt;&gt;"",OR(NOT(ISNUMBER(F869)),N(F869)&lt;0,N(F869)&gt;=1)),"Perte entre 0 et 99 %",IF(COUNTIFS(bom_prod,A869,bom_mat,B869)&gt;1,"Matière en double","OK")))))))))</f>
        <v/>
      </c>
      <c r="K869" s="71" t="str">
        <f>IF(AND(fiche_sel&lt;&gt;"",A869=fiche_sel),COUNTIF(A$6:A869,fiche_sel),"")</f>
        <v/>
      </c>
    </row>
    <row r="870">
      <c r="A870" s="60" t="n"/>
      <c r="B870" s="60" t="n"/>
      <c r="C870" s="71" t="str">
        <f>IF(B870="","",IFERROR(INDEX(mat_des,MATCH(B870,mat_ref,0))&amp;"","Matière inconnue"))</f>
        <v/>
      </c>
      <c r="D870" s="69" t="str">
        <f>IF(B870="","",IFERROR(INDEX(mat_unit,MATCH(B870,mat_ref,0))&amp;"",""))</f>
        <v/>
      </c>
      <c r="E870" s="72" t="n"/>
      <c r="F870" s="65" t="n"/>
      <c r="G870" s="68" t="str">
        <f>IF(J870&lt;&gt;"OK","",IF(F870="",N(INDEX(mat_loss,MATCH(B870,mat_ref,0))),F870))</f>
        <v/>
      </c>
      <c r="H870" s="66" t="str">
        <f>IF(J870&lt;&gt;"OK","",INDEX(mat_price,MATCH(B870,mat_ref,0)))</f>
        <v/>
      </c>
      <c r="I870" s="66" t="str">
        <f>IF(J870&lt;&gt;"OK","",E870*(1+G870)*H870)</f>
        <v/>
      </c>
      <c r="J870" s="69" t="str">
        <f>IF(AND(A870="",B870=""),"",IF(A870="","Produit manquant",IF(COUNTIF(prod_ref,A870)=0,"Produit inconnu",IF(B870="","Matière manquante",IF(ISNA(MATCH(B870,mat_ref,0)),"Matière inconnue",IF(INDEX(mat_check,MATCH(B870,mat_ref,0))&lt;&gt;"OK","Matière à corriger",IF(OR(NOT(ISNUMBER(E870)),N(E870)&lt;=0),"Quantité invalide",IF(AND(F870&lt;&gt;"",OR(NOT(ISNUMBER(F870)),N(F870)&lt;0,N(F870)&gt;=1)),"Perte entre 0 et 99 %",IF(COUNTIFS(bom_prod,A870,bom_mat,B870)&gt;1,"Matière en double","OK")))))))))</f>
        <v/>
      </c>
      <c r="K870" s="71" t="str">
        <f>IF(AND(fiche_sel&lt;&gt;"",A870=fiche_sel),COUNTIF(A$6:A870,fiche_sel),"")</f>
        <v/>
      </c>
    </row>
    <row r="871">
      <c r="A871" s="60" t="n"/>
      <c r="B871" s="60" t="n"/>
      <c r="C871" s="71" t="str">
        <f>IF(B871="","",IFERROR(INDEX(mat_des,MATCH(B871,mat_ref,0))&amp;"","Matière inconnue"))</f>
        <v/>
      </c>
      <c r="D871" s="69" t="str">
        <f>IF(B871="","",IFERROR(INDEX(mat_unit,MATCH(B871,mat_ref,0))&amp;"",""))</f>
        <v/>
      </c>
      <c r="E871" s="72" t="n"/>
      <c r="F871" s="65" t="n"/>
      <c r="G871" s="68" t="str">
        <f>IF(J871&lt;&gt;"OK","",IF(F871="",N(INDEX(mat_loss,MATCH(B871,mat_ref,0))),F871))</f>
        <v/>
      </c>
      <c r="H871" s="66" t="str">
        <f>IF(J871&lt;&gt;"OK","",INDEX(mat_price,MATCH(B871,mat_ref,0)))</f>
        <v/>
      </c>
      <c r="I871" s="66" t="str">
        <f>IF(J871&lt;&gt;"OK","",E871*(1+G871)*H871)</f>
        <v/>
      </c>
      <c r="J871" s="69" t="str">
        <f>IF(AND(A871="",B871=""),"",IF(A871="","Produit manquant",IF(COUNTIF(prod_ref,A871)=0,"Produit inconnu",IF(B871="","Matière manquante",IF(ISNA(MATCH(B871,mat_ref,0)),"Matière inconnue",IF(INDEX(mat_check,MATCH(B871,mat_ref,0))&lt;&gt;"OK","Matière à corriger",IF(OR(NOT(ISNUMBER(E871)),N(E871)&lt;=0),"Quantité invalide",IF(AND(F871&lt;&gt;"",OR(NOT(ISNUMBER(F871)),N(F871)&lt;0,N(F871)&gt;=1)),"Perte entre 0 et 99 %",IF(COUNTIFS(bom_prod,A871,bom_mat,B871)&gt;1,"Matière en double","OK")))))))))</f>
        <v/>
      </c>
      <c r="K871" s="71" t="str">
        <f>IF(AND(fiche_sel&lt;&gt;"",A871=fiche_sel),COUNTIF(A$6:A871,fiche_sel),"")</f>
        <v/>
      </c>
    </row>
    <row r="872">
      <c r="A872" s="60" t="n"/>
      <c r="B872" s="60" t="n"/>
      <c r="C872" s="71" t="str">
        <f>IF(B872="","",IFERROR(INDEX(mat_des,MATCH(B872,mat_ref,0))&amp;"","Matière inconnue"))</f>
        <v/>
      </c>
      <c r="D872" s="69" t="str">
        <f>IF(B872="","",IFERROR(INDEX(mat_unit,MATCH(B872,mat_ref,0))&amp;"",""))</f>
        <v/>
      </c>
      <c r="E872" s="72" t="n"/>
      <c r="F872" s="65" t="n"/>
      <c r="G872" s="68" t="str">
        <f>IF(J872&lt;&gt;"OK","",IF(F872="",N(INDEX(mat_loss,MATCH(B872,mat_ref,0))),F872))</f>
        <v/>
      </c>
      <c r="H872" s="66" t="str">
        <f>IF(J872&lt;&gt;"OK","",INDEX(mat_price,MATCH(B872,mat_ref,0)))</f>
        <v/>
      </c>
      <c r="I872" s="66" t="str">
        <f>IF(J872&lt;&gt;"OK","",E872*(1+G872)*H872)</f>
        <v/>
      </c>
      <c r="J872" s="69" t="str">
        <f>IF(AND(A872="",B872=""),"",IF(A872="","Produit manquant",IF(COUNTIF(prod_ref,A872)=0,"Produit inconnu",IF(B872="","Matière manquante",IF(ISNA(MATCH(B872,mat_ref,0)),"Matière inconnue",IF(INDEX(mat_check,MATCH(B872,mat_ref,0))&lt;&gt;"OK","Matière à corriger",IF(OR(NOT(ISNUMBER(E872)),N(E872)&lt;=0),"Quantité invalide",IF(AND(F872&lt;&gt;"",OR(NOT(ISNUMBER(F872)),N(F872)&lt;0,N(F872)&gt;=1)),"Perte entre 0 et 99 %",IF(COUNTIFS(bom_prod,A872,bom_mat,B872)&gt;1,"Matière en double","OK")))))))))</f>
        <v/>
      </c>
      <c r="K872" s="71" t="str">
        <f>IF(AND(fiche_sel&lt;&gt;"",A872=fiche_sel),COUNTIF(A$6:A872,fiche_sel),"")</f>
        <v/>
      </c>
    </row>
    <row r="873">
      <c r="A873" s="60" t="n"/>
      <c r="B873" s="60" t="n"/>
      <c r="C873" s="71" t="str">
        <f>IF(B873="","",IFERROR(INDEX(mat_des,MATCH(B873,mat_ref,0))&amp;"","Matière inconnue"))</f>
        <v/>
      </c>
      <c r="D873" s="69" t="str">
        <f>IF(B873="","",IFERROR(INDEX(mat_unit,MATCH(B873,mat_ref,0))&amp;"",""))</f>
        <v/>
      </c>
      <c r="E873" s="72" t="n"/>
      <c r="F873" s="65" t="n"/>
      <c r="G873" s="68" t="str">
        <f>IF(J873&lt;&gt;"OK","",IF(F873="",N(INDEX(mat_loss,MATCH(B873,mat_ref,0))),F873))</f>
        <v/>
      </c>
      <c r="H873" s="66" t="str">
        <f>IF(J873&lt;&gt;"OK","",INDEX(mat_price,MATCH(B873,mat_ref,0)))</f>
        <v/>
      </c>
      <c r="I873" s="66" t="str">
        <f>IF(J873&lt;&gt;"OK","",E873*(1+G873)*H873)</f>
        <v/>
      </c>
      <c r="J873" s="69" t="str">
        <f>IF(AND(A873="",B873=""),"",IF(A873="","Produit manquant",IF(COUNTIF(prod_ref,A873)=0,"Produit inconnu",IF(B873="","Matière manquante",IF(ISNA(MATCH(B873,mat_ref,0)),"Matière inconnue",IF(INDEX(mat_check,MATCH(B873,mat_ref,0))&lt;&gt;"OK","Matière à corriger",IF(OR(NOT(ISNUMBER(E873)),N(E873)&lt;=0),"Quantité invalide",IF(AND(F873&lt;&gt;"",OR(NOT(ISNUMBER(F873)),N(F873)&lt;0,N(F873)&gt;=1)),"Perte entre 0 et 99 %",IF(COUNTIFS(bom_prod,A873,bom_mat,B873)&gt;1,"Matière en double","OK")))))))))</f>
        <v/>
      </c>
      <c r="K873" s="71" t="str">
        <f>IF(AND(fiche_sel&lt;&gt;"",A873=fiche_sel),COUNTIF(A$6:A873,fiche_sel),"")</f>
        <v/>
      </c>
    </row>
    <row r="874">
      <c r="A874" s="60" t="n"/>
      <c r="B874" s="60" t="n"/>
      <c r="C874" s="71" t="str">
        <f>IF(B874="","",IFERROR(INDEX(mat_des,MATCH(B874,mat_ref,0))&amp;"","Matière inconnue"))</f>
        <v/>
      </c>
      <c r="D874" s="69" t="str">
        <f>IF(B874="","",IFERROR(INDEX(mat_unit,MATCH(B874,mat_ref,0))&amp;"",""))</f>
        <v/>
      </c>
      <c r="E874" s="72" t="n"/>
      <c r="F874" s="65" t="n"/>
      <c r="G874" s="68" t="str">
        <f>IF(J874&lt;&gt;"OK","",IF(F874="",N(INDEX(mat_loss,MATCH(B874,mat_ref,0))),F874))</f>
        <v/>
      </c>
      <c r="H874" s="66" t="str">
        <f>IF(J874&lt;&gt;"OK","",INDEX(mat_price,MATCH(B874,mat_ref,0)))</f>
        <v/>
      </c>
      <c r="I874" s="66" t="str">
        <f>IF(J874&lt;&gt;"OK","",E874*(1+G874)*H874)</f>
        <v/>
      </c>
      <c r="J874" s="69" t="str">
        <f>IF(AND(A874="",B874=""),"",IF(A874="","Produit manquant",IF(COUNTIF(prod_ref,A874)=0,"Produit inconnu",IF(B874="","Matière manquante",IF(ISNA(MATCH(B874,mat_ref,0)),"Matière inconnue",IF(INDEX(mat_check,MATCH(B874,mat_ref,0))&lt;&gt;"OK","Matière à corriger",IF(OR(NOT(ISNUMBER(E874)),N(E874)&lt;=0),"Quantité invalide",IF(AND(F874&lt;&gt;"",OR(NOT(ISNUMBER(F874)),N(F874)&lt;0,N(F874)&gt;=1)),"Perte entre 0 et 99 %",IF(COUNTIFS(bom_prod,A874,bom_mat,B874)&gt;1,"Matière en double","OK")))))))))</f>
        <v/>
      </c>
      <c r="K874" s="71" t="str">
        <f>IF(AND(fiche_sel&lt;&gt;"",A874=fiche_sel),COUNTIF(A$6:A874,fiche_sel),"")</f>
        <v/>
      </c>
    </row>
    <row r="875">
      <c r="A875" s="60" t="n"/>
      <c r="B875" s="60" t="n"/>
      <c r="C875" s="71" t="str">
        <f>IF(B875="","",IFERROR(INDEX(mat_des,MATCH(B875,mat_ref,0))&amp;"","Matière inconnue"))</f>
        <v/>
      </c>
      <c r="D875" s="69" t="str">
        <f>IF(B875="","",IFERROR(INDEX(mat_unit,MATCH(B875,mat_ref,0))&amp;"",""))</f>
        <v/>
      </c>
      <c r="E875" s="72" t="n"/>
      <c r="F875" s="65" t="n"/>
      <c r="G875" s="68" t="str">
        <f>IF(J875&lt;&gt;"OK","",IF(F875="",N(INDEX(mat_loss,MATCH(B875,mat_ref,0))),F875))</f>
        <v/>
      </c>
      <c r="H875" s="66" t="str">
        <f>IF(J875&lt;&gt;"OK","",INDEX(mat_price,MATCH(B875,mat_ref,0)))</f>
        <v/>
      </c>
      <c r="I875" s="66" t="str">
        <f>IF(J875&lt;&gt;"OK","",E875*(1+G875)*H875)</f>
        <v/>
      </c>
      <c r="J875" s="69" t="str">
        <f>IF(AND(A875="",B875=""),"",IF(A875="","Produit manquant",IF(COUNTIF(prod_ref,A875)=0,"Produit inconnu",IF(B875="","Matière manquante",IF(ISNA(MATCH(B875,mat_ref,0)),"Matière inconnue",IF(INDEX(mat_check,MATCH(B875,mat_ref,0))&lt;&gt;"OK","Matière à corriger",IF(OR(NOT(ISNUMBER(E875)),N(E875)&lt;=0),"Quantité invalide",IF(AND(F875&lt;&gt;"",OR(NOT(ISNUMBER(F875)),N(F875)&lt;0,N(F875)&gt;=1)),"Perte entre 0 et 99 %",IF(COUNTIFS(bom_prod,A875,bom_mat,B875)&gt;1,"Matière en double","OK")))))))))</f>
        <v/>
      </c>
      <c r="K875" s="71" t="str">
        <f>IF(AND(fiche_sel&lt;&gt;"",A875=fiche_sel),COUNTIF(A$6:A875,fiche_sel),"")</f>
        <v/>
      </c>
    </row>
    <row r="876">
      <c r="A876" s="60" t="n"/>
      <c r="B876" s="60" t="n"/>
      <c r="C876" s="71" t="str">
        <f>IF(B876="","",IFERROR(INDEX(mat_des,MATCH(B876,mat_ref,0))&amp;"","Matière inconnue"))</f>
        <v/>
      </c>
      <c r="D876" s="69" t="str">
        <f>IF(B876="","",IFERROR(INDEX(mat_unit,MATCH(B876,mat_ref,0))&amp;"",""))</f>
        <v/>
      </c>
      <c r="E876" s="72" t="n"/>
      <c r="F876" s="65" t="n"/>
      <c r="G876" s="68" t="str">
        <f>IF(J876&lt;&gt;"OK","",IF(F876="",N(INDEX(mat_loss,MATCH(B876,mat_ref,0))),F876))</f>
        <v/>
      </c>
      <c r="H876" s="66" t="str">
        <f>IF(J876&lt;&gt;"OK","",INDEX(mat_price,MATCH(B876,mat_ref,0)))</f>
        <v/>
      </c>
      <c r="I876" s="66" t="str">
        <f>IF(J876&lt;&gt;"OK","",E876*(1+G876)*H876)</f>
        <v/>
      </c>
      <c r="J876" s="69" t="str">
        <f>IF(AND(A876="",B876=""),"",IF(A876="","Produit manquant",IF(COUNTIF(prod_ref,A876)=0,"Produit inconnu",IF(B876="","Matière manquante",IF(ISNA(MATCH(B876,mat_ref,0)),"Matière inconnue",IF(INDEX(mat_check,MATCH(B876,mat_ref,0))&lt;&gt;"OK","Matière à corriger",IF(OR(NOT(ISNUMBER(E876)),N(E876)&lt;=0),"Quantité invalide",IF(AND(F876&lt;&gt;"",OR(NOT(ISNUMBER(F876)),N(F876)&lt;0,N(F876)&gt;=1)),"Perte entre 0 et 99 %",IF(COUNTIFS(bom_prod,A876,bom_mat,B876)&gt;1,"Matière en double","OK")))))))))</f>
        <v/>
      </c>
      <c r="K876" s="71" t="str">
        <f>IF(AND(fiche_sel&lt;&gt;"",A876=fiche_sel),COUNTIF(A$6:A876,fiche_sel),"")</f>
        <v/>
      </c>
    </row>
    <row r="877">
      <c r="A877" s="60" t="n"/>
      <c r="B877" s="60" t="n"/>
      <c r="C877" s="71" t="str">
        <f>IF(B877="","",IFERROR(INDEX(mat_des,MATCH(B877,mat_ref,0))&amp;"","Matière inconnue"))</f>
        <v/>
      </c>
      <c r="D877" s="69" t="str">
        <f>IF(B877="","",IFERROR(INDEX(mat_unit,MATCH(B877,mat_ref,0))&amp;"",""))</f>
        <v/>
      </c>
      <c r="E877" s="72" t="n"/>
      <c r="F877" s="65" t="n"/>
      <c r="G877" s="68" t="str">
        <f>IF(J877&lt;&gt;"OK","",IF(F877="",N(INDEX(mat_loss,MATCH(B877,mat_ref,0))),F877))</f>
        <v/>
      </c>
      <c r="H877" s="66" t="str">
        <f>IF(J877&lt;&gt;"OK","",INDEX(mat_price,MATCH(B877,mat_ref,0)))</f>
        <v/>
      </c>
      <c r="I877" s="66" t="str">
        <f>IF(J877&lt;&gt;"OK","",E877*(1+G877)*H877)</f>
        <v/>
      </c>
      <c r="J877" s="69" t="str">
        <f>IF(AND(A877="",B877=""),"",IF(A877="","Produit manquant",IF(COUNTIF(prod_ref,A877)=0,"Produit inconnu",IF(B877="","Matière manquante",IF(ISNA(MATCH(B877,mat_ref,0)),"Matière inconnue",IF(INDEX(mat_check,MATCH(B877,mat_ref,0))&lt;&gt;"OK","Matière à corriger",IF(OR(NOT(ISNUMBER(E877)),N(E877)&lt;=0),"Quantité invalide",IF(AND(F877&lt;&gt;"",OR(NOT(ISNUMBER(F877)),N(F877)&lt;0,N(F877)&gt;=1)),"Perte entre 0 et 99 %",IF(COUNTIFS(bom_prod,A877,bom_mat,B877)&gt;1,"Matière en double","OK")))))))))</f>
        <v/>
      </c>
      <c r="K877" s="71" t="str">
        <f>IF(AND(fiche_sel&lt;&gt;"",A877=fiche_sel),COUNTIF(A$6:A877,fiche_sel),"")</f>
        <v/>
      </c>
    </row>
    <row r="878">
      <c r="A878" s="60" t="n"/>
      <c r="B878" s="60" t="n"/>
      <c r="C878" s="71" t="str">
        <f>IF(B878="","",IFERROR(INDEX(mat_des,MATCH(B878,mat_ref,0))&amp;"","Matière inconnue"))</f>
        <v/>
      </c>
      <c r="D878" s="69" t="str">
        <f>IF(B878="","",IFERROR(INDEX(mat_unit,MATCH(B878,mat_ref,0))&amp;"",""))</f>
        <v/>
      </c>
      <c r="E878" s="72" t="n"/>
      <c r="F878" s="65" t="n"/>
      <c r="G878" s="68" t="str">
        <f>IF(J878&lt;&gt;"OK","",IF(F878="",N(INDEX(mat_loss,MATCH(B878,mat_ref,0))),F878))</f>
        <v/>
      </c>
      <c r="H878" s="66" t="str">
        <f>IF(J878&lt;&gt;"OK","",INDEX(mat_price,MATCH(B878,mat_ref,0)))</f>
        <v/>
      </c>
      <c r="I878" s="66" t="str">
        <f>IF(J878&lt;&gt;"OK","",E878*(1+G878)*H878)</f>
        <v/>
      </c>
      <c r="J878" s="69" t="str">
        <f>IF(AND(A878="",B878=""),"",IF(A878="","Produit manquant",IF(COUNTIF(prod_ref,A878)=0,"Produit inconnu",IF(B878="","Matière manquante",IF(ISNA(MATCH(B878,mat_ref,0)),"Matière inconnue",IF(INDEX(mat_check,MATCH(B878,mat_ref,0))&lt;&gt;"OK","Matière à corriger",IF(OR(NOT(ISNUMBER(E878)),N(E878)&lt;=0),"Quantité invalide",IF(AND(F878&lt;&gt;"",OR(NOT(ISNUMBER(F878)),N(F878)&lt;0,N(F878)&gt;=1)),"Perte entre 0 et 99 %",IF(COUNTIFS(bom_prod,A878,bom_mat,B878)&gt;1,"Matière en double","OK")))))))))</f>
        <v/>
      </c>
      <c r="K878" s="71" t="str">
        <f>IF(AND(fiche_sel&lt;&gt;"",A878=fiche_sel),COUNTIF(A$6:A878,fiche_sel),"")</f>
        <v/>
      </c>
    </row>
    <row r="879">
      <c r="A879" s="60" t="n"/>
      <c r="B879" s="60" t="n"/>
      <c r="C879" s="71" t="str">
        <f>IF(B879="","",IFERROR(INDEX(mat_des,MATCH(B879,mat_ref,0))&amp;"","Matière inconnue"))</f>
        <v/>
      </c>
      <c r="D879" s="69" t="str">
        <f>IF(B879="","",IFERROR(INDEX(mat_unit,MATCH(B879,mat_ref,0))&amp;"",""))</f>
        <v/>
      </c>
      <c r="E879" s="72" t="n"/>
      <c r="F879" s="65" t="n"/>
      <c r="G879" s="68" t="str">
        <f>IF(J879&lt;&gt;"OK","",IF(F879="",N(INDEX(mat_loss,MATCH(B879,mat_ref,0))),F879))</f>
        <v/>
      </c>
      <c r="H879" s="66" t="str">
        <f>IF(J879&lt;&gt;"OK","",INDEX(mat_price,MATCH(B879,mat_ref,0)))</f>
        <v/>
      </c>
      <c r="I879" s="66" t="str">
        <f>IF(J879&lt;&gt;"OK","",E879*(1+G879)*H879)</f>
        <v/>
      </c>
      <c r="J879" s="69" t="str">
        <f>IF(AND(A879="",B879=""),"",IF(A879="","Produit manquant",IF(COUNTIF(prod_ref,A879)=0,"Produit inconnu",IF(B879="","Matière manquante",IF(ISNA(MATCH(B879,mat_ref,0)),"Matière inconnue",IF(INDEX(mat_check,MATCH(B879,mat_ref,0))&lt;&gt;"OK","Matière à corriger",IF(OR(NOT(ISNUMBER(E879)),N(E879)&lt;=0),"Quantité invalide",IF(AND(F879&lt;&gt;"",OR(NOT(ISNUMBER(F879)),N(F879)&lt;0,N(F879)&gt;=1)),"Perte entre 0 et 99 %",IF(COUNTIFS(bom_prod,A879,bom_mat,B879)&gt;1,"Matière en double","OK")))))))))</f>
        <v/>
      </c>
      <c r="K879" s="71" t="str">
        <f>IF(AND(fiche_sel&lt;&gt;"",A879=fiche_sel),COUNTIF(A$6:A879,fiche_sel),"")</f>
        <v/>
      </c>
    </row>
    <row r="880">
      <c r="A880" s="60" t="n"/>
      <c r="B880" s="60" t="n"/>
      <c r="C880" s="71" t="str">
        <f>IF(B880="","",IFERROR(INDEX(mat_des,MATCH(B880,mat_ref,0))&amp;"","Matière inconnue"))</f>
        <v/>
      </c>
      <c r="D880" s="69" t="str">
        <f>IF(B880="","",IFERROR(INDEX(mat_unit,MATCH(B880,mat_ref,0))&amp;"",""))</f>
        <v/>
      </c>
      <c r="E880" s="72" t="n"/>
      <c r="F880" s="65" t="n"/>
      <c r="G880" s="68" t="str">
        <f>IF(J880&lt;&gt;"OK","",IF(F880="",N(INDEX(mat_loss,MATCH(B880,mat_ref,0))),F880))</f>
        <v/>
      </c>
      <c r="H880" s="66" t="str">
        <f>IF(J880&lt;&gt;"OK","",INDEX(mat_price,MATCH(B880,mat_ref,0)))</f>
        <v/>
      </c>
      <c r="I880" s="66" t="str">
        <f>IF(J880&lt;&gt;"OK","",E880*(1+G880)*H880)</f>
        <v/>
      </c>
      <c r="J880" s="69" t="str">
        <f>IF(AND(A880="",B880=""),"",IF(A880="","Produit manquant",IF(COUNTIF(prod_ref,A880)=0,"Produit inconnu",IF(B880="","Matière manquante",IF(ISNA(MATCH(B880,mat_ref,0)),"Matière inconnue",IF(INDEX(mat_check,MATCH(B880,mat_ref,0))&lt;&gt;"OK","Matière à corriger",IF(OR(NOT(ISNUMBER(E880)),N(E880)&lt;=0),"Quantité invalide",IF(AND(F880&lt;&gt;"",OR(NOT(ISNUMBER(F880)),N(F880)&lt;0,N(F880)&gt;=1)),"Perte entre 0 et 99 %",IF(COUNTIFS(bom_prod,A880,bom_mat,B880)&gt;1,"Matière en double","OK")))))))))</f>
        <v/>
      </c>
      <c r="K880" s="71" t="str">
        <f>IF(AND(fiche_sel&lt;&gt;"",A880=fiche_sel),COUNTIF(A$6:A880,fiche_sel),"")</f>
        <v/>
      </c>
    </row>
    <row r="881">
      <c r="A881" s="60" t="n"/>
      <c r="B881" s="60" t="n"/>
      <c r="C881" s="71" t="str">
        <f>IF(B881="","",IFERROR(INDEX(mat_des,MATCH(B881,mat_ref,0))&amp;"","Matière inconnue"))</f>
        <v/>
      </c>
      <c r="D881" s="69" t="str">
        <f>IF(B881="","",IFERROR(INDEX(mat_unit,MATCH(B881,mat_ref,0))&amp;"",""))</f>
        <v/>
      </c>
      <c r="E881" s="72" t="n"/>
      <c r="F881" s="65" t="n"/>
      <c r="G881" s="68" t="str">
        <f>IF(J881&lt;&gt;"OK","",IF(F881="",N(INDEX(mat_loss,MATCH(B881,mat_ref,0))),F881))</f>
        <v/>
      </c>
      <c r="H881" s="66" t="str">
        <f>IF(J881&lt;&gt;"OK","",INDEX(mat_price,MATCH(B881,mat_ref,0)))</f>
        <v/>
      </c>
      <c r="I881" s="66" t="str">
        <f>IF(J881&lt;&gt;"OK","",E881*(1+G881)*H881)</f>
        <v/>
      </c>
      <c r="J881" s="69" t="str">
        <f>IF(AND(A881="",B881=""),"",IF(A881="","Produit manquant",IF(COUNTIF(prod_ref,A881)=0,"Produit inconnu",IF(B881="","Matière manquante",IF(ISNA(MATCH(B881,mat_ref,0)),"Matière inconnue",IF(INDEX(mat_check,MATCH(B881,mat_ref,0))&lt;&gt;"OK","Matière à corriger",IF(OR(NOT(ISNUMBER(E881)),N(E881)&lt;=0),"Quantité invalide",IF(AND(F881&lt;&gt;"",OR(NOT(ISNUMBER(F881)),N(F881)&lt;0,N(F881)&gt;=1)),"Perte entre 0 et 99 %",IF(COUNTIFS(bom_prod,A881,bom_mat,B881)&gt;1,"Matière en double","OK")))))))))</f>
        <v/>
      </c>
      <c r="K881" s="71" t="str">
        <f>IF(AND(fiche_sel&lt;&gt;"",A881=fiche_sel),COUNTIF(A$6:A881,fiche_sel),"")</f>
        <v/>
      </c>
    </row>
    <row r="882">
      <c r="A882" s="60" t="n"/>
      <c r="B882" s="60" t="n"/>
      <c r="C882" s="71" t="str">
        <f>IF(B882="","",IFERROR(INDEX(mat_des,MATCH(B882,mat_ref,0))&amp;"","Matière inconnue"))</f>
        <v/>
      </c>
      <c r="D882" s="69" t="str">
        <f>IF(B882="","",IFERROR(INDEX(mat_unit,MATCH(B882,mat_ref,0))&amp;"",""))</f>
        <v/>
      </c>
      <c r="E882" s="72" t="n"/>
      <c r="F882" s="65" t="n"/>
      <c r="G882" s="68" t="str">
        <f>IF(J882&lt;&gt;"OK","",IF(F882="",N(INDEX(mat_loss,MATCH(B882,mat_ref,0))),F882))</f>
        <v/>
      </c>
      <c r="H882" s="66" t="str">
        <f>IF(J882&lt;&gt;"OK","",INDEX(mat_price,MATCH(B882,mat_ref,0)))</f>
        <v/>
      </c>
      <c r="I882" s="66" t="str">
        <f>IF(J882&lt;&gt;"OK","",E882*(1+G882)*H882)</f>
        <v/>
      </c>
      <c r="J882" s="69" t="str">
        <f>IF(AND(A882="",B882=""),"",IF(A882="","Produit manquant",IF(COUNTIF(prod_ref,A882)=0,"Produit inconnu",IF(B882="","Matière manquante",IF(ISNA(MATCH(B882,mat_ref,0)),"Matière inconnue",IF(INDEX(mat_check,MATCH(B882,mat_ref,0))&lt;&gt;"OK","Matière à corriger",IF(OR(NOT(ISNUMBER(E882)),N(E882)&lt;=0),"Quantité invalide",IF(AND(F882&lt;&gt;"",OR(NOT(ISNUMBER(F882)),N(F882)&lt;0,N(F882)&gt;=1)),"Perte entre 0 et 99 %",IF(COUNTIFS(bom_prod,A882,bom_mat,B882)&gt;1,"Matière en double","OK")))))))))</f>
        <v/>
      </c>
      <c r="K882" s="71" t="str">
        <f>IF(AND(fiche_sel&lt;&gt;"",A882=fiche_sel),COUNTIF(A$6:A882,fiche_sel),"")</f>
        <v/>
      </c>
    </row>
    <row r="883">
      <c r="A883" s="60" t="n"/>
      <c r="B883" s="60" t="n"/>
      <c r="C883" s="71" t="str">
        <f>IF(B883="","",IFERROR(INDEX(mat_des,MATCH(B883,mat_ref,0))&amp;"","Matière inconnue"))</f>
        <v/>
      </c>
      <c r="D883" s="69" t="str">
        <f>IF(B883="","",IFERROR(INDEX(mat_unit,MATCH(B883,mat_ref,0))&amp;"",""))</f>
        <v/>
      </c>
      <c r="E883" s="72" t="n"/>
      <c r="F883" s="65" t="n"/>
      <c r="G883" s="68" t="str">
        <f>IF(J883&lt;&gt;"OK","",IF(F883="",N(INDEX(mat_loss,MATCH(B883,mat_ref,0))),F883))</f>
        <v/>
      </c>
      <c r="H883" s="66" t="str">
        <f>IF(J883&lt;&gt;"OK","",INDEX(mat_price,MATCH(B883,mat_ref,0)))</f>
        <v/>
      </c>
      <c r="I883" s="66" t="str">
        <f>IF(J883&lt;&gt;"OK","",E883*(1+G883)*H883)</f>
        <v/>
      </c>
      <c r="J883" s="69" t="str">
        <f>IF(AND(A883="",B883=""),"",IF(A883="","Produit manquant",IF(COUNTIF(prod_ref,A883)=0,"Produit inconnu",IF(B883="","Matière manquante",IF(ISNA(MATCH(B883,mat_ref,0)),"Matière inconnue",IF(INDEX(mat_check,MATCH(B883,mat_ref,0))&lt;&gt;"OK","Matière à corriger",IF(OR(NOT(ISNUMBER(E883)),N(E883)&lt;=0),"Quantité invalide",IF(AND(F883&lt;&gt;"",OR(NOT(ISNUMBER(F883)),N(F883)&lt;0,N(F883)&gt;=1)),"Perte entre 0 et 99 %",IF(COUNTIFS(bom_prod,A883,bom_mat,B883)&gt;1,"Matière en double","OK")))))))))</f>
        <v/>
      </c>
      <c r="K883" s="71" t="str">
        <f>IF(AND(fiche_sel&lt;&gt;"",A883=fiche_sel),COUNTIF(A$6:A883,fiche_sel),"")</f>
        <v/>
      </c>
    </row>
    <row r="884">
      <c r="A884" s="60" t="n"/>
      <c r="B884" s="60" t="n"/>
      <c r="C884" s="71" t="str">
        <f>IF(B884="","",IFERROR(INDEX(mat_des,MATCH(B884,mat_ref,0))&amp;"","Matière inconnue"))</f>
        <v/>
      </c>
      <c r="D884" s="69" t="str">
        <f>IF(B884="","",IFERROR(INDEX(mat_unit,MATCH(B884,mat_ref,0))&amp;"",""))</f>
        <v/>
      </c>
      <c r="E884" s="72" t="n"/>
      <c r="F884" s="65" t="n"/>
      <c r="G884" s="68" t="str">
        <f>IF(J884&lt;&gt;"OK","",IF(F884="",N(INDEX(mat_loss,MATCH(B884,mat_ref,0))),F884))</f>
        <v/>
      </c>
      <c r="H884" s="66" t="str">
        <f>IF(J884&lt;&gt;"OK","",INDEX(mat_price,MATCH(B884,mat_ref,0)))</f>
        <v/>
      </c>
      <c r="I884" s="66" t="str">
        <f>IF(J884&lt;&gt;"OK","",E884*(1+G884)*H884)</f>
        <v/>
      </c>
      <c r="J884" s="69" t="str">
        <f>IF(AND(A884="",B884=""),"",IF(A884="","Produit manquant",IF(COUNTIF(prod_ref,A884)=0,"Produit inconnu",IF(B884="","Matière manquante",IF(ISNA(MATCH(B884,mat_ref,0)),"Matière inconnue",IF(INDEX(mat_check,MATCH(B884,mat_ref,0))&lt;&gt;"OK","Matière à corriger",IF(OR(NOT(ISNUMBER(E884)),N(E884)&lt;=0),"Quantité invalide",IF(AND(F884&lt;&gt;"",OR(NOT(ISNUMBER(F884)),N(F884)&lt;0,N(F884)&gt;=1)),"Perte entre 0 et 99 %",IF(COUNTIFS(bom_prod,A884,bom_mat,B884)&gt;1,"Matière en double","OK")))))))))</f>
        <v/>
      </c>
      <c r="K884" s="71" t="str">
        <f>IF(AND(fiche_sel&lt;&gt;"",A884=fiche_sel),COUNTIF(A$6:A884,fiche_sel),"")</f>
        <v/>
      </c>
    </row>
    <row r="885">
      <c r="A885" s="60" t="n"/>
      <c r="B885" s="60" t="n"/>
      <c r="C885" s="71" t="str">
        <f>IF(B885="","",IFERROR(INDEX(mat_des,MATCH(B885,mat_ref,0))&amp;"","Matière inconnue"))</f>
        <v/>
      </c>
      <c r="D885" s="69" t="str">
        <f>IF(B885="","",IFERROR(INDEX(mat_unit,MATCH(B885,mat_ref,0))&amp;"",""))</f>
        <v/>
      </c>
      <c r="E885" s="72" t="n"/>
      <c r="F885" s="65" t="n"/>
      <c r="G885" s="68" t="str">
        <f>IF(J885&lt;&gt;"OK","",IF(F885="",N(INDEX(mat_loss,MATCH(B885,mat_ref,0))),F885))</f>
        <v/>
      </c>
      <c r="H885" s="66" t="str">
        <f>IF(J885&lt;&gt;"OK","",INDEX(mat_price,MATCH(B885,mat_ref,0)))</f>
        <v/>
      </c>
      <c r="I885" s="66" t="str">
        <f>IF(J885&lt;&gt;"OK","",E885*(1+G885)*H885)</f>
        <v/>
      </c>
      <c r="J885" s="69" t="str">
        <f>IF(AND(A885="",B885=""),"",IF(A885="","Produit manquant",IF(COUNTIF(prod_ref,A885)=0,"Produit inconnu",IF(B885="","Matière manquante",IF(ISNA(MATCH(B885,mat_ref,0)),"Matière inconnue",IF(INDEX(mat_check,MATCH(B885,mat_ref,0))&lt;&gt;"OK","Matière à corriger",IF(OR(NOT(ISNUMBER(E885)),N(E885)&lt;=0),"Quantité invalide",IF(AND(F885&lt;&gt;"",OR(NOT(ISNUMBER(F885)),N(F885)&lt;0,N(F885)&gt;=1)),"Perte entre 0 et 99 %",IF(COUNTIFS(bom_prod,A885,bom_mat,B885)&gt;1,"Matière en double","OK")))))))))</f>
        <v/>
      </c>
      <c r="K885" s="71" t="str">
        <f>IF(AND(fiche_sel&lt;&gt;"",A885=fiche_sel),COUNTIF(A$6:A885,fiche_sel),"")</f>
        <v/>
      </c>
    </row>
    <row r="886">
      <c r="A886" s="60" t="n"/>
      <c r="B886" s="60" t="n"/>
      <c r="C886" s="71" t="str">
        <f>IF(B886="","",IFERROR(INDEX(mat_des,MATCH(B886,mat_ref,0))&amp;"","Matière inconnue"))</f>
        <v/>
      </c>
      <c r="D886" s="69" t="str">
        <f>IF(B886="","",IFERROR(INDEX(mat_unit,MATCH(B886,mat_ref,0))&amp;"",""))</f>
        <v/>
      </c>
      <c r="E886" s="72" t="n"/>
      <c r="F886" s="65" t="n"/>
      <c r="G886" s="68" t="str">
        <f>IF(J886&lt;&gt;"OK","",IF(F886="",N(INDEX(mat_loss,MATCH(B886,mat_ref,0))),F886))</f>
        <v/>
      </c>
      <c r="H886" s="66" t="str">
        <f>IF(J886&lt;&gt;"OK","",INDEX(mat_price,MATCH(B886,mat_ref,0)))</f>
        <v/>
      </c>
      <c r="I886" s="66" t="str">
        <f>IF(J886&lt;&gt;"OK","",E886*(1+G886)*H886)</f>
        <v/>
      </c>
      <c r="J886" s="69" t="str">
        <f>IF(AND(A886="",B886=""),"",IF(A886="","Produit manquant",IF(COUNTIF(prod_ref,A886)=0,"Produit inconnu",IF(B886="","Matière manquante",IF(ISNA(MATCH(B886,mat_ref,0)),"Matière inconnue",IF(INDEX(mat_check,MATCH(B886,mat_ref,0))&lt;&gt;"OK","Matière à corriger",IF(OR(NOT(ISNUMBER(E886)),N(E886)&lt;=0),"Quantité invalide",IF(AND(F886&lt;&gt;"",OR(NOT(ISNUMBER(F886)),N(F886)&lt;0,N(F886)&gt;=1)),"Perte entre 0 et 99 %",IF(COUNTIFS(bom_prod,A886,bom_mat,B886)&gt;1,"Matière en double","OK")))))))))</f>
        <v/>
      </c>
      <c r="K886" s="71" t="str">
        <f>IF(AND(fiche_sel&lt;&gt;"",A886=fiche_sel),COUNTIF(A$6:A886,fiche_sel),"")</f>
        <v/>
      </c>
    </row>
    <row r="887">
      <c r="A887" s="60" t="n"/>
      <c r="B887" s="60" t="n"/>
      <c r="C887" s="71" t="str">
        <f>IF(B887="","",IFERROR(INDEX(mat_des,MATCH(B887,mat_ref,0))&amp;"","Matière inconnue"))</f>
        <v/>
      </c>
      <c r="D887" s="69" t="str">
        <f>IF(B887="","",IFERROR(INDEX(mat_unit,MATCH(B887,mat_ref,0))&amp;"",""))</f>
        <v/>
      </c>
      <c r="E887" s="72" t="n"/>
      <c r="F887" s="65" t="n"/>
      <c r="G887" s="68" t="str">
        <f>IF(J887&lt;&gt;"OK","",IF(F887="",N(INDEX(mat_loss,MATCH(B887,mat_ref,0))),F887))</f>
        <v/>
      </c>
      <c r="H887" s="66" t="str">
        <f>IF(J887&lt;&gt;"OK","",INDEX(mat_price,MATCH(B887,mat_ref,0)))</f>
        <v/>
      </c>
      <c r="I887" s="66" t="str">
        <f>IF(J887&lt;&gt;"OK","",E887*(1+G887)*H887)</f>
        <v/>
      </c>
      <c r="J887" s="69" t="str">
        <f>IF(AND(A887="",B887=""),"",IF(A887="","Produit manquant",IF(COUNTIF(prod_ref,A887)=0,"Produit inconnu",IF(B887="","Matière manquante",IF(ISNA(MATCH(B887,mat_ref,0)),"Matière inconnue",IF(INDEX(mat_check,MATCH(B887,mat_ref,0))&lt;&gt;"OK","Matière à corriger",IF(OR(NOT(ISNUMBER(E887)),N(E887)&lt;=0),"Quantité invalide",IF(AND(F887&lt;&gt;"",OR(NOT(ISNUMBER(F887)),N(F887)&lt;0,N(F887)&gt;=1)),"Perte entre 0 et 99 %",IF(COUNTIFS(bom_prod,A887,bom_mat,B887)&gt;1,"Matière en double","OK")))))))))</f>
        <v/>
      </c>
      <c r="K887" s="71" t="str">
        <f>IF(AND(fiche_sel&lt;&gt;"",A887=fiche_sel),COUNTIF(A$6:A887,fiche_sel),"")</f>
        <v/>
      </c>
    </row>
    <row r="888">
      <c r="A888" s="60" t="n"/>
      <c r="B888" s="60" t="n"/>
      <c r="C888" s="71" t="str">
        <f>IF(B888="","",IFERROR(INDEX(mat_des,MATCH(B888,mat_ref,0))&amp;"","Matière inconnue"))</f>
        <v/>
      </c>
      <c r="D888" s="69" t="str">
        <f>IF(B888="","",IFERROR(INDEX(mat_unit,MATCH(B888,mat_ref,0))&amp;"",""))</f>
        <v/>
      </c>
      <c r="E888" s="72" t="n"/>
      <c r="F888" s="65" t="n"/>
      <c r="G888" s="68" t="str">
        <f>IF(J888&lt;&gt;"OK","",IF(F888="",N(INDEX(mat_loss,MATCH(B888,mat_ref,0))),F888))</f>
        <v/>
      </c>
      <c r="H888" s="66" t="str">
        <f>IF(J888&lt;&gt;"OK","",INDEX(mat_price,MATCH(B888,mat_ref,0)))</f>
        <v/>
      </c>
      <c r="I888" s="66" t="str">
        <f>IF(J888&lt;&gt;"OK","",E888*(1+G888)*H888)</f>
        <v/>
      </c>
      <c r="J888" s="69" t="str">
        <f>IF(AND(A888="",B888=""),"",IF(A888="","Produit manquant",IF(COUNTIF(prod_ref,A888)=0,"Produit inconnu",IF(B888="","Matière manquante",IF(ISNA(MATCH(B888,mat_ref,0)),"Matière inconnue",IF(INDEX(mat_check,MATCH(B888,mat_ref,0))&lt;&gt;"OK","Matière à corriger",IF(OR(NOT(ISNUMBER(E888)),N(E888)&lt;=0),"Quantité invalide",IF(AND(F888&lt;&gt;"",OR(NOT(ISNUMBER(F888)),N(F888)&lt;0,N(F888)&gt;=1)),"Perte entre 0 et 99 %",IF(COUNTIFS(bom_prod,A888,bom_mat,B888)&gt;1,"Matière en double","OK")))))))))</f>
        <v/>
      </c>
      <c r="K888" s="71" t="str">
        <f>IF(AND(fiche_sel&lt;&gt;"",A888=fiche_sel),COUNTIF(A$6:A888,fiche_sel),"")</f>
        <v/>
      </c>
    </row>
    <row r="889">
      <c r="A889" s="60" t="n"/>
      <c r="B889" s="60" t="n"/>
      <c r="C889" s="71" t="str">
        <f>IF(B889="","",IFERROR(INDEX(mat_des,MATCH(B889,mat_ref,0))&amp;"","Matière inconnue"))</f>
        <v/>
      </c>
      <c r="D889" s="69" t="str">
        <f>IF(B889="","",IFERROR(INDEX(mat_unit,MATCH(B889,mat_ref,0))&amp;"",""))</f>
        <v/>
      </c>
      <c r="E889" s="72" t="n"/>
      <c r="F889" s="65" t="n"/>
      <c r="G889" s="68" t="str">
        <f>IF(J889&lt;&gt;"OK","",IF(F889="",N(INDEX(mat_loss,MATCH(B889,mat_ref,0))),F889))</f>
        <v/>
      </c>
      <c r="H889" s="66" t="str">
        <f>IF(J889&lt;&gt;"OK","",INDEX(mat_price,MATCH(B889,mat_ref,0)))</f>
        <v/>
      </c>
      <c r="I889" s="66" t="str">
        <f>IF(J889&lt;&gt;"OK","",E889*(1+G889)*H889)</f>
        <v/>
      </c>
      <c r="J889" s="69" t="str">
        <f>IF(AND(A889="",B889=""),"",IF(A889="","Produit manquant",IF(COUNTIF(prod_ref,A889)=0,"Produit inconnu",IF(B889="","Matière manquante",IF(ISNA(MATCH(B889,mat_ref,0)),"Matière inconnue",IF(INDEX(mat_check,MATCH(B889,mat_ref,0))&lt;&gt;"OK","Matière à corriger",IF(OR(NOT(ISNUMBER(E889)),N(E889)&lt;=0),"Quantité invalide",IF(AND(F889&lt;&gt;"",OR(NOT(ISNUMBER(F889)),N(F889)&lt;0,N(F889)&gt;=1)),"Perte entre 0 et 99 %",IF(COUNTIFS(bom_prod,A889,bom_mat,B889)&gt;1,"Matière en double","OK")))))))))</f>
        <v/>
      </c>
      <c r="K889" s="71" t="str">
        <f>IF(AND(fiche_sel&lt;&gt;"",A889=fiche_sel),COUNTIF(A$6:A889,fiche_sel),"")</f>
        <v/>
      </c>
    </row>
    <row r="890">
      <c r="A890" s="60" t="n"/>
      <c r="B890" s="60" t="n"/>
      <c r="C890" s="71" t="str">
        <f>IF(B890="","",IFERROR(INDEX(mat_des,MATCH(B890,mat_ref,0))&amp;"","Matière inconnue"))</f>
        <v/>
      </c>
      <c r="D890" s="69" t="str">
        <f>IF(B890="","",IFERROR(INDEX(mat_unit,MATCH(B890,mat_ref,0))&amp;"",""))</f>
        <v/>
      </c>
      <c r="E890" s="72" t="n"/>
      <c r="F890" s="65" t="n"/>
      <c r="G890" s="68" t="str">
        <f>IF(J890&lt;&gt;"OK","",IF(F890="",N(INDEX(mat_loss,MATCH(B890,mat_ref,0))),F890))</f>
        <v/>
      </c>
      <c r="H890" s="66" t="str">
        <f>IF(J890&lt;&gt;"OK","",INDEX(mat_price,MATCH(B890,mat_ref,0)))</f>
        <v/>
      </c>
      <c r="I890" s="66" t="str">
        <f>IF(J890&lt;&gt;"OK","",E890*(1+G890)*H890)</f>
        <v/>
      </c>
      <c r="J890" s="69" t="str">
        <f>IF(AND(A890="",B890=""),"",IF(A890="","Produit manquant",IF(COUNTIF(prod_ref,A890)=0,"Produit inconnu",IF(B890="","Matière manquante",IF(ISNA(MATCH(B890,mat_ref,0)),"Matière inconnue",IF(INDEX(mat_check,MATCH(B890,mat_ref,0))&lt;&gt;"OK","Matière à corriger",IF(OR(NOT(ISNUMBER(E890)),N(E890)&lt;=0),"Quantité invalide",IF(AND(F890&lt;&gt;"",OR(NOT(ISNUMBER(F890)),N(F890)&lt;0,N(F890)&gt;=1)),"Perte entre 0 et 99 %",IF(COUNTIFS(bom_prod,A890,bom_mat,B890)&gt;1,"Matière en double","OK")))))))))</f>
        <v/>
      </c>
      <c r="K890" s="71" t="str">
        <f>IF(AND(fiche_sel&lt;&gt;"",A890=fiche_sel),COUNTIF(A$6:A890,fiche_sel),"")</f>
        <v/>
      </c>
    </row>
    <row r="891">
      <c r="A891" s="60" t="n"/>
      <c r="B891" s="60" t="n"/>
      <c r="C891" s="71" t="str">
        <f>IF(B891="","",IFERROR(INDEX(mat_des,MATCH(B891,mat_ref,0))&amp;"","Matière inconnue"))</f>
        <v/>
      </c>
      <c r="D891" s="69" t="str">
        <f>IF(B891="","",IFERROR(INDEX(mat_unit,MATCH(B891,mat_ref,0))&amp;"",""))</f>
        <v/>
      </c>
      <c r="E891" s="72" t="n"/>
      <c r="F891" s="65" t="n"/>
      <c r="G891" s="68" t="str">
        <f>IF(J891&lt;&gt;"OK","",IF(F891="",N(INDEX(mat_loss,MATCH(B891,mat_ref,0))),F891))</f>
        <v/>
      </c>
      <c r="H891" s="66" t="str">
        <f>IF(J891&lt;&gt;"OK","",INDEX(mat_price,MATCH(B891,mat_ref,0)))</f>
        <v/>
      </c>
      <c r="I891" s="66" t="str">
        <f>IF(J891&lt;&gt;"OK","",E891*(1+G891)*H891)</f>
        <v/>
      </c>
      <c r="J891" s="69" t="str">
        <f>IF(AND(A891="",B891=""),"",IF(A891="","Produit manquant",IF(COUNTIF(prod_ref,A891)=0,"Produit inconnu",IF(B891="","Matière manquante",IF(ISNA(MATCH(B891,mat_ref,0)),"Matière inconnue",IF(INDEX(mat_check,MATCH(B891,mat_ref,0))&lt;&gt;"OK","Matière à corriger",IF(OR(NOT(ISNUMBER(E891)),N(E891)&lt;=0),"Quantité invalide",IF(AND(F891&lt;&gt;"",OR(NOT(ISNUMBER(F891)),N(F891)&lt;0,N(F891)&gt;=1)),"Perte entre 0 et 99 %",IF(COUNTIFS(bom_prod,A891,bom_mat,B891)&gt;1,"Matière en double","OK")))))))))</f>
        <v/>
      </c>
      <c r="K891" s="71" t="str">
        <f>IF(AND(fiche_sel&lt;&gt;"",A891=fiche_sel),COUNTIF(A$6:A891,fiche_sel),"")</f>
        <v/>
      </c>
    </row>
    <row r="892">
      <c r="A892" s="60" t="n"/>
      <c r="B892" s="60" t="n"/>
      <c r="C892" s="71" t="str">
        <f>IF(B892="","",IFERROR(INDEX(mat_des,MATCH(B892,mat_ref,0))&amp;"","Matière inconnue"))</f>
        <v/>
      </c>
      <c r="D892" s="69" t="str">
        <f>IF(B892="","",IFERROR(INDEX(mat_unit,MATCH(B892,mat_ref,0))&amp;"",""))</f>
        <v/>
      </c>
      <c r="E892" s="72" t="n"/>
      <c r="F892" s="65" t="n"/>
      <c r="G892" s="68" t="str">
        <f>IF(J892&lt;&gt;"OK","",IF(F892="",N(INDEX(mat_loss,MATCH(B892,mat_ref,0))),F892))</f>
        <v/>
      </c>
      <c r="H892" s="66" t="str">
        <f>IF(J892&lt;&gt;"OK","",INDEX(mat_price,MATCH(B892,mat_ref,0)))</f>
        <v/>
      </c>
      <c r="I892" s="66" t="str">
        <f>IF(J892&lt;&gt;"OK","",E892*(1+G892)*H892)</f>
        <v/>
      </c>
      <c r="J892" s="69" t="str">
        <f>IF(AND(A892="",B892=""),"",IF(A892="","Produit manquant",IF(COUNTIF(prod_ref,A892)=0,"Produit inconnu",IF(B892="","Matière manquante",IF(ISNA(MATCH(B892,mat_ref,0)),"Matière inconnue",IF(INDEX(mat_check,MATCH(B892,mat_ref,0))&lt;&gt;"OK","Matière à corriger",IF(OR(NOT(ISNUMBER(E892)),N(E892)&lt;=0),"Quantité invalide",IF(AND(F892&lt;&gt;"",OR(NOT(ISNUMBER(F892)),N(F892)&lt;0,N(F892)&gt;=1)),"Perte entre 0 et 99 %",IF(COUNTIFS(bom_prod,A892,bom_mat,B892)&gt;1,"Matière en double","OK")))))))))</f>
        <v/>
      </c>
      <c r="K892" s="71" t="str">
        <f>IF(AND(fiche_sel&lt;&gt;"",A892=fiche_sel),COUNTIF(A$6:A892,fiche_sel),"")</f>
        <v/>
      </c>
    </row>
    <row r="893">
      <c r="A893" s="60" t="n"/>
      <c r="B893" s="60" t="n"/>
      <c r="C893" s="71" t="str">
        <f>IF(B893="","",IFERROR(INDEX(mat_des,MATCH(B893,mat_ref,0))&amp;"","Matière inconnue"))</f>
        <v/>
      </c>
      <c r="D893" s="69" t="str">
        <f>IF(B893="","",IFERROR(INDEX(mat_unit,MATCH(B893,mat_ref,0))&amp;"",""))</f>
        <v/>
      </c>
      <c r="E893" s="72" t="n"/>
      <c r="F893" s="65" t="n"/>
      <c r="G893" s="68" t="str">
        <f>IF(J893&lt;&gt;"OK","",IF(F893="",N(INDEX(mat_loss,MATCH(B893,mat_ref,0))),F893))</f>
        <v/>
      </c>
      <c r="H893" s="66" t="str">
        <f>IF(J893&lt;&gt;"OK","",INDEX(mat_price,MATCH(B893,mat_ref,0)))</f>
        <v/>
      </c>
      <c r="I893" s="66" t="str">
        <f>IF(J893&lt;&gt;"OK","",E893*(1+G893)*H893)</f>
        <v/>
      </c>
      <c r="J893" s="69" t="str">
        <f>IF(AND(A893="",B893=""),"",IF(A893="","Produit manquant",IF(COUNTIF(prod_ref,A893)=0,"Produit inconnu",IF(B893="","Matière manquante",IF(ISNA(MATCH(B893,mat_ref,0)),"Matière inconnue",IF(INDEX(mat_check,MATCH(B893,mat_ref,0))&lt;&gt;"OK","Matière à corriger",IF(OR(NOT(ISNUMBER(E893)),N(E893)&lt;=0),"Quantité invalide",IF(AND(F893&lt;&gt;"",OR(NOT(ISNUMBER(F893)),N(F893)&lt;0,N(F893)&gt;=1)),"Perte entre 0 et 99 %",IF(COUNTIFS(bom_prod,A893,bom_mat,B893)&gt;1,"Matière en double","OK")))))))))</f>
        <v/>
      </c>
      <c r="K893" s="71" t="str">
        <f>IF(AND(fiche_sel&lt;&gt;"",A893=fiche_sel),COUNTIF(A$6:A893,fiche_sel),"")</f>
        <v/>
      </c>
    </row>
    <row r="894">
      <c r="A894" s="60" t="n"/>
      <c r="B894" s="60" t="n"/>
      <c r="C894" s="71" t="str">
        <f>IF(B894="","",IFERROR(INDEX(mat_des,MATCH(B894,mat_ref,0))&amp;"","Matière inconnue"))</f>
        <v/>
      </c>
      <c r="D894" s="69" t="str">
        <f>IF(B894="","",IFERROR(INDEX(mat_unit,MATCH(B894,mat_ref,0))&amp;"",""))</f>
        <v/>
      </c>
      <c r="E894" s="72" t="n"/>
      <c r="F894" s="65" t="n"/>
      <c r="G894" s="68" t="str">
        <f>IF(J894&lt;&gt;"OK","",IF(F894="",N(INDEX(mat_loss,MATCH(B894,mat_ref,0))),F894))</f>
        <v/>
      </c>
      <c r="H894" s="66" t="str">
        <f>IF(J894&lt;&gt;"OK","",INDEX(mat_price,MATCH(B894,mat_ref,0)))</f>
        <v/>
      </c>
      <c r="I894" s="66" t="str">
        <f>IF(J894&lt;&gt;"OK","",E894*(1+G894)*H894)</f>
        <v/>
      </c>
      <c r="J894" s="69" t="str">
        <f>IF(AND(A894="",B894=""),"",IF(A894="","Produit manquant",IF(COUNTIF(prod_ref,A894)=0,"Produit inconnu",IF(B894="","Matière manquante",IF(ISNA(MATCH(B894,mat_ref,0)),"Matière inconnue",IF(INDEX(mat_check,MATCH(B894,mat_ref,0))&lt;&gt;"OK","Matière à corriger",IF(OR(NOT(ISNUMBER(E894)),N(E894)&lt;=0),"Quantité invalide",IF(AND(F894&lt;&gt;"",OR(NOT(ISNUMBER(F894)),N(F894)&lt;0,N(F894)&gt;=1)),"Perte entre 0 et 99 %",IF(COUNTIFS(bom_prod,A894,bom_mat,B894)&gt;1,"Matière en double","OK")))))))))</f>
        <v/>
      </c>
      <c r="K894" s="71" t="str">
        <f>IF(AND(fiche_sel&lt;&gt;"",A894=fiche_sel),COUNTIF(A$6:A894,fiche_sel),"")</f>
        <v/>
      </c>
    </row>
    <row r="895">
      <c r="A895" s="60" t="n"/>
      <c r="B895" s="60" t="n"/>
      <c r="C895" s="71" t="str">
        <f>IF(B895="","",IFERROR(INDEX(mat_des,MATCH(B895,mat_ref,0))&amp;"","Matière inconnue"))</f>
        <v/>
      </c>
      <c r="D895" s="69" t="str">
        <f>IF(B895="","",IFERROR(INDEX(mat_unit,MATCH(B895,mat_ref,0))&amp;"",""))</f>
        <v/>
      </c>
      <c r="E895" s="72" t="n"/>
      <c r="F895" s="65" t="n"/>
      <c r="G895" s="68" t="str">
        <f>IF(J895&lt;&gt;"OK","",IF(F895="",N(INDEX(mat_loss,MATCH(B895,mat_ref,0))),F895))</f>
        <v/>
      </c>
      <c r="H895" s="66" t="str">
        <f>IF(J895&lt;&gt;"OK","",INDEX(mat_price,MATCH(B895,mat_ref,0)))</f>
        <v/>
      </c>
      <c r="I895" s="66" t="str">
        <f>IF(J895&lt;&gt;"OK","",E895*(1+G895)*H895)</f>
        <v/>
      </c>
      <c r="J895" s="69" t="str">
        <f>IF(AND(A895="",B895=""),"",IF(A895="","Produit manquant",IF(COUNTIF(prod_ref,A895)=0,"Produit inconnu",IF(B895="","Matière manquante",IF(ISNA(MATCH(B895,mat_ref,0)),"Matière inconnue",IF(INDEX(mat_check,MATCH(B895,mat_ref,0))&lt;&gt;"OK","Matière à corriger",IF(OR(NOT(ISNUMBER(E895)),N(E895)&lt;=0),"Quantité invalide",IF(AND(F895&lt;&gt;"",OR(NOT(ISNUMBER(F895)),N(F895)&lt;0,N(F895)&gt;=1)),"Perte entre 0 et 99 %",IF(COUNTIFS(bom_prod,A895,bom_mat,B895)&gt;1,"Matière en double","OK")))))))))</f>
        <v/>
      </c>
      <c r="K895" s="71" t="str">
        <f>IF(AND(fiche_sel&lt;&gt;"",A895=fiche_sel),COUNTIF(A$6:A895,fiche_sel),"")</f>
        <v/>
      </c>
    </row>
    <row r="896">
      <c r="A896" s="60" t="n"/>
      <c r="B896" s="60" t="n"/>
      <c r="C896" s="71" t="str">
        <f>IF(B896="","",IFERROR(INDEX(mat_des,MATCH(B896,mat_ref,0))&amp;"","Matière inconnue"))</f>
        <v/>
      </c>
      <c r="D896" s="69" t="str">
        <f>IF(B896="","",IFERROR(INDEX(mat_unit,MATCH(B896,mat_ref,0))&amp;"",""))</f>
        <v/>
      </c>
      <c r="E896" s="72" t="n"/>
      <c r="F896" s="65" t="n"/>
      <c r="G896" s="68" t="str">
        <f>IF(J896&lt;&gt;"OK","",IF(F896="",N(INDEX(mat_loss,MATCH(B896,mat_ref,0))),F896))</f>
        <v/>
      </c>
      <c r="H896" s="66" t="str">
        <f>IF(J896&lt;&gt;"OK","",INDEX(mat_price,MATCH(B896,mat_ref,0)))</f>
        <v/>
      </c>
      <c r="I896" s="66" t="str">
        <f>IF(J896&lt;&gt;"OK","",E896*(1+G896)*H896)</f>
        <v/>
      </c>
      <c r="J896" s="69" t="str">
        <f>IF(AND(A896="",B896=""),"",IF(A896="","Produit manquant",IF(COUNTIF(prod_ref,A896)=0,"Produit inconnu",IF(B896="","Matière manquante",IF(ISNA(MATCH(B896,mat_ref,0)),"Matière inconnue",IF(INDEX(mat_check,MATCH(B896,mat_ref,0))&lt;&gt;"OK","Matière à corriger",IF(OR(NOT(ISNUMBER(E896)),N(E896)&lt;=0),"Quantité invalide",IF(AND(F896&lt;&gt;"",OR(NOT(ISNUMBER(F896)),N(F896)&lt;0,N(F896)&gt;=1)),"Perte entre 0 et 99 %",IF(COUNTIFS(bom_prod,A896,bom_mat,B896)&gt;1,"Matière en double","OK")))))))))</f>
        <v/>
      </c>
      <c r="K896" s="71" t="str">
        <f>IF(AND(fiche_sel&lt;&gt;"",A896=fiche_sel),COUNTIF(A$6:A896,fiche_sel),"")</f>
        <v/>
      </c>
    </row>
    <row r="897">
      <c r="A897" s="60" t="n"/>
      <c r="B897" s="60" t="n"/>
      <c r="C897" s="71" t="str">
        <f>IF(B897="","",IFERROR(INDEX(mat_des,MATCH(B897,mat_ref,0))&amp;"","Matière inconnue"))</f>
        <v/>
      </c>
      <c r="D897" s="69" t="str">
        <f>IF(B897="","",IFERROR(INDEX(mat_unit,MATCH(B897,mat_ref,0))&amp;"",""))</f>
        <v/>
      </c>
      <c r="E897" s="72" t="n"/>
      <c r="F897" s="65" t="n"/>
      <c r="G897" s="68" t="str">
        <f>IF(J897&lt;&gt;"OK","",IF(F897="",N(INDEX(mat_loss,MATCH(B897,mat_ref,0))),F897))</f>
        <v/>
      </c>
      <c r="H897" s="66" t="str">
        <f>IF(J897&lt;&gt;"OK","",INDEX(mat_price,MATCH(B897,mat_ref,0)))</f>
        <v/>
      </c>
      <c r="I897" s="66" t="str">
        <f>IF(J897&lt;&gt;"OK","",E897*(1+G897)*H897)</f>
        <v/>
      </c>
      <c r="J897" s="69" t="str">
        <f>IF(AND(A897="",B897=""),"",IF(A897="","Produit manquant",IF(COUNTIF(prod_ref,A897)=0,"Produit inconnu",IF(B897="","Matière manquante",IF(ISNA(MATCH(B897,mat_ref,0)),"Matière inconnue",IF(INDEX(mat_check,MATCH(B897,mat_ref,0))&lt;&gt;"OK","Matière à corriger",IF(OR(NOT(ISNUMBER(E897)),N(E897)&lt;=0),"Quantité invalide",IF(AND(F897&lt;&gt;"",OR(NOT(ISNUMBER(F897)),N(F897)&lt;0,N(F897)&gt;=1)),"Perte entre 0 et 99 %",IF(COUNTIFS(bom_prod,A897,bom_mat,B897)&gt;1,"Matière en double","OK")))))))))</f>
        <v/>
      </c>
      <c r="K897" s="71" t="str">
        <f>IF(AND(fiche_sel&lt;&gt;"",A897=fiche_sel),COUNTIF(A$6:A897,fiche_sel),"")</f>
        <v/>
      </c>
    </row>
    <row r="898">
      <c r="A898" s="60" t="n"/>
      <c r="B898" s="60" t="n"/>
      <c r="C898" s="71" t="str">
        <f>IF(B898="","",IFERROR(INDEX(mat_des,MATCH(B898,mat_ref,0))&amp;"","Matière inconnue"))</f>
        <v/>
      </c>
      <c r="D898" s="69" t="str">
        <f>IF(B898="","",IFERROR(INDEX(mat_unit,MATCH(B898,mat_ref,0))&amp;"",""))</f>
        <v/>
      </c>
      <c r="E898" s="72" t="n"/>
      <c r="F898" s="65" t="n"/>
      <c r="G898" s="68" t="str">
        <f>IF(J898&lt;&gt;"OK","",IF(F898="",N(INDEX(mat_loss,MATCH(B898,mat_ref,0))),F898))</f>
        <v/>
      </c>
      <c r="H898" s="66" t="str">
        <f>IF(J898&lt;&gt;"OK","",INDEX(mat_price,MATCH(B898,mat_ref,0)))</f>
        <v/>
      </c>
      <c r="I898" s="66" t="str">
        <f>IF(J898&lt;&gt;"OK","",E898*(1+G898)*H898)</f>
        <v/>
      </c>
      <c r="J898" s="69" t="str">
        <f>IF(AND(A898="",B898=""),"",IF(A898="","Produit manquant",IF(COUNTIF(prod_ref,A898)=0,"Produit inconnu",IF(B898="","Matière manquante",IF(ISNA(MATCH(B898,mat_ref,0)),"Matière inconnue",IF(INDEX(mat_check,MATCH(B898,mat_ref,0))&lt;&gt;"OK","Matière à corriger",IF(OR(NOT(ISNUMBER(E898)),N(E898)&lt;=0),"Quantité invalide",IF(AND(F898&lt;&gt;"",OR(NOT(ISNUMBER(F898)),N(F898)&lt;0,N(F898)&gt;=1)),"Perte entre 0 et 99 %",IF(COUNTIFS(bom_prod,A898,bom_mat,B898)&gt;1,"Matière en double","OK")))))))))</f>
        <v/>
      </c>
      <c r="K898" s="71" t="str">
        <f>IF(AND(fiche_sel&lt;&gt;"",A898=fiche_sel),COUNTIF(A$6:A898,fiche_sel),"")</f>
        <v/>
      </c>
    </row>
    <row r="899">
      <c r="A899" s="60" t="n"/>
      <c r="B899" s="60" t="n"/>
      <c r="C899" s="71" t="str">
        <f>IF(B899="","",IFERROR(INDEX(mat_des,MATCH(B899,mat_ref,0))&amp;"","Matière inconnue"))</f>
        <v/>
      </c>
      <c r="D899" s="69" t="str">
        <f>IF(B899="","",IFERROR(INDEX(mat_unit,MATCH(B899,mat_ref,0))&amp;"",""))</f>
        <v/>
      </c>
      <c r="E899" s="72" t="n"/>
      <c r="F899" s="65" t="n"/>
      <c r="G899" s="68" t="str">
        <f>IF(J899&lt;&gt;"OK","",IF(F899="",N(INDEX(mat_loss,MATCH(B899,mat_ref,0))),F899))</f>
        <v/>
      </c>
      <c r="H899" s="66" t="str">
        <f>IF(J899&lt;&gt;"OK","",INDEX(mat_price,MATCH(B899,mat_ref,0)))</f>
        <v/>
      </c>
      <c r="I899" s="66" t="str">
        <f>IF(J899&lt;&gt;"OK","",E899*(1+G899)*H899)</f>
        <v/>
      </c>
      <c r="J899" s="69" t="str">
        <f>IF(AND(A899="",B899=""),"",IF(A899="","Produit manquant",IF(COUNTIF(prod_ref,A899)=0,"Produit inconnu",IF(B899="","Matière manquante",IF(ISNA(MATCH(B899,mat_ref,0)),"Matière inconnue",IF(INDEX(mat_check,MATCH(B899,mat_ref,0))&lt;&gt;"OK","Matière à corriger",IF(OR(NOT(ISNUMBER(E899)),N(E899)&lt;=0),"Quantité invalide",IF(AND(F899&lt;&gt;"",OR(NOT(ISNUMBER(F899)),N(F899)&lt;0,N(F899)&gt;=1)),"Perte entre 0 et 99 %",IF(COUNTIFS(bom_prod,A899,bom_mat,B899)&gt;1,"Matière en double","OK")))))))))</f>
        <v/>
      </c>
      <c r="K899" s="71" t="str">
        <f>IF(AND(fiche_sel&lt;&gt;"",A899=fiche_sel),COUNTIF(A$6:A899,fiche_sel),"")</f>
        <v/>
      </c>
    </row>
    <row r="900">
      <c r="A900" s="60" t="n"/>
      <c r="B900" s="60" t="n"/>
      <c r="C900" s="71" t="str">
        <f>IF(B900="","",IFERROR(INDEX(mat_des,MATCH(B900,mat_ref,0))&amp;"","Matière inconnue"))</f>
        <v/>
      </c>
      <c r="D900" s="69" t="str">
        <f>IF(B900="","",IFERROR(INDEX(mat_unit,MATCH(B900,mat_ref,0))&amp;"",""))</f>
        <v/>
      </c>
      <c r="E900" s="72" t="n"/>
      <c r="F900" s="65" t="n"/>
      <c r="G900" s="68" t="str">
        <f>IF(J900&lt;&gt;"OK","",IF(F900="",N(INDEX(mat_loss,MATCH(B900,mat_ref,0))),F900))</f>
        <v/>
      </c>
      <c r="H900" s="66" t="str">
        <f>IF(J900&lt;&gt;"OK","",INDEX(mat_price,MATCH(B900,mat_ref,0)))</f>
        <v/>
      </c>
      <c r="I900" s="66" t="str">
        <f>IF(J900&lt;&gt;"OK","",E900*(1+G900)*H900)</f>
        <v/>
      </c>
      <c r="J900" s="69" t="str">
        <f>IF(AND(A900="",B900=""),"",IF(A900="","Produit manquant",IF(COUNTIF(prod_ref,A900)=0,"Produit inconnu",IF(B900="","Matière manquante",IF(ISNA(MATCH(B900,mat_ref,0)),"Matière inconnue",IF(INDEX(mat_check,MATCH(B900,mat_ref,0))&lt;&gt;"OK","Matière à corriger",IF(OR(NOT(ISNUMBER(E900)),N(E900)&lt;=0),"Quantité invalide",IF(AND(F900&lt;&gt;"",OR(NOT(ISNUMBER(F900)),N(F900)&lt;0,N(F900)&gt;=1)),"Perte entre 0 et 99 %",IF(COUNTIFS(bom_prod,A900,bom_mat,B900)&gt;1,"Matière en double","OK")))))))))</f>
        <v/>
      </c>
      <c r="K900" s="71" t="str">
        <f>IF(AND(fiche_sel&lt;&gt;"",A900=fiche_sel),COUNTIF(A$6:A900,fiche_sel),"")</f>
        <v/>
      </c>
    </row>
    <row r="901">
      <c r="A901" s="60" t="n"/>
      <c r="B901" s="60" t="n"/>
      <c r="C901" s="71" t="str">
        <f>IF(B901="","",IFERROR(INDEX(mat_des,MATCH(B901,mat_ref,0))&amp;"","Matière inconnue"))</f>
        <v/>
      </c>
      <c r="D901" s="69" t="str">
        <f>IF(B901="","",IFERROR(INDEX(mat_unit,MATCH(B901,mat_ref,0))&amp;"",""))</f>
        <v/>
      </c>
      <c r="E901" s="72" t="n"/>
      <c r="F901" s="65" t="n"/>
      <c r="G901" s="68" t="str">
        <f>IF(J901&lt;&gt;"OK","",IF(F901="",N(INDEX(mat_loss,MATCH(B901,mat_ref,0))),F901))</f>
        <v/>
      </c>
      <c r="H901" s="66" t="str">
        <f>IF(J901&lt;&gt;"OK","",INDEX(mat_price,MATCH(B901,mat_ref,0)))</f>
        <v/>
      </c>
      <c r="I901" s="66" t="str">
        <f>IF(J901&lt;&gt;"OK","",E901*(1+G901)*H901)</f>
        <v/>
      </c>
      <c r="J901" s="69" t="str">
        <f>IF(AND(A901="",B901=""),"",IF(A901="","Produit manquant",IF(COUNTIF(prod_ref,A901)=0,"Produit inconnu",IF(B901="","Matière manquante",IF(ISNA(MATCH(B901,mat_ref,0)),"Matière inconnue",IF(INDEX(mat_check,MATCH(B901,mat_ref,0))&lt;&gt;"OK","Matière à corriger",IF(OR(NOT(ISNUMBER(E901)),N(E901)&lt;=0),"Quantité invalide",IF(AND(F901&lt;&gt;"",OR(NOT(ISNUMBER(F901)),N(F901)&lt;0,N(F901)&gt;=1)),"Perte entre 0 et 99 %",IF(COUNTIFS(bom_prod,A901,bom_mat,B901)&gt;1,"Matière en double","OK")))))))))</f>
        <v/>
      </c>
      <c r="K901" s="71" t="str">
        <f>IF(AND(fiche_sel&lt;&gt;"",A901=fiche_sel),COUNTIF(A$6:A901,fiche_sel),"")</f>
        <v/>
      </c>
    </row>
    <row r="902">
      <c r="A902" s="60" t="n"/>
      <c r="B902" s="60" t="n"/>
      <c r="C902" s="71" t="str">
        <f>IF(B902="","",IFERROR(INDEX(mat_des,MATCH(B902,mat_ref,0))&amp;"","Matière inconnue"))</f>
        <v/>
      </c>
      <c r="D902" s="69" t="str">
        <f>IF(B902="","",IFERROR(INDEX(mat_unit,MATCH(B902,mat_ref,0))&amp;"",""))</f>
        <v/>
      </c>
      <c r="E902" s="72" t="n"/>
      <c r="F902" s="65" t="n"/>
      <c r="G902" s="68" t="str">
        <f>IF(J902&lt;&gt;"OK","",IF(F902="",N(INDEX(mat_loss,MATCH(B902,mat_ref,0))),F902))</f>
        <v/>
      </c>
      <c r="H902" s="66" t="str">
        <f>IF(J902&lt;&gt;"OK","",INDEX(mat_price,MATCH(B902,mat_ref,0)))</f>
        <v/>
      </c>
      <c r="I902" s="66" t="str">
        <f>IF(J902&lt;&gt;"OK","",E902*(1+G902)*H902)</f>
        <v/>
      </c>
      <c r="J902" s="69" t="str">
        <f>IF(AND(A902="",B902=""),"",IF(A902="","Produit manquant",IF(COUNTIF(prod_ref,A902)=0,"Produit inconnu",IF(B902="","Matière manquante",IF(ISNA(MATCH(B902,mat_ref,0)),"Matière inconnue",IF(INDEX(mat_check,MATCH(B902,mat_ref,0))&lt;&gt;"OK","Matière à corriger",IF(OR(NOT(ISNUMBER(E902)),N(E902)&lt;=0),"Quantité invalide",IF(AND(F902&lt;&gt;"",OR(NOT(ISNUMBER(F902)),N(F902)&lt;0,N(F902)&gt;=1)),"Perte entre 0 et 99 %",IF(COUNTIFS(bom_prod,A902,bom_mat,B902)&gt;1,"Matière en double","OK")))))))))</f>
        <v/>
      </c>
      <c r="K902" s="71" t="str">
        <f>IF(AND(fiche_sel&lt;&gt;"",A902=fiche_sel),COUNTIF(A$6:A902,fiche_sel),"")</f>
        <v/>
      </c>
    </row>
    <row r="903">
      <c r="A903" s="60" t="n"/>
      <c r="B903" s="60" t="n"/>
      <c r="C903" s="71" t="str">
        <f>IF(B903="","",IFERROR(INDEX(mat_des,MATCH(B903,mat_ref,0))&amp;"","Matière inconnue"))</f>
        <v/>
      </c>
      <c r="D903" s="69" t="str">
        <f>IF(B903="","",IFERROR(INDEX(mat_unit,MATCH(B903,mat_ref,0))&amp;"",""))</f>
        <v/>
      </c>
      <c r="E903" s="72" t="n"/>
      <c r="F903" s="65" t="n"/>
      <c r="G903" s="68" t="str">
        <f>IF(J903&lt;&gt;"OK","",IF(F903="",N(INDEX(mat_loss,MATCH(B903,mat_ref,0))),F903))</f>
        <v/>
      </c>
      <c r="H903" s="66" t="str">
        <f>IF(J903&lt;&gt;"OK","",INDEX(mat_price,MATCH(B903,mat_ref,0)))</f>
        <v/>
      </c>
      <c r="I903" s="66" t="str">
        <f>IF(J903&lt;&gt;"OK","",E903*(1+G903)*H903)</f>
        <v/>
      </c>
      <c r="J903" s="69" t="str">
        <f>IF(AND(A903="",B903=""),"",IF(A903="","Produit manquant",IF(COUNTIF(prod_ref,A903)=0,"Produit inconnu",IF(B903="","Matière manquante",IF(ISNA(MATCH(B903,mat_ref,0)),"Matière inconnue",IF(INDEX(mat_check,MATCH(B903,mat_ref,0))&lt;&gt;"OK","Matière à corriger",IF(OR(NOT(ISNUMBER(E903)),N(E903)&lt;=0),"Quantité invalide",IF(AND(F903&lt;&gt;"",OR(NOT(ISNUMBER(F903)),N(F903)&lt;0,N(F903)&gt;=1)),"Perte entre 0 et 99 %",IF(COUNTIFS(bom_prod,A903,bom_mat,B903)&gt;1,"Matière en double","OK")))))))))</f>
        <v/>
      </c>
      <c r="K903" s="71" t="str">
        <f>IF(AND(fiche_sel&lt;&gt;"",A903=fiche_sel),COUNTIF(A$6:A903,fiche_sel),"")</f>
        <v/>
      </c>
    </row>
    <row r="904">
      <c r="A904" s="60" t="n"/>
      <c r="B904" s="60" t="n"/>
      <c r="C904" s="71" t="str">
        <f>IF(B904="","",IFERROR(INDEX(mat_des,MATCH(B904,mat_ref,0))&amp;"","Matière inconnue"))</f>
        <v/>
      </c>
      <c r="D904" s="69" t="str">
        <f>IF(B904="","",IFERROR(INDEX(mat_unit,MATCH(B904,mat_ref,0))&amp;"",""))</f>
        <v/>
      </c>
      <c r="E904" s="72" t="n"/>
      <c r="F904" s="65" t="n"/>
      <c r="G904" s="68" t="str">
        <f>IF(J904&lt;&gt;"OK","",IF(F904="",N(INDEX(mat_loss,MATCH(B904,mat_ref,0))),F904))</f>
        <v/>
      </c>
      <c r="H904" s="66" t="str">
        <f>IF(J904&lt;&gt;"OK","",INDEX(mat_price,MATCH(B904,mat_ref,0)))</f>
        <v/>
      </c>
      <c r="I904" s="66" t="str">
        <f>IF(J904&lt;&gt;"OK","",E904*(1+G904)*H904)</f>
        <v/>
      </c>
      <c r="J904" s="69" t="str">
        <f>IF(AND(A904="",B904=""),"",IF(A904="","Produit manquant",IF(COUNTIF(prod_ref,A904)=0,"Produit inconnu",IF(B904="","Matière manquante",IF(ISNA(MATCH(B904,mat_ref,0)),"Matière inconnue",IF(INDEX(mat_check,MATCH(B904,mat_ref,0))&lt;&gt;"OK","Matière à corriger",IF(OR(NOT(ISNUMBER(E904)),N(E904)&lt;=0),"Quantité invalide",IF(AND(F904&lt;&gt;"",OR(NOT(ISNUMBER(F904)),N(F904)&lt;0,N(F904)&gt;=1)),"Perte entre 0 et 99 %",IF(COUNTIFS(bom_prod,A904,bom_mat,B904)&gt;1,"Matière en double","OK")))))))))</f>
        <v/>
      </c>
      <c r="K904" s="71" t="str">
        <f>IF(AND(fiche_sel&lt;&gt;"",A904=fiche_sel),COUNTIF(A$6:A904,fiche_sel),"")</f>
        <v/>
      </c>
    </row>
    <row r="905">
      <c r="A905" s="60" t="n"/>
      <c r="B905" s="60" t="n"/>
      <c r="C905" s="71" t="str">
        <f>IF(B905="","",IFERROR(INDEX(mat_des,MATCH(B905,mat_ref,0))&amp;"","Matière inconnue"))</f>
        <v/>
      </c>
      <c r="D905" s="69" t="str">
        <f>IF(B905="","",IFERROR(INDEX(mat_unit,MATCH(B905,mat_ref,0))&amp;"",""))</f>
        <v/>
      </c>
      <c r="E905" s="72" t="n"/>
      <c r="F905" s="65" t="n"/>
      <c r="G905" s="68" t="str">
        <f>IF(J905&lt;&gt;"OK","",IF(F905="",N(INDEX(mat_loss,MATCH(B905,mat_ref,0))),F905))</f>
        <v/>
      </c>
      <c r="H905" s="66" t="str">
        <f>IF(J905&lt;&gt;"OK","",INDEX(mat_price,MATCH(B905,mat_ref,0)))</f>
        <v/>
      </c>
      <c r="I905" s="66" t="str">
        <f>IF(J905&lt;&gt;"OK","",E905*(1+G905)*H905)</f>
        <v/>
      </c>
      <c r="J905" s="69" t="str">
        <f>IF(AND(A905="",B905=""),"",IF(A905="","Produit manquant",IF(COUNTIF(prod_ref,A905)=0,"Produit inconnu",IF(B905="","Matière manquante",IF(ISNA(MATCH(B905,mat_ref,0)),"Matière inconnue",IF(INDEX(mat_check,MATCH(B905,mat_ref,0))&lt;&gt;"OK","Matière à corriger",IF(OR(NOT(ISNUMBER(E905)),N(E905)&lt;=0),"Quantité invalide",IF(AND(F905&lt;&gt;"",OR(NOT(ISNUMBER(F905)),N(F905)&lt;0,N(F905)&gt;=1)),"Perte entre 0 et 99 %",IF(COUNTIFS(bom_prod,A905,bom_mat,B905)&gt;1,"Matière en double","OK")))))))))</f>
        <v/>
      </c>
      <c r="K905" s="71" t="str">
        <f>IF(AND(fiche_sel&lt;&gt;"",A905=fiche_sel),COUNTIF(A$6:A905,fiche_sel),"")</f>
        <v/>
      </c>
    </row>
    <row r="906">
      <c r="A906" s="60" t="n"/>
      <c r="B906" s="60" t="n"/>
      <c r="C906" s="71" t="str">
        <f>IF(B906="","",IFERROR(INDEX(mat_des,MATCH(B906,mat_ref,0))&amp;"","Matière inconnue"))</f>
        <v/>
      </c>
      <c r="D906" s="69" t="str">
        <f>IF(B906="","",IFERROR(INDEX(mat_unit,MATCH(B906,mat_ref,0))&amp;"",""))</f>
        <v/>
      </c>
      <c r="E906" s="72" t="n"/>
      <c r="F906" s="65" t="n"/>
      <c r="G906" s="68" t="str">
        <f>IF(J906&lt;&gt;"OK","",IF(F906="",N(INDEX(mat_loss,MATCH(B906,mat_ref,0))),F906))</f>
        <v/>
      </c>
      <c r="H906" s="66" t="str">
        <f>IF(J906&lt;&gt;"OK","",INDEX(mat_price,MATCH(B906,mat_ref,0)))</f>
        <v/>
      </c>
      <c r="I906" s="66" t="str">
        <f>IF(J906&lt;&gt;"OK","",E906*(1+G906)*H906)</f>
        <v/>
      </c>
      <c r="J906" s="69" t="str">
        <f>IF(AND(A906="",B906=""),"",IF(A906="","Produit manquant",IF(COUNTIF(prod_ref,A906)=0,"Produit inconnu",IF(B906="","Matière manquante",IF(ISNA(MATCH(B906,mat_ref,0)),"Matière inconnue",IF(INDEX(mat_check,MATCH(B906,mat_ref,0))&lt;&gt;"OK","Matière à corriger",IF(OR(NOT(ISNUMBER(E906)),N(E906)&lt;=0),"Quantité invalide",IF(AND(F906&lt;&gt;"",OR(NOT(ISNUMBER(F906)),N(F906)&lt;0,N(F906)&gt;=1)),"Perte entre 0 et 99 %",IF(COUNTIFS(bom_prod,A906,bom_mat,B906)&gt;1,"Matière en double","OK")))))))))</f>
        <v/>
      </c>
      <c r="K906" s="71" t="str">
        <f>IF(AND(fiche_sel&lt;&gt;"",A906=fiche_sel),COUNTIF(A$6:A906,fiche_sel),"")</f>
        <v/>
      </c>
    </row>
    <row r="907">
      <c r="A907" s="60" t="n"/>
      <c r="B907" s="60" t="n"/>
      <c r="C907" s="71" t="str">
        <f>IF(B907="","",IFERROR(INDEX(mat_des,MATCH(B907,mat_ref,0))&amp;"","Matière inconnue"))</f>
        <v/>
      </c>
      <c r="D907" s="69" t="str">
        <f>IF(B907="","",IFERROR(INDEX(mat_unit,MATCH(B907,mat_ref,0))&amp;"",""))</f>
        <v/>
      </c>
      <c r="E907" s="72" t="n"/>
      <c r="F907" s="65" t="n"/>
      <c r="G907" s="68" t="str">
        <f>IF(J907&lt;&gt;"OK","",IF(F907="",N(INDEX(mat_loss,MATCH(B907,mat_ref,0))),F907))</f>
        <v/>
      </c>
      <c r="H907" s="66" t="str">
        <f>IF(J907&lt;&gt;"OK","",INDEX(mat_price,MATCH(B907,mat_ref,0)))</f>
        <v/>
      </c>
      <c r="I907" s="66" t="str">
        <f>IF(J907&lt;&gt;"OK","",E907*(1+G907)*H907)</f>
        <v/>
      </c>
      <c r="J907" s="69" t="str">
        <f>IF(AND(A907="",B907=""),"",IF(A907="","Produit manquant",IF(COUNTIF(prod_ref,A907)=0,"Produit inconnu",IF(B907="","Matière manquante",IF(ISNA(MATCH(B907,mat_ref,0)),"Matière inconnue",IF(INDEX(mat_check,MATCH(B907,mat_ref,0))&lt;&gt;"OK","Matière à corriger",IF(OR(NOT(ISNUMBER(E907)),N(E907)&lt;=0),"Quantité invalide",IF(AND(F907&lt;&gt;"",OR(NOT(ISNUMBER(F907)),N(F907)&lt;0,N(F907)&gt;=1)),"Perte entre 0 et 99 %",IF(COUNTIFS(bom_prod,A907,bom_mat,B907)&gt;1,"Matière en double","OK")))))))))</f>
        <v/>
      </c>
      <c r="K907" s="71" t="str">
        <f>IF(AND(fiche_sel&lt;&gt;"",A907=fiche_sel),COUNTIF(A$6:A907,fiche_sel),"")</f>
        <v/>
      </c>
    </row>
    <row r="908">
      <c r="A908" s="60" t="n"/>
      <c r="B908" s="60" t="n"/>
      <c r="C908" s="71" t="str">
        <f>IF(B908="","",IFERROR(INDEX(mat_des,MATCH(B908,mat_ref,0))&amp;"","Matière inconnue"))</f>
        <v/>
      </c>
      <c r="D908" s="69" t="str">
        <f>IF(B908="","",IFERROR(INDEX(mat_unit,MATCH(B908,mat_ref,0))&amp;"",""))</f>
        <v/>
      </c>
      <c r="E908" s="72" t="n"/>
      <c r="F908" s="65" t="n"/>
      <c r="G908" s="68" t="str">
        <f>IF(J908&lt;&gt;"OK","",IF(F908="",N(INDEX(mat_loss,MATCH(B908,mat_ref,0))),F908))</f>
        <v/>
      </c>
      <c r="H908" s="66" t="str">
        <f>IF(J908&lt;&gt;"OK","",INDEX(mat_price,MATCH(B908,mat_ref,0)))</f>
        <v/>
      </c>
      <c r="I908" s="66" t="str">
        <f>IF(J908&lt;&gt;"OK","",E908*(1+G908)*H908)</f>
        <v/>
      </c>
      <c r="J908" s="69" t="str">
        <f>IF(AND(A908="",B908=""),"",IF(A908="","Produit manquant",IF(COUNTIF(prod_ref,A908)=0,"Produit inconnu",IF(B908="","Matière manquante",IF(ISNA(MATCH(B908,mat_ref,0)),"Matière inconnue",IF(INDEX(mat_check,MATCH(B908,mat_ref,0))&lt;&gt;"OK","Matière à corriger",IF(OR(NOT(ISNUMBER(E908)),N(E908)&lt;=0),"Quantité invalide",IF(AND(F908&lt;&gt;"",OR(NOT(ISNUMBER(F908)),N(F908)&lt;0,N(F908)&gt;=1)),"Perte entre 0 et 99 %",IF(COUNTIFS(bom_prod,A908,bom_mat,B908)&gt;1,"Matière en double","OK")))))))))</f>
        <v/>
      </c>
      <c r="K908" s="71" t="str">
        <f>IF(AND(fiche_sel&lt;&gt;"",A908=fiche_sel),COUNTIF(A$6:A908,fiche_sel),"")</f>
        <v/>
      </c>
    </row>
    <row r="909">
      <c r="A909" s="60" t="n"/>
      <c r="B909" s="60" t="n"/>
      <c r="C909" s="71" t="str">
        <f>IF(B909="","",IFERROR(INDEX(mat_des,MATCH(B909,mat_ref,0))&amp;"","Matière inconnue"))</f>
        <v/>
      </c>
      <c r="D909" s="69" t="str">
        <f>IF(B909="","",IFERROR(INDEX(mat_unit,MATCH(B909,mat_ref,0))&amp;"",""))</f>
        <v/>
      </c>
      <c r="E909" s="72" t="n"/>
      <c r="F909" s="65" t="n"/>
      <c r="G909" s="68" t="str">
        <f>IF(J909&lt;&gt;"OK","",IF(F909="",N(INDEX(mat_loss,MATCH(B909,mat_ref,0))),F909))</f>
        <v/>
      </c>
      <c r="H909" s="66" t="str">
        <f>IF(J909&lt;&gt;"OK","",INDEX(mat_price,MATCH(B909,mat_ref,0)))</f>
        <v/>
      </c>
      <c r="I909" s="66" t="str">
        <f>IF(J909&lt;&gt;"OK","",E909*(1+G909)*H909)</f>
        <v/>
      </c>
      <c r="J909" s="69" t="str">
        <f>IF(AND(A909="",B909=""),"",IF(A909="","Produit manquant",IF(COUNTIF(prod_ref,A909)=0,"Produit inconnu",IF(B909="","Matière manquante",IF(ISNA(MATCH(B909,mat_ref,0)),"Matière inconnue",IF(INDEX(mat_check,MATCH(B909,mat_ref,0))&lt;&gt;"OK","Matière à corriger",IF(OR(NOT(ISNUMBER(E909)),N(E909)&lt;=0),"Quantité invalide",IF(AND(F909&lt;&gt;"",OR(NOT(ISNUMBER(F909)),N(F909)&lt;0,N(F909)&gt;=1)),"Perte entre 0 et 99 %",IF(COUNTIFS(bom_prod,A909,bom_mat,B909)&gt;1,"Matière en double","OK")))))))))</f>
        <v/>
      </c>
      <c r="K909" s="71" t="str">
        <f>IF(AND(fiche_sel&lt;&gt;"",A909=fiche_sel),COUNTIF(A$6:A909,fiche_sel),"")</f>
        <v/>
      </c>
    </row>
    <row r="910">
      <c r="A910" s="60" t="n"/>
      <c r="B910" s="60" t="n"/>
      <c r="C910" s="71" t="str">
        <f>IF(B910="","",IFERROR(INDEX(mat_des,MATCH(B910,mat_ref,0))&amp;"","Matière inconnue"))</f>
        <v/>
      </c>
      <c r="D910" s="69" t="str">
        <f>IF(B910="","",IFERROR(INDEX(mat_unit,MATCH(B910,mat_ref,0))&amp;"",""))</f>
        <v/>
      </c>
      <c r="E910" s="72" t="n"/>
      <c r="F910" s="65" t="n"/>
      <c r="G910" s="68" t="str">
        <f>IF(J910&lt;&gt;"OK","",IF(F910="",N(INDEX(mat_loss,MATCH(B910,mat_ref,0))),F910))</f>
        <v/>
      </c>
      <c r="H910" s="66" t="str">
        <f>IF(J910&lt;&gt;"OK","",INDEX(mat_price,MATCH(B910,mat_ref,0)))</f>
        <v/>
      </c>
      <c r="I910" s="66" t="str">
        <f>IF(J910&lt;&gt;"OK","",E910*(1+G910)*H910)</f>
        <v/>
      </c>
      <c r="J910" s="69" t="str">
        <f>IF(AND(A910="",B910=""),"",IF(A910="","Produit manquant",IF(COUNTIF(prod_ref,A910)=0,"Produit inconnu",IF(B910="","Matière manquante",IF(ISNA(MATCH(B910,mat_ref,0)),"Matière inconnue",IF(INDEX(mat_check,MATCH(B910,mat_ref,0))&lt;&gt;"OK","Matière à corriger",IF(OR(NOT(ISNUMBER(E910)),N(E910)&lt;=0),"Quantité invalide",IF(AND(F910&lt;&gt;"",OR(NOT(ISNUMBER(F910)),N(F910)&lt;0,N(F910)&gt;=1)),"Perte entre 0 et 99 %",IF(COUNTIFS(bom_prod,A910,bom_mat,B910)&gt;1,"Matière en double","OK")))))))))</f>
        <v/>
      </c>
      <c r="K910" s="71" t="str">
        <f>IF(AND(fiche_sel&lt;&gt;"",A910=fiche_sel),COUNTIF(A$6:A910,fiche_sel),"")</f>
        <v/>
      </c>
    </row>
    <row r="911">
      <c r="A911" s="60" t="n"/>
      <c r="B911" s="60" t="n"/>
      <c r="C911" s="71" t="str">
        <f>IF(B911="","",IFERROR(INDEX(mat_des,MATCH(B911,mat_ref,0))&amp;"","Matière inconnue"))</f>
        <v/>
      </c>
      <c r="D911" s="69" t="str">
        <f>IF(B911="","",IFERROR(INDEX(mat_unit,MATCH(B911,mat_ref,0))&amp;"",""))</f>
        <v/>
      </c>
      <c r="E911" s="72" t="n"/>
      <c r="F911" s="65" t="n"/>
      <c r="G911" s="68" t="str">
        <f>IF(J911&lt;&gt;"OK","",IF(F911="",N(INDEX(mat_loss,MATCH(B911,mat_ref,0))),F911))</f>
        <v/>
      </c>
      <c r="H911" s="66" t="str">
        <f>IF(J911&lt;&gt;"OK","",INDEX(mat_price,MATCH(B911,mat_ref,0)))</f>
        <v/>
      </c>
      <c r="I911" s="66" t="str">
        <f>IF(J911&lt;&gt;"OK","",E911*(1+G911)*H911)</f>
        <v/>
      </c>
      <c r="J911" s="69" t="str">
        <f>IF(AND(A911="",B911=""),"",IF(A911="","Produit manquant",IF(COUNTIF(prod_ref,A911)=0,"Produit inconnu",IF(B911="","Matière manquante",IF(ISNA(MATCH(B911,mat_ref,0)),"Matière inconnue",IF(INDEX(mat_check,MATCH(B911,mat_ref,0))&lt;&gt;"OK","Matière à corriger",IF(OR(NOT(ISNUMBER(E911)),N(E911)&lt;=0),"Quantité invalide",IF(AND(F911&lt;&gt;"",OR(NOT(ISNUMBER(F911)),N(F911)&lt;0,N(F911)&gt;=1)),"Perte entre 0 et 99 %",IF(COUNTIFS(bom_prod,A911,bom_mat,B911)&gt;1,"Matière en double","OK")))))))))</f>
        <v/>
      </c>
      <c r="K911" s="71" t="str">
        <f>IF(AND(fiche_sel&lt;&gt;"",A911=fiche_sel),COUNTIF(A$6:A911,fiche_sel),"")</f>
        <v/>
      </c>
    </row>
    <row r="912">
      <c r="A912" s="60" t="n"/>
      <c r="B912" s="60" t="n"/>
      <c r="C912" s="71" t="str">
        <f>IF(B912="","",IFERROR(INDEX(mat_des,MATCH(B912,mat_ref,0))&amp;"","Matière inconnue"))</f>
        <v/>
      </c>
      <c r="D912" s="69" t="str">
        <f>IF(B912="","",IFERROR(INDEX(mat_unit,MATCH(B912,mat_ref,0))&amp;"",""))</f>
        <v/>
      </c>
      <c r="E912" s="72" t="n"/>
      <c r="F912" s="65" t="n"/>
      <c r="G912" s="68" t="str">
        <f>IF(J912&lt;&gt;"OK","",IF(F912="",N(INDEX(mat_loss,MATCH(B912,mat_ref,0))),F912))</f>
        <v/>
      </c>
      <c r="H912" s="66" t="str">
        <f>IF(J912&lt;&gt;"OK","",INDEX(mat_price,MATCH(B912,mat_ref,0)))</f>
        <v/>
      </c>
      <c r="I912" s="66" t="str">
        <f>IF(J912&lt;&gt;"OK","",E912*(1+G912)*H912)</f>
        <v/>
      </c>
      <c r="J912" s="69" t="str">
        <f>IF(AND(A912="",B912=""),"",IF(A912="","Produit manquant",IF(COUNTIF(prod_ref,A912)=0,"Produit inconnu",IF(B912="","Matière manquante",IF(ISNA(MATCH(B912,mat_ref,0)),"Matière inconnue",IF(INDEX(mat_check,MATCH(B912,mat_ref,0))&lt;&gt;"OK","Matière à corriger",IF(OR(NOT(ISNUMBER(E912)),N(E912)&lt;=0),"Quantité invalide",IF(AND(F912&lt;&gt;"",OR(NOT(ISNUMBER(F912)),N(F912)&lt;0,N(F912)&gt;=1)),"Perte entre 0 et 99 %",IF(COUNTIFS(bom_prod,A912,bom_mat,B912)&gt;1,"Matière en double","OK")))))))))</f>
        <v/>
      </c>
      <c r="K912" s="71" t="str">
        <f>IF(AND(fiche_sel&lt;&gt;"",A912=fiche_sel),COUNTIF(A$6:A912,fiche_sel),"")</f>
        <v/>
      </c>
    </row>
    <row r="913">
      <c r="A913" s="60" t="n"/>
      <c r="B913" s="60" t="n"/>
      <c r="C913" s="71" t="str">
        <f>IF(B913="","",IFERROR(INDEX(mat_des,MATCH(B913,mat_ref,0))&amp;"","Matière inconnue"))</f>
        <v/>
      </c>
      <c r="D913" s="69" t="str">
        <f>IF(B913="","",IFERROR(INDEX(mat_unit,MATCH(B913,mat_ref,0))&amp;"",""))</f>
        <v/>
      </c>
      <c r="E913" s="72" t="n"/>
      <c r="F913" s="65" t="n"/>
      <c r="G913" s="68" t="str">
        <f>IF(J913&lt;&gt;"OK","",IF(F913="",N(INDEX(mat_loss,MATCH(B913,mat_ref,0))),F913))</f>
        <v/>
      </c>
      <c r="H913" s="66" t="str">
        <f>IF(J913&lt;&gt;"OK","",INDEX(mat_price,MATCH(B913,mat_ref,0)))</f>
        <v/>
      </c>
      <c r="I913" s="66" t="str">
        <f>IF(J913&lt;&gt;"OK","",E913*(1+G913)*H913)</f>
        <v/>
      </c>
      <c r="J913" s="69" t="str">
        <f>IF(AND(A913="",B913=""),"",IF(A913="","Produit manquant",IF(COUNTIF(prod_ref,A913)=0,"Produit inconnu",IF(B913="","Matière manquante",IF(ISNA(MATCH(B913,mat_ref,0)),"Matière inconnue",IF(INDEX(mat_check,MATCH(B913,mat_ref,0))&lt;&gt;"OK","Matière à corriger",IF(OR(NOT(ISNUMBER(E913)),N(E913)&lt;=0),"Quantité invalide",IF(AND(F913&lt;&gt;"",OR(NOT(ISNUMBER(F913)),N(F913)&lt;0,N(F913)&gt;=1)),"Perte entre 0 et 99 %",IF(COUNTIFS(bom_prod,A913,bom_mat,B913)&gt;1,"Matière en double","OK")))))))))</f>
        <v/>
      </c>
      <c r="K913" s="71" t="str">
        <f>IF(AND(fiche_sel&lt;&gt;"",A913=fiche_sel),COUNTIF(A$6:A913,fiche_sel),"")</f>
        <v/>
      </c>
    </row>
    <row r="914">
      <c r="A914" s="60" t="n"/>
      <c r="B914" s="60" t="n"/>
      <c r="C914" s="71" t="str">
        <f>IF(B914="","",IFERROR(INDEX(mat_des,MATCH(B914,mat_ref,0))&amp;"","Matière inconnue"))</f>
        <v/>
      </c>
      <c r="D914" s="69" t="str">
        <f>IF(B914="","",IFERROR(INDEX(mat_unit,MATCH(B914,mat_ref,0))&amp;"",""))</f>
        <v/>
      </c>
      <c r="E914" s="72" t="n"/>
      <c r="F914" s="65" t="n"/>
      <c r="G914" s="68" t="str">
        <f>IF(J914&lt;&gt;"OK","",IF(F914="",N(INDEX(mat_loss,MATCH(B914,mat_ref,0))),F914))</f>
        <v/>
      </c>
      <c r="H914" s="66" t="str">
        <f>IF(J914&lt;&gt;"OK","",INDEX(mat_price,MATCH(B914,mat_ref,0)))</f>
        <v/>
      </c>
      <c r="I914" s="66" t="str">
        <f>IF(J914&lt;&gt;"OK","",E914*(1+G914)*H914)</f>
        <v/>
      </c>
      <c r="J914" s="69" t="str">
        <f>IF(AND(A914="",B914=""),"",IF(A914="","Produit manquant",IF(COUNTIF(prod_ref,A914)=0,"Produit inconnu",IF(B914="","Matière manquante",IF(ISNA(MATCH(B914,mat_ref,0)),"Matière inconnue",IF(INDEX(mat_check,MATCH(B914,mat_ref,0))&lt;&gt;"OK","Matière à corriger",IF(OR(NOT(ISNUMBER(E914)),N(E914)&lt;=0),"Quantité invalide",IF(AND(F914&lt;&gt;"",OR(NOT(ISNUMBER(F914)),N(F914)&lt;0,N(F914)&gt;=1)),"Perte entre 0 et 99 %",IF(COUNTIFS(bom_prod,A914,bom_mat,B914)&gt;1,"Matière en double","OK")))))))))</f>
        <v/>
      </c>
      <c r="K914" s="71" t="str">
        <f>IF(AND(fiche_sel&lt;&gt;"",A914=fiche_sel),COUNTIF(A$6:A914,fiche_sel),"")</f>
        <v/>
      </c>
    </row>
    <row r="915">
      <c r="A915" s="60" t="n"/>
      <c r="B915" s="60" t="n"/>
      <c r="C915" s="71" t="str">
        <f>IF(B915="","",IFERROR(INDEX(mat_des,MATCH(B915,mat_ref,0))&amp;"","Matière inconnue"))</f>
        <v/>
      </c>
      <c r="D915" s="69" t="str">
        <f>IF(B915="","",IFERROR(INDEX(mat_unit,MATCH(B915,mat_ref,0))&amp;"",""))</f>
        <v/>
      </c>
      <c r="E915" s="72" t="n"/>
      <c r="F915" s="65" t="n"/>
      <c r="G915" s="68" t="str">
        <f>IF(J915&lt;&gt;"OK","",IF(F915="",N(INDEX(mat_loss,MATCH(B915,mat_ref,0))),F915))</f>
        <v/>
      </c>
      <c r="H915" s="66" t="str">
        <f>IF(J915&lt;&gt;"OK","",INDEX(mat_price,MATCH(B915,mat_ref,0)))</f>
        <v/>
      </c>
      <c r="I915" s="66" t="str">
        <f>IF(J915&lt;&gt;"OK","",E915*(1+G915)*H915)</f>
        <v/>
      </c>
      <c r="J915" s="69" t="str">
        <f>IF(AND(A915="",B915=""),"",IF(A915="","Produit manquant",IF(COUNTIF(prod_ref,A915)=0,"Produit inconnu",IF(B915="","Matière manquante",IF(ISNA(MATCH(B915,mat_ref,0)),"Matière inconnue",IF(INDEX(mat_check,MATCH(B915,mat_ref,0))&lt;&gt;"OK","Matière à corriger",IF(OR(NOT(ISNUMBER(E915)),N(E915)&lt;=0),"Quantité invalide",IF(AND(F915&lt;&gt;"",OR(NOT(ISNUMBER(F915)),N(F915)&lt;0,N(F915)&gt;=1)),"Perte entre 0 et 99 %",IF(COUNTIFS(bom_prod,A915,bom_mat,B915)&gt;1,"Matière en double","OK")))))))))</f>
        <v/>
      </c>
      <c r="K915" s="71" t="str">
        <f>IF(AND(fiche_sel&lt;&gt;"",A915=fiche_sel),COUNTIF(A$6:A915,fiche_sel),"")</f>
        <v/>
      </c>
    </row>
    <row r="916">
      <c r="A916" s="60" t="n"/>
      <c r="B916" s="60" t="n"/>
      <c r="C916" s="71" t="str">
        <f>IF(B916="","",IFERROR(INDEX(mat_des,MATCH(B916,mat_ref,0))&amp;"","Matière inconnue"))</f>
        <v/>
      </c>
      <c r="D916" s="69" t="str">
        <f>IF(B916="","",IFERROR(INDEX(mat_unit,MATCH(B916,mat_ref,0))&amp;"",""))</f>
        <v/>
      </c>
      <c r="E916" s="72" t="n"/>
      <c r="F916" s="65" t="n"/>
      <c r="G916" s="68" t="str">
        <f>IF(J916&lt;&gt;"OK","",IF(F916="",N(INDEX(mat_loss,MATCH(B916,mat_ref,0))),F916))</f>
        <v/>
      </c>
      <c r="H916" s="66" t="str">
        <f>IF(J916&lt;&gt;"OK","",INDEX(mat_price,MATCH(B916,mat_ref,0)))</f>
        <v/>
      </c>
      <c r="I916" s="66" t="str">
        <f>IF(J916&lt;&gt;"OK","",E916*(1+G916)*H916)</f>
        <v/>
      </c>
      <c r="J916" s="69" t="str">
        <f>IF(AND(A916="",B916=""),"",IF(A916="","Produit manquant",IF(COUNTIF(prod_ref,A916)=0,"Produit inconnu",IF(B916="","Matière manquante",IF(ISNA(MATCH(B916,mat_ref,0)),"Matière inconnue",IF(INDEX(mat_check,MATCH(B916,mat_ref,0))&lt;&gt;"OK","Matière à corriger",IF(OR(NOT(ISNUMBER(E916)),N(E916)&lt;=0),"Quantité invalide",IF(AND(F916&lt;&gt;"",OR(NOT(ISNUMBER(F916)),N(F916)&lt;0,N(F916)&gt;=1)),"Perte entre 0 et 99 %",IF(COUNTIFS(bom_prod,A916,bom_mat,B916)&gt;1,"Matière en double","OK")))))))))</f>
        <v/>
      </c>
      <c r="K916" s="71" t="str">
        <f>IF(AND(fiche_sel&lt;&gt;"",A916=fiche_sel),COUNTIF(A$6:A916,fiche_sel),"")</f>
        <v/>
      </c>
    </row>
    <row r="917">
      <c r="A917" s="60" t="n"/>
      <c r="B917" s="60" t="n"/>
      <c r="C917" s="71" t="str">
        <f>IF(B917="","",IFERROR(INDEX(mat_des,MATCH(B917,mat_ref,0))&amp;"","Matière inconnue"))</f>
        <v/>
      </c>
      <c r="D917" s="69" t="str">
        <f>IF(B917="","",IFERROR(INDEX(mat_unit,MATCH(B917,mat_ref,0))&amp;"",""))</f>
        <v/>
      </c>
      <c r="E917" s="72" t="n"/>
      <c r="F917" s="65" t="n"/>
      <c r="G917" s="68" t="str">
        <f>IF(J917&lt;&gt;"OK","",IF(F917="",N(INDEX(mat_loss,MATCH(B917,mat_ref,0))),F917))</f>
        <v/>
      </c>
      <c r="H917" s="66" t="str">
        <f>IF(J917&lt;&gt;"OK","",INDEX(mat_price,MATCH(B917,mat_ref,0)))</f>
        <v/>
      </c>
      <c r="I917" s="66" t="str">
        <f>IF(J917&lt;&gt;"OK","",E917*(1+G917)*H917)</f>
        <v/>
      </c>
      <c r="J917" s="69" t="str">
        <f>IF(AND(A917="",B917=""),"",IF(A917="","Produit manquant",IF(COUNTIF(prod_ref,A917)=0,"Produit inconnu",IF(B917="","Matière manquante",IF(ISNA(MATCH(B917,mat_ref,0)),"Matière inconnue",IF(INDEX(mat_check,MATCH(B917,mat_ref,0))&lt;&gt;"OK","Matière à corriger",IF(OR(NOT(ISNUMBER(E917)),N(E917)&lt;=0),"Quantité invalide",IF(AND(F917&lt;&gt;"",OR(NOT(ISNUMBER(F917)),N(F917)&lt;0,N(F917)&gt;=1)),"Perte entre 0 et 99 %",IF(COUNTIFS(bom_prod,A917,bom_mat,B917)&gt;1,"Matière en double","OK")))))))))</f>
        <v/>
      </c>
      <c r="K917" s="71" t="str">
        <f>IF(AND(fiche_sel&lt;&gt;"",A917=fiche_sel),COUNTIF(A$6:A917,fiche_sel),"")</f>
        <v/>
      </c>
    </row>
    <row r="918">
      <c r="A918" s="60" t="n"/>
      <c r="B918" s="60" t="n"/>
      <c r="C918" s="71" t="str">
        <f>IF(B918="","",IFERROR(INDEX(mat_des,MATCH(B918,mat_ref,0))&amp;"","Matière inconnue"))</f>
        <v/>
      </c>
      <c r="D918" s="69" t="str">
        <f>IF(B918="","",IFERROR(INDEX(mat_unit,MATCH(B918,mat_ref,0))&amp;"",""))</f>
        <v/>
      </c>
      <c r="E918" s="72" t="n"/>
      <c r="F918" s="65" t="n"/>
      <c r="G918" s="68" t="str">
        <f>IF(J918&lt;&gt;"OK","",IF(F918="",N(INDEX(mat_loss,MATCH(B918,mat_ref,0))),F918))</f>
        <v/>
      </c>
      <c r="H918" s="66" t="str">
        <f>IF(J918&lt;&gt;"OK","",INDEX(mat_price,MATCH(B918,mat_ref,0)))</f>
        <v/>
      </c>
      <c r="I918" s="66" t="str">
        <f>IF(J918&lt;&gt;"OK","",E918*(1+G918)*H918)</f>
        <v/>
      </c>
      <c r="J918" s="69" t="str">
        <f>IF(AND(A918="",B918=""),"",IF(A918="","Produit manquant",IF(COUNTIF(prod_ref,A918)=0,"Produit inconnu",IF(B918="","Matière manquante",IF(ISNA(MATCH(B918,mat_ref,0)),"Matière inconnue",IF(INDEX(mat_check,MATCH(B918,mat_ref,0))&lt;&gt;"OK","Matière à corriger",IF(OR(NOT(ISNUMBER(E918)),N(E918)&lt;=0),"Quantité invalide",IF(AND(F918&lt;&gt;"",OR(NOT(ISNUMBER(F918)),N(F918)&lt;0,N(F918)&gt;=1)),"Perte entre 0 et 99 %",IF(COUNTIFS(bom_prod,A918,bom_mat,B918)&gt;1,"Matière en double","OK")))))))))</f>
        <v/>
      </c>
      <c r="K918" s="71" t="str">
        <f>IF(AND(fiche_sel&lt;&gt;"",A918=fiche_sel),COUNTIF(A$6:A918,fiche_sel),"")</f>
        <v/>
      </c>
    </row>
    <row r="919">
      <c r="A919" s="60" t="n"/>
      <c r="B919" s="60" t="n"/>
      <c r="C919" s="71" t="str">
        <f>IF(B919="","",IFERROR(INDEX(mat_des,MATCH(B919,mat_ref,0))&amp;"","Matière inconnue"))</f>
        <v/>
      </c>
      <c r="D919" s="69" t="str">
        <f>IF(B919="","",IFERROR(INDEX(mat_unit,MATCH(B919,mat_ref,0))&amp;"",""))</f>
        <v/>
      </c>
      <c r="E919" s="72" t="n"/>
      <c r="F919" s="65" t="n"/>
      <c r="G919" s="68" t="str">
        <f>IF(J919&lt;&gt;"OK","",IF(F919="",N(INDEX(mat_loss,MATCH(B919,mat_ref,0))),F919))</f>
        <v/>
      </c>
      <c r="H919" s="66" t="str">
        <f>IF(J919&lt;&gt;"OK","",INDEX(mat_price,MATCH(B919,mat_ref,0)))</f>
        <v/>
      </c>
      <c r="I919" s="66" t="str">
        <f>IF(J919&lt;&gt;"OK","",E919*(1+G919)*H919)</f>
        <v/>
      </c>
      <c r="J919" s="69" t="str">
        <f>IF(AND(A919="",B919=""),"",IF(A919="","Produit manquant",IF(COUNTIF(prod_ref,A919)=0,"Produit inconnu",IF(B919="","Matière manquante",IF(ISNA(MATCH(B919,mat_ref,0)),"Matière inconnue",IF(INDEX(mat_check,MATCH(B919,mat_ref,0))&lt;&gt;"OK","Matière à corriger",IF(OR(NOT(ISNUMBER(E919)),N(E919)&lt;=0),"Quantité invalide",IF(AND(F919&lt;&gt;"",OR(NOT(ISNUMBER(F919)),N(F919)&lt;0,N(F919)&gt;=1)),"Perte entre 0 et 99 %",IF(COUNTIFS(bom_prod,A919,bom_mat,B919)&gt;1,"Matière en double","OK")))))))))</f>
        <v/>
      </c>
      <c r="K919" s="71" t="str">
        <f>IF(AND(fiche_sel&lt;&gt;"",A919=fiche_sel),COUNTIF(A$6:A919,fiche_sel),"")</f>
        <v/>
      </c>
    </row>
    <row r="920">
      <c r="A920" s="60" t="n"/>
      <c r="B920" s="60" t="n"/>
      <c r="C920" s="71" t="str">
        <f>IF(B920="","",IFERROR(INDEX(mat_des,MATCH(B920,mat_ref,0))&amp;"","Matière inconnue"))</f>
        <v/>
      </c>
      <c r="D920" s="69" t="str">
        <f>IF(B920="","",IFERROR(INDEX(mat_unit,MATCH(B920,mat_ref,0))&amp;"",""))</f>
        <v/>
      </c>
      <c r="E920" s="72" t="n"/>
      <c r="F920" s="65" t="n"/>
      <c r="G920" s="68" t="str">
        <f>IF(J920&lt;&gt;"OK","",IF(F920="",N(INDEX(mat_loss,MATCH(B920,mat_ref,0))),F920))</f>
        <v/>
      </c>
      <c r="H920" s="66" t="str">
        <f>IF(J920&lt;&gt;"OK","",INDEX(mat_price,MATCH(B920,mat_ref,0)))</f>
        <v/>
      </c>
      <c r="I920" s="66" t="str">
        <f>IF(J920&lt;&gt;"OK","",E920*(1+G920)*H920)</f>
        <v/>
      </c>
      <c r="J920" s="69" t="str">
        <f>IF(AND(A920="",B920=""),"",IF(A920="","Produit manquant",IF(COUNTIF(prod_ref,A920)=0,"Produit inconnu",IF(B920="","Matière manquante",IF(ISNA(MATCH(B920,mat_ref,0)),"Matière inconnue",IF(INDEX(mat_check,MATCH(B920,mat_ref,0))&lt;&gt;"OK","Matière à corriger",IF(OR(NOT(ISNUMBER(E920)),N(E920)&lt;=0),"Quantité invalide",IF(AND(F920&lt;&gt;"",OR(NOT(ISNUMBER(F920)),N(F920)&lt;0,N(F920)&gt;=1)),"Perte entre 0 et 99 %",IF(COUNTIFS(bom_prod,A920,bom_mat,B920)&gt;1,"Matière en double","OK")))))))))</f>
        <v/>
      </c>
      <c r="K920" s="71" t="str">
        <f>IF(AND(fiche_sel&lt;&gt;"",A920=fiche_sel),COUNTIF(A$6:A920,fiche_sel),"")</f>
        <v/>
      </c>
    </row>
    <row r="921">
      <c r="A921" s="60" t="n"/>
      <c r="B921" s="60" t="n"/>
      <c r="C921" s="71" t="str">
        <f>IF(B921="","",IFERROR(INDEX(mat_des,MATCH(B921,mat_ref,0))&amp;"","Matière inconnue"))</f>
        <v/>
      </c>
      <c r="D921" s="69" t="str">
        <f>IF(B921="","",IFERROR(INDEX(mat_unit,MATCH(B921,mat_ref,0))&amp;"",""))</f>
        <v/>
      </c>
      <c r="E921" s="72" t="n"/>
      <c r="F921" s="65" t="n"/>
      <c r="G921" s="68" t="str">
        <f>IF(J921&lt;&gt;"OK","",IF(F921="",N(INDEX(mat_loss,MATCH(B921,mat_ref,0))),F921))</f>
        <v/>
      </c>
      <c r="H921" s="66" t="str">
        <f>IF(J921&lt;&gt;"OK","",INDEX(mat_price,MATCH(B921,mat_ref,0)))</f>
        <v/>
      </c>
      <c r="I921" s="66" t="str">
        <f>IF(J921&lt;&gt;"OK","",E921*(1+G921)*H921)</f>
        <v/>
      </c>
      <c r="J921" s="69" t="str">
        <f>IF(AND(A921="",B921=""),"",IF(A921="","Produit manquant",IF(COUNTIF(prod_ref,A921)=0,"Produit inconnu",IF(B921="","Matière manquante",IF(ISNA(MATCH(B921,mat_ref,0)),"Matière inconnue",IF(INDEX(mat_check,MATCH(B921,mat_ref,0))&lt;&gt;"OK","Matière à corriger",IF(OR(NOT(ISNUMBER(E921)),N(E921)&lt;=0),"Quantité invalide",IF(AND(F921&lt;&gt;"",OR(NOT(ISNUMBER(F921)),N(F921)&lt;0,N(F921)&gt;=1)),"Perte entre 0 et 99 %",IF(COUNTIFS(bom_prod,A921,bom_mat,B921)&gt;1,"Matière en double","OK")))))))))</f>
        <v/>
      </c>
      <c r="K921" s="71" t="str">
        <f>IF(AND(fiche_sel&lt;&gt;"",A921=fiche_sel),COUNTIF(A$6:A921,fiche_sel),"")</f>
        <v/>
      </c>
    </row>
    <row r="922">
      <c r="A922" s="60" t="n"/>
      <c r="B922" s="60" t="n"/>
      <c r="C922" s="71" t="str">
        <f>IF(B922="","",IFERROR(INDEX(mat_des,MATCH(B922,mat_ref,0))&amp;"","Matière inconnue"))</f>
        <v/>
      </c>
      <c r="D922" s="69" t="str">
        <f>IF(B922="","",IFERROR(INDEX(mat_unit,MATCH(B922,mat_ref,0))&amp;"",""))</f>
        <v/>
      </c>
      <c r="E922" s="72" t="n"/>
      <c r="F922" s="65" t="n"/>
      <c r="G922" s="68" t="str">
        <f>IF(J922&lt;&gt;"OK","",IF(F922="",N(INDEX(mat_loss,MATCH(B922,mat_ref,0))),F922))</f>
        <v/>
      </c>
      <c r="H922" s="66" t="str">
        <f>IF(J922&lt;&gt;"OK","",INDEX(mat_price,MATCH(B922,mat_ref,0)))</f>
        <v/>
      </c>
      <c r="I922" s="66" t="str">
        <f>IF(J922&lt;&gt;"OK","",E922*(1+G922)*H922)</f>
        <v/>
      </c>
      <c r="J922" s="69" t="str">
        <f>IF(AND(A922="",B922=""),"",IF(A922="","Produit manquant",IF(COUNTIF(prod_ref,A922)=0,"Produit inconnu",IF(B922="","Matière manquante",IF(ISNA(MATCH(B922,mat_ref,0)),"Matière inconnue",IF(INDEX(mat_check,MATCH(B922,mat_ref,0))&lt;&gt;"OK","Matière à corriger",IF(OR(NOT(ISNUMBER(E922)),N(E922)&lt;=0),"Quantité invalide",IF(AND(F922&lt;&gt;"",OR(NOT(ISNUMBER(F922)),N(F922)&lt;0,N(F922)&gt;=1)),"Perte entre 0 et 99 %",IF(COUNTIFS(bom_prod,A922,bom_mat,B922)&gt;1,"Matière en double","OK")))))))))</f>
        <v/>
      </c>
      <c r="K922" s="71" t="str">
        <f>IF(AND(fiche_sel&lt;&gt;"",A922=fiche_sel),COUNTIF(A$6:A922,fiche_sel),"")</f>
        <v/>
      </c>
    </row>
    <row r="923">
      <c r="A923" s="60" t="n"/>
      <c r="B923" s="60" t="n"/>
      <c r="C923" s="71" t="str">
        <f>IF(B923="","",IFERROR(INDEX(mat_des,MATCH(B923,mat_ref,0))&amp;"","Matière inconnue"))</f>
        <v/>
      </c>
      <c r="D923" s="69" t="str">
        <f>IF(B923="","",IFERROR(INDEX(mat_unit,MATCH(B923,mat_ref,0))&amp;"",""))</f>
        <v/>
      </c>
      <c r="E923" s="72" t="n"/>
      <c r="F923" s="65" t="n"/>
      <c r="G923" s="68" t="str">
        <f>IF(J923&lt;&gt;"OK","",IF(F923="",N(INDEX(mat_loss,MATCH(B923,mat_ref,0))),F923))</f>
        <v/>
      </c>
      <c r="H923" s="66" t="str">
        <f>IF(J923&lt;&gt;"OK","",INDEX(mat_price,MATCH(B923,mat_ref,0)))</f>
        <v/>
      </c>
      <c r="I923" s="66" t="str">
        <f>IF(J923&lt;&gt;"OK","",E923*(1+G923)*H923)</f>
        <v/>
      </c>
      <c r="J923" s="69" t="str">
        <f>IF(AND(A923="",B923=""),"",IF(A923="","Produit manquant",IF(COUNTIF(prod_ref,A923)=0,"Produit inconnu",IF(B923="","Matière manquante",IF(ISNA(MATCH(B923,mat_ref,0)),"Matière inconnue",IF(INDEX(mat_check,MATCH(B923,mat_ref,0))&lt;&gt;"OK","Matière à corriger",IF(OR(NOT(ISNUMBER(E923)),N(E923)&lt;=0),"Quantité invalide",IF(AND(F923&lt;&gt;"",OR(NOT(ISNUMBER(F923)),N(F923)&lt;0,N(F923)&gt;=1)),"Perte entre 0 et 99 %",IF(COUNTIFS(bom_prod,A923,bom_mat,B923)&gt;1,"Matière en double","OK")))))))))</f>
        <v/>
      </c>
      <c r="K923" s="71" t="str">
        <f>IF(AND(fiche_sel&lt;&gt;"",A923=fiche_sel),COUNTIF(A$6:A923,fiche_sel),"")</f>
        <v/>
      </c>
    </row>
    <row r="924">
      <c r="A924" s="60" t="n"/>
      <c r="B924" s="60" t="n"/>
      <c r="C924" s="71" t="str">
        <f>IF(B924="","",IFERROR(INDEX(mat_des,MATCH(B924,mat_ref,0))&amp;"","Matière inconnue"))</f>
        <v/>
      </c>
      <c r="D924" s="69" t="str">
        <f>IF(B924="","",IFERROR(INDEX(mat_unit,MATCH(B924,mat_ref,0))&amp;"",""))</f>
        <v/>
      </c>
      <c r="E924" s="72" t="n"/>
      <c r="F924" s="65" t="n"/>
      <c r="G924" s="68" t="str">
        <f>IF(J924&lt;&gt;"OK","",IF(F924="",N(INDEX(mat_loss,MATCH(B924,mat_ref,0))),F924))</f>
        <v/>
      </c>
      <c r="H924" s="66" t="str">
        <f>IF(J924&lt;&gt;"OK","",INDEX(mat_price,MATCH(B924,mat_ref,0)))</f>
        <v/>
      </c>
      <c r="I924" s="66" t="str">
        <f>IF(J924&lt;&gt;"OK","",E924*(1+G924)*H924)</f>
        <v/>
      </c>
      <c r="J924" s="69" t="str">
        <f>IF(AND(A924="",B924=""),"",IF(A924="","Produit manquant",IF(COUNTIF(prod_ref,A924)=0,"Produit inconnu",IF(B924="","Matière manquante",IF(ISNA(MATCH(B924,mat_ref,0)),"Matière inconnue",IF(INDEX(mat_check,MATCH(B924,mat_ref,0))&lt;&gt;"OK","Matière à corriger",IF(OR(NOT(ISNUMBER(E924)),N(E924)&lt;=0),"Quantité invalide",IF(AND(F924&lt;&gt;"",OR(NOT(ISNUMBER(F924)),N(F924)&lt;0,N(F924)&gt;=1)),"Perte entre 0 et 99 %",IF(COUNTIFS(bom_prod,A924,bom_mat,B924)&gt;1,"Matière en double","OK")))))))))</f>
        <v/>
      </c>
      <c r="K924" s="71" t="str">
        <f>IF(AND(fiche_sel&lt;&gt;"",A924=fiche_sel),COUNTIF(A$6:A924,fiche_sel),"")</f>
        <v/>
      </c>
    </row>
    <row r="925">
      <c r="A925" s="60" t="n"/>
      <c r="B925" s="60" t="n"/>
      <c r="C925" s="71" t="str">
        <f>IF(B925="","",IFERROR(INDEX(mat_des,MATCH(B925,mat_ref,0))&amp;"","Matière inconnue"))</f>
        <v/>
      </c>
      <c r="D925" s="69" t="str">
        <f>IF(B925="","",IFERROR(INDEX(mat_unit,MATCH(B925,mat_ref,0))&amp;"",""))</f>
        <v/>
      </c>
      <c r="E925" s="72" t="n"/>
      <c r="F925" s="65" t="n"/>
      <c r="G925" s="68" t="str">
        <f>IF(J925&lt;&gt;"OK","",IF(F925="",N(INDEX(mat_loss,MATCH(B925,mat_ref,0))),F925))</f>
        <v/>
      </c>
      <c r="H925" s="66" t="str">
        <f>IF(J925&lt;&gt;"OK","",INDEX(mat_price,MATCH(B925,mat_ref,0)))</f>
        <v/>
      </c>
      <c r="I925" s="66" t="str">
        <f>IF(J925&lt;&gt;"OK","",E925*(1+G925)*H925)</f>
        <v/>
      </c>
      <c r="J925" s="69" t="str">
        <f>IF(AND(A925="",B925=""),"",IF(A925="","Produit manquant",IF(COUNTIF(prod_ref,A925)=0,"Produit inconnu",IF(B925="","Matière manquante",IF(ISNA(MATCH(B925,mat_ref,0)),"Matière inconnue",IF(INDEX(mat_check,MATCH(B925,mat_ref,0))&lt;&gt;"OK","Matière à corriger",IF(OR(NOT(ISNUMBER(E925)),N(E925)&lt;=0),"Quantité invalide",IF(AND(F925&lt;&gt;"",OR(NOT(ISNUMBER(F925)),N(F925)&lt;0,N(F925)&gt;=1)),"Perte entre 0 et 99 %",IF(COUNTIFS(bom_prod,A925,bom_mat,B925)&gt;1,"Matière en double","OK")))))))))</f>
        <v/>
      </c>
      <c r="K925" s="71" t="str">
        <f>IF(AND(fiche_sel&lt;&gt;"",A925=fiche_sel),COUNTIF(A$6:A925,fiche_sel),"")</f>
        <v/>
      </c>
    </row>
    <row r="926">
      <c r="A926" s="60" t="n"/>
      <c r="B926" s="60" t="n"/>
      <c r="C926" s="71" t="str">
        <f>IF(B926="","",IFERROR(INDEX(mat_des,MATCH(B926,mat_ref,0))&amp;"","Matière inconnue"))</f>
        <v/>
      </c>
      <c r="D926" s="69" t="str">
        <f>IF(B926="","",IFERROR(INDEX(mat_unit,MATCH(B926,mat_ref,0))&amp;"",""))</f>
        <v/>
      </c>
      <c r="E926" s="72" t="n"/>
      <c r="F926" s="65" t="n"/>
      <c r="G926" s="68" t="str">
        <f>IF(J926&lt;&gt;"OK","",IF(F926="",N(INDEX(mat_loss,MATCH(B926,mat_ref,0))),F926))</f>
        <v/>
      </c>
      <c r="H926" s="66" t="str">
        <f>IF(J926&lt;&gt;"OK","",INDEX(mat_price,MATCH(B926,mat_ref,0)))</f>
        <v/>
      </c>
      <c r="I926" s="66" t="str">
        <f>IF(J926&lt;&gt;"OK","",E926*(1+G926)*H926)</f>
        <v/>
      </c>
      <c r="J926" s="69" t="str">
        <f>IF(AND(A926="",B926=""),"",IF(A926="","Produit manquant",IF(COUNTIF(prod_ref,A926)=0,"Produit inconnu",IF(B926="","Matière manquante",IF(ISNA(MATCH(B926,mat_ref,0)),"Matière inconnue",IF(INDEX(mat_check,MATCH(B926,mat_ref,0))&lt;&gt;"OK","Matière à corriger",IF(OR(NOT(ISNUMBER(E926)),N(E926)&lt;=0),"Quantité invalide",IF(AND(F926&lt;&gt;"",OR(NOT(ISNUMBER(F926)),N(F926)&lt;0,N(F926)&gt;=1)),"Perte entre 0 et 99 %",IF(COUNTIFS(bom_prod,A926,bom_mat,B926)&gt;1,"Matière en double","OK")))))))))</f>
        <v/>
      </c>
      <c r="K926" s="71" t="str">
        <f>IF(AND(fiche_sel&lt;&gt;"",A926=fiche_sel),COUNTIF(A$6:A926,fiche_sel),"")</f>
        <v/>
      </c>
    </row>
    <row r="927">
      <c r="A927" s="60" t="n"/>
      <c r="B927" s="60" t="n"/>
      <c r="C927" s="71" t="str">
        <f>IF(B927="","",IFERROR(INDEX(mat_des,MATCH(B927,mat_ref,0))&amp;"","Matière inconnue"))</f>
        <v/>
      </c>
      <c r="D927" s="69" t="str">
        <f>IF(B927="","",IFERROR(INDEX(mat_unit,MATCH(B927,mat_ref,0))&amp;"",""))</f>
        <v/>
      </c>
      <c r="E927" s="72" t="n"/>
      <c r="F927" s="65" t="n"/>
      <c r="G927" s="68" t="str">
        <f>IF(J927&lt;&gt;"OK","",IF(F927="",N(INDEX(mat_loss,MATCH(B927,mat_ref,0))),F927))</f>
        <v/>
      </c>
      <c r="H927" s="66" t="str">
        <f>IF(J927&lt;&gt;"OK","",INDEX(mat_price,MATCH(B927,mat_ref,0)))</f>
        <v/>
      </c>
      <c r="I927" s="66" t="str">
        <f>IF(J927&lt;&gt;"OK","",E927*(1+G927)*H927)</f>
        <v/>
      </c>
      <c r="J927" s="69" t="str">
        <f>IF(AND(A927="",B927=""),"",IF(A927="","Produit manquant",IF(COUNTIF(prod_ref,A927)=0,"Produit inconnu",IF(B927="","Matière manquante",IF(ISNA(MATCH(B927,mat_ref,0)),"Matière inconnue",IF(INDEX(mat_check,MATCH(B927,mat_ref,0))&lt;&gt;"OK","Matière à corriger",IF(OR(NOT(ISNUMBER(E927)),N(E927)&lt;=0),"Quantité invalide",IF(AND(F927&lt;&gt;"",OR(NOT(ISNUMBER(F927)),N(F927)&lt;0,N(F927)&gt;=1)),"Perte entre 0 et 99 %",IF(COUNTIFS(bom_prod,A927,bom_mat,B927)&gt;1,"Matière en double","OK")))))))))</f>
        <v/>
      </c>
      <c r="K927" s="71" t="str">
        <f>IF(AND(fiche_sel&lt;&gt;"",A927=fiche_sel),COUNTIF(A$6:A927,fiche_sel),"")</f>
        <v/>
      </c>
    </row>
    <row r="928">
      <c r="A928" s="60" t="n"/>
      <c r="B928" s="60" t="n"/>
      <c r="C928" s="71" t="str">
        <f>IF(B928="","",IFERROR(INDEX(mat_des,MATCH(B928,mat_ref,0))&amp;"","Matière inconnue"))</f>
        <v/>
      </c>
      <c r="D928" s="69" t="str">
        <f>IF(B928="","",IFERROR(INDEX(mat_unit,MATCH(B928,mat_ref,0))&amp;"",""))</f>
        <v/>
      </c>
      <c r="E928" s="72" t="n"/>
      <c r="F928" s="65" t="n"/>
      <c r="G928" s="68" t="str">
        <f>IF(J928&lt;&gt;"OK","",IF(F928="",N(INDEX(mat_loss,MATCH(B928,mat_ref,0))),F928))</f>
        <v/>
      </c>
      <c r="H928" s="66" t="str">
        <f>IF(J928&lt;&gt;"OK","",INDEX(mat_price,MATCH(B928,mat_ref,0)))</f>
        <v/>
      </c>
      <c r="I928" s="66" t="str">
        <f>IF(J928&lt;&gt;"OK","",E928*(1+G928)*H928)</f>
        <v/>
      </c>
      <c r="J928" s="69" t="str">
        <f>IF(AND(A928="",B928=""),"",IF(A928="","Produit manquant",IF(COUNTIF(prod_ref,A928)=0,"Produit inconnu",IF(B928="","Matière manquante",IF(ISNA(MATCH(B928,mat_ref,0)),"Matière inconnue",IF(INDEX(mat_check,MATCH(B928,mat_ref,0))&lt;&gt;"OK","Matière à corriger",IF(OR(NOT(ISNUMBER(E928)),N(E928)&lt;=0),"Quantité invalide",IF(AND(F928&lt;&gt;"",OR(NOT(ISNUMBER(F928)),N(F928)&lt;0,N(F928)&gt;=1)),"Perte entre 0 et 99 %",IF(COUNTIFS(bom_prod,A928,bom_mat,B928)&gt;1,"Matière en double","OK")))))))))</f>
        <v/>
      </c>
      <c r="K928" s="71" t="str">
        <f>IF(AND(fiche_sel&lt;&gt;"",A928=fiche_sel),COUNTIF(A$6:A928,fiche_sel),"")</f>
        <v/>
      </c>
    </row>
    <row r="929">
      <c r="A929" s="60" t="n"/>
      <c r="B929" s="60" t="n"/>
      <c r="C929" s="71" t="str">
        <f>IF(B929="","",IFERROR(INDEX(mat_des,MATCH(B929,mat_ref,0))&amp;"","Matière inconnue"))</f>
        <v/>
      </c>
      <c r="D929" s="69" t="str">
        <f>IF(B929="","",IFERROR(INDEX(mat_unit,MATCH(B929,mat_ref,0))&amp;"",""))</f>
        <v/>
      </c>
      <c r="E929" s="72" t="n"/>
      <c r="F929" s="65" t="n"/>
      <c r="G929" s="68" t="str">
        <f>IF(J929&lt;&gt;"OK","",IF(F929="",N(INDEX(mat_loss,MATCH(B929,mat_ref,0))),F929))</f>
        <v/>
      </c>
      <c r="H929" s="66" t="str">
        <f>IF(J929&lt;&gt;"OK","",INDEX(mat_price,MATCH(B929,mat_ref,0)))</f>
        <v/>
      </c>
      <c r="I929" s="66" t="str">
        <f>IF(J929&lt;&gt;"OK","",E929*(1+G929)*H929)</f>
        <v/>
      </c>
      <c r="J929" s="69" t="str">
        <f>IF(AND(A929="",B929=""),"",IF(A929="","Produit manquant",IF(COUNTIF(prod_ref,A929)=0,"Produit inconnu",IF(B929="","Matière manquante",IF(ISNA(MATCH(B929,mat_ref,0)),"Matière inconnue",IF(INDEX(mat_check,MATCH(B929,mat_ref,0))&lt;&gt;"OK","Matière à corriger",IF(OR(NOT(ISNUMBER(E929)),N(E929)&lt;=0),"Quantité invalide",IF(AND(F929&lt;&gt;"",OR(NOT(ISNUMBER(F929)),N(F929)&lt;0,N(F929)&gt;=1)),"Perte entre 0 et 99 %",IF(COUNTIFS(bom_prod,A929,bom_mat,B929)&gt;1,"Matière en double","OK")))))))))</f>
        <v/>
      </c>
      <c r="K929" s="71" t="str">
        <f>IF(AND(fiche_sel&lt;&gt;"",A929=fiche_sel),COUNTIF(A$6:A929,fiche_sel),"")</f>
        <v/>
      </c>
    </row>
    <row r="930">
      <c r="A930" s="60" t="n"/>
      <c r="B930" s="60" t="n"/>
      <c r="C930" s="71" t="str">
        <f>IF(B930="","",IFERROR(INDEX(mat_des,MATCH(B930,mat_ref,0))&amp;"","Matière inconnue"))</f>
        <v/>
      </c>
      <c r="D930" s="69" t="str">
        <f>IF(B930="","",IFERROR(INDEX(mat_unit,MATCH(B930,mat_ref,0))&amp;"",""))</f>
        <v/>
      </c>
      <c r="E930" s="72" t="n"/>
      <c r="F930" s="65" t="n"/>
      <c r="G930" s="68" t="str">
        <f>IF(J930&lt;&gt;"OK","",IF(F930="",N(INDEX(mat_loss,MATCH(B930,mat_ref,0))),F930))</f>
        <v/>
      </c>
      <c r="H930" s="66" t="str">
        <f>IF(J930&lt;&gt;"OK","",INDEX(mat_price,MATCH(B930,mat_ref,0)))</f>
        <v/>
      </c>
      <c r="I930" s="66" t="str">
        <f>IF(J930&lt;&gt;"OK","",E930*(1+G930)*H930)</f>
        <v/>
      </c>
      <c r="J930" s="69" t="str">
        <f>IF(AND(A930="",B930=""),"",IF(A930="","Produit manquant",IF(COUNTIF(prod_ref,A930)=0,"Produit inconnu",IF(B930="","Matière manquante",IF(ISNA(MATCH(B930,mat_ref,0)),"Matière inconnue",IF(INDEX(mat_check,MATCH(B930,mat_ref,0))&lt;&gt;"OK","Matière à corriger",IF(OR(NOT(ISNUMBER(E930)),N(E930)&lt;=0),"Quantité invalide",IF(AND(F930&lt;&gt;"",OR(NOT(ISNUMBER(F930)),N(F930)&lt;0,N(F930)&gt;=1)),"Perte entre 0 et 99 %",IF(COUNTIFS(bom_prod,A930,bom_mat,B930)&gt;1,"Matière en double","OK")))))))))</f>
        <v/>
      </c>
      <c r="K930" s="71" t="str">
        <f>IF(AND(fiche_sel&lt;&gt;"",A930=fiche_sel),COUNTIF(A$6:A930,fiche_sel),"")</f>
        <v/>
      </c>
    </row>
    <row r="931">
      <c r="A931" s="60" t="n"/>
      <c r="B931" s="60" t="n"/>
      <c r="C931" s="71" t="str">
        <f>IF(B931="","",IFERROR(INDEX(mat_des,MATCH(B931,mat_ref,0))&amp;"","Matière inconnue"))</f>
        <v/>
      </c>
      <c r="D931" s="69" t="str">
        <f>IF(B931="","",IFERROR(INDEX(mat_unit,MATCH(B931,mat_ref,0))&amp;"",""))</f>
        <v/>
      </c>
      <c r="E931" s="72" t="n"/>
      <c r="F931" s="65" t="n"/>
      <c r="G931" s="68" t="str">
        <f>IF(J931&lt;&gt;"OK","",IF(F931="",N(INDEX(mat_loss,MATCH(B931,mat_ref,0))),F931))</f>
        <v/>
      </c>
      <c r="H931" s="66" t="str">
        <f>IF(J931&lt;&gt;"OK","",INDEX(mat_price,MATCH(B931,mat_ref,0)))</f>
        <v/>
      </c>
      <c r="I931" s="66" t="str">
        <f>IF(J931&lt;&gt;"OK","",E931*(1+G931)*H931)</f>
        <v/>
      </c>
      <c r="J931" s="69" t="str">
        <f>IF(AND(A931="",B931=""),"",IF(A931="","Produit manquant",IF(COUNTIF(prod_ref,A931)=0,"Produit inconnu",IF(B931="","Matière manquante",IF(ISNA(MATCH(B931,mat_ref,0)),"Matière inconnue",IF(INDEX(mat_check,MATCH(B931,mat_ref,0))&lt;&gt;"OK","Matière à corriger",IF(OR(NOT(ISNUMBER(E931)),N(E931)&lt;=0),"Quantité invalide",IF(AND(F931&lt;&gt;"",OR(NOT(ISNUMBER(F931)),N(F931)&lt;0,N(F931)&gt;=1)),"Perte entre 0 et 99 %",IF(COUNTIFS(bom_prod,A931,bom_mat,B931)&gt;1,"Matière en double","OK")))))))))</f>
        <v/>
      </c>
      <c r="K931" s="71" t="str">
        <f>IF(AND(fiche_sel&lt;&gt;"",A931=fiche_sel),COUNTIF(A$6:A931,fiche_sel),"")</f>
        <v/>
      </c>
    </row>
    <row r="932">
      <c r="A932" s="60" t="n"/>
      <c r="B932" s="60" t="n"/>
      <c r="C932" s="71" t="str">
        <f>IF(B932="","",IFERROR(INDEX(mat_des,MATCH(B932,mat_ref,0))&amp;"","Matière inconnue"))</f>
        <v/>
      </c>
      <c r="D932" s="69" t="str">
        <f>IF(B932="","",IFERROR(INDEX(mat_unit,MATCH(B932,mat_ref,0))&amp;"",""))</f>
        <v/>
      </c>
      <c r="E932" s="72" t="n"/>
      <c r="F932" s="65" t="n"/>
      <c r="G932" s="68" t="str">
        <f>IF(J932&lt;&gt;"OK","",IF(F932="",N(INDEX(mat_loss,MATCH(B932,mat_ref,0))),F932))</f>
        <v/>
      </c>
      <c r="H932" s="66" t="str">
        <f>IF(J932&lt;&gt;"OK","",INDEX(mat_price,MATCH(B932,mat_ref,0)))</f>
        <v/>
      </c>
      <c r="I932" s="66" t="str">
        <f>IF(J932&lt;&gt;"OK","",E932*(1+G932)*H932)</f>
        <v/>
      </c>
      <c r="J932" s="69" t="str">
        <f>IF(AND(A932="",B932=""),"",IF(A932="","Produit manquant",IF(COUNTIF(prod_ref,A932)=0,"Produit inconnu",IF(B932="","Matière manquante",IF(ISNA(MATCH(B932,mat_ref,0)),"Matière inconnue",IF(INDEX(mat_check,MATCH(B932,mat_ref,0))&lt;&gt;"OK","Matière à corriger",IF(OR(NOT(ISNUMBER(E932)),N(E932)&lt;=0),"Quantité invalide",IF(AND(F932&lt;&gt;"",OR(NOT(ISNUMBER(F932)),N(F932)&lt;0,N(F932)&gt;=1)),"Perte entre 0 et 99 %",IF(COUNTIFS(bom_prod,A932,bom_mat,B932)&gt;1,"Matière en double","OK")))))))))</f>
        <v/>
      </c>
      <c r="K932" s="71" t="str">
        <f>IF(AND(fiche_sel&lt;&gt;"",A932=fiche_sel),COUNTIF(A$6:A932,fiche_sel),"")</f>
        <v/>
      </c>
    </row>
    <row r="933">
      <c r="A933" s="60" t="n"/>
      <c r="B933" s="60" t="n"/>
      <c r="C933" s="71" t="str">
        <f>IF(B933="","",IFERROR(INDEX(mat_des,MATCH(B933,mat_ref,0))&amp;"","Matière inconnue"))</f>
        <v/>
      </c>
      <c r="D933" s="69" t="str">
        <f>IF(B933="","",IFERROR(INDEX(mat_unit,MATCH(B933,mat_ref,0))&amp;"",""))</f>
        <v/>
      </c>
      <c r="E933" s="72" t="n"/>
      <c r="F933" s="65" t="n"/>
      <c r="G933" s="68" t="str">
        <f>IF(J933&lt;&gt;"OK","",IF(F933="",N(INDEX(mat_loss,MATCH(B933,mat_ref,0))),F933))</f>
        <v/>
      </c>
      <c r="H933" s="66" t="str">
        <f>IF(J933&lt;&gt;"OK","",INDEX(mat_price,MATCH(B933,mat_ref,0)))</f>
        <v/>
      </c>
      <c r="I933" s="66" t="str">
        <f>IF(J933&lt;&gt;"OK","",E933*(1+G933)*H933)</f>
        <v/>
      </c>
      <c r="J933" s="69" t="str">
        <f>IF(AND(A933="",B933=""),"",IF(A933="","Produit manquant",IF(COUNTIF(prod_ref,A933)=0,"Produit inconnu",IF(B933="","Matière manquante",IF(ISNA(MATCH(B933,mat_ref,0)),"Matière inconnue",IF(INDEX(mat_check,MATCH(B933,mat_ref,0))&lt;&gt;"OK","Matière à corriger",IF(OR(NOT(ISNUMBER(E933)),N(E933)&lt;=0),"Quantité invalide",IF(AND(F933&lt;&gt;"",OR(NOT(ISNUMBER(F933)),N(F933)&lt;0,N(F933)&gt;=1)),"Perte entre 0 et 99 %",IF(COUNTIFS(bom_prod,A933,bom_mat,B933)&gt;1,"Matière en double","OK")))))))))</f>
        <v/>
      </c>
      <c r="K933" s="71" t="str">
        <f>IF(AND(fiche_sel&lt;&gt;"",A933=fiche_sel),COUNTIF(A$6:A933,fiche_sel),"")</f>
        <v/>
      </c>
    </row>
    <row r="934">
      <c r="A934" s="60" t="n"/>
      <c r="B934" s="60" t="n"/>
      <c r="C934" s="71" t="str">
        <f>IF(B934="","",IFERROR(INDEX(mat_des,MATCH(B934,mat_ref,0))&amp;"","Matière inconnue"))</f>
        <v/>
      </c>
      <c r="D934" s="69" t="str">
        <f>IF(B934="","",IFERROR(INDEX(mat_unit,MATCH(B934,mat_ref,0))&amp;"",""))</f>
        <v/>
      </c>
      <c r="E934" s="72" t="n"/>
      <c r="F934" s="65" t="n"/>
      <c r="G934" s="68" t="str">
        <f>IF(J934&lt;&gt;"OK","",IF(F934="",N(INDEX(mat_loss,MATCH(B934,mat_ref,0))),F934))</f>
        <v/>
      </c>
      <c r="H934" s="66" t="str">
        <f>IF(J934&lt;&gt;"OK","",INDEX(mat_price,MATCH(B934,mat_ref,0)))</f>
        <v/>
      </c>
      <c r="I934" s="66" t="str">
        <f>IF(J934&lt;&gt;"OK","",E934*(1+G934)*H934)</f>
        <v/>
      </c>
      <c r="J934" s="69" t="str">
        <f>IF(AND(A934="",B934=""),"",IF(A934="","Produit manquant",IF(COUNTIF(prod_ref,A934)=0,"Produit inconnu",IF(B934="","Matière manquante",IF(ISNA(MATCH(B934,mat_ref,0)),"Matière inconnue",IF(INDEX(mat_check,MATCH(B934,mat_ref,0))&lt;&gt;"OK","Matière à corriger",IF(OR(NOT(ISNUMBER(E934)),N(E934)&lt;=0),"Quantité invalide",IF(AND(F934&lt;&gt;"",OR(NOT(ISNUMBER(F934)),N(F934)&lt;0,N(F934)&gt;=1)),"Perte entre 0 et 99 %",IF(COUNTIFS(bom_prod,A934,bom_mat,B934)&gt;1,"Matière en double","OK")))))))))</f>
        <v/>
      </c>
      <c r="K934" s="71" t="str">
        <f>IF(AND(fiche_sel&lt;&gt;"",A934=fiche_sel),COUNTIF(A$6:A934,fiche_sel),"")</f>
        <v/>
      </c>
    </row>
    <row r="935">
      <c r="A935" s="60" t="n"/>
      <c r="B935" s="60" t="n"/>
      <c r="C935" s="71" t="str">
        <f>IF(B935="","",IFERROR(INDEX(mat_des,MATCH(B935,mat_ref,0))&amp;"","Matière inconnue"))</f>
        <v/>
      </c>
      <c r="D935" s="69" t="str">
        <f>IF(B935="","",IFERROR(INDEX(mat_unit,MATCH(B935,mat_ref,0))&amp;"",""))</f>
        <v/>
      </c>
      <c r="E935" s="72" t="n"/>
      <c r="F935" s="65" t="n"/>
      <c r="G935" s="68" t="str">
        <f>IF(J935&lt;&gt;"OK","",IF(F935="",N(INDEX(mat_loss,MATCH(B935,mat_ref,0))),F935))</f>
        <v/>
      </c>
      <c r="H935" s="66" t="str">
        <f>IF(J935&lt;&gt;"OK","",INDEX(mat_price,MATCH(B935,mat_ref,0)))</f>
        <v/>
      </c>
      <c r="I935" s="66" t="str">
        <f>IF(J935&lt;&gt;"OK","",E935*(1+G935)*H935)</f>
        <v/>
      </c>
      <c r="J935" s="69" t="str">
        <f>IF(AND(A935="",B935=""),"",IF(A935="","Produit manquant",IF(COUNTIF(prod_ref,A935)=0,"Produit inconnu",IF(B935="","Matière manquante",IF(ISNA(MATCH(B935,mat_ref,0)),"Matière inconnue",IF(INDEX(mat_check,MATCH(B935,mat_ref,0))&lt;&gt;"OK","Matière à corriger",IF(OR(NOT(ISNUMBER(E935)),N(E935)&lt;=0),"Quantité invalide",IF(AND(F935&lt;&gt;"",OR(NOT(ISNUMBER(F935)),N(F935)&lt;0,N(F935)&gt;=1)),"Perte entre 0 et 99 %",IF(COUNTIFS(bom_prod,A935,bom_mat,B935)&gt;1,"Matière en double","OK")))))))))</f>
        <v/>
      </c>
      <c r="K935" s="71" t="str">
        <f>IF(AND(fiche_sel&lt;&gt;"",A935=fiche_sel),COUNTIF(A$6:A935,fiche_sel),"")</f>
        <v/>
      </c>
    </row>
    <row r="936">
      <c r="A936" s="60" t="n"/>
      <c r="B936" s="60" t="n"/>
      <c r="C936" s="71" t="str">
        <f>IF(B936="","",IFERROR(INDEX(mat_des,MATCH(B936,mat_ref,0))&amp;"","Matière inconnue"))</f>
        <v/>
      </c>
      <c r="D936" s="69" t="str">
        <f>IF(B936="","",IFERROR(INDEX(mat_unit,MATCH(B936,mat_ref,0))&amp;"",""))</f>
        <v/>
      </c>
      <c r="E936" s="72" t="n"/>
      <c r="F936" s="65" t="n"/>
      <c r="G936" s="68" t="str">
        <f>IF(J936&lt;&gt;"OK","",IF(F936="",N(INDEX(mat_loss,MATCH(B936,mat_ref,0))),F936))</f>
        <v/>
      </c>
      <c r="H936" s="66" t="str">
        <f>IF(J936&lt;&gt;"OK","",INDEX(mat_price,MATCH(B936,mat_ref,0)))</f>
        <v/>
      </c>
      <c r="I936" s="66" t="str">
        <f>IF(J936&lt;&gt;"OK","",E936*(1+G936)*H936)</f>
        <v/>
      </c>
      <c r="J936" s="69" t="str">
        <f>IF(AND(A936="",B936=""),"",IF(A936="","Produit manquant",IF(COUNTIF(prod_ref,A936)=0,"Produit inconnu",IF(B936="","Matière manquante",IF(ISNA(MATCH(B936,mat_ref,0)),"Matière inconnue",IF(INDEX(mat_check,MATCH(B936,mat_ref,0))&lt;&gt;"OK","Matière à corriger",IF(OR(NOT(ISNUMBER(E936)),N(E936)&lt;=0),"Quantité invalide",IF(AND(F936&lt;&gt;"",OR(NOT(ISNUMBER(F936)),N(F936)&lt;0,N(F936)&gt;=1)),"Perte entre 0 et 99 %",IF(COUNTIFS(bom_prod,A936,bom_mat,B936)&gt;1,"Matière en double","OK")))))))))</f>
        <v/>
      </c>
      <c r="K936" s="71" t="str">
        <f>IF(AND(fiche_sel&lt;&gt;"",A936=fiche_sel),COUNTIF(A$6:A936,fiche_sel),"")</f>
        <v/>
      </c>
    </row>
    <row r="937">
      <c r="A937" s="60" t="n"/>
      <c r="B937" s="60" t="n"/>
      <c r="C937" s="71" t="str">
        <f>IF(B937="","",IFERROR(INDEX(mat_des,MATCH(B937,mat_ref,0))&amp;"","Matière inconnue"))</f>
        <v/>
      </c>
      <c r="D937" s="69" t="str">
        <f>IF(B937="","",IFERROR(INDEX(mat_unit,MATCH(B937,mat_ref,0))&amp;"",""))</f>
        <v/>
      </c>
      <c r="E937" s="72" t="n"/>
      <c r="F937" s="65" t="n"/>
      <c r="G937" s="68" t="str">
        <f>IF(J937&lt;&gt;"OK","",IF(F937="",N(INDEX(mat_loss,MATCH(B937,mat_ref,0))),F937))</f>
        <v/>
      </c>
      <c r="H937" s="66" t="str">
        <f>IF(J937&lt;&gt;"OK","",INDEX(mat_price,MATCH(B937,mat_ref,0)))</f>
        <v/>
      </c>
      <c r="I937" s="66" t="str">
        <f>IF(J937&lt;&gt;"OK","",E937*(1+G937)*H937)</f>
        <v/>
      </c>
      <c r="J937" s="69" t="str">
        <f>IF(AND(A937="",B937=""),"",IF(A937="","Produit manquant",IF(COUNTIF(prod_ref,A937)=0,"Produit inconnu",IF(B937="","Matière manquante",IF(ISNA(MATCH(B937,mat_ref,0)),"Matière inconnue",IF(INDEX(mat_check,MATCH(B937,mat_ref,0))&lt;&gt;"OK","Matière à corriger",IF(OR(NOT(ISNUMBER(E937)),N(E937)&lt;=0),"Quantité invalide",IF(AND(F937&lt;&gt;"",OR(NOT(ISNUMBER(F937)),N(F937)&lt;0,N(F937)&gt;=1)),"Perte entre 0 et 99 %",IF(COUNTIFS(bom_prod,A937,bom_mat,B937)&gt;1,"Matière en double","OK")))))))))</f>
        <v/>
      </c>
      <c r="K937" s="71" t="str">
        <f>IF(AND(fiche_sel&lt;&gt;"",A937=fiche_sel),COUNTIF(A$6:A937,fiche_sel),"")</f>
        <v/>
      </c>
    </row>
    <row r="938">
      <c r="A938" s="60" t="n"/>
      <c r="B938" s="60" t="n"/>
      <c r="C938" s="71" t="str">
        <f>IF(B938="","",IFERROR(INDEX(mat_des,MATCH(B938,mat_ref,0))&amp;"","Matière inconnue"))</f>
        <v/>
      </c>
      <c r="D938" s="69" t="str">
        <f>IF(B938="","",IFERROR(INDEX(mat_unit,MATCH(B938,mat_ref,0))&amp;"",""))</f>
        <v/>
      </c>
      <c r="E938" s="72" t="n"/>
      <c r="F938" s="65" t="n"/>
      <c r="G938" s="68" t="str">
        <f>IF(J938&lt;&gt;"OK","",IF(F938="",N(INDEX(mat_loss,MATCH(B938,mat_ref,0))),F938))</f>
        <v/>
      </c>
      <c r="H938" s="66" t="str">
        <f>IF(J938&lt;&gt;"OK","",INDEX(mat_price,MATCH(B938,mat_ref,0)))</f>
        <v/>
      </c>
      <c r="I938" s="66" t="str">
        <f>IF(J938&lt;&gt;"OK","",E938*(1+G938)*H938)</f>
        <v/>
      </c>
      <c r="J938" s="69" t="str">
        <f>IF(AND(A938="",B938=""),"",IF(A938="","Produit manquant",IF(COUNTIF(prod_ref,A938)=0,"Produit inconnu",IF(B938="","Matière manquante",IF(ISNA(MATCH(B938,mat_ref,0)),"Matière inconnue",IF(INDEX(mat_check,MATCH(B938,mat_ref,0))&lt;&gt;"OK","Matière à corriger",IF(OR(NOT(ISNUMBER(E938)),N(E938)&lt;=0),"Quantité invalide",IF(AND(F938&lt;&gt;"",OR(NOT(ISNUMBER(F938)),N(F938)&lt;0,N(F938)&gt;=1)),"Perte entre 0 et 99 %",IF(COUNTIFS(bom_prod,A938,bom_mat,B938)&gt;1,"Matière en double","OK")))))))))</f>
        <v/>
      </c>
      <c r="K938" s="71" t="str">
        <f>IF(AND(fiche_sel&lt;&gt;"",A938=fiche_sel),COUNTIF(A$6:A938,fiche_sel),"")</f>
        <v/>
      </c>
    </row>
    <row r="939">
      <c r="A939" s="60" t="n"/>
      <c r="B939" s="60" t="n"/>
      <c r="C939" s="71" t="str">
        <f>IF(B939="","",IFERROR(INDEX(mat_des,MATCH(B939,mat_ref,0))&amp;"","Matière inconnue"))</f>
        <v/>
      </c>
      <c r="D939" s="69" t="str">
        <f>IF(B939="","",IFERROR(INDEX(mat_unit,MATCH(B939,mat_ref,0))&amp;"",""))</f>
        <v/>
      </c>
      <c r="E939" s="72" t="n"/>
      <c r="F939" s="65" t="n"/>
      <c r="G939" s="68" t="str">
        <f>IF(J939&lt;&gt;"OK","",IF(F939="",N(INDEX(mat_loss,MATCH(B939,mat_ref,0))),F939))</f>
        <v/>
      </c>
      <c r="H939" s="66" t="str">
        <f>IF(J939&lt;&gt;"OK","",INDEX(mat_price,MATCH(B939,mat_ref,0)))</f>
        <v/>
      </c>
      <c r="I939" s="66" t="str">
        <f>IF(J939&lt;&gt;"OK","",E939*(1+G939)*H939)</f>
        <v/>
      </c>
      <c r="J939" s="69" t="str">
        <f>IF(AND(A939="",B939=""),"",IF(A939="","Produit manquant",IF(COUNTIF(prod_ref,A939)=0,"Produit inconnu",IF(B939="","Matière manquante",IF(ISNA(MATCH(B939,mat_ref,0)),"Matière inconnue",IF(INDEX(mat_check,MATCH(B939,mat_ref,0))&lt;&gt;"OK","Matière à corriger",IF(OR(NOT(ISNUMBER(E939)),N(E939)&lt;=0),"Quantité invalide",IF(AND(F939&lt;&gt;"",OR(NOT(ISNUMBER(F939)),N(F939)&lt;0,N(F939)&gt;=1)),"Perte entre 0 et 99 %",IF(COUNTIFS(bom_prod,A939,bom_mat,B939)&gt;1,"Matière en double","OK")))))))))</f>
        <v/>
      </c>
      <c r="K939" s="71" t="str">
        <f>IF(AND(fiche_sel&lt;&gt;"",A939=fiche_sel),COUNTIF(A$6:A939,fiche_sel),"")</f>
        <v/>
      </c>
    </row>
    <row r="940">
      <c r="A940" s="60" t="n"/>
      <c r="B940" s="60" t="n"/>
      <c r="C940" s="71" t="str">
        <f>IF(B940="","",IFERROR(INDEX(mat_des,MATCH(B940,mat_ref,0))&amp;"","Matière inconnue"))</f>
        <v/>
      </c>
      <c r="D940" s="69" t="str">
        <f>IF(B940="","",IFERROR(INDEX(mat_unit,MATCH(B940,mat_ref,0))&amp;"",""))</f>
        <v/>
      </c>
      <c r="E940" s="72" t="n"/>
      <c r="F940" s="65" t="n"/>
      <c r="G940" s="68" t="str">
        <f>IF(J940&lt;&gt;"OK","",IF(F940="",N(INDEX(mat_loss,MATCH(B940,mat_ref,0))),F940))</f>
        <v/>
      </c>
      <c r="H940" s="66" t="str">
        <f>IF(J940&lt;&gt;"OK","",INDEX(mat_price,MATCH(B940,mat_ref,0)))</f>
        <v/>
      </c>
      <c r="I940" s="66" t="str">
        <f>IF(J940&lt;&gt;"OK","",E940*(1+G940)*H940)</f>
        <v/>
      </c>
      <c r="J940" s="69" t="str">
        <f>IF(AND(A940="",B940=""),"",IF(A940="","Produit manquant",IF(COUNTIF(prod_ref,A940)=0,"Produit inconnu",IF(B940="","Matière manquante",IF(ISNA(MATCH(B940,mat_ref,0)),"Matière inconnue",IF(INDEX(mat_check,MATCH(B940,mat_ref,0))&lt;&gt;"OK","Matière à corriger",IF(OR(NOT(ISNUMBER(E940)),N(E940)&lt;=0),"Quantité invalide",IF(AND(F940&lt;&gt;"",OR(NOT(ISNUMBER(F940)),N(F940)&lt;0,N(F940)&gt;=1)),"Perte entre 0 et 99 %",IF(COUNTIFS(bom_prod,A940,bom_mat,B940)&gt;1,"Matière en double","OK")))))))))</f>
        <v/>
      </c>
      <c r="K940" s="71" t="str">
        <f>IF(AND(fiche_sel&lt;&gt;"",A940=fiche_sel),COUNTIF(A$6:A940,fiche_sel),"")</f>
        <v/>
      </c>
    </row>
    <row r="941">
      <c r="A941" s="60" t="n"/>
      <c r="B941" s="60" t="n"/>
      <c r="C941" s="71" t="str">
        <f>IF(B941="","",IFERROR(INDEX(mat_des,MATCH(B941,mat_ref,0))&amp;"","Matière inconnue"))</f>
        <v/>
      </c>
      <c r="D941" s="69" t="str">
        <f>IF(B941="","",IFERROR(INDEX(mat_unit,MATCH(B941,mat_ref,0))&amp;"",""))</f>
        <v/>
      </c>
      <c r="E941" s="72" t="n"/>
      <c r="F941" s="65" t="n"/>
      <c r="G941" s="68" t="str">
        <f>IF(J941&lt;&gt;"OK","",IF(F941="",N(INDEX(mat_loss,MATCH(B941,mat_ref,0))),F941))</f>
        <v/>
      </c>
      <c r="H941" s="66" t="str">
        <f>IF(J941&lt;&gt;"OK","",INDEX(mat_price,MATCH(B941,mat_ref,0)))</f>
        <v/>
      </c>
      <c r="I941" s="66" t="str">
        <f>IF(J941&lt;&gt;"OK","",E941*(1+G941)*H941)</f>
        <v/>
      </c>
      <c r="J941" s="69" t="str">
        <f>IF(AND(A941="",B941=""),"",IF(A941="","Produit manquant",IF(COUNTIF(prod_ref,A941)=0,"Produit inconnu",IF(B941="","Matière manquante",IF(ISNA(MATCH(B941,mat_ref,0)),"Matière inconnue",IF(INDEX(mat_check,MATCH(B941,mat_ref,0))&lt;&gt;"OK","Matière à corriger",IF(OR(NOT(ISNUMBER(E941)),N(E941)&lt;=0),"Quantité invalide",IF(AND(F941&lt;&gt;"",OR(NOT(ISNUMBER(F941)),N(F941)&lt;0,N(F941)&gt;=1)),"Perte entre 0 et 99 %",IF(COUNTIFS(bom_prod,A941,bom_mat,B941)&gt;1,"Matière en double","OK")))))))))</f>
        <v/>
      </c>
      <c r="K941" s="71" t="str">
        <f>IF(AND(fiche_sel&lt;&gt;"",A941=fiche_sel),COUNTIF(A$6:A941,fiche_sel),"")</f>
        <v/>
      </c>
    </row>
    <row r="942">
      <c r="A942" s="60" t="n"/>
      <c r="B942" s="60" t="n"/>
      <c r="C942" s="71" t="str">
        <f>IF(B942="","",IFERROR(INDEX(mat_des,MATCH(B942,mat_ref,0))&amp;"","Matière inconnue"))</f>
        <v/>
      </c>
      <c r="D942" s="69" t="str">
        <f>IF(B942="","",IFERROR(INDEX(mat_unit,MATCH(B942,mat_ref,0))&amp;"",""))</f>
        <v/>
      </c>
      <c r="E942" s="72" t="n"/>
      <c r="F942" s="65" t="n"/>
      <c r="G942" s="68" t="str">
        <f>IF(J942&lt;&gt;"OK","",IF(F942="",N(INDEX(mat_loss,MATCH(B942,mat_ref,0))),F942))</f>
        <v/>
      </c>
      <c r="H942" s="66" t="str">
        <f>IF(J942&lt;&gt;"OK","",INDEX(mat_price,MATCH(B942,mat_ref,0)))</f>
        <v/>
      </c>
      <c r="I942" s="66" t="str">
        <f>IF(J942&lt;&gt;"OK","",E942*(1+G942)*H942)</f>
        <v/>
      </c>
      <c r="J942" s="69" t="str">
        <f>IF(AND(A942="",B942=""),"",IF(A942="","Produit manquant",IF(COUNTIF(prod_ref,A942)=0,"Produit inconnu",IF(B942="","Matière manquante",IF(ISNA(MATCH(B942,mat_ref,0)),"Matière inconnue",IF(INDEX(mat_check,MATCH(B942,mat_ref,0))&lt;&gt;"OK","Matière à corriger",IF(OR(NOT(ISNUMBER(E942)),N(E942)&lt;=0),"Quantité invalide",IF(AND(F942&lt;&gt;"",OR(NOT(ISNUMBER(F942)),N(F942)&lt;0,N(F942)&gt;=1)),"Perte entre 0 et 99 %",IF(COUNTIFS(bom_prod,A942,bom_mat,B942)&gt;1,"Matière en double","OK")))))))))</f>
        <v/>
      </c>
      <c r="K942" s="71" t="str">
        <f>IF(AND(fiche_sel&lt;&gt;"",A942=fiche_sel),COUNTIF(A$6:A942,fiche_sel),"")</f>
        <v/>
      </c>
    </row>
    <row r="943">
      <c r="A943" s="60" t="n"/>
      <c r="B943" s="60" t="n"/>
      <c r="C943" s="71" t="str">
        <f>IF(B943="","",IFERROR(INDEX(mat_des,MATCH(B943,mat_ref,0))&amp;"","Matière inconnue"))</f>
        <v/>
      </c>
      <c r="D943" s="69" t="str">
        <f>IF(B943="","",IFERROR(INDEX(mat_unit,MATCH(B943,mat_ref,0))&amp;"",""))</f>
        <v/>
      </c>
      <c r="E943" s="72" t="n"/>
      <c r="F943" s="65" t="n"/>
      <c r="G943" s="68" t="str">
        <f>IF(J943&lt;&gt;"OK","",IF(F943="",N(INDEX(mat_loss,MATCH(B943,mat_ref,0))),F943))</f>
        <v/>
      </c>
      <c r="H943" s="66" t="str">
        <f>IF(J943&lt;&gt;"OK","",INDEX(mat_price,MATCH(B943,mat_ref,0)))</f>
        <v/>
      </c>
      <c r="I943" s="66" t="str">
        <f>IF(J943&lt;&gt;"OK","",E943*(1+G943)*H943)</f>
        <v/>
      </c>
      <c r="J943" s="69" t="str">
        <f>IF(AND(A943="",B943=""),"",IF(A943="","Produit manquant",IF(COUNTIF(prod_ref,A943)=0,"Produit inconnu",IF(B943="","Matière manquante",IF(ISNA(MATCH(B943,mat_ref,0)),"Matière inconnue",IF(INDEX(mat_check,MATCH(B943,mat_ref,0))&lt;&gt;"OK","Matière à corriger",IF(OR(NOT(ISNUMBER(E943)),N(E943)&lt;=0),"Quantité invalide",IF(AND(F943&lt;&gt;"",OR(NOT(ISNUMBER(F943)),N(F943)&lt;0,N(F943)&gt;=1)),"Perte entre 0 et 99 %",IF(COUNTIFS(bom_prod,A943,bom_mat,B943)&gt;1,"Matière en double","OK")))))))))</f>
        <v/>
      </c>
      <c r="K943" s="71" t="str">
        <f>IF(AND(fiche_sel&lt;&gt;"",A943=fiche_sel),COUNTIF(A$6:A943,fiche_sel),"")</f>
        <v/>
      </c>
    </row>
    <row r="944">
      <c r="A944" s="60" t="n"/>
      <c r="B944" s="60" t="n"/>
      <c r="C944" s="71" t="str">
        <f>IF(B944="","",IFERROR(INDEX(mat_des,MATCH(B944,mat_ref,0))&amp;"","Matière inconnue"))</f>
        <v/>
      </c>
      <c r="D944" s="69" t="str">
        <f>IF(B944="","",IFERROR(INDEX(mat_unit,MATCH(B944,mat_ref,0))&amp;"",""))</f>
        <v/>
      </c>
      <c r="E944" s="72" t="n"/>
      <c r="F944" s="65" t="n"/>
      <c r="G944" s="68" t="str">
        <f>IF(J944&lt;&gt;"OK","",IF(F944="",N(INDEX(mat_loss,MATCH(B944,mat_ref,0))),F944))</f>
        <v/>
      </c>
      <c r="H944" s="66" t="str">
        <f>IF(J944&lt;&gt;"OK","",INDEX(mat_price,MATCH(B944,mat_ref,0)))</f>
        <v/>
      </c>
      <c r="I944" s="66" t="str">
        <f>IF(J944&lt;&gt;"OK","",E944*(1+G944)*H944)</f>
        <v/>
      </c>
      <c r="J944" s="69" t="str">
        <f>IF(AND(A944="",B944=""),"",IF(A944="","Produit manquant",IF(COUNTIF(prod_ref,A944)=0,"Produit inconnu",IF(B944="","Matière manquante",IF(ISNA(MATCH(B944,mat_ref,0)),"Matière inconnue",IF(INDEX(mat_check,MATCH(B944,mat_ref,0))&lt;&gt;"OK","Matière à corriger",IF(OR(NOT(ISNUMBER(E944)),N(E944)&lt;=0),"Quantité invalide",IF(AND(F944&lt;&gt;"",OR(NOT(ISNUMBER(F944)),N(F944)&lt;0,N(F944)&gt;=1)),"Perte entre 0 et 99 %",IF(COUNTIFS(bom_prod,A944,bom_mat,B944)&gt;1,"Matière en double","OK")))))))))</f>
        <v/>
      </c>
      <c r="K944" s="71" t="str">
        <f>IF(AND(fiche_sel&lt;&gt;"",A944=fiche_sel),COUNTIF(A$6:A944,fiche_sel),"")</f>
        <v/>
      </c>
    </row>
    <row r="945">
      <c r="A945" s="60" t="n"/>
      <c r="B945" s="60" t="n"/>
      <c r="C945" s="71" t="str">
        <f>IF(B945="","",IFERROR(INDEX(mat_des,MATCH(B945,mat_ref,0))&amp;"","Matière inconnue"))</f>
        <v/>
      </c>
      <c r="D945" s="69" t="str">
        <f>IF(B945="","",IFERROR(INDEX(mat_unit,MATCH(B945,mat_ref,0))&amp;"",""))</f>
        <v/>
      </c>
      <c r="E945" s="72" t="n"/>
      <c r="F945" s="65" t="n"/>
      <c r="G945" s="68" t="str">
        <f>IF(J945&lt;&gt;"OK","",IF(F945="",N(INDEX(mat_loss,MATCH(B945,mat_ref,0))),F945))</f>
        <v/>
      </c>
      <c r="H945" s="66" t="str">
        <f>IF(J945&lt;&gt;"OK","",INDEX(mat_price,MATCH(B945,mat_ref,0)))</f>
        <v/>
      </c>
      <c r="I945" s="66" t="str">
        <f>IF(J945&lt;&gt;"OK","",E945*(1+G945)*H945)</f>
        <v/>
      </c>
      <c r="J945" s="69" t="str">
        <f>IF(AND(A945="",B945=""),"",IF(A945="","Produit manquant",IF(COUNTIF(prod_ref,A945)=0,"Produit inconnu",IF(B945="","Matière manquante",IF(ISNA(MATCH(B945,mat_ref,0)),"Matière inconnue",IF(INDEX(mat_check,MATCH(B945,mat_ref,0))&lt;&gt;"OK","Matière à corriger",IF(OR(NOT(ISNUMBER(E945)),N(E945)&lt;=0),"Quantité invalide",IF(AND(F945&lt;&gt;"",OR(NOT(ISNUMBER(F945)),N(F945)&lt;0,N(F945)&gt;=1)),"Perte entre 0 et 99 %",IF(COUNTIFS(bom_prod,A945,bom_mat,B945)&gt;1,"Matière en double","OK")))))))))</f>
        <v/>
      </c>
      <c r="K945" s="71" t="str">
        <f>IF(AND(fiche_sel&lt;&gt;"",A945=fiche_sel),COUNTIF(A$6:A945,fiche_sel),"")</f>
        <v/>
      </c>
    </row>
    <row r="946">
      <c r="A946" s="60" t="n"/>
      <c r="B946" s="60" t="n"/>
      <c r="C946" s="71" t="str">
        <f>IF(B946="","",IFERROR(INDEX(mat_des,MATCH(B946,mat_ref,0))&amp;"","Matière inconnue"))</f>
        <v/>
      </c>
      <c r="D946" s="69" t="str">
        <f>IF(B946="","",IFERROR(INDEX(mat_unit,MATCH(B946,mat_ref,0))&amp;"",""))</f>
        <v/>
      </c>
      <c r="E946" s="72" t="n"/>
      <c r="F946" s="65" t="n"/>
      <c r="G946" s="68" t="str">
        <f>IF(J946&lt;&gt;"OK","",IF(F946="",N(INDEX(mat_loss,MATCH(B946,mat_ref,0))),F946))</f>
        <v/>
      </c>
      <c r="H946" s="66" t="str">
        <f>IF(J946&lt;&gt;"OK","",INDEX(mat_price,MATCH(B946,mat_ref,0)))</f>
        <v/>
      </c>
      <c r="I946" s="66" t="str">
        <f>IF(J946&lt;&gt;"OK","",E946*(1+G946)*H946)</f>
        <v/>
      </c>
      <c r="J946" s="69" t="str">
        <f>IF(AND(A946="",B946=""),"",IF(A946="","Produit manquant",IF(COUNTIF(prod_ref,A946)=0,"Produit inconnu",IF(B946="","Matière manquante",IF(ISNA(MATCH(B946,mat_ref,0)),"Matière inconnue",IF(INDEX(mat_check,MATCH(B946,mat_ref,0))&lt;&gt;"OK","Matière à corriger",IF(OR(NOT(ISNUMBER(E946)),N(E946)&lt;=0),"Quantité invalide",IF(AND(F946&lt;&gt;"",OR(NOT(ISNUMBER(F946)),N(F946)&lt;0,N(F946)&gt;=1)),"Perte entre 0 et 99 %",IF(COUNTIFS(bom_prod,A946,bom_mat,B946)&gt;1,"Matière en double","OK")))))))))</f>
        <v/>
      </c>
      <c r="K946" s="71" t="str">
        <f>IF(AND(fiche_sel&lt;&gt;"",A946=fiche_sel),COUNTIF(A$6:A946,fiche_sel),"")</f>
        <v/>
      </c>
    </row>
    <row r="947">
      <c r="A947" s="60" t="n"/>
      <c r="B947" s="60" t="n"/>
      <c r="C947" s="71" t="str">
        <f>IF(B947="","",IFERROR(INDEX(mat_des,MATCH(B947,mat_ref,0))&amp;"","Matière inconnue"))</f>
        <v/>
      </c>
      <c r="D947" s="69" t="str">
        <f>IF(B947="","",IFERROR(INDEX(mat_unit,MATCH(B947,mat_ref,0))&amp;"",""))</f>
        <v/>
      </c>
      <c r="E947" s="72" t="n"/>
      <c r="F947" s="65" t="n"/>
      <c r="G947" s="68" t="str">
        <f>IF(J947&lt;&gt;"OK","",IF(F947="",N(INDEX(mat_loss,MATCH(B947,mat_ref,0))),F947))</f>
        <v/>
      </c>
      <c r="H947" s="66" t="str">
        <f>IF(J947&lt;&gt;"OK","",INDEX(mat_price,MATCH(B947,mat_ref,0)))</f>
        <v/>
      </c>
      <c r="I947" s="66" t="str">
        <f>IF(J947&lt;&gt;"OK","",E947*(1+G947)*H947)</f>
        <v/>
      </c>
      <c r="J947" s="69" t="str">
        <f>IF(AND(A947="",B947=""),"",IF(A947="","Produit manquant",IF(COUNTIF(prod_ref,A947)=0,"Produit inconnu",IF(B947="","Matière manquante",IF(ISNA(MATCH(B947,mat_ref,0)),"Matière inconnue",IF(INDEX(mat_check,MATCH(B947,mat_ref,0))&lt;&gt;"OK","Matière à corriger",IF(OR(NOT(ISNUMBER(E947)),N(E947)&lt;=0),"Quantité invalide",IF(AND(F947&lt;&gt;"",OR(NOT(ISNUMBER(F947)),N(F947)&lt;0,N(F947)&gt;=1)),"Perte entre 0 et 99 %",IF(COUNTIFS(bom_prod,A947,bom_mat,B947)&gt;1,"Matière en double","OK")))))))))</f>
        <v/>
      </c>
      <c r="K947" s="71" t="str">
        <f>IF(AND(fiche_sel&lt;&gt;"",A947=fiche_sel),COUNTIF(A$6:A947,fiche_sel),"")</f>
        <v/>
      </c>
    </row>
    <row r="948">
      <c r="A948" s="60" t="n"/>
      <c r="B948" s="60" t="n"/>
      <c r="C948" s="71" t="str">
        <f>IF(B948="","",IFERROR(INDEX(mat_des,MATCH(B948,mat_ref,0))&amp;"","Matière inconnue"))</f>
        <v/>
      </c>
      <c r="D948" s="69" t="str">
        <f>IF(B948="","",IFERROR(INDEX(mat_unit,MATCH(B948,mat_ref,0))&amp;"",""))</f>
        <v/>
      </c>
      <c r="E948" s="72" t="n"/>
      <c r="F948" s="65" t="n"/>
      <c r="G948" s="68" t="str">
        <f>IF(J948&lt;&gt;"OK","",IF(F948="",N(INDEX(mat_loss,MATCH(B948,mat_ref,0))),F948))</f>
        <v/>
      </c>
      <c r="H948" s="66" t="str">
        <f>IF(J948&lt;&gt;"OK","",INDEX(mat_price,MATCH(B948,mat_ref,0)))</f>
        <v/>
      </c>
      <c r="I948" s="66" t="str">
        <f>IF(J948&lt;&gt;"OK","",E948*(1+G948)*H948)</f>
        <v/>
      </c>
      <c r="J948" s="69" t="str">
        <f>IF(AND(A948="",B948=""),"",IF(A948="","Produit manquant",IF(COUNTIF(prod_ref,A948)=0,"Produit inconnu",IF(B948="","Matière manquante",IF(ISNA(MATCH(B948,mat_ref,0)),"Matière inconnue",IF(INDEX(mat_check,MATCH(B948,mat_ref,0))&lt;&gt;"OK","Matière à corriger",IF(OR(NOT(ISNUMBER(E948)),N(E948)&lt;=0),"Quantité invalide",IF(AND(F948&lt;&gt;"",OR(NOT(ISNUMBER(F948)),N(F948)&lt;0,N(F948)&gt;=1)),"Perte entre 0 et 99 %",IF(COUNTIFS(bom_prod,A948,bom_mat,B948)&gt;1,"Matière en double","OK")))))))))</f>
        <v/>
      </c>
      <c r="K948" s="71" t="str">
        <f>IF(AND(fiche_sel&lt;&gt;"",A948=fiche_sel),COUNTIF(A$6:A948,fiche_sel),"")</f>
        <v/>
      </c>
    </row>
    <row r="949">
      <c r="A949" s="60" t="n"/>
      <c r="B949" s="60" t="n"/>
      <c r="C949" s="71" t="str">
        <f>IF(B949="","",IFERROR(INDEX(mat_des,MATCH(B949,mat_ref,0))&amp;"","Matière inconnue"))</f>
        <v/>
      </c>
      <c r="D949" s="69" t="str">
        <f>IF(B949="","",IFERROR(INDEX(mat_unit,MATCH(B949,mat_ref,0))&amp;"",""))</f>
        <v/>
      </c>
      <c r="E949" s="72" t="n"/>
      <c r="F949" s="65" t="n"/>
      <c r="G949" s="68" t="str">
        <f>IF(J949&lt;&gt;"OK","",IF(F949="",N(INDEX(mat_loss,MATCH(B949,mat_ref,0))),F949))</f>
        <v/>
      </c>
      <c r="H949" s="66" t="str">
        <f>IF(J949&lt;&gt;"OK","",INDEX(mat_price,MATCH(B949,mat_ref,0)))</f>
        <v/>
      </c>
      <c r="I949" s="66" t="str">
        <f>IF(J949&lt;&gt;"OK","",E949*(1+G949)*H949)</f>
        <v/>
      </c>
      <c r="J949" s="69" t="str">
        <f>IF(AND(A949="",B949=""),"",IF(A949="","Produit manquant",IF(COUNTIF(prod_ref,A949)=0,"Produit inconnu",IF(B949="","Matière manquante",IF(ISNA(MATCH(B949,mat_ref,0)),"Matière inconnue",IF(INDEX(mat_check,MATCH(B949,mat_ref,0))&lt;&gt;"OK","Matière à corriger",IF(OR(NOT(ISNUMBER(E949)),N(E949)&lt;=0),"Quantité invalide",IF(AND(F949&lt;&gt;"",OR(NOT(ISNUMBER(F949)),N(F949)&lt;0,N(F949)&gt;=1)),"Perte entre 0 et 99 %",IF(COUNTIFS(bom_prod,A949,bom_mat,B949)&gt;1,"Matière en double","OK")))))))))</f>
        <v/>
      </c>
      <c r="K949" s="71" t="str">
        <f>IF(AND(fiche_sel&lt;&gt;"",A949=fiche_sel),COUNTIF(A$6:A949,fiche_sel),"")</f>
        <v/>
      </c>
    </row>
    <row r="950">
      <c r="A950" s="60" t="n"/>
      <c r="B950" s="60" t="n"/>
      <c r="C950" s="71" t="str">
        <f>IF(B950="","",IFERROR(INDEX(mat_des,MATCH(B950,mat_ref,0))&amp;"","Matière inconnue"))</f>
        <v/>
      </c>
      <c r="D950" s="69" t="str">
        <f>IF(B950="","",IFERROR(INDEX(mat_unit,MATCH(B950,mat_ref,0))&amp;"",""))</f>
        <v/>
      </c>
      <c r="E950" s="72" t="n"/>
      <c r="F950" s="65" t="n"/>
      <c r="G950" s="68" t="str">
        <f>IF(J950&lt;&gt;"OK","",IF(F950="",N(INDEX(mat_loss,MATCH(B950,mat_ref,0))),F950))</f>
        <v/>
      </c>
      <c r="H950" s="66" t="str">
        <f>IF(J950&lt;&gt;"OK","",INDEX(mat_price,MATCH(B950,mat_ref,0)))</f>
        <v/>
      </c>
      <c r="I950" s="66" t="str">
        <f>IF(J950&lt;&gt;"OK","",E950*(1+G950)*H950)</f>
        <v/>
      </c>
      <c r="J950" s="69" t="str">
        <f>IF(AND(A950="",B950=""),"",IF(A950="","Produit manquant",IF(COUNTIF(prod_ref,A950)=0,"Produit inconnu",IF(B950="","Matière manquante",IF(ISNA(MATCH(B950,mat_ref,0)),"Matière inconnue",IF(INDEX(mat_check,MATCH(B950,mat_ref,0))&lt;&gt;"OK","Matière à corriger",IF(OR(NOT(ISNUMBER(E950)),N(E950)&lt;=0),"Quantité invalide",IF(AND(F950&lt;&gt;"",OR(NOT(ISNUMBER(F950)),N(F950)&lt;0,N(F950)&gt;=1)),"Perte entre 0 et 99 %",IF(COUNTIFS(bom_prod,A950,bom_mat,B950)&gt;1,"Matière en double","OK")))))))))</f>
        <v/>
      </c>
      <c r="K950" s="71" t="str">
        <f>IF(AND(fiche_sel&lt;&gt;"",A950=fiche_sel),COUNTIF(A$6:A950,fiche_sel),"")</f>
        <v/>
      </c>
    </row>
    <row r="951">
      <c r="A951" s="60" t="n"/>
      <c r="B951" s="60" t="n"/>
      <c r="C951" s="71" t="str">
        <f>IF(B951="","",IFERROR(INDEX(mat_des,MATCH(B951,mat_ref,0))&amp;"","Matière inconnue"))</f>
        <v/>
      </c>
      <c r="D951" s="69" t="str">
        <f>IF(B951="","",IFERROR(INDEX(mat_unit,MATCH(B951,mat_ref,0))&amp;"",""))</f>
        <v/>
      </c>
      <c r="E951" s="72" t="n"/>
      <c r="F951" s="65" t="n"/>
      <c r="G951" s="68" t="str">
        <f>IF(J951&lt;&gt;"OK","",IF(F951="",N(INDEX(mat_loss,MATCH(B951,mat_ref,0))),F951))</f>
        <v/>
      </c>
      <c r="H951" s="66" t="str">
        <f>IF(J951&lt;&gt;"OK","",INDEX(mat_price,MATCH(B951,mat_ref,0)))</f>
        <v/>
      </c>
      <c r="I951" s="66" t="str">
        <f>IF(J951&lt;&gt;"OK","",E951*(1+G951)*H951)</f>
        <v/>
      </c>
      <c r="J951" s="69" t="str">
        <f>IF(AND(A951="",B951=""),"",IF(A951="","Produit manquant",IF(COUNTIF(prod_ref,A951)=0,"Produit inconnu",IF(B951="","Matière manquante",IF(ISNA(MATCH(B951,mat_ref,0)),"Matière inconnue",IF(INDEX(mat_check,MATCH(B951,mat_ref,0))&lt;&gt;"OK","Matière à corriger",IF(OR(NOT(ISNUMBER(E951)),N(E951)&lt;=0),"Quantité invalide",IF(AND(F951&lt;&gt;"",OR(NOT(ISNUMBER(F951)),N(F951)&lt;0,N(F951)&gt;=1)),"Perte entre 0 et 99 %",IF(COUNTIFS(bom_prod,A951,bom_mat,B951)&gt;1,"Matière en double","OK")))))))))</f>
        <v/>
      </c>
      <c r="K951" s="71" t="str">
        <f>IF(AND(fiche_sel&lt;&gt;"",A951=fiche_sel),COUNTIF(A$6:A951,fiche_sel),"")</f>
        <v/>
      </c>
    </row>
    <row r="952">
      <c r="A952" s="60" t="n"/>
      <c r="B952" s="60" t="n"/>
      <c r="C952" s="71" t="str">
        <f>IF(B952="","",IFERROR(INDEX(mat_des,MATCH(B952,mat_ref,0))&amp;"","Matière inconnue"))</f>
        <v/>
      </c>
      <c r="D952" s="69" t="str">
        <f>IF(B952="","",IFERROR(INDEX(mat_unit,MATCH(B952,mat_ref,0))&amp;"",""))</f>
        <v/>
      </c>
      <c r="E952" s="72" t="n"/>
      <c r="F952" s="65" t="n"/>
      <c r="G952" s="68" t="str">
        <f>IF(J952&lt;&gt;"OK","",IF(F952="",N(INDEX(mat_loss,MATCH(B952,mat_ref,0))),F952))</f>
        <v/>
      </c>
      <c r="H952" s="66" t="str">
        <f>IF(J952&lt;&gt;"OK","",INDEX(mat_price,MATCH(B952,mat_ref,0)))</f>
        <v/>
      </c>
      <c r="I952" s="66" t="str">
        <f>IF(J952&lt;&gt;"OK","",E952*(1+G952)*H952)</f>
        <v/>
      </c>
      <c r="J952" s="69" t="str">
        <f>IF(AND(A952="",B952=""),"",IF(A952="","Produit manquant",IF(COUNTIF(prod_ref,A952)=0,"Produit inconnu",IF(B952="","Matière manquante",IF(ISNA(MATCH(B952,mat_ref,0)),"Matière inconnue",IF(INDEX(mat_check,MATCH(B952,mat_ref,0))&lt;&gt;"OK","Matière à corriger",IF(OR(NOT(ISNUMBER(E952)),N(E952)&lt;=0),"Quantité invalide",IF(AND(F952&lt;&gt;"",OR(NOT(ISNUMBER(F952)),N(F952)&lt;0,N(F952)&gt;=1)),"Perte entre 0 et 99 %",IF(COUNTIFS(bom_prod,A952,bom_mat,B952)&gt;1,"Matière en double","OK")))))))))</f>
        <v/>
      </c>
      <c r="K952" s="71" t="str">
        <f>IF(AND(fiche_sel&lt;&gt;"",A952=fiche_sel),COUNTIF(A$6:A952,fiche_sel),"")</f>
        <v/>
      </c>
    </row>
    <row r="953">
      <c r="A953" s="60" t="n"/>
      <c r="B953" s="60" t="n"/>
      <c r="C953" s="71" t="str">
        <f>IF(B953="","",IFERROR(INDEX(mat_des,MATCH(B953,mat_ref,0))&amp;"","Matière inconnue"))</f>
        <v/>
      </c>
      <c r="D953" s="69" t="str">
        <f>IF(B953="","",IFERROR(INDEX(mat_unit,MATCH(B953,mat_ref,0))&amp;"",""))</f>
        <v/>
      </c>
      <c r="E953" s="72" t="n"/>
      <c r="F953" s="65" t="n"/>
      <c r="G953" s="68" t="str">
        <f>IF(J953&lt;&gt;"OK","",IF(F953="",N(INDEX(mat_loss,MATCH(B953,mat_ref,0))),F953))</f>
        <v/>
      </c>
      <c r="H953" s="66" t="str">
        <f>IF(J953&lt;&gt;"OK","",INDEX(mat_price,MATCH(B953,mat_ref,0)))</f>
        <v/>
      </c>
      <c r="I953" s="66" t="str">
        <f>IF(J953&lt;&gt;"OK","",E953*(1+G953)*H953)</f>
        <v/>
      </c>
      <c r="J953" s="69" t="str">
        <f>IF(AND(A953="",B953=""),"",IF(A953="","Produit manquant",IF(COUNTIF(prod_ref,A953)=0,"Produit inconnu",IF(B953="","Matière manquante",IF(ISNA(MATCH(B953,mat_ref,0)),"Matière inconnue",IF(INDEX(mat_check,MATCH(B953,mat_ref,0))&lt;&gt;"OK","Matière à corriger",IF(OR(NOT(ISNUMBER(E953)),N(E953)&lt;=0),"Quantité invalide",IF(AND(F953&lt;&gt;"",OR(NOT(ISNUMBER(F953)),N(F953)&lt;0,N(F953)&gt;=1)),"Perte entre 0 et 99 %",IF(COUNTIFS(bom_prod,A953,bom_mat,B953)&gt;1,"Matière en double","OK")))))))))</f>
        <v/>
      </c>
      <c r="K953" s="71" t="str">
        <f>IF(AND(fiche_sel&lt;&gt;"",A953=fiche_sel),COUNTIF(A$6:A953,fiche_sel),"")</f>
        <v/>
      </c>
    </row>
    <row r="954">
      <c r="A954" s="60" t="n"/>
      <c r="B954" s="60" t="n"/>
      <c r="C954" s="71" t="str">
        <f>IF(B954="","",IFERROR(INDEX(mat_des,MATCH(B954,mat_ref,0))&amp;"","Matière inconnue"))</f>
        <v/>
      </c>
      <c r="D954" s="69" t="str">
        <f>IF(B954="","",IFERROR(INDEX(mat_unit,MATCH(B954,mat_ref,0))&amp;"",""))</f>
        <v/>
      </c>
      <c r="E954" s="72" t="n"/>
      <c r="F954" s="65" t="n"/>
      <c r="G954" s="68" t="str">
        <f>IF(J954&lt;&gt;"OK","",IF(F954="",N(INDEX(mat_loss,MATCH(B954,mat_ref,0))),F954))</f>
        <v/>
      </c>
      <c r="H954" s="66" t="str">
        <f>IF(J954&lt;&gt;"OK","",INDEX(mat_price,MATCH(B954,mat_ref,0)))</f>
        <v/>
      </c>
      <c r="I954" s="66" t="str">
        <f>IF(J954&lt;&gt;"OK","",E954*(1+G954)*H954)</f>
        <v/>
      </c>
      <c r="J954" s="69" t="str">
        <f>IF(AND(A954="",B954=""),"",IF(A954="","Produit manquant",IF(COUNTIF(prod_ref,A954)=0,"Produit inconnu",IF(B954="","Matière manquante",IF(ISNA(MATCH(B954,mat_ref,0)),"Matière inconnue",IF(INDEX(mat_check,MATCH(B954,mat_ref,0))&lt;&gt;"OK","Matière à corriger",IF(OR(NOT(ISNUMBER(E954)),N(E954)&lt;=0),"Quantité invalide",IF(AND(F954&lt;&gt;"",OR(NOT(ISNUMBER(F954)),N(F954)&lt;0,N(F954)&gt;=1)),"Perte entre 0 et 99 %",IF(COUNTIFS(bom_prod,A954,bom_mat,B954)&gt;1,"Matière en double","OK")))))))))</f>
        <v/>
      </c>
      <c r="K954" s="71" t="str">
        <f>IF(AND(fiche_sel&lt;&gt;"",A954=fiche_sel),COUNTIF(A$6:A954,fiche_sel),"")</f>
        <v/>
      </c>
    </row>
    <row r="955">
      <c r="A955" s="60" t="n"/>
      <c r="B955" s="60" t="n"/>
      <c r="C955" s="71" t="str">
        <f>IF(B955="","",IFERROR(INDEX(mat_des,MATCH(B955,mat_ref,0))&amp;"","Matière inconnue"))</f>
        <v/>
      </c>
      <c r="D955" s="69" t="str">
        <f>IF(B955="","",IFERROR(INDEX(mat_unit,MATCH(B955,mat_ref,0))&amp;"",""))</f>
        <v/>
      </c>
      <c r="E955" s="72" t="n"/>
      <c r="F955" s="65" t="n"/>
      <c r="G955" s="68" t="str">
        <f>IF(J955&lt;&gt;"OK","",IF(F955="",N(INDEX(mat_loss,MATCH(B955,mat_ref,0))),F955))</f>
        <v/>
      </c>
      <c r="H955" s="66" t="str">
        <f>IF(J955&lt;&gt;"OK","",INDEX(mat_price,MATCH(B955,mat_ref,0)))</f>
        <v/>
      </c>
      <c r="I955" s="66" t="str">
        <f>IF(J955&lt;&gt;"OK","",E955*(1+G955)*H955)</f>
        <v/>
      </c>
      <c r="J955" s="69" t="str">
        <f>IF(AND(A955="",B955=""),"",IF(A955="","Produit manquant",IF(COUNTIF(prod_ref,A955)=0,"Produit inconnu",IF(B955="","Matière manquante",IF(ISNA(MATCH(B955,mat_ref,0)),"Matière inconnue",IF(INDEX(mat_check,MATCH(B955,mat_ref,0))&lt;&gt;"OK","Matière à corriger",IF(OR(NOT(ISNUMBER(E955)),N(E955)&lt;=0),"Quantité invalide",IF(AND(F955&lt;&gt;"",OR(NOT(ISNUMBER(F955)),N(F955)&lt;0,N(F955)&gt;=1)),"Perte entre 0 et 99 %",IF(COUNTIFS(bom_prod,A955,bom_mat,B955)&gt;1,"Matière en double","OK")))))))))</f>
        <v/>
      </c>
      <c r="K955" s="71" t="str">
        <f>IF(AND(fiche_sel&lt;&gt;"",A955=fiche_sel),COUNTIF(A$6:A955,fiche_sel),"")</f>
        <v/>
      </c>
    </row>
    <row r="956">
      <c r="A956" s="60" t="n"/>
      <c r="B956" s="60" t="n"/>
      <c r="C956" s="71" t="str">
        <f>IF(B956="","",IFERROR(INDEX(mat_des,MATCH(B956,mat_ref,0))&amp;"","Matière inconnue"))</f>
        <v/>
      </c>
      <c r="D956" s="69" t="str">
        <f>IF(B956="","",IFERROR(INDEX(mat_unit,MATCH(B956,mat_ref,0))&amp;"",""))</f>
        <v/>
      </c>
      <c r="E956" s="72" t="n"/>
      <c r="F956" s="65" t="n"/>
      <c r="G956" s="68" t="str">
        <f>IF(J956&lt;&gt;"OK","",IF(F956="",N(INDEX(mat_loss,MATCH(B956,mat_ref,0))),F956))</f>
        <v/>
      </c>
      <c r="H956" s="66" t="str">
        <f>IF(J956&lt;&gt;"OK","",INDEX(mat_price,MATCH(B956,mat_ref,0)))</f>
        <v/>
      </c>
      <c r="I956" s="66" t="str">
        <f>IF(J956&lt;&gt;"OK","",E956*(1+G956)*H956)</f>
        <v/>
      </c>
      <c r="J956" s="69" t="str">
        <f>IF(AND(A956="",B956=""),"",IF(A956="","Produit manquant",IF(COUNTIF(prod_ref,A956)=0,"Produit inconnu",IF(B956="","Matière manquante",IF(ISNA(MATCH(B956,mat_ref,0)),"Matière inconnue",IF(INDEX(mat_check,MATCH(B956,mat_ref,0))&lt;&gt;"OK","Matière à corriger",IF(OR(NOT(ISNUMBER(E956)),N(E956)&lt;=0),"Quantité invalide",IF(AND(F956&lt;&gt;"",OR(NOT(ISNUMBER(F956)),N(F956)&lt;0,N(F956)&gt;=1)),"Perte entre 0 et 99 %",IF(COUNTIFS(bom_prod,A956,bom_mat,B956)&gt;1,"Matière en double","OK")))))))))</f>
        <v/>
      </c>
      <c r="K956" s="71" t="str">
        <f>IF(AND(fiche_sel&lt;&gt;"",A956=fiche_sel),COUNTIF(A$6:A956,fiche_sel),"")</f>
        <v/>
      </c>
    </row>
    <row r="957">
      <c r="A957" s="60" t="n"/>
      <c r="B957" s="60" t="n"/>
      <c r="C957" s="71" t="str">
        <f>IF(B957="","",IFERROR(INDEX(mat_des,MATCH(B957,mat_ref,0))&amp;"","Matière inconnue"))</f>
        <v/>
      </c>
      <c r="D957" s="69" t="str">
        <f>IF(B957="","",IFERROR(INDEX(mat_unit,MATCH(B957,mat_ref,0))&amp;"",""))</f>
        <v/>
      </c>
      <c r="E957" s="72" t="n"/>
      <c r="F957" s="65" t="n"/>
      <c r="G957" s="68" t="str">
        <f>IF(J957&lt;&gt;"OK","",IF(F957="",N(INDEX(mat_loss,MATCH(B957,mat_ref,0))),F957))</f>
        <v/>
      </c>
      <c r="H957" s="66" t="str">
        <f>IF(J957&lt;&gt;"OK","",INDEX(mat_price,MATCH(B957,mat_ref,0)))</f>
        <v/>
      </c>
      <c r="I957" s="66" t="str">
        <f>IF(J957&lt;&gt;"OK","",E957*(1+G957)*H957)</f>
        <v/>
      </c>
      <c r="J957" s="69" t="str">
        <f>IF(AND(A957="",B957=""),"",IF(A957="","Produit manquant",IF(COUNTIF(prod_ref,A957)=0,"Produit inconnu",IF(B957="","Matière manquante",IF(ISNA(MATCH(B957,mat_ref,0)),"Matière inconnue",IF(INDEX(mat_check,MATCH(B957,mat_ref,0))&lt;&gt;"OK","Matière à corriger",IF(OR(NOT(ISNUMBER(E957)),N(E957)&lt;=0),"Quantité invalide",IF(AND(F957&lt;&gt;"",OR(NOT(ISNUMBER(F957)),N(F957)&lt;0,N(F957)&gt;=1)),"Perte entre 0 et 99 %",IF(COUNTIFS(bom_prod,A957,bom_mat,B957)&gt;1,"Matière en double","OK")))))))))</f>
        <v/>
      </c>
      <c r="K957" s="71" t="str">
        <f>IF(AND(fiche_sel&lt;&gt;"",A957=fiche_sel),COUNTIF(A$6:A957,fiche_sel),"")</f>
        <v/>
      </c>
    </row>
    <row r="958">
      <c r="A958" s="60" t="n"/>
      <c r="B958" s="60" t="n"/>
      <c r="C958" s="71" t="str">
        <f>IF(B958="","",IFERROR(INDEX(mat_des,MATCH(B958,mat_ref,0))&amp;"","Matière inconnue"))</f>
        <v/>
      </c>
      <c r="D958" s="69" t="str">
        <f>IF(B958="","",IFERROR(INDEX(mat_unit,MATCH(B958,mat_ref,0))&amp;"",""))</f>
        <v/>
      </c>
      <c r="E958" s="72" t="n"/>
      <c r="F958" s="65" t="n"/>
      <c r="G958" s="68" t="str">
        <f>IF(J958&lt;&gt;"OK","",IF(F958="",N(INDEX(mat_loss,MATCH(B958,mat_ref,0))),F958))</f>
        <v/>
      </c>
      <c r="H958" s="66" t="str">
        <f>IF(J958&lt;&gt;"OK","",INDEX(mat_price,MATCH(B958,mat_ref,0)))</f>
        <v/>
      </c>
      <c r="I958" s="66" t="str">
        <f>IF(J958&lt;&gt;"OK","",E958*(1+G958)*H958)</f>
        <v/>
      </c>
      <c r="J958" s="69" t="str">
        <f>IF(AND(A958="",B958=""),"",IF(A958="","Produit manquant",IF(COUNTIF(prod_ref,A958)=0,"Produit inconnu",IF(B958="","Matière manquante",IF(ISNA(MATCH(B958,mat_ref,0)),"Matière inconnue",IF(INDEX(mat_check,MATCH(B958,mat_ref,0))&lt;&gt;"OK","Matière à corriger",IF(OR(NOT(ISNUMBER(E958)),N(E958)&lt;=0),"Quantité invalide",IF(AND(F958&lt;&gt;"",OR(NOT(ISNUMBER(F958)),N(F958)&lt;0,N(F958)&gt;=1)),"Perte entre 0 et 99 %",IF(COUNTIFS(bom_prod,A958,bom_mat,B958)&gt;1,"Matière en double","OK")))))))))</f>
        <v/>
      </c>
      <c r="K958" s="71" t="str">
        <f>IF(AND(fiche_sel&lt;&gt;"",A958=fiche_sel),COUNTIF(A$6:A958,fiche_sel),"")</f>
        <v/>
      </c>
    </row>
    <row r="959">
      <c r="A959" s="60" t="n"/>
      <c r="B959" s="60" t="n"/>
      <c r="C959" s="71" t="str">
        <f>IF(B959="","",IFERROR(INDEX(mat_des,MATCH(B959,mat_ref,0))&amp;"","Matière inconnue"))</f>
        <v/>
      </c>
      <c r="D959" s="69" t="str">
        <f>IF(B959="","",IFERROR(INDEX(mat_unit,MATCH(B959,mat_ref,0))&amp;"",""))</f>
        <v/>
      </c>
      <c r="E959" s="72" t="n"/>
      <c r="F959" s="65" t="n"/>
      <c r="G959" s="68" t="str">
        <f>IF(J959&lt;&gt;"OK","",IF(F959="",N(INDEX(mat_loss,MATCH(B959,mat_ref,0))),F959))</f>
        <v/>
      </c>
      <c r="H959" s="66" t="str">
        <f>IF(J959&lt;&gt;"OK","",INDEX(mat_price,MATCH(B959,mat_ref,0)))</f>
        <v/>
      </c>
      <c r="I959" s="66" t="str">
        <f>IF(J959&lt;&gt;"OK","",E959*(1+G959)*H959)</f>
        <v/>
      </c>
      <c r="J959" s="69" t="str">
        <f>IF(AND(A959="",B959=""),"",IF(A959="","Produit manquant",IF(COUNTIF(prod_ref,A959)=0,"Produit inconnu",IF(B959="","Matière manquante",IF(ISNA(MATCH(B959,mat_ref,0)),"Matière inconnue",IF(INDEX(mat_check,MATCH(B959,mat_ref,0))&lt;&gt;"OK","Matière à corriger",IF(OR(NOT(ISNUMBER(E959)),N(E959)&lt;=0),"Quantité invalide",IF(AND(F959&lt;&gt;"",OR(NOT(ISNUMBER(F959)),N(F959)&lt;0,N(F959)&gt;=1)),"Perte entre 0 et 99 %",IF(COUNTIFS(bom_prod,A959,bom_mat,B959)&gt;1,"Matière en double","OK")))))))))</f>
        <v/>
      </c>
      <c r="K959" s="71" t="str">
        <f>IF(AND(fiche_sel&lt;&gt;"",A959=fiche_sel),COUNTIF(A$6:A959,fiche_sel),"")</f>
        <v/>
      </c>
    </row>
    <row r="960">
      <c r="A960" s="60" t="n"/>
      <c r="B960" s="60" t="n"/>
      <c r="C960" s="71" t="str">
        <f>IF(B960="","",IFERROR(INDEX(mat_des,MATCH(B960,mat_ref,0))&amp;"","Matière inconnue"))</f>
        <v/>
      </c>
      <c r="D960" s="69" t="str">
        <f>IF(B960="","",IFERROR(INDEX(mat_unit,MATCH(B960,mat_ref,0))&amp;"",""))</f>
        <v/>
      </c>
      <c r="E960" s="72" t="n"/>
      <c r="F960" s="65" t="n"/>
      <c r="G960" s="68" t="str">
        <f>IF(J960&lt;&gt;"OK","",IF(F960="",N(INDEX(mat_loss,MATCH(B960,mat_ref,0))),F960))</f>
        <v/>
      </c>
      <c r="H960" s="66" t="str">
        <f>IF(J960&lt;&gt;"OK","",INDEX(mat_price,MATCH(B960,mat_ref,0)))</f>
        <v/>
      </c>
      <c r="I960" s="66" t="str">
        <f>IF(J960&lt;&gt;"OK","",E960*(1+G960)*H960)</f>
        <v/>
      </c>
      <c r="J960" s="69" t="str">
        <f>IF(AND(A960="",B960=""),"",IF(A960="","Produit manquant",IF(COUNTIF(prod_ref,A960)=0,"Produit inconnu",IF(B960="","Matière manquante",IF(ISNA(MATCH(B960,mat_ref,0)),"Matière inconnue",IF(INDEX(mat_check,MATCH(B960,mat_ref,0))&lt;&gt;"OK","Matière à corriger",IF(OR(NOT(ISNUMBER(E960)),N(E960)&lt;=0),"Quantité invalide",IF(AND(F960&lt;&gt;"",OR(NOT(ISNUMBER(F960)),N(F960)&lt;0,N(F960)&gt;=1)),"Perte entre 0 et 99 %",IF(COUNTIFS(bom_prod,A960,bom_mat,B960)&gt;1,"Matière en double","OK")))))))))</f>
        <v/>
      </c>
      <c r="K960" s="71" t="str">
        <f>IF(AND(fiche_sel&lt;&gt;"",A960=fiche_sel),COUNTIF(A$6:A960,fiche_sel),"")</f>
        <v/>
      </c>
    </row>
    <row r="961">
      <c r="A961" s="60" t="n"/>
      <c r="B961" s="60" t="n"/>
      <c r="C961" s="71" t="str">
        <f>IF(B961="","",IFERROR(INDEX(mat_des,MATCH(B961,mat_ref,0))&amp;"","Matière inconnue"))</f>
        <v/>
      </c>
      <c r="D961" s="69" t="str">
        <f>IF(B961="","",IFERROR(INDEX(mat_unit,MATCH(B961,mat_ref,0))&amp;"",""))</f>
        <v/>
      </c>
      <c r="E961" s="72" t="n"/>
      <c r="F961" s="65" t="n"/>
      <c r="G961" s="68" t="str">
        <f>IF(J961&lt;&gt;"OK","",IF(F961="",N(INDEX(mat_loss,MATCH(B961,mat_ref,0))),F961))</f>
        <v/>
      </c>
      <c r="H961" s="66" t="str">
        <f>IF(J961&lt;&gt;"OK","",INDEX(mat_price,MATCH(B961,mat_ref,0)))</f>
        <v/>
      </c>
      <c r="I961" s="66" t="str">
        <f>IF(J961&lt;&gt;"OK","",E961*(1+G961)*H961)</f>
        <v/>
      </c>
      <c r="J961" s="69" t="str">
        <f>IF(AND(A961="",B961=""),"",IF(A961="","Produit manquant",IF(COUNTIF(prod_ref,A961)=0,"Produit inconnu",IF(B961="","Matière manquante",IF(ISNA(MATCH(B961,mat_ref,0)),"Matière inconnue",IF(INDEX(mat_check,MATCH(B961,mat_ref,0))&lt;&gt;"OK","Matière à corriger",IF(OR(NOT(ISNUMBER(E961)),N(E961)&lt;=0),"Quantité invalide",IF(AND(F961&lt;&gt;"",OR(NOT(ISNUMBER(F961)),N(F961)&lt;0,N(F961)&gt;=1)),"Perte entre 0 et 99 %",IF(COUNTIFS(bom_prod,A961,bom_mat,B961)&gt;1,"Matière en double","OK")))))))))</f>
        <v/>
      </c>
      <c r="K961" s="71" t="str">
        <f>IF(AND(fiche_sel&lt;&gt;"",A961=fiche_sel),COUNTIF(A$6:A961,fiche_sel),"")</f>
        <v/>
      </c>
    </row>
    <row r="962">
      <c r="A962" s="60" t="n"/>
      <c r="B962" s="60" t="n"/>
      <c r="C962" s="71" t="str">
        <f>IF(B962="","",IFERROR(INDEX(mat_des,MATCH(B962,mat_ref,0))&amp;"","Matière inconnue"))</f>
        <v/>
      </c>
      <c r="D962" s="69" t="str">
        <f>IF(B962="","",IFERROR(INDEX(mat_unit,MATCH(B962,mat_ref,0))&amp;"",""))</f>
        <v/>
      </c>
      <c r="E962" s="72" t="n"/>
      <c r="F962" s="65" t="n"/>
      <c r="G962" s="68" t="str">
        <f>IF(J962&lt;&gt;"OK","",IF(F962="",N(INDEX(mat_loss,MATCH(B962,mat_ref,0))),F962))</f>
        <v/>
      </c>
      <c r="H962" s="66" t="str">
        <f>IF(J962&lt;&gt;"OK","",INDEX(mat_price,MATCH(B962,mat_ref,0)))</f>
        <v/>
      </c>
      <c r="I962" s="66" t="str">
        <f>IF(J962&lt;&gt;"OK","",E962*(1+G962)*H962)</f>
        <v/>
      </c>
      <c r="J962" s="69" t="str">
        <f>IF(AND(A962="",B962=""),"",IF(A962="","Produit manquant",IF(COUNTIF(prod_ref,A962)=0,"Produit inconnu",IF(B962="","Matière manquante",IF(ISNA(MATCH(B962,mat_ref,0)),"Matière inconnue",IF(INDEX(mat_check,MATCH(B962,mat_ref,0))&lt;&gt;"OK","Matière à corriger",IF(OR(NOT(ISNUMBER(E962)),N(E962)&lt;=0),"Quantité invalide",IF(AND(F962&lt;&gt;"",OR(NOT(ISNUMBER(F962)),N(F962)&lt;0,N(F962)&gt;=1)),"Perte entre 0 et 99 %",IF(COUNTIFS(bom_prod,A962,bom_mat,B962)&gt;1,"Matière en double","OK")))))))))</f>
        <v/>
      </c>
      <c r="K962" s="71" t="str">
        <f>IF(AND(fiche_sel&lt;&gt;"",A962=fiche_sel),COUNTIF(A$6:A962,fiche_sel),"")</f>
        <v/>
      </c>
    </row>
    <row r="963">
      <c r="A963" s="60" t="n"/>
      <c r="B963" s="60" t="n"/>
      <c r="C963" s="71" t="str">
        <f>IF(B963="","",IFERROR(INDEX(mat_des,MATCH(B963,mat_ref,0))&amp;"","Matière inconnue"))</f>
        <v/>
      </c>
      <c r="D963" s="69" t="str">
        <f>IF(B963="","",IFERROR(INDEX(mat_unit,MATCH(B963,mat_ref,0))&amp;"",""))</f>
        <v/>
      </c>
      <c r="E963" s="72" t="n"/>
      <c r="F963" s="65" t="n"/>
      <c r="G963" s="68" t="str">
        <f>IF(J963&lt;&gt;"OK","",IF(F963="",N(INDEX(mat_loss,MATCH(B963,mat_ref,0))),F963))</f>
        <v/>
      </c>
      <c r="H963" s="66" t="str">
        <f>IF(J963&lt;&gt;"OK","",INDEX(mat_price,MATCH(B963,mat_ref,0)))</f>
        <v/>
      </c>
      <c r="I963" s="66" t="str">
        <f>IF(J963&lt;&gt;"OK","",E963*(1+G963)*H963)</f>
        <v/>
      </c>
      <c r="J963" s="69" t="str">
        <f>IF(AND(A963="",B963=""),"",IF(A963="","Produit manquant",IF(COUNTIF(prod_ref,A963)=0,"Produit inconnu",IF(B963="","Matière manquante",IF(ISNA(MATCH(B963,mat_ref,0)),"Matière inconnue",IF(INDEX(mat_check,MATCH(B963,mat_ref,0))&lt;&gt;"OK","Matière à corriger",IF(OR(NOT(ISNUMBER(E963)),N(E963)&lt;=0),"Quantité invalide",IF(AND(F963&lt;&gt;"",OR(NOT(ISNUMBER(F963)),N(F963)&lt;0,N(F963)&gt;=1)),"Perte entre 0 et 99 %",IF(COUNTIFS(bom_prod,A963,bom_mat,B963)&gt;1,"Matière en double","OK")))))))))</f>
        <v/>
      </c>
      <c r="K963" s="71" t="str">
        <f>IF(AND(fiche_sel&lt;&gt;"",A963=fiche_sel),COUNTIF(A$6:A963,fiche_sel),"")</f>
        <v/>
      </c>
    </row>
    <row r="964">
      <c r="A964" s="60" t="n"/>
      <c r="B964" s="60" t="n"/>
      <c r="C964" s="71" t="str">
        <f>IF(B964="","",IFERROR(INDEX(mat_des,MATCH(B964,mat_ref,0))&amp;"","Matière inconnue"))</f>
        <v/>
      </c>
      <c r="D964" s="69" t="str">
        <f>IF(B964="","",IFERROR(INDEX(mat_unit,MATCH(B964,mat_ref,0))&amp;"",""))</f>
        <v/>
      </c>
      <c r="E964" s="72" t="n"/>
      <c r="F964" s="65" t="n"/>
      <c r="G964" s="68" t="str">
        <f>IF(J964&lt;&gt;"OK","",IF(F964="",N(INDEX(mat_loss,MATCH(B964,mat_ref,0))),F964))</f>
        <v/>
      </c>
      <c r="H964" s="66" t="str">
        <f>IF(J964&lt;&gt;"OK","",INDEX(mat_price,MATCH(B964,mat_ref,0)))</f>
        <v/>
      </c>
      <c r="I964" s="66" t="str">
        <f>IF(J964&lt;&gt;"OK","",E964*(1+G964)*H964)</f>
        <v/>
      </c>
      <c r="J964" s="69" t="str">
        <f>IF(AND(A964="",B964=""),"",IF(A964="","Produit manquant",IF(COUNTIF(prod_ref,A964)=0,"Produit inconnu",IF(B964="","Matière manquante",IF(ISNA(MATCH(B964,mat_ref,0)),"Matière inconnue",IF(INDEX(mat_check,MATCH(B964,mat_ref,0))&lt;&gt;"OK","Matière à corriger",IF(OR(NOT(ISNUMBER(E964)),N(E964)&lt;=0),"Quantité invalide",IF(AND(F964&lt;&gt;"",OR(NOT(ISNUMBER(F964)),N(F964)&lt;0,N(F964)&gt;=1)),"Perte entre 0 et 99 %",IF(COUNTIFS(bom_prod,A964,bom_mat,B964)&gt;1,"Matière en double","OK")))))))))</f>
        <v/>
      </c>
      <c r="K964" s="71" t="str">
        <f>IF(AND(fiche_sel&lt;&gt;"",A964=fiche_sel),COUNTIF(A$6:A964,fiche_sel),"")</f>
        <v/>
      </c>
    </row>
    <row r="965">
      <c r="A965" s="60" t="n"/>
      <c r="B965" s="60" t="n"/>
      <c r="C965" s="71" t="str">
        <f>IF(B965="","",IFERROR(INDEX(mat_des,MATCH(B965,mat_ref,0))&amp;"","Matière inconnue"))</f>
        <v/>
      </c>
      <c r="D965" s="69" t="str">
        <f>IF(B965="","",IFERROR(INDEX(mat_unit,MATCH(B965,mat_ref,0))&amp;"",""))</f>
        <v/>
      </c>
      <c r="E965" s="72" t="n"/>
      <c r="F965" s="65" t="n"/>
      <c r="G965" s="68" t="str">
        <f>IF(J965&lt;&gt;"OK","",IF(F965="",N(INDEX(mat_loss,MATCH(B965,mat_ref,0))),F965))</f>
        <v/>
      </c>
      <c r="H965" s="66" t="str">
        <f>IF(J965&lt;&gt;"OK","",INDEX(mat_price,MATCH(B965,mat_ref,0)))</f>
        <v/>
      </c>
      <c r="I965" s="66" t="str">
        <f>IF(J965&lt;&gt;"OK","",E965*(1+G965)*H965)</f>
        <v/>
      </c>
      <c r="J965" s="69" t="str">
        <f>IF(AND(A965="",B965=""),"",IF(A965="","Produit manquant",IF(COUNTIF(prod_ref,A965)=0,"Produit inconnu",IF(B965="","Matière manquante",IF(ISNA(MATCH(B965,mat_ref,0)),"Matière inconnue",IF(INDEX(mat_check,MATCH(B965,mat_ref,0))&lt;&gt;"OK","Matière à corriger",IF(OR(NOT(ISNUMBER(E965)),N(E965)&lt;=0),"Quantité invalide",IF(AND(F965&lt;&gt;"",OR(NOT(ISNUMBER(F965)),N(F965)&lt;0,N(F965)&gt;=1)),"Perte entre 0 et 99 %",IF(COUNTIFS(bom_prod,A965,bom_mat,B965)&gt;1,"Matière en double","OK")))))))))</f>
        <v/>
      </c>
      <c r="K965" s="71" t="str">
        <f>IF(AND(fiche_sel&lt;&gt;"",A965=fiche_sel),COUNTIF(A$6:A965,fiche_sel),"")</f>
        <v/>
      </c>
    </row>
    <row r="966">
      <c r="A966" s="60" t="n"/>
      <c r="B966" s="60" t="n"/>
      <c r="C966" s="71" t="str">
        <f>IF(B966="","",IFERROR(INDEX(mat_des,MATCH(B966,mat_ref,0))&amp;"","Matière inconnue"))</f>
        <v/>
      </c>
      <c r="D966" s="69" t="str">
        <f>IF(B966="","",IFERROR(INDEX(mat_unit,MATCH(B966,mat_ref,0))&amp;"",""))</f>
        <v/>
      </c>
      <c r="E966" s="72" t="n"/>
      <c r="F966" s="65" t="n"/>
      <c r="G966" s="68" t="str">
        <f>IF(J966&lt;&gt;"OK","",IF(F966="",N(INDEX(mat_loss,MATCH(B966,mat_ref,0))),F966))</f>
        <v/>
      </c>
      <c r="H966" s="66" t="str">
        <f>IF(J966&lt;&gt;"OK","",INDEX(mat_price,MATCH(B966,mat_ref,0)))</f>
        <v/>
      </c>
      <c r="I966" s="66" t="str">
        <f>IF(J966&lt;&gt;"OK","",E966*(1+G966)*H966)</f>
        <v/>
      </c>
      <c r="J966" s="69" t="str">
        <f>IF(AND(A966="",B966=""),"",IF(A966="","Produit manquant",IF(COUNTIF(prod_ref,A966)=0,"Produit inconnu",IF(B966="","Matière manquante",IF(ISNA(MATCH(B966,mat_ref,0)),"Matière inconnue",IF(INDEX(mat_check,MATCH(B966,mat_ref,0))&lt;&gt;"OK","Matière à corriger",IF(OR(NOT(ISNUMBER(E966)),N(E966)&lt;=0),"Quantité invalide",IF(AND(F966&lt;&gt;"",OR(NOT(ISNUMBER(F966)),N(F966)&lt;0,N(F966)&gt;=1)),"Perte entre 0 et 99 %",IF(COUNTIFS(bom_prod,A966,bom_mat,B966)&gt;1,"Matière en double","OK")))))))))</f>
        <v/>
      </c>
      <c r="K966" s="71" t="str">
        <f>IF(AND(fiche_sel&lt;&gt;"",A966=fiche_sel),COUNTIF(A$6:A966,fiche_sel),"")</f>
        <v/>
      </c>
    </row>
    <row r="967">
      <c r="A967" s="60" t="n"/>
      <c r="B967" s="60" t="n"/>
      <c r="C967" s="71" t="str">
        <f>IF(B967="","",IFERROR(INDEX(mat_des,MATCH(B967,mat_ref,0))&amp;"","Matière inconnue"))</f>
        <v/>
      </c>
      <c r="D967" s="69" t="str">
        <f>IF(B967="","",IFERROR(INDEX(mat_unit,MATCH(B967,mat_ref,0))&amp;"",""))</f>
        <v/>
      </c>
      <c r="E967" s="72" t="n"/>
      <c r="F967" s="65" t="n"/>
      <c r="G967" s="68" t="str">
        <f>IF(J967&lt;&gt;"OK","",IF(F967="",N(INDEX(mat_loss,MATCH(B967,mat_ref,0))),F967))</f>
        <v/>
      </c>
      <c r="H967" s="66" t="str">
        <f>IF(J967&lt;&gt;"OK","",INDEX(mat_price,MATCH(B967,mat_ref,0)))</f>
        <v/>
      </c>
      <c r="I967" s="66" t="str">
        <f>IF(J967&lt;&gt;"OK","",E967*(1+G967)*H967)</f>
        <v/>
      </c>
      <c r="J967" s="69" t="str">
        <f>IF(AND(A967="",B967=""),"",IF(A967="","Produit manquant",IF(COUNTIF(prod_ref,A967)=0,"Produit inconnu",IF(B967="","Matière manquante",IF(ISNA(MATCH(B967,mat_ref,0)),"Matière inconnue",IF(INDEX(mat_check,MATCH(B967,mat_ref,0))&lt;&gt;"OK","Matière à corriger",IF(OR(NOT(ISNUMBER(E967)),N(E967)&lt;=0),"Quantité invalide",IF(AND(F967&lt;&gt;"",OR(NOT(ISNUMBER(F967)),N(F967)&lt;0,N(F967)&gt;=1)),"Perte entre 0 et 99 %",IF(COUNTIFS(bom_prod,A967,bom_mat,B967)&gt;1,"Matière en double","OK")))))))))</f>
        <v/>
      </c>
      <c r="K967" s="71" t="str">
        <f>IF(AND(fiche_sel&lt;&gt;"",A967=fiche_sel),COUNTIF(A$6:A967,fiche_sel),"")</f>
        <v/>
      </c>
    </row>
    <row r="968">
      <c r="A968" s="60" t="n"/>
      <c r="B968" s="60" t="n"/>
      <c r="C968" s="71" t="str">
        <f>IF(B968="","",IFERROR(INDEX(mat_des,MATCH(B968,mat_ref,0))&amp;"","Matière inconnue"))</f>
        <v/>
      </c>
      <c r="D968" s="69" t="str">
        <f>IF(B968="","",IFERROR(INDEX(mat_unit,MATCH(B968,mat_ref,0))&amp;"",""))</f>
        <v/>
      </c>
      <c r="E968" s="72" t="n"/>
      <c r="F968" s="65" t="n"/>
      <c r="G968" s="68" t="str">
        <f>IF(J968&lt;&gt;"OK","",IF(F968="",N(INDEX(mat_loss,MATCH(B968,mat_ref,0))),F968))</f>
        <v/>
      </c>
      <c r="H968" s="66" t="str">
        <f>IF(J968&lt;&gt;"OK","",INDEX(mat_price,MATCH(B968,mat_ref,0)))</f>
        <v/>
      </c>
      <c r="I968" s="66" t="str">
        <f>IF(J968&lt;&gt;"OK","",E968*(1+G968)*H968)</f>
        <v/>
      </c>
      <c r="J968" s="69" t="str">
        <f>IF(AND(A968="",B968=""),"",IF(A968="","Produit manquant",IF(COUNTIF(prod_ref,A968)=0,"Produit inconnu",IF(B968="","Matière manquante",IF(ISNA(MATCH(B968,mat_ref,0)),"Matière inconnue",IF(INDEX(mat_check,MATCH(B968,mat_ref,0))&lt;&gt;"OK","Matière à corriger",IF(OR(NOT(ISNUMBER(E968)),N(E968)&lt;=0),"Quantité invalide",IF(AND(F968&lt;&gt;"",OR(NOT(ISNUMBER(F968)),N(F968)&lt;0,N(F968)&gt;=1)),"Perte entre 0 et 99 %",IF(COUNTIFS(bom_prod,A968,bom_mat,B968)&gt;1,"Matière en double","OK")))))))))</f>
        <v/>
      </c>
      <c r="K968" s="71" t="str">
        <f>IF(AND(fiche_sel&lt;&gt;"",A968=fiche_sel),COUNTIF(A$6:A968,fiche_sel),"")</f>
        <v/>
      </c>
    </row>
    <row r="969">
      <c r="A969" s="60" t="n"/>
      <c r="B969" s="60" t="n"/>
      <c r="C969" s="71" t="str">
        <f>IF(B969="","",IFERROR(INDEX(mat_des,MATCH(B969,mat_ref,0))&amp;"","Matière inconnue"))</f>
        <v/>
      </c>
      <c r="D969" s="69" t="str">
        <f>IF(B969="","",IFERROR(INDEX(mat_unit,MATCH(B969,mat_ref,0))&amp;"",""))</f>
        <v/>
      </c>
      <c r="E969" s="72" t="n"/>
      <c r="F969" s="65" t="n"/>
      <c r="G969" s="68" t="str">
        <f>IF(J969&lt;&gt;"OK","",IF(F969="",N(INDEX(mat_loss,MATCH(B969,mat_ref,0))),F969))</f>
        <v/>
      </c>
      <c r="H969" s="66" t="str">
        <f>IF(J969&lt;&gt;"OK","",INDEX(mat_price,MATCH(B969,mat_ref,0)))</f>
        <v/>
      </c>
      <c r="I969" s="66" t="str">
        <f>IF(J969&lt;&gt;"OK","",E969*(1+G969)*H969)</f>
        <v/>
      </c>
      <c r="J969" s="69" t="str">
        <f>IF(AND(A969="",B969=""),"",IF(A969="","Produit manquant",IF(COUNTIF(prod_ref,A969)=0,"Produit inconnu",IF(B969="","Matière manquante",IF(ISNA(MATCH(B969,mat_ref,0)),"Matière inconnue",IF(INDEX(mat_check,MATCH(B969,mat_ref,0))&lt;&gt;"OK","Matière à corriger",IF(OR(NOT(ISNUMBER(E969)),N(E969)&lt;=0),"Quantité invalide",IF(AND(F969&lt;&gt;"",OR(NOT(ISNUMBER(F969)),N(F969)&lt;0,N(F969)&gt;=1)),"Perte entre 0 et 99 %",IF(COUNTIFS(bom_prod,A969,bom_mat,B969)&gt;1,"Matière en double","OK")))))))))</f>
        <v/>
      </c>
      <c r="K969" s="71" t="str">
        <f>IF(AND(fiche_sel&lt;&gt;"",A969=fiche_sel),COUNTIF(A$6:A969,fiche_sel),"")</f>
        <v/>
      </c>
    </row>
    <row r="970">
      <c r="A970" s="60" t="n"/>
      <c r="B970" s="60" t="n"/>
      <c r="C970" s="71" t="str">
        <f>IF(B970="","",IFERROR(INDEX(mat_des,MATCH(B970,mat_ref,0))&amp;"","Matière inconnue"))</f>
        <v/>
      </c>
      <c r="D970" s="69" t="str">
        <f>IF(B970="","",IFERROR(INDEX(mat_unit,MATCH(B970,mat_ref,0))&amp;"",""))</f>
        <v/>
      </c>
      <c r="E970" s="72" t="n"/>
      <c r="F970" s="65" t="n"/>
      <c r="G970" s="68" t="str">
        <f>IF(J970&lt;&gt;"OK","",IF(F970="",N(INDEX(mat_loss,MATCH(B970,mat_ref,0))),F970))</f>
        <v/>
      </c>
      <c r="H970" s="66" t="str">
        <f>IF(J970&lt;&gt;"OK","",INDEX(mat_price,MATCH(B970,mat_ref,0)))</f>
        <v/>
      </c>
      <c r="I970" s="66" t="str">
        <f>IF(J970&lt;&gt;"OK","",E970*(1+G970)*H970)</f>
        <v/>
      </c>
      <c r="J970" s="69" t="str">
        <f>IF(AND(A970="",B970=""),"",IF(A970="","Produit manquant",IF(COUNTIF(prod_ref,A970)=0,"Produit inconnu",IF(B970="","Matière manquante",IF(ISNA(MATCH(B970,mat_ref,0)),"Matière inconnue",IF(INDEX(mat_check,MATCH(B970,mat_ref,0))&lt;&gt;"OK","Matière à corriger",IF(OR(NOT(ISNUMBER(E970)),N(E970)&lt;=0),"Quantité invalide",IF(AND(F970&lt;&gt;"",OR(NOT(ISNUMBER(F970)),N(F970)&lt;0,N(F970)&gt;=1)),"Perte entre 0 et 99 %",IF(COUNTIFS(bom_prod,A970,bom_mat,B970)&gt;1,"Matière en double","OK")))))))))</f>
        <v/>
      </c>
      <c r="K970" s="71" t="str">
        <f>IF(AND(fiche_sel&lt;&gt;"",A970=fiche_sel),COUNTIF(A$6:A970,fiche_sel),"")</f>
        <v/>
      </c>
    </row>
    <row r="971">
      <c r="A971" s="60" t="n"/>
      <c r="B971" s="60" t="n"/>
      <c r="C971" s="71" t="str">
        <f>IF(B971="","",IFERROR(INDEX(mat_des,MATCH(B971,mat_ref,0))&amp;"","Matière inconnue"))</f>
        <v/>
      </c>
      <c r="D971" s="69" t="str">
        <f>IF(B971="","",IFERROR(INDEX(mat_unit,MATCH(B971,mat_ref,0))&amp;"",""))</f>
        <v/>
      </c>
      <c r="E971" s="72" t="n"/>
      <c r="F971" s="65" t="n"/>
      <c r="G971" s="68" t="str">
        <f>IF(J971&lt;&gt;"OK","",IF(F971="",N(INDEX(mat_loss,MATCH(B971,mat_ref,0))),F971))</f>
        <v/>
      </c>
      <c r="H971" s="66" t="str">
        <f>IF(J971&lt;&gt;"OK","",INDEX(mat_price,MATCH(B971,mat_ref,0)))</f>
        <v/>
      </c>
      <c r="I971" s="66" t="str">
        <f>IF(J971&lt;&gt;"OK","",E971*(1+G971)*H971)</f>
        <v/>
      </c>
      <c r="J971" s="69" t="str">
        <f>IF(AND(A971="",B971=""),"",IF(A971="","Produit manquant",IF(COUNTIF(prod_ref,A971)=0,"Produit inconnu",IF(B971="","Matière manquante",IF(ISNA(MATCH(B971,mat_ref,0)),"Matière inconnue",IF(INDEX(mat_check,MATCH(B971,mat_ref,0))&lt;&gt;"OK","Matière à corriger",IF(OR(NOT(ISNUMBER(E971)),N(E971)&lt;=0),"Quantité invalide",IF(AND(F971&lt;&gt;"",OR(NOT(ISNUMBER(F971)),N(F971)&lt;0,N(F971)&gt;=1)),"Perte entre 0 et 99 %",IF(COUNTIFS(bom_prod,A971,bom_mat,B971)&gt;1,"Matière en double","OK")))))))))</f>
        <v/>
      </c>
      <c r="K971" s="71" t="str">
        <f>IF(AND(fiche_sel&lt;&gt;"",A971=fiche_sel),COUNTIF(A$6:A971,fiche_sel),"")</f>
        <v/>
      </c>
    </row>
    <row r="972">
      <c r="A972" s="60" t="n"/>
      <c r="B972" s="60" t="n"/>
      <c r="C972" s="71" t="str">
        <f>IF(B972="","",IFERROR(INDEX(mat_des,MATCH(B972,mat_ref,0))&amp;"","Matière inconnue"))</f>
        <v/>
      </c>
      <c r="D972" s="69" t="str">
        <f>IF(B972="","",IFERROR(INDEX(mat_unit,MATCH(B972,mat_ref,0))&amp;"",""))</f>
        <v/>
      </c>
      <c r="E972" s="72" t="n"/>
      <c r="F972" s="65" t="n"/>
      <c r="G972" s="68" t="str">
        <f>IF(J972&lt;&gt;"OK","",IF(F972="",N(INDEX(mat_loss,MATCH(B972,mat_ref,0))),F972))</f>
        <v/>
      </c>
      <c r="H972" s="66" t="str">
        <f>IF(J972&lt;&gt;"OK","",INDEX(mat_price,MATCH(B972,mat_ref,0)))</f>
        <v/>
      </c>
      <c r="I972" s="66" t="str">
        <f>IF(J972&lt;&gt;"OK","",E972*(1+G972)*H972)</f>
        <v/>
      </c>
      <c r="J972" s="69" t="str">
        <f>IF(AND(A972="",B972=""),"",IF(A972="","Produit manquant",IF(COUNTIF(prod_ref,A972)=0,"Produit inconnu",IF(B972="","Matière manquante",IF(ISNA(MATCH(B972,mat_ref,0)),"Matière inconnue",IF(INDEX(mat_check,MATCH(B972,mat_ref,0))&lt;&gt;"OK","Matière à corriger",IF(OR(NOT(ISNUMBER(E972)),N(E972)&lt;=0),"Quantité invalide",IF(AND(F972&lt;&gt;"",OR(NOT(ISNUMBER(F972)),N(F972)&lt;0,N(F972)&gt;=1)),"Perte entre 0 et 99 %",IF(COUNTIFS(bom_prod,A972,bom_mat,B972)&gt;1,"Matière en double","OK")))))))))</f>
        <v/>
      </c>
      <c r="K972" s="71" t="str">
        <f>IF(AND(fiche_sel&lt;&gt;"",A972=fiche_sel),COUNTIF(A$6:A972,fiche_sel),"")</f>
        <v/>
      </c>
    </row>
    <row r="973">
      <c r="A973" s="60" t="n"/>
      <c r="B973" s="60" t="n"/>
      <c r="C973" s="71" t="str">
        <f>IF(B973="","",IFERROR(INDEX(mat_des,MATCH(B973,mat_ref,0))&amp;"","Matière inconnue"))</f>
        <v/>
      </c>
      <c r="D973" s="69" t="str">
        <f>IF(B973="","",IFERROR(INDEX(mat_unit,MATCH(B973,mat_ref,0))&amp;"",""))</f>
        <v/>
      </c>
      <c r="E973" s="72" t="n"/>
      <c r="F973" s="65" t="n"/>
      <c r="G973" s="68" t="str">
        <f>IF(J973&lt;&gt;"OK","",IF(F973="",N(INDEX(mat_loss,MATCH(B973,mat_ref,0))),F973))</f>
        <v/>
      </c>
      <c r="H973" s="66" t="str">
        <f>IF(J973&lt;&gt;"OK","",INDEX(mat_price,MATCH(B973,mat_ref,0)))</f>
        <v/>
      </c>
      <c r="I973" s="66" t="str">
        <f>IF(J973&lt;&gt;"OK","",E973*(1+G973)*H973)</f>
        <v/>
      </c>
      <c r="J973" s="69" t="str">
        <f>IF(AND(A973="",B973=""),"",IF(A973="","Produit manquant",IF(COUNTIF(prod_ref,A973)=0,"Produit inconnu",IF(B973="","Matière manquante",IF(ISNA(MATCH(B973,mat_ref,0)),"Matière inconnue",IF(INDEX(mat_check,MATCH(B973,mat_ref,0))&lt;&gt;"OK","Matière à corriger",IF(OR(NOT(ISNUMBER(E973)),N(E973)&lt;=0),"Quantité invalide",IF(AND(F973&lt;&gt;"",OR(NOT(ISNUMBER(F973)),N(F973)&lt;0,N(F973)&gt;=1)),"Perte entre 0 et 99 %",IF(COUNTIFS(bom_prod,A973,bom_mat,B973)&gt;1,"Matière en double","OK")))))))))</f>
        <v/>
      </c>
      <c r="K973" s="71" t="str">
        <f>IF(AND(fiche_sel&lt;&gt;"",A973=fiche_sel),COUNTIF(A$6:A973,fiche_sel),"")</f>
        <v/>
      </c>
    </row>
    <row r="974">
      <c r="A974" s="60" t="n"/>
      <c r="B974" s="60" t="n"/>
      <c r="C974" s="71" t="str">
        <f>IF(B974="","",IFERROR(INDEX(mat_des,MATCH(B974,mat_ref,0))&amp;"","Matière inconnue"))</f>
        <v/>
      </c>
      <c r="D974" s="69" t="str">
        <f>IF(B974="","",IFERROR(INDEX(mat_unit,MATCH(B974,mat_ref,0))&amp;"",""))</f>
        <v/>
      </c>
      <c r="E974" s="72" t="n"/>
      <c r="F974" s="65" t="n"/>
      <c r="G974" s="68" t="str">
        <f>IF(J974&lt;&gt;"OK","",IF(F974="",N(INDEX(mat_loss,MATCH(B974,mat_ref,0))),F974))</f>
        <v/>
      </c>
      <c r="H974" s="66" t="str">
        <f>IF(J974&lt;&gt;"OK","",INDEX(mat_price,MATCH(B974,mat_ref,0)))</f>
        <v/>
      </c>
      <c r="I974" s="66" t="str">
        <f>IF(J974&lt;&gt;"OK","",E974*(1+G974)*H974)</f>
        <v/>
      </c>
      <c r="J974" s="69" t="str">
        <f>IF(AND(A974="",B974=""),"",IF(A974="","Produit manquant",IF(COUNTIF(prod_ref,A974)=0,"Produit inconnu",IF(B974="","Matière manquante",IF(ISNA(MATCH(B974,mat_ref,0)),"Matière inconnue",IF(INDEX(mat_check,MATCH(B974,mat_ref,0))&lt;&gt;"OK","Matière à corriger",IF(OR(NOT(ISNUMBER(E974)),N(E974)&lt;=0),"Quantité invalide",IF(AND(F974&lt;&gt;"",OR(NOT(ISNUMBER(F974)),N(F974)&lt;0,N(F974)&gt;=1)),"Perte entre 0 et 99 %",IF(COUNTIFS(bom_prod,A974,bom_mat,B974)&gt;1,"Matière en double","OK")))))))))</f>
        <v/>
      </c>
      <c r="K974" s="71" t="str">
        <f>IF(AND(fiche_sel&lt;&gt;"",A974=fiche_sel),COUNTIF(A$6:A974,fiche_sel),"")</f>
        <v/>
      </c>
    </row>
    <row r="975">
      <c r="A975" s="60" t="n"/>
      <c r="B975" s="60" t="n"/>
      <c r="C975" s="71" t="str">
        <f>IF(B975="","",IFERROR(INDEX(mat_des,MATCH(B975,mat_ref,0))&amp;"","Matière inconnue"))</f>
        <v/>
      </c>
      <c r="D975" s="69" t="str">
        <f>IF(B975="","",IFERROR(INDEX(mat_unit,MATCH(B975,mat_ref,0))&amp;"",""))</f>
        <v/>
      </c>
      <c r="E975" s="72" t="n"/>
      <c r="F975" s="65" t="n"/>
      <c r="G975" s="68" t="str">
        <f>IF(J975&lt;&gt;"OK","",IF(F975="",N(INDEX(mat_loss,MATCH(B975,mat_ref,0))),F975))</f>
        <v/>
      </c>
      <c r="H975" s="66" t="str">
        <f>IF(J975&lt;&gt;"OK","",INDEX(mat_price,MATCH(B975,mat_ref,0)))</f>
        <v/>
      </c>
      <c r="I975" s="66" t="str">
        <f>IF(J975&lt;&gt;"OK","",E975*(1+G975)*H975)</f>
        <v/>
      </c>
      <c r="J975" s="69" t="str">
        <f>IF(AND(A975="",B975=""),"",IF(A975="","Produit manquant",IF(COUNTIF(prod_ref,A975)=0,"Produit inconnu",IF(B975="","Matière manquante",IF(ISNA(MATCH(B975,mat_ref,0)),"Matière inconnue",IF(INDEX(mat_check,MATCH(B975,mat_ref,0))&lt;&gt;"OK","Matière à corriger",IF(OR(NOT(ISNUMBER(E975)),N(E975)&lt;=0),"Quantité invalide",IF(AND(F975&lt;&gt;"",OR(NOT(ISNUMBER(F975)),N(F975)&lt;0,N(F975)&gt;=1)),"Perte entre 0 et 99 %",IF(COUNTIFS(bom_prod,A975,bom_mat,B975)&gt;1,"Matière en double","OK")))))))))</f>
        <v/>
      </c>
      <c r="K975" s="71" t="str">
        <f>IF(AND(fiche_sel&lt;&gt;"",A975=fiche_sel),COUNTIF(A$6:A975,fiche_sel),"")</f>
        <v/>
      </c>
    </row>
    <row r="976">
      <c r="A976" s="60" t="n"/>
      <c r="B976" s="60" t="n"/>
      <c r="C976" s="71" t="str">
        <f>IF(B976="","",IFERROR(INDEX(mat_des,MATCH(B976,mat_ref,0))&amp;"","Matière inconnue"))</f>
        <v/>
      </c>
      <c r="D976" s="69" t="str">
        <f>IF(B976="","",IFERROR(INDEX(mat_unit,MATCH(B976,mat_ref,0))&amp;"",""))</f>
        <v/>
      </c>
      <c r="E976" s="72" t="n"/>
      <c r="F976" s="65" t="n"/>
      <c r="G976" s="68" t="str">
        <f>IF(J976&lt;&gt;"OK","",IF(F976="",N(INDEX(mat_loss,MATCH(B976,mat_ref,0))),F976))</f>
        <v/>
      </c>
      <c r="H976" s="66" t="str">
        <f>IF(J976&lt;&gt;"OK","",INDEX(mat_price,MATCH(B976,mat_ref,0)))</f>
        <v/>
      </c>
      <c r="I976" s="66" t="str">
        <f>IF(J976&lt;&gt;"OK","",E976*(1+G976)*H976)</f>
        <v/>
      </c>
      <c r="J976" s="69" t="str">
        <f>IF(AND(A976="",B976=""),"",IF(A976="","Produit manquant",IF(COUNTIF(prod_ref,A976)=0,"Produit inconnu",IF(B976="","Matière manquante",IF(ISNA(MATCH(B976,mat_ref,0)),"Matière inconnue",IF(INDEX(mat_check,MATCH(B976,mat_ref,0))&lt;&gt;"OK","Matière à corriger",IF(OR(NOT(ISNUMBER(E976)),N(E976)&lt;=0),"Quantité invalide",IF(AND(F976&lt;&gt;"",OR(NOT(ISNUMBER(F976)),N(F976)&lt;0,N(F976)&gt;=1)),"Perte entre 0 et 99 %",IF(COUNTIFS(bom_prod,A976,bom_mat,B976)&gt;1,"Matière en double","OK")))))))))</f>
        <v/>
      </c>
      <c r="K976" s="71" t="str">
        <f>IF(AND(fiche_sel&lt;&gt;"",A976=fiche_sel),COUNTIF(A$6:A976,fiche_sel),"")</f>
        <v/>
      </c>
    </row>
    <row r="977">
      <c r="A977" s="60" t="n"/>
      <c r="B977" s="60" t="n"/>
      <c r="C977" s="71" t="str">
        <f>IF(B977="","",IFERROR(INDEX(mat_des,MATCH(B977,mat_ref,0))&amp;"","Matière inconnue"))</f>
        <v/>
      </c>
      <c r="D977" s="69" t="str">
        <f>IF(B977="","",IFERROR(INDEX(mat_unit,MATCH(B977,mat_ref,0))&amp;"",""))</f>
        <v/>
      </c>
      <c r="E977" s="72" t="n"/>
      <c r="F977" s="65" t="n"/>
      <c r="G977" s="68" t="str">
        <f>IF(J977&lt;&gt;"OK","",IF(F977="",N(INDEX(mat_loss,MATCH(B977,mat_ref,0))),F977))</f>
        <v/>
      </c>
      <c r="H977" s="66" t="str">
        <f>IF(J977&lt;&gt;"OK","",INDEX(mat_price,MATCH(B977,mat_ref,0)))</f>
        <v/>
      </c>
      <c r="I977" s="66" t="str">
        <f>IF(J977&lt;&gt;"OK","",E977*(1+G977)*H977)</f>
        <v/>
      </c>
      <c r="J977" s="69" t="str">
        <f>IF(AND(A977="",B977=""),"",IF(A977="","Produit manquant",IF(COUNTIF(prod_ref,A977)=0,"Produit inconnu",IF(B977="","Matière manquante",IF(ISNA(MATCH(B977,mat_ref,0)),"Matière inconnue",IF(INDEX(mat_check,MATCH(B977,mat_ref,0))&lt;&gt;"OK","Matière à corriger",IF(OR(NOT(ISNUMBER(E977)),N(E977)&lt;=0),"Quantité invalide",IF(AND(F977&lt;&gt;"",OR(NOT(ISNUMBER(F977)),N(F977)&lt;0,N(F977)&gt;=1)),"Perte entre 0 et 99 %",IF(COUNTIFS(bom_prod,A977,bom_mat,B977)&gt;1,"Matière en double","OK")))))))))</f>
        <v/>
      </c>
      <c r="K977" s="71" t="str">
        <f>IF(AND(fiche_sel&lt;&gt;"",A977=fiche_sel),COUNTIF(A$6:A977,fiche_sel),"")</f>
        <v/>
      </c>
    </row>
    <row r="978">
      <c r="A978" s="60" t="n"/>
      <c r="B978" s="60" t="n"/>
      <c r="C978" s="71" t="str">
        <f>IF(B978="","",IFERROR(INDEX(mat_des,MATCH(B978,mat_ref,0))&amp;"","Matière inconnue"))</f>
        <v/>
      </c>
      <c r="D978" s="69" t="str">
        <f>IF(B978="","",IFERROR(INDEX(mat_unit,MATCH(B978,mat_ref,0))&amp;"",""))</f>
        <v/>
      </c>
      <c r="E978" s="72" t="n"/>
      <c r="F978" s="65" t="n"/>
      <c r="G978" s="68" t="str">
        <f>IF(J978&lt;&gt;"OK","",IF(F978="",N(INDEX(mat_loss,MATCH(B978,mat_ref,0))),F978))</f>
        <v/>
      </c>
      <c r="H978" s="66" t="str">
        <f>IF(J978&lt;&gt;"OK","",INDEX(mat_price,MATCH(B978,mat_ref,0)))</f>
        <v/>
      </c>
      <c r="I978" s="66" t="str">
        <f>IF(J978&lt;&gt;"OK","",E978*(1+G978)*H978)</f>
        <v/>
      </c>
      <c r="J978" s="69" t="str">
        <f>IF(AND(A978="",B978=""),"",IF(A978="","Produit manquant",IF(COUNTIF(prod_ref,A978)=0,"Produit inconnu",IF(B978="","Matière manquante",IF(ISNA(MATCH(B978,mat_ref,0)),"Matière inconnue",IF(INDEX(mat_check,MATCH(B978,mat_ref,0))&lt;&gt;"OK","Matière à corriger",IF(OR(NOT(ISNUMBER(E978)),N(E978)&lt;=0),"Quantité invalide",IF(AND(F978&lt;&gt;"",OR(NOT(ISNUMBER(F978)),N(F978)&lt;0,N(F978)&gt;=1)),"Perte entre 0 et 99 %",IF(COUNTIFS(bom_prod,A978,bom_mat,B978)&gt;1,"Matière en double","OK")))))))))</f>
        <v/>
      </c>
      <c r="K978" s="71" t="str">
        <f>IF(AND(fiche_sel&lt;&gt;"",A978=fiche_sel),COUNTIF(A$6:A978,fiche_sel),"")</f>
        <v/>
      </c>
    </row>
    <row r="979">
      <c r="A979" s="60" t="n"/>
      <c r="B979" s="60" t="n"/>
      <c r="C979" s="71" t="str">
        <f>IF(B979="","",IFERROR(INDEX(mat_des,MATCH(B979,mat_ref,0))&amp;"","Matière inconnue"))</f>
        <v/>
      </c>
      <c r="D979" s="69" t="str">
        <f>IF(B979="","",IFERROR(INDEX(mat_unit,MATCH(B979,mat_ref,0))&amp;"",""))</f>
        <v/>
      </c>
      <c r="E979" s="72" t="n"/>
      <c r="F979" s="65" t="n"/>
      <c r="G979" s="68" t="str">
        <f>IF(J979&lt;&gt;"OK","",IF(F979="",N(INDEX(mat_loss,MATCH(B979,mat_ref,0))),F979))</f>
        <v/>
      </c>
      <c r="H979" s="66" t="str">
        <f>IF(J979&lt;&gt;"OK","",INDEX(mat_price,MATCH(B979,mat_ref,0)))</f>
        <v/>
      </c>
      <c r="I979" s="66" t="str">
        <f>IF(J979&lt;&gt;"OK","",E979*(1+G979)*H979)</f>
        <v/>
      </c>
      <c r="J979" s="69" t="str">
        <f>IF(AND(A979="",B979=""),"",IF(A979="","Produit manquant",IF(COUNTIF(prod_ref,A979)=0,"Produit inconnu",IF(B979="","Matière manquante",IF(ISNA(MATCH(B979,mat_ref,0)),"Matière inconnue",IF(INDEX(mat_check,MATCH(B979,mat_ref,0))&lt;&gt;"OK","Matière à corriger",IF(OR(NOT(ISNUMBER(E979)),N(E979)&lt;=0),"Quantité invalide",IF(AND(F979&lt;&gt;"",OR(NOT(ISNUMBER(F979)),N(F979)&lt;0,N(F979)&gt;=1)),"Perte entre 0 et 99 %",IF(COUNTIFS(bom_prod,A979,bom_mat,B979)&gt;1,"Matière en double","OK")))))))))</f>
        <v/>
      </c>
      <c r="K979" s="71" t="str">
        <f>IF(AND(fiche_sel&lt;&gt;"",A979=fiche_sel),COUNTIF(A$6:A979,fiche_sel),"")</f>
        <v/>
      </c>
    </row>
    <row r="980">
      <c r="A980" s="60" t="n"/>
      <c r="B980" s="60" t="n"/>
      <c r="C980" s="71" t="str">
        <f>IF(B980="","",IFERROR(INDEX(mat_des,MATCH(B980,mat_ref,0))&amp;"","Matière inconnue"))</f>
        <v/>
      </c>
      <c r="D980" s="69" t="str">
        <f>IF(B980="","",IFERROR(INDEX(mat_unit,MATCH(B980,mat_ref,0))&amp;"",""))</f>
        <v/>
      </c>
      <c r="E980" s="72" t="n"/>
      <c r="F980" s="65" t="n"/>
      <c r="G980" s="68" t="str">
        <f>IF(J980&lt;&gt;"OK","",IF(F980="",N(INDEX(mat_loss,MATCH(B980,mat_ref,0))),F980))</f>
        <v/>
      </c>
      <c r="H980" s="66" t="str">
        <f>IF(J980&lt;&gt;"OK","",INDEX(mat_price,MATCH(B980,mat_ref,0)))</f>
        <v/>
      </c>
      <c r="I980" s="66" t="str">
        <f>IF(J980&lt;&gt;"OK","",E980*(1+G980)*H980)</f>
        <v/>
      </c>
      <c r="J980" s="69" t="str">
        <f>IF(AND(A980="",B980=""),"",IF(A980="","Produit manquant",IF(COUNTIF(prod_ref,A980)=0,"Produit inconnu",IF(B980="","Matière manquante",IF(ISNA(MATCH(B980,mat_ref,0)),"Matière inconnue",IF(INDEX(mat_check,MATCH(B980,mat_ref,0))&lt;&gt;"OK","Matière à corriger",IF(OR(NOT(ISNUMBER(E980)),N(E980)&lt;=0),"Quantité invalide",IF(AND(F980&lt;&gt;"",OR(NOT(ISNUMBER(F980)),N(F980)&lt;0,N(F980)&gt;=1)),"Perte entre 0 et 99 %",IF(COUNTIFS(bom_prod,A980,bom_mat,B980)&gt;1,"Matière en double","OK")))))))))</f>
        <v/>
      </c>
      <c r="K980" s="71" t="str">
        <f>IF(AND(fiche_sel&lt;&gt;"",A980=fiche_sel),COUNTIF(A$6:A980,fiche_sel),"")</f>
        <v/>
      </c>
    </row>
    <row r="981">
      <c r="A981" s="60" t="n"/>
      <c r="B981" s="60" t="n"/>
      <c r="C981" s="71" t="str">
        <f>IF(B981="","",IFERROR(INDEX(mat_des,MATCH(B981,mat_ref,0))&amp;"","Matière inconnue"))</f>
        <v/>
      </c>
      <c r="D981" s="69" t="str">
        <f>IF(B981="","",IFERROR(INDEX(mat_unit,MATCH(B981,mat_ref,0))&amp;"",""))</f>
        <v/>
      </c>
      <c r="E981" s="72" t="n"/>
      <c r="F981" s="65" t="n"/>
      <c r="G981" s="68" t="str">
        <f>IF(J981&lt;&gt;"OK","",IF(F981="",N(INDEX(mat_loss,MATCH(B981,mat_ref,0))),F981))</f>
        <v/>
      </c>
      <c r="H981" s="66" t="str">
        <f>IF(J981&lt;&gt;"OK","",INDEX(mat_price,MATCH(B981,mat_ref,0)))</f>
        <v/>
      </c>
      <c r="I981" s="66" t="str">
        <f>IF(J981&lt;&gt;"OK","",E981*(1+G981)*H981)</f>
        <v/>
      </c>
      <c r="J981" s="69" t="str">
        <f>IF(AND(A981="",B981=""),"",IF(A981="","Produit manquant",IF(COUNTIF(prod_ref,A981)=0,"Produit inconnu",IF(B981="","Matière manquante",IF(ISNA(MATCH(B981,mat_ref,0)),"Matière inconnue",IF(INDEX(mat_check,MATCH(B981,mat_ref,0))&lt;&gt;"OK","Matière à corriger",IF(OR(NOT(ISNUMBER(E981)),N(E981)&lt;=0),"Quantité invalide",IF(AND(F981&lt;&gt;"",OR(NOT(ISNUMBER(F981)),N(F981)&lt;0,N(F981)&gt;=1)),"Perte entre 0 et 99 %",IF(COUNTIFS(bom_prod,A981,bom_mat,B981)&gt;1,"Matière en double","OK")))))))))</f>
        <v/>
      </c>
      <c r="K981" s="71" t="str">
        <f>IF(AND(fiche_sel&lt;&gt;"",A981=fiche_sel),COUNTIF(A$6:A981,fiche_sel),"")</f>
        <v/>
      </c>
    </row>
    <row r="982">
      <c r="A982" s="60" t="n"/>
      <c r="B982" s="60" t="n"/>
      <c r="C982" s="71" t="str">
        <f>IF(B982="","",IFERROR(INDEX(mat_des,MATCH(B982,mat_ref,0))&amp;"","Matière inconnue"))</f>
        <v/>
      </c>
      <c r="D982" s="69" t="str">
        <f>IF(B982="","",IFERROR(INDEX(mat_unit,MATCH(B982,mat_ref,0))&amp;"",""))</f>
        <v/>
      </c>
      <c r="E982" s="72" t="n"/>
      <c r="F982" s="65" t="n"/>
      <c r="G982" s="68" t="str">
        <f>IF(J982&lt;&gt;"OK","",IF(F982="",N(INDEX(mat_loss,MATCH(B982,mat_ref,0))),F982))</f>
        <v/>
      </c>
      <c r="H982" s="66" t="str">
        <f>IF(J982&lt;&gt;"OK","",INDEX(mat_price,MATCH(B982,mat_ref,0)))</f>
        <v/>
      </c>
      <c r="I982" s="66" t="str">
        <f>IF(J982&lt;&gt;"OK","",E982*(1+G982)*H982)</f>
        <v/>
      </c>
      <c r="J982" s="69" t="str">
        <f>IF(AND(A982="",B982=""),"",IF(A982="","Produit manquant",IF(COUNTIF(prod_ref,A982)=0,"Produit inconnu",IF(B982="","Matière manquante",IF(ISNA(MATCH(B982,mat_ref,0)),"Matière inconnue",IF(INDEX(mat_check,MATCH(B982,mat_ref,0))&lt;&gt;"OK","Matière à corriger",IF(OR(NOT(ISNUMBER(E982)),N(E982)&lt;=0),"Quantité invalide",IF(AND(F982&lt;&gt;"",OR(NOT(ISNUMBER(F982)),N(F982)&lt;0,N(F982)&gt;=1)),"Perte entre 0 et 99 %",IF(COUNTIFS(bom_prod,A982,bom_mat,B982)&gt;1,"Matière en double","OK")))))))))</f>
        <v/>
      </c>
      <c r="K982" s="71" t="str">
        <f>IF(AND(fiche_sel&lt;&gt;"",A982=fiche_sel),COUNTIF(A$6:A982,fiche_sel),"")</f>
        <v/>
      </c>
    </row>
    <row r="983">
      <c r="A983" s="60" t="n"/>
      <c r="B983" s="60" t="n"/>
      <c r="C983" s="71" t="str">
        <f>IF(B983="","",IFERROR(INDEX(mat_des,MATCH(B983,mat_ref,0))&amp;"","Matière inconnue"))</f>
        <v/>
      </c>
      <c r="D983" s="69" t="str">
        <f>IF(B983="","",IFERROR(INDEX(mat_unit,MATCH(B983,mat_ref,0))&amp;"",""))</f>
        <v/>
      </c>
      <c r="E983" s="72" t="n"/>
      <c r="F983" s="65" t="n"/>
      <c r="G983" s="68" t="str">
        <f>IF(J983&lt;&gt;"OK","",IF(F983="",N(INDEX(mat_loss,MATCH(B983,mat_ref,0))),F983))</f>
        <v/>
      </c>
      <c r="H983" s="66" t="str">
        <f>IF(J983&lt;&gt;"OK","",INDEX(mat_price,MATCH(B983,mat_ref,0)))</f>
        <v/>
      </c>
      <c r="I983" s="66" t="str">
        <f>IF(J983&lt;&gt;"OK","",E983*(1+G983)*H983)</f>
        <v/>
      </c>
      <c r="J983" s="69" t="str">
        <f>IF(AND(A983="",B983=""),"",IF(A983="","Produit manquant",IF(COUNTIF(prod_ref,A983)=0,"Produit inconnu",IF(B983="","Matière manquante",IF(ISNA(MATCH(B983,mat_ref,0)),"Matière inconnue",IF(INDEX(mat_check,MATCH(B983,mat_ref,0))&lt;&gt;"OK","Matière à corriger",IF(OR(NOT(ISNUMBER(E983)),N(E983)&lt;=0),"Quantité invalide",IF(AND(F983&lt;&gt;"",OR(NOT(ISNUMBER(F983)),N(F983)&lt;0,N(F983)&gt;=1)),"Perte entre 0 et 99 %",IF(COUNTIFS(bom_prod,A983,bom_mat,B983)&gt;1,"Matière en double","OK")))))))))</f>
        <v/>
      </c>
      <c r="K983" s="71" t="str">
        <f>IF(AND(fiche_sel&lt;&gt;"",A983=fiche_sel),COUNTIF(A$6:A983,fiche_sel),"")</f>
        <v/>
      </c>
    </row>
    <row r="984">
      <c r="A984" s="60" t="n"/>
      <c r="B984" s="60" t="n"/>
      <c r="C984" s="71" t="str">
        <f>IF(B984="","",IFERROR(INDEX(mat_des,MATCH(B984,mat_ref,0))&amp;"","Matière inconnue"))</f>
        <v/>
      </c>
      <c r="D984" s="69" t="str">
        <f>IF(B984="","",IFERROR(INDEX(mat_unit,MATCH(B984,mat_ref,0))&amp;"",""))</f>
        <v/>
      </c>
      <c r="E984" s="72" t="n"/>
      <c r="F984" s="65" t="n"/>
      <c r="G984" s="68" t="str">
        <f>IF(J984&lt;&gt;"OK","",IF(F984="",N(INDEX(mat_loss,MATCH(B984,mat_ref,0))),F984))</f>
        <v/>
      </c>
      <c r="H984" s="66" t="str">
        <f>IF(J984&lt;&gt;"OK","",INDEX(mat_price,MATCH(B984,mat_ref,0)))</f>
        <v/>
      </c>
      <c r="I984" s="66" t="str">
        <f>IF(J984&lt;&gt;"OK","",E984*(1+G984)*H984)</f>
        <v/>
      </c>
      <c r="J984" s="69" t="str">
        <f>IF(AND(A984="",B984=""),"",IF(A984="","Produit manquant",IF(COUNTIF(prod_ref,A984)=0,"Produit inconnu",IF(B984="","Matière manquante",IF(ISNA(MATCH(B984,mat_ref,0)),"Matière inconnue",IF(INDEX(mat_check,MATCH(B984,mat_ref,0))&lt;&gt;"OK","Matière à corriger",IF(OR(NOT(ISNUMBER(E984)),N(E984)&lt;=0),"Quantité invalide",IF(AND(F984&lt;&gt;"",OR(NOT(ISNUMBER(F984)),N(F984)&lt;0,N(F984)&gt;=1)),"Perte entre 0 et 99 %",IF(COUNTIFS(bom_prod,A984,bom_mat,B984)&gt;1,"Matière en double","OK")))))))))</f>
        <v/>
      </c>
      <c r="K984" s="71" t="str">
        <f>IF(AND(fiche_sel&lt;&gt;"",A984=fiche_sel),COUNTIF(A$6:A984,fiche_sel),"")</f>
        <v/>
      </c>
    </row>
    <row r="985">
      <c r="A985" s="60" t="n"/>
      <c r="B985" s="60" t="n"/>
      <c r="C985" s="71" t="str">
        <f>IF(B985="","",IFERROR(INDEX(mat_des,MATCH(B985,mat_ref,0))&amp;"","Matière inconnue"))</f>
        <v/>
      </c>
      <c r="D985" s="69" t="str">
        <f>IF(B985="","",IFERROR(INDEX(mat_unit,MATCH(B985,mat_ref,0))&amp;"",""))</f>
        <v/>
      </c>
      <c r="E985" s="72" t="n"/>
      <c r="F985" s="65" t="n"/>
      <c r="G985" s="68" t="str">
        <f>IF(J985&lt;&gt;"OK","",IF(F985="",N(INDEX(mat_loss,MATCH(B985,mat_ref,0))),F985))</f>
        <v/>
      </c>
      <c r="H985" s="66" t="str">
        <f>IF(J985&lt;&gt;"OK","",INDEX(mat_price,MATCH(B985,mat_ref,0)))</f>
        <v/>
      </c>
      <c r="I985" s="66" t="str">
        <f>IF(J985&lt;&gt;"OK","",E985*(1+G985)*H985)</f>
        <v/>
      </c>
      <c r="J985" s="69" t="str">
        <f>IF(AND(A985="",B985=""),"",IF(A985="","Produit manquant",IF(COUNTIF(prod_ref,A985)=0,"Produit inconnu",IF(B985="","Matière manquante",IF(ISNA(MATCH(B985,mat_ref,0)),"Matière inconnue",IF(INDEX(mat_check,MATCH(B985,mat_ref,0))&lt;&gt;"OK","Matière à corriger",IF(OR(NOT(ISNUMBER(E985)),N(E985)&lt;=0),"Quantité invalide",IF(AND(F985&lt;&gt;"",OR(NOT(ISNUMBER(F985)),N(F985)&lt;0,N(F985)&gt;=1)),"Perte entre 0 et 99 %",IF(COUNTIFS(bom_prod,A985,bom_mat,B985)&gt;1,"Matière en double","OK")))))))))</f>
        <v/>
      </c>
      <c r="K985" s="71" t="str">
        <f>IF(AND(fiche_sel&lt;&gt;"",A985=fiche_sel),COUNTIF(A$6:A985,fiche_sel),"")</f>
        <v/>
      </c>
    </row>
    <row r="986">
      <c r="A986" s="60" t="n"/>
      <c r="B986" s="60" t="n"/>
      <c r="C986" s="71" t="str">
        <f>IF(B986="","",IFERROR(INDEX(mat_des,MATCH(B986,mat_ref,0))&amp;"","Matière inconnue"))</f>
        <v/>
      </c>
      <c r="D986" s="69" t="str">
        <f>IF(B986="","",IFERROR(INDEX(mat_unit,MATCH(B986,mat_ref,0))&amp;"",""))</f>
        <v/>
      </c>
      <c r="E986" s="72" t="n"/>
      <c r="F986" s="65" t="n"/>
      <c r="G986" s="68" t="str">
        <f>IF(J986&lt;&gt;"OK","",IF(F986="",N(INDEX(mat_loss,MATCH(B986,mat_ref,0))),F986))</f>
        <v/>
      </c>
      <c r="H986" s="66" t="str">
        <f>IF(J986&lt;&gt;"OK","",INDEX(mat_price,MATCH(B986,mat_ref,0)))</f>
        <v/>
      </c>
      <c r="I986" s="66" t="str">
        <f>IF(J986&lt;&gt;"OK","",E986*(1+G986)*H986)</f>
        <v/>
      </c>
      <c r="J986" s="69" t="str">
        <f>IF(AND(A986="",B986=""),"",IF(A986="","Produit manquant",IF(COUNTIF(prod_ref,A986)=0,"Produit inconnu",IF(B986="","Matière manquante",IF(ISNA(MATCH(B986,mat_ref,0)),"Matière inconnue",IF(INDEX(mat_check,MATCH(B986,mat_ref,0))&lt;&gt;"OK","Matière à corriger",IF(OR(NOT(ISNUMBER(E986)),N(E986)&lt;=0),"Quantité invalide",IF(AND(F986&lt;&gt;"",OR(NOT(ISNUMBER(F986)),N(F986)&lt;0,N(F986)&gt;=1)),"Perte entre 0 et 99 %",IF(COUNTIFS(bom_prod,A986,bom_mat,B986)&gt;1,"Matière en double","OK")))))))))</f>
        <v/>
      </c>
      <c r="K986" s="71" t="str">
        <f>IF(AND(fiche_sel&lt;&gt;"",A986=fiche_sel),COUNTIF(A$6:A986,fiche_sel),"")</f>
        <v/>
      </c>
    </row>
    <row r="987">
      <c r="A987" s="60" t="n"/>
      <c r="B987" s="60" t="n"/>
      <c r="C987" s="71" t="str">
        <f>IF(B987="","",IFERROR(INDEX(mat_des,MATCH(B987,mat_ref,0))&amp;"","Matière inconnue"))</f>
        <v/>
      </c>
      <c r="D987" s="69" t="str">
        <f>IF(B987="","",IFERROR(INDEX(mat_unit,MATCH(B987,mat_ref,0))&amp;"",""))</f>
        <v/>
      </c>
      <c r="E987" s="72" t="n"/>
      <c r="F987" s="65" t="n"/>
      <c r="G987" s="68" t="str">
        <f>IF(J987&lt;&gt;"OK","",IF(F987="",N(INDEX(mat_loss,MATCH(B987,mat_ref,0))),F987))</f>
        <v/>
      </c>
      <c r="H987" s="66" t="str">
        <f>IF(J987&lt;&gt;"OK","",INDEX(mat_price,MATCH(B987,mat_ref,0)))</f>
        <v/>
      </c>
      <c r="I987" s="66" t="str">
        <f>IF(J987&lt;&gt;"OK","",E987*(1+G987)*H987)</f>
        <v/>
      </c>
      <c r="J987" s="69" t="str">
        <f>IF(AND(A987="",B987=""),"",IF(A987="","Produit manquant",IF(COUNTIF(prod_ref,A987)=0,"Produit inconnu",IF(B987="","Matière manquante",IF(ISNA(MATCH(B987,mat_ref,0)),"Matière inconnue",IF(INDEX(mat_check,MATCH(B987,mat_ref,0))&lt;&gt;"OK","Matière à corriger",IF(OR(NOT(ISNUMBER(E987)),N(E987)&lt;=0),"Quantité invalide",IF(AND(F987&lt;&gt;"",OR(NOT(ISNUMBER(F987)),N(F987)&lt;0,N(F987)&gt;=1)),"Perte entre 0 et 99 %",IF(COUNTIFS(bom_prod,A987,bom_mat,B987)&gt;1,"Matière en double","OK")))))))))</f>
        <v/>
      </c>
      <c r="K987" s="71" t="str">
        <f>IF(AND(fiche_sel&lt;&gt;"",A987=fiche_sel),COUNTIF(A$6:A987,fiche_sel),"")</f>
        <v/>
      </c>
    </row>
    <row r="988">
      <c r="A988" s="60" t="n"/>
      <c r="B988" s="60" t="n"/>
      <c r="C988" s="71" t="str">
        <f>IF(B988="","",IFERROR(INDEX(mat_des,MATCH(B988,mat_ref,0))&amp;"","Matière inconnue"))</f>
        <v/>
      </c>
      <c r="D988" s="69" t="str">
        <f>IF(B988="","",IFERROR(INDEX(mat_unit,MATCH(B988,mat_ref,0))&amp;"",""))</f>
        <v/>
      </c>
      <c r="E988" s="72" t="n"/>
      <c r="F988" s="65" t="n"/>
      <c r="G988" s="68" t="str">
        <f>IF(J988&lt;&gt;"OK","",IF(F988="",N(INDEX(mat_loss,MATCH(B988,mat_ref,0))),F988))</f>
        <v/>
      </c>
      <c r="H988" s="66" t="str">
        <f>IF(J988&lt;&gt;"OK","",INDEX(mat_price,MATCH(B988,mat_ref,0)))</f>
        <v/>
      </c>
      <c r="I988" s="66" t="str">
        <f>IF(J988&lt;&gt;"OK","",E988*(1+G988)*H988)</f>
        <v/>
      </c>
      <c r="J988" s="69" t="str">
        <f>IF(AND(A988="",B988=""),"",IF(A988="","Produit manquant",IF(COUNTIF(prod_ref,A988)=0,"Produit inconnu",IF(B988="","Matière manquante",IF(ISNA(MATCH(B988,mat_ref,0)),"Matière inconnue",IF(INDEX(mat_check,MATCH(B988,mat_ref,0))&lt;&gt;"OK","Matière à corriger",IF(OR(NOT(ISNUMBER(E988)),N(E988)&lt;=0),"Quantité invalide",IF(AND(F988&lt;&gt;"",OR(NOT(ISNUMBER(F988)),N(F988)&lt;0,N(F988)&gt;=1)),"Perte entre 0 et 99 %",IF(COUNTIFS(bom_prod,A988,bom_mat,B988)&gt;1,"Matière en double","OK")))))))))</f>
        <v/>
      </c>
      <c r="K988" s="71" t="str">
        <f>IF(AND(fiche_sel&lt;&gt;"",A988=fiche_sel),COUNTIF(A$6:A988,fiche_sel),"")</f>
        <v/>
      </c>
    </row>
    <row r="989">
      <c r="A989" s="60" t="n"/>
      <c r="B989" s="60" t="n"/>
      <c r="C989" s="71" t="str">
        <f>IF(B989="","",IFERROR(INDEX(mat_des,MATCH(B989,mat_ref,0))&amp;"","Matière inconnue"))</f>
        <v/>
      </c>
      <c r="D989" s="69" t="str">
        <f>IF(B989="","",IFERROR(INDEX(mat_unit,MATCH(B989,mat_ref,0))&amp;"",""))</f>
        <v/>
      </c>
      <c r="E989" s="72" t="n"/>
      <c r="F989" s="65" t="n"/>
      <c r="G989" s="68" t="str">
        <f>IF(J989&lt;&gt;"OK","",IF(F989="",N(INDEX(mat_loss,MATCH(B989,mat_ref,0))),F989))</f>
        <v/>
      </c>
      <c r="H989" s="66" t="str">
        <f>IF(J989&lt;&gt;"OK","",INDEX(mat_price,MATCH(B989,mat_ref,0)))</f>
        <v/>
      </c>
      <c r="I989" s="66" t="str">
        <f>IF(J989&lt;&gt;"OK","",E989*(1+G989)*H989)</f>
        <v/>
      </c>
      <c r="J989" s="69" t="str">
        <f>IF(AND(A989="",B989=""),"",IF(A989="","Produit manquant",IF(COUNTIF(prod_ref,A989)=0,"Produit inconnu",IF(B989="","Matière manquante",IF(ISNA(MATCH(B989,mat_ref,0)),"Matière inconnue",IF(INDEX(mat_check,MATCH(B989,mat_ref,0))&lt;&gt;"OK","Matière à corriger",IF(OR(NOT(ISNUMBER(E989)),N(E989)&lt;=0),"Quantité invalide",IF(AND(F989&lt;&gt;"",OR(NOT(ISNUMBER(F989)),N(F989)&lt;0,N(F989)&gt;=1)),"Perte entre 0 et 99 %",IF(COUNTIFS(bom_prod,A989,bom_mat,B989)&gt;1,"Matière en double","OK")))))))))</f>
        <v/>
      </c>
      <c r="K989" s="71" t="str">
        <f>IF(AND(fiche_sel&lt;&gt;"",A989=fiche_sel),COUNTIF(A$6:A989,fiche_sel),"")</f>
        <v/>
      </c>
    </row>
    <row r="990">
      <c r="A990" s="60" t="n"/>
      <c r="B990" s="60" t="n"/>
      <c r="C990" s="71" t="str">
        <f>IF(B990="","",IFERROR(INDEX(mat_des,MATCH(B990,mat_ref,0))&amp;"","Matière inconnue"))</f>
        <v/>
      </c>
      <c r="D990" s="69" t="str">
        <f>IF(B990="","",IFERROR(INDEX(mat_unit,MATCH(B990,mat_ref,0))&amp;"",""))</f>
        <v/>
      </c>
      <c r="E990" s="72" t="n"/>
      <c r="F990" s="65" t="n"/>
      <c r="G990" s="68" t="str">
        <f>IF(J990&lt;&gt;"OK","",IF(F990="",N(INDEX(mat_loss,MATCH(B990,mat_ref,0))),F990))</f>
        <v/>
      </c>
      <c r="H990" s="66" t="str">
        <f>IF(J990&lt;&gt;"OK","",INDEX(mat_price,MATCH(B990,mat_ref,0)))</f>
        <v/>
      </c>
      <c r="I990" s="66" t="str">
        <f>IF(J990&lt;&gt;"OK","",E990*(1+G990)*H990)</f>
        <v/>
      </c>
      <c r="J990" s="69" t="str">
        <f>IF(AND(A990="",B990=""),"",IF(A990="","Produit manquant",IF(COUNTIF(prod_ref,A990)=0,"Produit inconnu",IF(B990="","Matière manquante",IF(ISNA(MATCH(B990,mat_ref,0)),"Matière inconnue",IF(INDEX(mat_check,MATCH(B990,mat_ref,0))&lt;&gt;"OK","Matière à corriger",IF(OR(NOT(ISNUMBER(E990)),N(E990)&lt;=0),"Quantité invalide",IF(AND(F990&lt;&gt;"",OR(NOT(ISNUMBER(F990)),N(F990)&lt;0,N(F990)&gt;=1)),"Perte entre 0 et 99 %",IF(COUNTIFS(bom_prod,A990,bom_mat,B990)&gt;1,"Matière en double","OK")))))))))</f>
        <v/>
      </c>
      <c r="K990" s="71" t="str">
        <f>IF(AND(fiche_sel&lt;&gt;"",A990=fiche_sel),COUNTIF(A$6:A990,fiche_sel),"")</f>
        <v/>
      </c>
    </row>
    <row r="991">
      <c r="A991" s="60" t="n"/>
      <c r="B991" s="60" t="n"/>
      <c r="C991" s="71" t="str">
        <f>IF(B991="","",IFERROR(INDEX(mat_des,MATCH(B991,mat_ref,0))&amp;"","Matière inconnue"))</f>
        <v/>
      </c>
      <c r="D991" s="69" t="str">
        <f>IF(B991="","",IFERROR(INDEX(mat_unit,MATCH(B991,mat_ref,0))&amp;"",""))</f>
        <v/>
      </c>
      <c r="E991" s="72" t="n"/>
      <c r="F991" s="65" t="n"/>
      <c r="G991" s="68" t="str">
        <f>IF(J991&lt;&gt;"OK","",IF(F991="",N(INDEX(mat_loss,MATCH(B991,mat_ref,0))),F991))</f>
        <v/>
      </c>
      <c r="H991" s="66" t="str">
        <f>IF(J991&lt;&gt;"OK","",INDEX(mat_price,MATCH(B991,mat_ref,0)))</f>
        <v/>
      </c>
      <c r="I991" s="66" t="str">
        <f>IF(J991&lt;&gt;"OK","",E991*(1+G991)*H991)</f>
        <v/>
      </c>
      <c r="J991" s="69" t="str">
        <f>IF(AND(A991="",B991=""),"",IF(A991="","Produit manquant",IF(COUNTIF(prod_ref,A991)=0,"Produit inconnu",IF(B991="","Matière manquante",IF(ISNA(MATCH(B991,mat_ref,0)),"Matière inconnue",IF(INDEX(mat_check,MATCH(B991,mat_ref,0))&lt;&gt;"OK","Matière à corriger",IF(OR(NOT(ISNUMBER(E991)),N(E991)&lt;=0),"Quantité invalide",IF(AND(F991&lt;&gt;"",OR(NOT(ISNUMBER(F991)),N(F991)&lt;0,N(F991)&gt;=1)),"Perte entre 0 et 99 %",IF(COUNTIFS(bom_prod,A991,bom_mat,B991)&gt;1,"Matière en double","OK")))))))))</f>
        <v/>
      </c>
      <c r="K991" s="71" t="str">
        <f>IF(AND(fiche_sel&lt;&gt;"",A991=fiche_sel),COUNTIF(A$6:A991,fiche_sel),"")</f>
        <v/>
      </c>
    </row>
    <row r="992">
      <c r="A992" s="60" t="n"/>
      <c r="B992" s="60" t="n"/>
      <c r="C992" s="71" t="str">
        <f>IF(B992="","",IFERROR(INDEX(mat_des,MATCH(B992,mat_ref,0))&amp;"","Matière inconnue"))</f>
        <v/>
      </c>
      <c r="D992" s="69" t="str">
        <f>IF(B992="","",IFERROR(INDEX(mat_unit,MATCH(B992,mat_ref,0))&amp;"",""))</f>
        <v/>
      </c>
      <c r="E992" s="72" t="n"/>
      <c r="F992" s="65" t="n"/>
      <c r="G992" s="68" t="str">
        <f>IF(J992&lt;&gt;"OK","",IF(F992="",N(INDEX(mat_loss,MATCH(B992,mat_ref,0))),F992))</f>
        <v/>
      </c>
      <c r="H992" s="66" t="str">
        <f>IF(J992&lt;&gt;"OK","",INDEX(mat_price,MATCH(B992,mat_ref,0)))</f>
        <v/>
      </c>
      <c r="I992" s="66" t="str">
        <f>IF(J992&lt;&gt;"OK","",E992*(1+G992)*H992)</f>
        <v/>
      </c>
      <c r="J992" s="69" t="str">
        <f>IF(AND(A992="",B992=""),"",IF(A992="","Produit manquant",IF(COUNTIF(prod_ref,A992)=0,"Produit inconnu",IF(B992="","Matière manquante",IF(ISNA(MATCH(B992,mat_ref,0)),"Matière inconnue",IF(INDEX(mat_check,MATCH(B992,mat_ref,0))&lt;&gt;"OK","Matière à corriger",IF(OR(NOT(ISNUMBER(E992)),N(E992)&lt;=0),"Quantité invalide",IF(AND(F992&lt;&gt;"",OR(NOT(ISNUMBER(F992)),N(F992)&lt;0,N(F992)&gt;=1)),"Perte entre 0 et 99 %",IF(COUNTIFS(bom_prod,A992,bom_mat,B992)&gt;1,"Matière en double","OK")))))))))</f>
        <v/>
      </c>
      <c r="K992" s="71" t="str">
        <f>IF(AND(fiche_sel&lt;&gt;"",A992=fiche_sel),COUNTIF(A$6:A992,fiche_sel),"")</f>
        <v/>
      </c>
    </row>
    <row r="993">
      <c r="A993" s="60" t="n"/>
      <c r="B993" s="60" t="n"/>
      <c r="C993" s="71" t="str">
        <f>IF(B993="","",IFERROR(INDEX(mat_des,MATCH(B993,mat_ref,0))&amp;"","Matière inconnue"))</f>
        <v/>
      </c>
      <c r="D993" s="69" t="str">
        <f>IF(B993="","",IFERROR(INDEX(mat_unit,MATCH(B993,mat_ref,0))&amp;"",""))</f>
        <v/>
      </c>
      <c r="E993" s="72" t="n"/>
      <c r="F993" s="65" t="n"/>
      <c r="G993" s="68" t="str">
        <f>IF(J993&lt;&gt;"OK","",IF(F993="",N(INDEX(mat_loss,MATCH(B993,mat_ref,0))),F993))</f>
        <v/>
      </c>
      <c r="H993" s="66" t="str">
        <f>IF(J993&lt;&gt;"OK","",INDEX(mat_price,MATCH(B993,mat_ref,0)))</f>
        <v/>
      </c>
      <c r="I993" s="66" t="str">
        <f>IF(J993&lt;&gt;"OK","",E993*(1+G993)*H993)</f>
        <v/>
      </c>
      <c r="J993" s="69" t="str">
        <f>IF(AND(A993="",B993=""),"",IF(A993="","Produit manquant",IF(COUNTIF(prod_ref,A993)=0,"Produit inconnu",IF(B993="","Matière manquante",IF(ISNA(MATCH(B993,mat_ref,0)),"Matière inconnue",IF(INDEX(mat_check,MATCH(B993,mat_ref,0))&lt;&gt;"OK","Matière à corriger",IF(OR(NOT(ISNUMBER(E993)),N(E993)&lt;=0),"Quantité invalide",IF(AND(F993&lt;&gt;"",OR(NOT(ISNUMBER(F993)),N(F993)&lt;0,N(F993)&gt;=1)),"Perte entre 0 et 99 %",IF(COUNTIFS(bom_prod,A993,bom_mat,B993)&gt;1,"Matière en double","OK")))))))))</f>
        <v/>
      </c>
      <c r="K993" s="71" t="str">
        <f>IF(AND(fiche_sel&lt;&gt;"",A993=fiche_sel),COUNTIF(A$6:A993,fiche_sel),"")</f>
        <v/>
      </c>
    </row>
    <row r="994">
      <c r="A994" s="60" t="n"/>
      <c r="B994" s="60" t="n"/>
      <c r="C994" s="71" t="str">
        <f>IF(B994="","",IFERROR(INDEX(mat_des,MATCH(B994,mat_ref,0))&amp;"","Matière inconnue"))</f>
        <v/>
      </c>
      <c r="D994" s="69" t="str">
        <f>IF(B994="","",IFERROR(INDEX(mat_unit,MATCH(B994,mat_ref,0))&amp;"",""))</f>
        <v/>
      </c>
      <c r="E994" s="72" t="n"/>
      <c r="F994" s="65" t="n"/>
      <c r="G994" s="68" t="str">
        <f>IF(J994&lt;&gt;"OK","",IF(F994="",N(INDEX(mat_loss,MATCH(B994,mat_ref,0))),F994))</f>
        <v/>
      </c>
      <c r="H994" s="66" t="str">
        <f>IF(J994&lt;&gt;"OK","",INDEX(mat_price,MATCH(B994,mat_ref,0)))</f>
        <v/>
      </c>
      <c r="I994" s="66" t="str">
        <f>IF(J994&lt;&gt;"OK","",E994*(1+G994)*H994)</f>
        <v/>
      </c>
      <c r="J994" s="69" t="str">
        <f>IF(AND(A994="",B994=""),"",IF(A994="","Produit manquant",IF(COUNTIF(prod_ref,A994)=0,"Produit inconnu",IF(B994="","Matière manquante",IF(ISNA(MATCH(B994,mat_ref,0)),"Matière inconnue",IF(INDEX(mat_check,MATCH(B994,mat_ref,0))&lt;&gt;"OK","Matière à corriger",IF(OR(NOT(ISNUMBER(E994)),N(E994)&lt;=0),"Quantité invalide",IF(AND(F994&lt;&gt;"",OR(NOT(ISNUMBER(F994)),N(F994)&lt;0,N(F994)&gt;=1)),"Perte entre 0 et 99 %",IF(COUNTIFS(bom_prod,A994,bom_mat,B994)&gt;1,"Matière en double","OK")))))))))</f>
        <v/>
      </c>
      <c r="K994" s="71" t="str">
        <f>IF(AND(fiche_sel&lt;&gt;"",A994=fiche_sel),COUNTIF(A$6:A994,fiche_sel),"")</f>
        <v/>
      </c>
    </row>
    <row r="995">
      <c r="A995" s="60" t="n"/>
      <c r="B995" s="60" t="n"/>
      <c r="C995" s="71" t="str">
        <f>IF(B995="","",IFERROR(INDEX(mat_des,MATCH(B995,mat_ref,0))&amp;"","Matière inconnue"))</f>
        <v/>
      </c>
      <c r="D995" s="69" t="str">
        <f>IF(B995="","",IFERROR(INDEX(mat_unit,MATCH(B995,mat_ref,0))&amp;"",""))</f>
        <v/>
      </c>
      <c r="E995" s="72" t="n"/>
      <c r="F995" s="65" t="n"/>
      <c r="G995" s="68" t="str">
        <f>IF(J995&lt;&gt;"OK","",IF(F995="",N(INDEX(mat_loss,MATCH(B995,mat_ref,0))),F995))</f>
        <v/>
      </c>
      <c r="H995" s="66" t="str">
        <f>IF(J995&lt;&gt;"OK","",INDEX(mat_price,MATCH(B995,mat_ref,0)))</f>
        <v/>
      </c>
      <c r="I995" s="66" t="str">
        <f>IF(J995&lt;&gt;"OK","",E995*(1+G995)*H995)</f>
        <v/>
      </c>
      <c r="J995" s="69" t="str">
        <f>IF(AND(A995="",B995=""),"",IF(A995="","Produit manquant",IF(COUNTIF(prod_ref,A995)=0,"Produit inconnu",IF(B995="","Matière manquante",IF(ISNA(MATCH(B995,mat_ref,0)),"Matière inconnue",IF(INDEX(mat_check,MATCH(B995,mat_ref,0))&lt;&gt;"OK","Matière à corriger",IF(OR(NOT(ISNUMBER(E995)),N(E995)&lt;=0),"Quantité invalide",IF(AND(F995&lt;&gt;"",OR(NOT(ISNUMBER(F995)),N(F995)&lt;0,N(F995)&gt;=1)),"Perte entre 0 et 99 %",IF(COUNTIFS(bom_prod,A995,bom_mat,B995)&gt;1,"Matière en double","OK")))))))))</f>
        <v/>
      </c>
      <c r="K995" s="71" t="str">
        <f>IF(AND(fiche_sel&lt;&gt;"",A995=fiche_sel),COUNTIF(A$6:A995,fiche_sel),"")</f>
        <v/>
      </c>
    </row>
    <row r="996">
      <c r="A996" s="60" t="n"/>
      <c r="B996" s="60" t="n"/>
      <c r="C996" s="71" t="str">
        <f>IF(B996="","",IFERROR(INDEX(mat_des,MATCH(B996,mat_ref,0))&amp;"","Matière inconnue"))</f>
        <v/>
      </c>
      <c r="D996" s="69" t="str">
        <f>IF(B996="","",IFERROR(INDEX(mat_unit,MATCH(B996,mat_ref,0))&amp;"",""))</f>
        <v/>
      </c>
      <c r="E996" s="72" t="n"/>
      <c r="F996" s="65" t="n"/>
      <c r="G996" s="68" t="str">
        <f>IF(J996&lt;&gt;"OK","",IF(F996="",N(INDEX(mat_loss,MATCH(B996,mat_ref,0))),F996))</f>
        <v/>
      </c>
      <c r="H996" s="66" t="str">
        <f>IF(J996&lt;&gt;"OK","",INDEX(mat_price,MATCH(B996,mat_ref,0)))</f>
        <v/>
      </c>
      <c r="I996" s="66" t="str">
        <f>IF(J996&lt;&gt;"OK","",E996*(1+G996)*H996)</f>
        <v/>
      </c>
      <c r="J996" s="69" t="str">
        <f>IF(AND(A996="",B996=""),"",IF(A996="","Produit manquant",IF(COUNTIF(prod_ref,A996)=0,"Produit inconnu",IF(B996="","Matière manquante",IF(ISNA(MATCH(B996,mat_ref,0)),"Matière inconnue",IF(INDEX(mat_check,MATCH(B996,mat_ref,0))&lt;&gt;"OK","Matière à corriger",IF(OR(NOT(ISNUMBER(E996)),N(E996)&lt;=0),"Quantité invalide",IF(AND(F996&lt;&gt;"",OR(NOT(ISNUMBER(F996)),N(F996)&lt;0,N(F996)&gt;=1)),"Perte entre 0 et 99 %",IF(COUNTIFS(bom_prod,A996,bom_mat,B996)&gt;1,"Matière en double","OK")))))))))</f>
        <v/>
      </c>
      <c r="K996" s="71" t="str">
        <f>IF(AND(fiche_sel&lt;&gt;"",A996=fiche_sel),COUNTIF(A$6:A996,fiche_sel),"")</f>
        <v/>
      </c>
    </row>
    <row r="997">
      <c r="A997" s="60" t="n"/>
      <c r="B997" s="60" t="n"/>
      <c r="C997" s="71" t="str">
        <f>IF(B997="","",IFERROR(INDEX(mat_des,MATCH(B997,mat_ref,0))&amp;"","Matière inconnue"))</f>
        <v/>
      </c>
      <c r="D997" s="69" t="str">
        <f>IF(B997="","",IFERROR(INDEX(mat_unit,MATCH(B997,mat_ref,0))&amp;"",""))</f>
        <v/>
      </c>
      <c r="E997" s="72" t="n"/>
      <c r="F997" s="65" t="n"/>
      <c r="G997" s="68" t="str">
        <f>IF(J997&lt;&gt;"OK","",IF(F997="",N(INDEX(mat_loss,MATCH(B997,mat_ref,0))),F997))</f>
        <v/>
      </c>
      <c r="H997" s="66" t="str">
        <f>IF(J997&lt;&gt;"OK","",INDEX(mat_price,MATCH(B997,mat_ref,0)))</f>
        <v/>
      </c>
      <c r="I997" s="66" t="str">
        <f>IF(J997&lt;&gt;"OK","",E997*(1+G997)*H997)</f>
        <v/>
      </c>
      <c r="J997" s="69" t="str">
        <f>IF(AND(A997="",B997=""),"",IF(A997="","Produit manquant",IF(COUNTIF(prod_ref,A997)=0,"Produit inconnu",IF(B997="","Matière manquante",IF(ISNA(MATCH(B997,mat_ref,0)),"Matière inconnue",IF(INDEX(mat_check,MATCH(B997,mat_ref,0))&lt;&gt;"OK","Matière à corriger",IF(OR(NOT(ISNUMBER(E997)),N(E997)&lt;=0),"Quantité invalide",IF(AND(F997&lt;&gt;"",OR(NOT(ISNUMBER(F997)),N(F997)&lt;0,N(F997)&gt;=1)),"Perte entre 0 et 99 %",IF(COUNTIFS(bom_prod,A997,bom_mat,B997)&gt;1,"Matière en double","OK")))))))))</f>
        <v/>
      </c>
      <c r="K997" s="71" t="str">
        <f>IF(AND(fiche_sel&lt;&gt;"",A997=fiche_sel),COUNTIF(A$6:A997,fiche_sel),"")</f>
        <v/>
      </c>
    </row>
    <row r="998">
      <c r="A998" s="60" t="n"/>
      <c r="B998" s="60" t="n"/>
      <c r="C998" s="71" t="str">
        <f>IF(B998="","",IFERROR(INDEX(mat_des,MATCH(B998,mat_ref,0))&amp;"","Matière inconnue"))</f>
        <v/>
      </c>
      <c r="D998" s="69" t="str">
        <f>IF(B998="","",IFERROR(INDEX(mat_unit,MATCH(B998,mat_ref,0))&amp;"",""))</f>
        <v/>
      </c>
      <c r="E998" s="72" t="n"/>
      <c r="F998" s="65" t="n"/>
      <c r="G998" s="68" t="str">
        <f>IF(J998&lt;&gt;"OK","",IF(F998="",N(INDEX(mat_loss,MATCH(B998,mat_ref,0))),F998))</f>
        <v/>
      </c>
      <c r="H998" s="66" t="str">
        <f>IF(J998&lt;&gt;"OK","",INDEX(mat_price,MATCH(B998,mat_ref,0)))</f>
        <v/>
      </c>
      <c r="I998" s="66" t="str">
        <f>IF(J998&lt;&gt;"OK","",E998*(1+G998)*H998)</f>
        <v/>
      </c>
      <c r="J998" s="69" t="str">
        <f>IF(AND(A998="",B998=""),"",IF(A998="","Produit manquant",IF(COUNTIF(prod_ref,A998)=0,"Produit inconnu",IF(B998="","Matière manquante",IF(ISNA(MATCH(B998,mat_ref,0)),"Matière inconnue",IF(INDEX(mat_check,MATCH(B998,mat_ref,0))&lt;&gt;"OK","Matière à corriger",IF(OR(NOT(ISNUMBER(E998)),N(E998)&lt;=0),"Quantité invalide",IF(AND(F998&lt;&gt;"",OR(NOT(ISNUMBER(F998)),N(F998)&lt;0,N(F998)&gt;=1)),"Perte entre 0 et 99 %",IF(COUNTIFS(bom_prod,A998,bom_mat,B998)&gt;1,"Matière en double","OK")))))))))</f>
        <v/>
      </c>
      <c r="K998" s="71" t="str">
        <f>IF(AND(fiche_sel&lt;&gt;"",A998=fiche_sel),COUNTIF(A$6:A998,fiche_sel),"")</f>
        <v/>
      </c>
    </row>
    <row r="999">
      <c r="A999" s="60" t="n"/>
      <c r="B999" s="60" t="n"/>
      <c r="C999" s="71" t="str">
        <f>IF(B999="","",IFERROR(INDEX(mat_des,MATCH(B999,mat_ref,0))&amp;"","Matière inconnue"))</f>
        <v/>
      </c>
      <c r="D999" s="69" t="str">
        <f>IF(B999="","",IFERROR(INDEX(mat_unit,MATCH(B999,mat_ref,0))&amp;"",""))</f>
        <v/>
      </c>
      <c r="E999" s="72" t="n"/>
      <c r="F999" s="65" t="n"/>
      <c r="G999" s="68" t="str">
        <f>IF(J999&lt;&gt;"OK","",IF(F999="",N(INDEX(mat_loss,MATCH(B999,mat_ref,0))),F999))</f>
        <v/>
      </c>
      <c r="H999" s="66" t="str">
        <f>IF(J999&lt;&gt;"OK","",INDEX(mat_price,MATCH(B999,mat_ref,0)))</f>
        <v/>
      </c>
      <c r="I999" s="66" t="str">
        <f>IF(J999&lt;&gt;"OK","",E999*(1+G999)*H999)</f>
        <v/>
      </c>
      <c r="J999" s="69" t="str">
        <f>IF(AND(A999="",B999=""),"",IF(A999="","Produit manquant",IF(COUNTIF(prod_ref,A999)=0,"Produit inconnu",IF(B999="","Matière manquante",IF(ISNA(MATCH(B999,mat_ref,0)),"Matière inconnue",IF(INDEX(mat_check,MATCH(B999,mat_ref,0))&lt;&gt;"OK","Matière à corriger",IF(OR(NOT(ISNUMBER(E999)),N(E999)&lt;=0),"Quantité invalide",IF(AND(F999&lt;&gt;"",OR(NOT(ISNUMBER(F999)),N(F999)&lt;0,N(F999)&gt;=1)),"Perte entre 0 et 99 %",IF(COUNTIFS(bom_prod,A999,bom_mat,B999)&gt;1,"Matière en double","OK")))))))))</f>
        <v/>
      </c>
      <c r="K999" s="71" t="str">
        <f>IF(AND(fiche_sel&lt;&gt;"",A999=fiche_sel),COUNTIF(A$6:A999,fiche_sel),"")</f>
        <v/>
      </c>
    </row>
    <row r="1000">
      <c r="A1000" s="60" t="n"/>
      <c r="B1000" s="60" t="n"/>
      <c r="C1000" s="71" t="str">
        <f>IF(B1000="","",IFERROR(INDEX(mat_des,MATCH(B1000,mat_ref,0))&amp;"","Matière inconnue"))</f>
        <v/>
      </c>
      <c r="D1000" s="69" t="str">
        <f>IF(B1000="","",IFERROR(INDEX(mat_unit,MATCH(B1000,mat_ref,0))&amp;"",""))</f>
        <v/>
      </c>
      <c r="E1000" s="72" t="n"/>
      <c r="F1000" s="65" t="n"/>
      <c r="G1000" s="68" t="str">
        <f>IF(J1000&lt;&gt;"OK","",IF(F1000="",N(INDEX(mat_loss,MATCH(B1000,mat_ref,0))),F1000))</f>
        <v/>
      </c>
      <c r="H1000" s="66" t="str">
        <f>IF(J1000&lt;&gt;"OK","",INDEX(mat_price,MATCH(B1000,mat_ref,0)))</f>
        <v/>
      </c>
      <c r="I1000" s="66" t="str">
        <f>IF(J1000&lt;&gt;"OK","",E1000*(1+G1000)*H1000)</f>
        <v/>
      </c>
      <c r="J1000" s="69" t="str">
        <f>IF(AND(A1000="",B1000=""),"",IF(A1000="","Produit manquant",IF(COUNTIF(prod_ref,A1000)=0,"Produit inconnu",IF(B1000="","Matière manquante",IF(ISNA(MATCH(B1000,mat_ref,0)),"Matière inconnue",IF(INDEX(mat_check,MATCH(B1000,mat_ref,0))&lt;&gt;"OK","Matière à corriger",IF(OR(NOT(ISNUMBER(E1000)),N(E1000)&lt;=0),"Quantité invalide",IF(AND(F1000&lt;&gt;"",OR(NOT(ISNUMBER(F1000)),N(F1000)&lt;0,N(F1000)&gt;=1)),"Perte entre 0 et 99 %",IF(COUNTIFS(bom_prod,A1000,bom_mat,B1000)&gt;1,"Matière en double","OK")))))))))</f>
        <v/>
      </c>
      <c r="K1000" s="71" t="str">
        <f>IF(AND(fiche_sel&lt;&gt;"",A1000=fiche_sel),COUNTIF(A$6:A1000,fiche_sel),"")</f>
        <v/>
      </c>
    </row>
    <row r="1001">
      <c r="A1001" s="60" t="n"/>
      <c r="B1001" s="60" t="n"/>
      <c r="C1001" s="71" t="str">
        <f>IF(B1001="","",IFERROR(INDEX(mat_des,MATCH(B1001,mat_ref,0))&amp;"","Matière inconnue"))</f>
        <v/>
      </c>
      <c r="D1001" s="69" t="str">
        <f>IF(B1001="","",IFERROR(INDEX(mat_unit,MATCH(B1001,mat_ref,0))&amp;"",""))</f>
        <v/>
      </c>
      <c r="E1001" s="72" t="n"/>
      <c r="F1001" s="65" t="n"/>
      <c r="G1001" s="68" t="str">
        <f>IF(J1001&lt;&gt;"OK","",IF(F1001="",N(INDEX(mat_loss,MATCH(B1001,mat_ref,0))),F1001))</f>
        <v/>
      </c>
      <c r="H1001" s="66" t="str">
        <f>IF(J1001&lt;&gt;"OK","",INDEX(mat_price,MATCH(B1001,mat_ref,0)))</f>
        <v/>
      </c>
      <c r="I1001" s="66" t="str">
        <f>IF(J1001&lt;&gt;"OK","",E1001*(1+G1001)*H1001)</f>
        <v/>
      </c>
      <c r="J1001" s="69" t="str">
        <f>IF(AND(A1001="",B1001=""),"",IF(A1001="","Produit manquant",IF(COUNTIF(prod_ref,A1001)=0,"Produit inconnu",IF(B1001="","Matière manquante",IF(ISNA(MATCH(B1001,mat_ref,0)),"Matière inconnue",IF(INDEX(mat_check,MATCH(B1001,mat_ref,0))&lt;&gt;"OK","Matière à corriger",IF(OR(NOT(ISNUMBER(E1001)),N(E1001)&lt;=0),"Quantité invalide",IF(AND(F1001&lt;&gt;"",OR(NOT(ISNUMBER(F1001)),N(F1001)&lt;0,N(F1001)&gt;=1)),"Perte entre 0 et 99 %",IF(COUNTIFS(bom_prod,A1001,bom_mat,B1001)&gt;1,"Matière en double","OK")))))))))</f>
        <v/>
      </c>
      <c r="K1001" s="71" t="str">
        <f>IF(AND(fiche_sel&lt;&gt;"",A1001=fiche_sel),COUNTIF(A$6:A1001,fiche_sel),"")</f>
        <v/>
      </c>
    </row>
    <row r="1002">
      <c r="A1002" s="60" t="n"/>
      <c r="B1002" s="60" t="n"/>
      <c r="C1002" s="71" t="str">
        <f>IF(B1002="","",IFERROR(INDEX(mat_des,MATCH(B1002,mat_ref,0))&amp;"","Matière inconnue"))</f>
        <v/>
      </c>
      <c r="D1002" s="69" t="str">
        <f>IF(B1002="","",IFERROR(INDEX(mat_unit,MATCH(B1002,mat_ref,0))&amp;"",""))</f>
        <v/>
      </c>
      <c r="E1002" s="72" t="n"/>
      <c r="F1002" s="65" t="n"/>
      <c r="G1002" s="68" t="str">
        <f>IF(J1002&lt;&gt;"OK","",IF(F1002="",N(INDEX(mat_loss,MATCH(B1002,mat_ref,0))),F1002))</f>
        <v/>
      </c>
      <c r="H1002" s="66" t="str">
        <f>IF(J1002&lt;&gt;"OK","",INDEX(mat_price,MATCH(B1002,mat_ref,0)))</f>
        <v/>
      </c>
      <c r="I1002" s="66" t="str">
        <f>IF(J1002&lt;&gt;"OK","",E1002*(1+G1002)*H1002)</f>
        <v/>
      </c>
      <c r="J1002" s="69" t="str">
        <f>IF(AND(A1002="",B1002=""),"",IF(A1002="","Produit manquant",IF(COUNTIF(prod_ref,A1002)=0,"Produit inconnu",IF(B1002="","Matière manquante",IF(ISNA(MATCH(B1002,mat_ref,0)),"Matière inconnue",IF(INDEX(mat_check,MATCH(B1002,mat_ref,0))&lt;&gt;"OK","Matière à corriger",IF(OR(NOT(ISNUMBER(E1002)),N(E1002)&lt;=0),"Quantité invalide",IF(AND(F1002&lt;&gt;"",OR(NOT(ISNUMBER(F1002)),N(F1002)&lt;0,N(F1002)&gt;=1)),"Perte entre 0 et 99 %",IF(COUNTIFS(bom_prod,A1002,bom_mat,B1002)&gt;1,"Matière en double","OK")))))))))</f>
        <v/>
      </c>
      <c r="K1002" s="71" t="str">
        <f>IF(AND(fiche_sel&lt;&gt;"",A1002=fiche_sel),COUNTIF(A$6:A1002,fiche_sel),"")</f>
        <v/>
      </c>
    </row>
    <row r="1003">
      <c r="A1003" s="60" t="n"/>
      <c r="B1003" s="60" t="n"/>
      <c r="C1003" s="71" t="str">
        <f>IF(B1003="","",IFERROR(INDEX(mat_des,MATCH(B1003,mat_ref,0))&amp;"","Matière inconnue"))</f>
        <v/>
      </c>
      <c r="D1003" s="69" t="str">
        <f>IF(B1003="","",IFERROR(INDEX(mat_unit,MATCH(B1003,mat_ref,0))&amp;"",""))</f>
        <v/>
      </c>
      <c r="E1003" s="72" t="n"/>
      <c r="F1003" s="65" t="n"/>
      <c r="G1003" s="68" t="str">
        <f>IF(J1003&lt;&gt;"OK","",IF(F1003="",N(INDEX(mat_loss,MATCH(B1003,mat_ref,0))),F1003))</f>
        <v/>
      </c>
      <c r="H1003" s="66" t="str">
        <f>IF(J1003&lt;&gt;"OK","",INDEX(mat_price,MATCH(B1003,mat_ref,0)))</f>
        <v/>
      </c>
      <c r="I1003" s="66" t="str">
        <f>IF(J1003&lt;&gt;"OK","",E1003*(1+G1003)*H1003)</f>
        <v/>
      </c>
      <c r="J1003" s="69" t="str">
        <f>IF(AND(A1003="",B1003=""),"",IF(A1003="","Produit manquant",IF(COUNTIF(prod_ref,A1003)=0,"Produit inconnu",IF(B1003="","Matière manquante",IF(ISNA(MATCH(B1003,mat_ref,0)),"Matière inconnue",IF(INDEX(mat_check,MATCH(B1003,mat_ref,0))&lt;&gt;"OK","Matière à corriger",IF(OR(NOT(ISNUMBER(E1003)),N(E1003)&lt;=0),"Quantité invalide",IF(AND(F1003&lt;&gt;"",OR(NOT(ISNUMBER(F1003)),N(F1003)&lt;0,N(F1003)&gt;=1)),"Perte entre 0 et 99 %",IF(COUNTIFS(bom_prod,A1003,bom_mat,B1003)&gt;1,"Matière en double","OK")))))))))</f>
        <v/>
      </c>
      <c r="K1003" s="71" t="str">
        <f>IF(AND(fiche_sel&lt;&gt;"",A1003=fiche_sel),COUNTIF(A$6:A1003,fiche_sel),"")</f>
        <v/>
      </c>
    </row>
    <row r="1004">
      <c r="A1004" s="60" t="n"/>
      <c r="B1004" s="60" t="n"/>
      <c r="C1004" s="71" t="str">
        <f>IF(B1004="","",IFERROR(INDEX(mat_des,MATCH(B1004,mat_ref,0))&amp;"","Matière inconnue"))</f>
        <v/>
      </c>
      <c r="D1004" s="69" t="str">
        <f>IF(B1004="","",IFERROR(INDEX(mat_unit,MATCH(B1004,mat_ref,0))&amp;"",""))</f>
        <v/>
      </c>
      <c r="E1004" s="72" t="n"/>
      <c r="F1004" s="65" t="n"/>
      <c r="G1004" s="68" t="str">
        <f>IF(J1004&lt;&gt;"OK","",IF(F1004="",N(INDEX(mat_loss,MATCH(B1004,mat_ref,0))),F1004))</f>
        <v/>
      </c>
      <c r="H1004" s="66" t="str">
        <f>IF(J1004&lt;&gt;"OK","",INDEX(mat_price,MATCH(B1004,mat_ref,0)))</f>
        <v/>
      </c>
      <c r="I1004" s="66" t="str">
        <f>IF(J1004&lt;&gt;"OK","",E1004*(1+G1004)*H1004)</f>
        <v/>
      </c>
      <c r="J1004" s="69" t="str">
        <f>IF(AND(A1004="",B1004=""),"",IF(A1004="","Produit manquant",IF(COUNTIF(prod_ref,A1004)=0,"Produit inconnu",IF(B1004="","Matière manquante",IF(ISNA(MATCH(B1004,mat_ref,0)),"Matière inconnue",IF(INDEX(mat_check,MATCH(B1004,mat_ref,0))&lt;&gt;"OK","Matière à corriger",IF(OR(NOT(ISNUMBER(E1004)),N(E1004)&lt;=0),"Quantité invalide",IF(AND(F1004&lt;&gt;"",OR(NOT(ISNUMBER(F1004)),N(F1004)&lt;0,N(F1004)&gt;=1)),"Perte entre 0 et 99 %",IF(COUNTIFS(bom_prod,A1004,bom_mat,B1004)&gt;1,"Matière en double","OK")))))))))</f>
        <v/>
      </c>
      <c r="K1004" s="71" t="str">
        <f>IF(AND(fiche_sel&lt;&gt;"",A1004=fiche_sel),COUNTIF(A$6:A1004,fiche_sel),"")</f>
        <v/>
      </c>
    </row>
    <row r="1005">
      <c r="A1005" s="60" t="n"/>
      <c r="B1005" s="60" t="n"/>
      <c r="C1005" s="71" t="str">
        <f>IF(B1005="","",IFERROR(INDEX(mat_des,MATCH(B1005,mat_ref,0))&amp;"","Matière inconnue"))</f>
        <v/>
      </c>
      <c r="D1005" s="69" t="str">
        <f>IF(B1005="","",IFERROR(INDEX(mat_unit,MATCH(B1005,mat_ref,0))&amp;"",""))</f>
        <v/>
      </c>
      <c r="E1005" s="72" t="n"/>
      <c r="F1005" s="65" t="n"/>
      <c r="G1005" s="68" t="str">
        <f>IF(J1005&lt;&gt;"OK","",IF(F1005="",N(INDEX(mat_loss,MATCH(B1005,mat_ref,0))),F1005))</f>
        <v/>
      </c>
      <c r="H1005" s="66" t="str">
        <f>IF(J1005&lt;&gt;"OK","",INDEX(mat_price,MATCH(B1005,mat_ref,0)))</f>
        <v/>
      </c>
      <c r="I1005" s="66" t="str">
        <f>IF(J1005&lt;&gt;"OK","",E1005*(1+G1005)*H1005)</f>
        <v/>
      </c>
      <c r="J1005" s="69" t="str">
        <f>IF(AND(A1005="",B1005=""),"",IF(A1005="","Produit manquant",IF(COUNTIF(prod_ref,A1005)=0,"Produit inconnu",IF(B1005="","Matière manquante",IF(ISNA(MATCH(B1005,mat_ref,0)),"Matière inconnue",IF(INDEX(mat_check,MATCH(B1005,mat_ref,0))&lt;&gt;"OK","Matière à corriger",IF(OR(NOT(ISNUMBER(E1005)),N(E1005)&lt;=0),"Quantité invalide",IF(AND(F1005&lt;&gt;"",OR(NOT(ISNUMBER(F1005)),N(F1005)&lt;0,N(F1005)&gt;=1)),"Perte entre 0 et 99 %",IF(COUNTIFS(bom_prod,A1005,bom_mat,B1005)&gt;1,"Matière en double","OK")))))))))</f>
        <v/>
      </c>
      <c r="K1005" s="71" t="str">
        <f>IF(AND(fiche_sel&lt;&gt;"",A1005=fiche_sel),COUNTIF(A$6:A1005,fiche_sel),"")</f>
        <v/>
      </c>
    </row>
    <row r="1006">
      <c r="A1006" s="60" t="n"/>
      <c r="B1006" s="60" t="n"/>
      <c r="C1006" s="71" t="str">
        <f>IF(B1006="","",IFERROR(INDEX(mat_des,MATCH(B1006,mat_ref,0))&amp;"","Matière inconnue"))</f>
        <v/>
      </c>
      <c r="D1006" s="69" t="str">
        <f>IF(B1006="","",IFERROR(INDEX(mat_unit,MATCH(B1006,mat_ref,0))&amp;"",""))</f>
        <v/>
      </c>
      <c r="E1006" s="72" t="n"/>
      <c r="F1006" s="65" t="n"/>
      <c r="G1006" s="68" t="str">
        <f>IF(J1006&lt;&gt;"OK","",IF(F1006="",N(INDEX(mat_loss,MATCH(B1006,mat_ref,0))),F1006))</f>
        <v/>
      </c>
      <c r="H1006" s="66" t="str">
        <f>IF(J1006&lt;&gt;"OK","",INDEX(mat_price,MATCH(B1006,mat_ref,0)))</f>
        <v/>
      </c>
      <c r="I1006" s="66" t="str">
        <f>IF(J1006&lt;&gt;"OK","",E1006*(1+G1006)*H1006)</f>
        <v/>
      </c>
      <c r="J1006" s="69" t="str">
        <f>IF(AND(A1006="",B1006=""),"",IF(A1006="","Produit manquant",IF(COUNTIF(prod_ref,A1006)=0,"Produit inconnu",IF(B1006="","Matière manquante",IF(ISNA(MATCH(B1006,mat_ref,0)),"Matière inconnue",IF(INDEX(mat_check,MATCH(B1006,mat_ref,0))&lt;&gt;"OK","Matière à corriger",IF(OR(NOT(ISNUMBER(E1006)),N(E1006)&lt;=0),"Quantité invalide",IF(AND(F1006&lt;&gt;"",OR(NOT(ISNUMBER(F1006)),N(F1006)&lt;0,N(F1006)&gt;=1)),"Perte entre 0 et 99 %",IF(COUNTIFS(bom_prod,A1006,bom_mat,B1006)&gt;1,"Matière en double","OK")))))))))</f>
        <v/>
      </c>
      <c r="K1006" s="71" t="str">
        <f>IF(AND(fiche_sel&lt;&gt;"",A1006=fiche_sel),COUNTIF(A$6:A1006,fiche_sel),"")</f>
        <v/>
      </c>
    </row>
    <row r="1007">
      <c r="A1007" s="60" t="n"/>
      <c r="B1007" s="60" t="n"/>
      <c r="C1007" s="71" t="str">
        <f>IF(B1007="","",IFERROR(INDEX(mat_des,MATCH(B1007,mat_ref,0))&amp;"","Matière inconnue"))</f>
        <v/>
      </c>
      <c r="D1007" s="69" t="str">
        <f>IF(B1007="","",IFERROR(INDEX(mat_unit,MATCH(B1007,mat_ref,0))&amp;"",""))</f>
        <v/>
      </c>
      <c r="E1007" s="72" t="n"/>
      <c r="F1007" s="65" t="n"/>
      <c r="G1007" s="68" t="str">
        <f>IF(J1007&lt;&gt;"OK","",IF(F1007="",N(INDEX(mat_loss,MATCH(B1007,mat_ref,0))),F1007))</f>
        <v/>
      </c>
      <c r="H1007" s="66" t="str">
        <f>IF(J1007&lt;&gt;"OK","",INDEX(mat_price,MATCH(B1007,mat_ref,0)))</f>
        <v/>
      </c>
      <c r="I1007" s="66" t="str">
        <f>IF(J1007&lt;&gt;"OK","",E1007*(1+G1007)*H1007)</f>
        <v/>
      </c>
      <c r="J1007" s="69" t="str">
        <f>IF(AND(A1007="",B1007=""),"",IF(A1007="","Produit manquant",IF(COUNTIF(prod_ref,A1007)=0,"Produit inconnu",IF(B1007="","Matière manquante",IF(ISNA(MATCH(B1007,mat_ref,0)),"Matière inconnue",IF(INDEX(mat_check,MATCH(B1007,mat_ref,0))&lt;&gt;"OK","Matière à corriger",IF(OR(NOT(ISNUMBER(E1007)),N(E1007)&lt;=0),"Quantité invalide",IF(AND(F1007&lt;&gt;"",OR(NOT(ISNUMBER(F1007)),N(F1007)&lt;0,N(F1007)&gt;=1)),"Perte entre 0 et 99 %",IF(COUNTIFS(bom_prod,A1007,bom_mat,B1007)&gt;1,"Matière en double","OK")))))))))</f>
        <v/>
      </c>
      <c r="K1007" s="71" t="str">
        <f>IF(AND(fiche_sel&lt;&gt;"",A1007=fiche_sel),COUNTIF(A$6:A1007,fiche_sel),"")</f>
        <v/>
      </c>
    </row>
    <row r="1008">
      <c r="A1008" s="60" t="n"/>
      <c r="B1008" s="60" t="n"/>
      <c r="C1008" s="71" t="str">
        <f>IF(B1008="","",IFERROR(INDEX(mat_des,MATCH(B1008,mat_ref,0))&amp;"","Matière inconnue"))</f>
        <v/>
      </c>
      <c r="D1008" s="69" t="str">
        <f>IF(B1008="","",IFERROR(INDEX(mat_unit,MATCH(B1008,mat_ref,0))&amp;"",""))</f>
        <v/>
      </c>
      <c r="E1008" s="72" t="n"/>
      <c r="F1008" s="65" t="n"/>
      <c r="G1008" s="68" t="str">
        <f>IF(J1008&lt;&gt;"OK","",IF(F1008="",N(INDEX(mat_loss,MATCH(B1008,mat_ref,0))),F1008))</f>
        <v/>
      </c>
      <c r="H1008" s="66" t="str">
        <f>IF(J1008&lt;&gt;"OK","",INDEX(mat_price,MATCH(B1008,mat_ref,0)))</f>
        <v/>
      </c>
      <c r="I1008" s="66" t="str">
        <f>IF(J1008&lt;&gt;"OK","",E1008*(1+G1008)*H1008)</f>
        <v/>
      </c>
      <c r="J1008" s="69" t="str">
        <f>IF(AND(A1008="",B1008=""),"",IF(A1008="","Produit manquant",IF(COUNTIF(prod_ref,A1008)=0,"Produit inconnu",IF(B1008="","Matière manquante",IF(ISNA(MATCH(B1008,mat_ref,0)),"Matière inconnue",IF(INDEX(mat_check,MATCH(B1008,mat_ref,0))&lt;&gt;"OK","Matière à corriger",IF(OR(NOT(ISNUMBER(E1008)),N(E1008)&lt;=0),"Quantité invalide",IF(AND(F1008&lt;&gt;"",OR(NOT(ISNUMBER(F1008)),N(F1008)&lt;0,N(F1008)&gt;=1)),"Perte entre 0 et 99 %",IF(COUNTIFS(bom_prod,A1008,bom_mat,B1008)&gt;1,"Matière en double","OK")))))))))</f>
        <v/>
      </c>
      <c r="K1008" s="71" t="str">
        <f>IF(AND(fiche_sel&lt;&gt;"",A1008=fiche_sel),COUNTIF(A$6:A1008,fiche_sel),"")</f>
        <v/>
      </c>
    </row>
    <row r="1009">
      <c r="A1009" s="60" t="n"/>
      <c r="B1009" s="60" t="n"/>
      <c r="C1009" s="71" t="str">
        <f>IF(B1009="","",IFERROR(INDEX(mat_des,MATCH(B1009,mat_ref,0))&amp;"","Matière inconnue"))</f>
        <v/>
      </c>
      <c r="D1009" s="69" t="str">
        <f>IF(B1009="","",IFERROR(INDEX(mat_unit,MATCH(B1009,mat_ref,0))&amp;"",""))</f>
        <v/>
      </c>
      <c r="E1009" s="72" t="n"/>
      <c r="F1009" s="65" t="n"/>
      <c r="G1009" s="68" t="str">
        <f>IF(J1009&lt;&gt;"OK","",IF(F1009="",N(INDEX(mat_loss,MATCH(B1009,mat_ref,0))),F1009))</f>
        <v/>
      </c>
      <c r="H1009" s="66" t="str">
        <f>IF(J1009&lt;&gt;"OK","",INDEX(mat_price,MATCH(B1009,mat_ref,0)))</f>
        <v/>
      </c>
      <c r="I1009" s="66" t="str">
        <f>IF(J1009&lt;&gt;"OK","",E1009*(1+G1009)*H1009)</f>
        <v/>
      </c>
      <c r="J1009" s="69" t="str">
        <f>IF(AND(A1009="",B1009=""),"",IF(A1009="","Produit manquant",IF(COUNTIF(prod_ref,A1009)=0,"Produit inconnu",IF(B1009="","Matière manquante",IF(ISNA(MATCH(B1009,mat_ref,0)),"Matière inconnue",IF(INDEX(mat_check,MATCH(B1009,mat_ref,0))&lt;&gt;"OK","Matière à corriger",IF(OR(NOT(ISNUMBER(E1009)),N(E1009)&lt;=0),"Quantité invalide",IF(AND(F1009&lt;&gt;"",OR(NOT(ISNUMBER(F1009)),N(F1009)&lt;0,N(F1009)&gt;=1)),"Perte entre 0 et 99 %",IF(COUNTIFS(bom_prod,A1009,bom_mat,B1009)&gt;1,"Matière en double","OK")))))))))</f>
        <v/>
      </c>
      <c r="K1009" s="71" t="str">
        <f>IF(AND(fiche_sel&lt;&gt;"",A1009=fiche_sel),COUNTIF(A$6:A1009,fiche_sel),"")</f>
        <v/>
      </c>
    </row>
    <row r="1010">
      <c r="A1010" s="60" t="n"/>
      <c r="B1010" s="60" t="n"/>
      <c r="C1010" s="71" t="str">
        <f>IF(B1010="","",IFERROR(INDEX(mat_des,MATCH(B1010,mat_ref,0))&amp;"","Matière inconnue"))</f>
        <v/>
      </c>
      <c r="D1010" s="69" t="str">
        <f>IF(B1010="","",IFERROR(INDEX(mat_unit,MATCH(B1010,mat_ref,0))&amp;"",""))</f>
        <v/>
      </c>
      <c r="E1010" s="72" t="n"/>
      <c r="F1010" s="65" t="n"/>
      <c r="G1010" s="68" t="str">
        <f>IF(J1010&lt;&gt;"OK","",IF(F1010="",N(INDEX(mat_loss,MATCH(B1010,mat_ref,0))),F1010))</f>
        <v/>
      </c>
      <c r="H1010" s="66" t="str">
        <f>IF(J1010&lt;&gt;"OK","",INDEX(mat_price,MATCH(B1010,mat_ref,0)))</f>
        <v/>
      </c>
      <c r="I1010" s="66" t="str">
        <f>IF(J1010&lt;&gt;"OK","",E1010*(1+G1010)*H1010)</f>
        <v/>
      </c>
      <c r="J1010" s="69" t="str">
        <f>IF(AND(A1010="",B1010=""),"",IF(A1010="","Produit manquant",IF(COUNTIF(prod_ref,A1010)=0,"Produit inconnu",IF(B1010="","Matière manquante",IF(ISNA(MATCH(B1010,mat_ref,0)),"Matière inconnue",IF(INDEX(mat_check,MATCH(B1010,mat_ref,0))&lt;&gt;"OK","Matière à corriger",IF(OR(NOT(ISNUMBER(E1010)),N(E1010)&lt;=0),"Quantité invalide",IF(AND(F1010&lt;&gt;"",OR(NOT(ISNUMBER(F1010)),N(F1010)&lt;0,N(F1010)&gt;=1)),"Perte entre 0 et 99 %",IF(COUNTIFS(bom_prod,A1010,bom_mat,B1010)&gt;1,"Matière en double","OK")))))))))</f>
        <v/>
      </c>
      <c r="K1010" s="71" t="str">
        <f>IF(AND(fiche_sel&lt;&gt;"",A1010=fiche_sel),COUNTIF(A$6:A1010,fiche_sel),"")</f>
        <v/>
      </c>
    </row>
    <row r="1011">
      <c r="A1011" s="60" t="n"/>
      <c r="B1011" s="60" t="n"/>
      <c r="C1011" s="71" t="str">
        <f>IF(B1011="","",IFERROR(INDEX(mat_des,MATCH(B1011,mat_ref,0))&amp;"","Matière inconnue"))</f>
        <v/>
      </c>
      <c r="D1011" s="69" t="str">
        <f>IF(B1011="","",IFERROR(INDEX(mat_unit,MATCH(B1011,mat_ref,0))&amp;"",""))</f>
        <v/>
      </c>
      <c r="E1011" s="72" t="n"/>
      <c r="F1011" s="65" t="n"/>
      <c r="G1011" s="68" t="str">
        <f>IF(J1011&lt;&gt;"OK","",IF(F1011="",N(INDEX(mat_loss,MATCH(B1011,mat_ref,0))),F1011))</f>
        <v/>
      </c>
      <c r="H1011" s="66" t="str">
        <f>IF(J1011&lt;&gt;"OK","",INDEX(mat_price,MATCH(B1011,mat_ref,0)))</f>
        <v/>
      </c>
      <c r="I1011" s="66" t="str">
        <f>IF(J1011&lt;&gt;"OK","",E1011*(1+G1011)*H1011)</f>
        <v/>
      </c>
      <c r="J1011" s="69" t="str">
        <f>IF(AND(A1011="",B1011=""),"",IF(A1011="","Produit manquant",IF(COUNTIF(prod_ref,A1011)=0,"Produit inconnu",IF(B1011="","Matière manquante",IF(ISNA(MATCH(B1011,mat_ref,0)),"Matière inconnue",IF(INDEX(mat_check,MATCH(B1011,mat_ref,0))&lt;&gt;"OK","Matière à corriger",IF(OR(NOT(ISNUMBER(E1011)),N(E1011)&lt;=0),"Quantité invalide",IF(AND(F1011&lt;&gt;"",OR(NOT(ISNUMBER(F1011)),N(F1011)&lt;0,N(F1011)&gt;=1)),"Perte entre 0 et 99 %",IF(COUNTIFS(bom_prod,A1011,bom_mat,B1011)&gt;1,"Matière en double","OK")))))))))</f>
        <v/>
      </c>
      <c r="K1011" s="71" t="str">
        <f>IF(AND(fiche_sel&lt;&gt;"",A1011=fiche_sel),COUNTIF(A$6:A1011,fiche_sel),"")</f>
        <v/>
      </c>
    </row>
    <row r="1012">
      <c r="A1012" s="60" t="n"/>
      <c r="B1012" s="60" t="n"/>
      <c r="C1012" s="71" t="str">
        <f>IF(B1012="","",IFERROR(INDEX(mat_des,MATCH(B1012,mat_ref,0))&amp;"","Matière inconnue"))</f>
        <v/>
      </c>
      <c r="D1012" s="69" t="str">
        <f>IF(B1012="","",IFERROR(INDEX(mat_unit,MATCH(B1012,mat_ref,0))&amp;"",""))</f>
        <v/>
      </c>
      <c r="E1012" s="72" t="n"/>
      <c r="F1012" s="65" t="n"/>
      <c r="G1012" s="68" t="str">
        <f>IF(J1012&lt;&gt;"OK","",IF(F1012="",N(INDEX(mat_loss,MATCH(B1012,mat_ref,0))),F1012))</f>
        <v/>
      </c>
      <c r="H1012" s="66" t="str">
        <f>IF(J1012&lt;&gt;"OK","",INDEX(mat_price,MATCH(B1012,mat_ref,0)))</f>
        <v/>
      </c>
      <c r="I1012" s="66" t="str">
        <f>IF(J1012&lt;&gt;"OK","",E1012*(1+G1012)*H1012)</f>
        <v/>
      </c>
      <c r="J1012" s="69" t="str">
        <f>IF(AND(A1012="",B1012=""),"",IF(A1012="","Produit manquant",IF(COUNTIF(prod_ref,A1012)=0,"Produit inconnu",IF(B1012="","Matière manquante",IF(ISNA(MATCH(B1012,mat_ref,0)),"Matière inconnue",IF(INDEX(mat_check,MATCH(B1012,mat_ref,0))&lt;&gt;"OK","Matière à corriger",IF(OR(NOT(ISNUMBER(E1012)),N(E1012)&lt;=0),"Quantité invalide",IF(AND(F1012&lt;&gt;"",OR(NOT(ISNUMBER(F1012)),N(F1012)&lt;0,N(F1012)&gt;=1)),"Perte entre 0 et 99 %",IF(COUNTIFS(bom_prod,A1012,bom_mat,B1012)&gt;1,"Matière en double","OK")))))))))</f>
        <v/>
      </c>
      <c r="K1012" s="71" t="str">
        <f>IF(AND(fiche_sel&lt;&gt;"",A1012=fiche_sel),COUNTIF(A$6:A1012,fiche_sel),"")</f>
        <v/>
      </c>
    </row>
    <row r="1013">
      <c r="A1013" s="60" t="n"/>
      <c r="B1013" s="60" t="n"/>
      <c r="C1013" s="71" t="str">
        <f>IF(B1013="","",IFERROR(INDEX(mat_des,MATCH(B1013,mat_ref,0))&amp;"","Matière inconnue"))</f>
        <v/>
      </c>
      <c r="D1013" s="69" t="str">
        <f>IF(B1013="","",IFERROR(INDEX(mat_unit,MATCH(B1013,mat_ref,0))&amp;"",""))</f>
        <v/>
      </c>
      <c r="E1013" s="72" t="n"/>
      <c r="F1013" s="65" t="n"/>
      <c r="G1013" s="68" t="str">
        <f>IF(J1013&lt;&gt;"OK","",IF(F1013="",N(INDEX(mat_loss,MATCH(B1013,mat_ref,0))),F1013))</f>
        <v/>
      </c>
      <c r="H1013" s="66" t="str">
        <f>IF(J1013&lt;&gt;"OK","",INDEX(mat_price,MATCH(B1013,mat_ref,0)))</f>
        <v/>
      </c>
      <c r="I1013" s="66" t="str">
        <f>IF(J1013&lt;&gt;"OK","",E1013*(1+G1013)*H1013)</f>
        <v/>
      </c>
      <c r="J1013" s="69" t="str">
        <f>IF(AND(A1013="",B1013=""),"",IF(A1013="","Produit manquant",IF(COUNTIF(prod_ref,A1013)=0,"Produit inconnu",IF(B1013="","Matière manquante",IF(ISNA(MATCH(B1013,mat_ref,0)),"Matière inconnue",IF(INDEX(mat_check,MATCH(B1013,mat_ref,0))&lt;&gt;"OK","Matière à corriger",IF(OR(NOT(ISNUMBER(E1013)),N(E1013)&lt;=0),"Quantité invalide",IF(AND(F1013&lt;&gt;"",OR(NOT(ISNUMBER(F1013)),N(F1013)&lt;0,N(F1013)&gt;=1)),"Perte entre 0 et 99 %",IF(COUNTIFS(bom_prod,A1013,bom_mat,B1013)&gt;1,"Matière en double","OK")))))))))</f>
        <v/>
      </c>
      <c r="K1013" s="71" t="str">
        <f>IF(AND(fiche_sel&lt;&gt;"",A1013=fiche_sel),COUNTIF(A$6:A1013,fiche_sel),"")</f>
        <v/>
      </c>
    </row>
    <row r="1014">
      <c r="A1014" s="60" t="n"/>
      <c r="B1014" s="60" t="n"/>
      <c r="C1014" s="71" t="str">
        <f>IF(B1014="","",IFERROR(INDEX(mat_des,MATCH(B1014,mat_ref,0))&amp;"","Matière inconnue"))</f>
        <v/>
      </c>
      <c r="D1014" s="69" t="str">
        <f>IF(B1014="","",IFERROR(INDEX(mat_unit,MATCH(B1014,mat_ref,0))&amp;"",""))</f>
        <v/>
      </c>
      <c r="E1014" s="72" t="n"/>
      <c r="F1014" s="65" t="n"/>
      <c r="G1014" s="68" t="str">
        <f>IF(J1014&lt;&gt;"OK","",IF(F1014="",N(INDEX(mat_loss,MATCH(B1014,mat_ref,0))),F1014))</f>
        <v/>
      </c>
      <c r="H1014" s="66" t="str">
        <f>IF(J1014&lt;&gt;"OK","",INDEX(mat_price,MATCH(B1014,mat_ref,0)))</f>
        <v/>
      </c>
      <c r="I1014" s="66" t="str">
        <f>IF(J1014&lt;&gt;"OK","",E1014*(1+G1014)*H1014)</f>
        <v/>
      </c>
      <c r="J1014" s="69" t="str">
        <f>IF(AND(A1014="",B1014=""),"",IF(A1014="","Produit manquant",IF(COUNTIF(prod_ref,A1014)=0,"Produit inconnu",IF(B1014="","Matière manquante",IF(ISNA(MATCH(B1014,mat_ref,0)),"Matière inconnue",IF(INDEX(mat_check,MATCH(B1014,mat_ref,0))&lt;&gt;"OK","Matière à corriger",IF(OR(NOT(ISNUMBER(E1014)),N(E1014)&lt;=0),"Quantité invalide",IF(AND(F1014&lt;&gt;"",OR(NOT(ISNUMBER(F1014)),N(F1014)&lt;0,N(F1014)&gt;=1)),"Perte entre 0 et 99 %",IF(COUNTIFS(bom_prod,A1014,bom_mat,B1014)&gt;1,"Matière en double","OK")))))))))</f>
        <v/>
      </c>
      <c r="K1014" s="71" t="str">
        <f>IF(AND(fiche_sel&lt;&gt;"",A1014=fiche_sel),COUNTIF(A$6:A1014,fiche_sel),"")</f>
        <v/>
      </c>
    </row>
    <row r="1015">
      <c r="A1015" s="60" t="n"/>
      <c r="B1015" s="60" t="n"/>
      <c r="C1015" s="71" t="str">
        <f>IF(B1015="","",IFERROR(INDEX(mat_des,MATCH(B1015,mat_ref,0))&amp;"","Matière inconnue"))</f>
        <v/>
      </c>
      <c r="D1015" s="69" t="str">
        <f>IF(B1015="","",IFERROR(INDEX(mat_unit,MATCH(B1015,mat_ref,0))&amp;"",""))</f>
        <v/>
      </c>
      <c r="E1015" s="72" t="n"/>
      <c r="F1015" s="65" t="n"/>
      <c r="G1015" s="68" t="str">
        <f>IF(J1015&lt;&gt;"OK","",IF(F1015="",N(INDEX(mat_loss,MATCH(B1015,mat_ref,0))),F1015))</f>
        <v/>
      </c>
      <c r="H1015" s="66" t="str">
        <f>IF(J1015&lt;&gt;"OK","",INDEX(mat_price,MATCH(B1015,mat_ref,0)))</f>
        <v/>
      </c>
      <c r="I1015" s="66" t="str">
        <f>IF(J1015&lt;&gt;"OK","",E1015*(1+G1015)*H1015)</f>
        <v/>
      </c>
      <c r="J1015" s="69" t="str">
        <f>IF(AND(A1015="",B1015=""),"",IF(A1015="","Produit manquant",IF(COUNTIF(prod_ref,A1015)=0,"Produit inconnu",IF(B1015="","Matière manquante",IF(ISNA(MATCH(B1015,mat_ref,0)),"Matière inconnue",IF(INDEX(mat_check,MATCH(B1015,mat_ref,0))&lt;&gt;"OK","Matière à corriger",IF(OR(NOT(ISNUMBER(E1015)),N(E1015)&lt;=0),"Quantité invalide",IF(AND(F1015&lt;&gt;"",OR(NOT(ISNUMBER(F1015)),N(F1015)&lt;0,N(F1015)&gt;=1)),"Perte entre 0 et 99 %",IF(COUNTIFS(bom_prod,A1015,bom_mat,B1015)&gt;1,"Matière en double","OK")))))))))</f>
        <v/>
      </c>
      <c r="K1015" s="71" t="str">
        <f>IF(AND(fiche_sel&lt;&gt;"",A1015=fiche_sel),COUNTIF(A$6:A1015,fiche_sel),"")</f>
        <v/>
      </c>
    </row>
    <row r="1016">
      <c r="A1016" s="60" t="n"/>
      <c r="B1016" s="60" t="n"/>
      <c r="C1016" s="71" t="str">
        <f>IF(B1016="","",IFERROR(INDEX(mat_des,MATCH(B1016,mat_ref,0))&amp;"","Matière inconnue"))</f>
        <v/>
      </c>
      <c r="D1016" s="69" t="str">
        <f>IF(B1016="","",IFERROR(INDEX(mat_unit,MATCH(B1016,mat_ref,0))&amp;"",""))</f>
        <v/>
      </c>
      <c r="E1016" s="72" t="n"/>
      <c r="F1016" s="65" t="n"/>
      <c r="G1016" s="68" t="str">
        <f>IF(J1016&lt;&gt;"OK","",IF(F1016="",N(INDEX(mat_loss,MATCH(B1016,mat_ref,0))),F1016))</f>
        <v/>
      </c>
      <c r="H1016" s="66" t="str">
        <f>IF(J1016&lt;&gt;"OK","",INDEX(mat_price,MATCH(B1016,mat_ref,0)))</f>
        <v/>
      </c>
      <c r="I1016" s="66" t="str">
        <f>IF(J1016&lt;&gt;"OK","",E1016*(1+G1016)*H1016)</f>
        <v/>
      </c>
      <c r="J1016" s="69" t="str">
        <f>IF(AND(A1016="",B1016=""),"",IF(A1016="","Produit manquant",IF(COUNTIF(prod_ref,A1016)=0,"Produit inconnu",IF(B1016="","Matière manquante",IF(ISNA(MATCH(B1016,mat_ref,0)),"Matière inconnue",IF(INDEX(mat_check,MATCH(B1016,mat_ref,0))&lt;&gt;"OK","Matière à corriger",IF(OR(NOT(ISNUMBER(E1016)),N(E1016)&lt;=0),"Quantité invalide",IF(AND(F1016&lt;&gt;"",OR(NOT(ISNUMBER(F1016)),N(F1016)&lt;0,N(F1016)&gt;=1)),"Perte entre 0 et 99 %",IF(COUNTIFS(bom_prod,A1016,bom_mat,B1016)&gt;1,"Matière en double","OK")))))))))</f>
        <v/>
      </c>
      <c r="K1016" s="71" t="str">
        <f>IF(AND(fiche_sel&lt;&gt;"",A1016=fiche_sel),COUNTIF(A$6:A1016,fiche_sel),"")</f>
        <v/>
      </c>
    </row>
    <row r="1017">
      <c r="A1017" s="60" t="n"/>
      <c r="B1017" s="60" t="n"/>
      <c r="C1017" s="71" t="str">
        <f>IF(B1017="","",IFERROR(INDEX(mat_des,MATCH(B1017,mat_ref,0))&amp;"","Matière inconnue"))</f>
        <v/>
      </c>
      <c r="D1017" s="69" t="str">
        <f>IF(B1017="","",IFERROR(INDEX(mat_unit,MATCH(B1017,mat_ref,0))&amp;"",""))</f>
        <v/>
      </c>
      <c r="E1017" s="72" t="n"/>
      <c r="F1017" s="65" t="n"/>
      <c r="G1017" s="68" t="str">
        <f>IF(J1017&lt;&gt;"OK","",IF(F1017="",N(INDEX(mat_loss,MATCH(B1017,mat_ref,0))),F1017))</f>
        <v/>
      </c>
      <c r="H1017" s="66" t="str">
        <f>IF(J1017&lt;&gt;"OK","",INDEX(mat_price,MATCH(B1017,mat_ref,0)))</f>
        <v/>
      </c>
      <c r="I1017" s="66" t="str">
        <f>IF(J1017&lt;&gt;"OK","",E1017*(1+G1017)*H1017)</f>
        <v/>
      </c>
      <c r="J1017" s="69" t="str">
        <f>IF(AND(A1017="",B1017=""),"",IF(A1017="","Produit manquant",IF(COUNTIF(prod_ref,A1017)=0,"Produit inconnu",IF(B1017="","Matière manquante",IF(ISNA(MATCH(B1017,mat_ref,0)),"Matière inconnue",IF(INDEX(mat_check,MATCH(B1017,mat_ref,0))&lt;&gt;"OK","Matière à corriger",IF(OR(NOT(ISNUMBER(E1017)),N(E1017)&lt;=0),"Quantité invalide",IF(AND(F1017&lt;&gt;"",OR(NOT(ISNUMBER(F1017)),N(F1017)&lt;0,N(F1017)&gt;=1)),"Perte entre 0 et 99 %",IF(COUNTIFS(bom_prod,A1017,bom_mat,B1017)&gt;1,"Matière en double","OK")))))))))</f>
        <v/>
      </c>
      <c r="K1017" s="71" t="str">
        <f>IF(AND(fiche_sel&lt;&gt;"",A1017=fiche_sel),COUNTIF(A$6:A1017,fiche_sel),"")</f>
        <v/>
      </c>
    </row>
    <row r="1018">
      <c r="A1018" s="60" t="n"/>
      <c r="B1018" s="60" t="n"/>
      <c r="C1018" s="71" t="str">
        <f>IF(B1018="","",IFERROR(INDEX(mat_des,MATCH(B1018,mat_ref,0))&amp;"","Matière inconnue"))</f>
        <v/>
      </c>
      <c r="D1018" s="69" t="str">
        <f>IF(B1018="","",IFERROR(INDEX(mat_unit,MATCH(B1018,mat_ref,0))&amp;"",""))</f>
        <v/>
      </c>
      <c r="E1018" s="72" t="n"/>
      <c r="F1018" s="65" t="n"/>
      <c r="G1018" s="68" t="str">
        <f>IF(J1018&lt;&gt;"OK","",IF(F1018="",N(INDEX(mat_loss,MATCH(B1018,mat_ref,0))),F1018))</f>
        <v/>
      </c>
      <c r="H1018" s="66" t="str">
        <f>IF(J1018&lt;&gt;"OK","",INDEX(mat_price,MATCH(B1018,mat_ref,0)))</f>
        <v/>
      </c>
      <c r="I1018" s="66" t="str">
        <f>IF(J1018&lt;&gt;"OK","",E1018*(1+G1018)*H1018)</f>
        <v/>
      </c>
      <c r="J1018" s="69" t="str">
        <f>IF(AND(A1018="",B1018=""),"",IF(A1018="","Produit manquant",IF(COUNTIF(prod_ref,A1018)=0,"Produit inconnu",IF(B1018="","Matière manquante",IF(ISNA(MATCH(B1018,mat_ref,0)),"Matière inconnue",IF(INDEX(mat_check,MATCH(B1018,mat_ref,0))&lt;&gt;"OK","Matière à corriger",IF(OR(NOT(ISNUMBER(E1018)),N(E1018)&lt;=0),"Quantité invalide",IF(AND(F1018&lt;&gt;"",OR(NOT(ISNUMBER(F1018)),N(F1018)&lt;0,N(F1018)&gt;=1)),"Perte entre 0 et 99 %",IF(COUNTIFS(bom_prod,A1018,bom_mat,B1018)&gt;1,"Matière en double","OK")))))))))</f>
        <v/>
      </c>
      <c r="K1018" s="71" t="str">
        <f>IF(AND(fiche_sel&lt;&gt;"",A1018=fiche_sel),COUNTIF(A$6:A1018,fiche_sel),"")</f>
        <v/>
      </c>
    </row>
    <row r="1019">
      <c r="A1019" s="60" t="n"/>
      <c r="B1019" s="60" t="n"/>
      <c r="C1019" s="71" t="str">
        <f>IF(B1019="","",IFERROR(INDEX(mat_des,MATCH(B1019,mat_ref,0))&amp;"","Matière inconnue"))</f>
        <v/>
      </c>
      <c r="D1019" s="69" t="str">
        <f>IF(B1019="","",IFERROR(INDEX(mat_unit,MATCH(B1019,mat_ref,0))&amp;"",""))</f>
        <v/>
      </c>
      <c r="E1019" s="72" t="n"/>
      <c r="F1019" s="65" t="n"/>
      <c r="G1019" s="68" t="str">
        <f>IF(J1019&lt;&gt;"OK","",IF(F1019="",N(INDEX(mat_loss,MATCH(B1019,mat_ref,0))),F1019))</f>
        <v/>
      </c>
      <c r="H1019" s="66" t="str">
        <f>IF(J1019&lt;&gt;"OK","",INDEX(mat_price,MATCH(B1019,mat_ref,0)))</f>
        <v/>
      </c>
      <c r="I1019" s="66" t="str">
        <f>IF(J1019&lt;&gt;"OK","",E1019*(1+G1019)*H1019)</f>
        <v/>
      </c>
      <c r="J1019" s="69" t="str">
        <f>IF(AND(A1019="",B1019=""),"",IF(A1019="","Produit manquant",IF(COUNTIF(prod_ref,A1019)=0,"Produit inconnu",IF(B1019="","Matière manquante",IF(ISNA(MATCH(B1019,mat_ref,0)),"Matière inconnue",IF(INDEX(mat_check,MATCH(B1019,mat_ref,0))&lt;&gt;"OK","Matière à corriger",IF(OR(NOT(ISNUMBER(E1019)),N(E1019)&lt;=0),"Quantité invalide",IF(AND(F1019&lt;&gt;"",OR(NOT(ISNUMBER(F1019)),N(F1019)&lt;0,N(F1019)&gt;=1)),"Perte entre 0 et 99 %",IF(COUNTIFS(bom_prod,A1019,bom_mat,B1019)&gt;1,"Matière en double","OK")))))))))</f>
        <v/>
      </c>
      <c r="K1019" s="71" t="str">
        <f>IF(AND(fiche_sel&lt;&gt;"",A1019=fiche_sel),COUNTIF(A$6:A1019,fiche_sel),"")</f>
        <v/>
      </c>
    </row>
    <row r="1020">
      <c r="A1020" s="60" t="n"/>
      <c r="B1020" s="60" t="n"/>
      <c r="C1020" s="71" t="str">
        <f>IF(B1020="","",IFERROR(INDEX(mat_des,MATCH(B1020,mat_ref,0))&amp;"","Matière inconnue"))</f>
        <v/>
      </c>
      <c r="D1020" s="69" t="str">
        <f>IF(B1020="","",IFERROR(INDEX(mat_unit,MATCH(B1020,mat_ref,0))&amp;"",""))</f>
        <v/>
      </c>
      <c r="E1020" s="72" t="n"/>
      <c r="F1020" s="65" t="n"/>
      <c r="G1020" s="68" t="str">
        <f>IF(J1020&lt;&gt;"OK","",IF(F1020="",N(INDEX(mat_loss,MATCH(B1020,mat_ref,0))),F1020))</f>
        <v/>
      </c>
      <c r="H1020" s="66" t="str">
        <f>IF(J1020&lt;&gt;"OK","",INDEX(mat_price,MATCH(B1020,mat_ref,0)))</f>
        <v/>
      </c>
      <c r="I1020" s="66" t="str">
        <f>IF(J1020&lt;&gt;"OK","",E1020*(1+G1020)*H1020)</f>
        <v/>
      </c>
      <c r="J1020" s="69" t="str">
        <f>IF(AND(A1020="",B1020=""),"",IF(A1020="","Produit manquant",IF(COUNTIF(prod_ref,A1020)=0,"Produit inconnu",IF(B1020="","Matière manquante",IF(ISNA(MATCH(B1020,mat_ref,0)),"Matière inconnue",IF(INDEX(mat_check,MATCH(B1020,mat_ref,0))&lt;&gt;"OK","Matière à corriger",IF(OR(NOT(ISNUMBER(E1020)),N(E1020)&lt;=0),"Quantité invalide",IF(AND(F1020&lt;&gt;"",OR(NOT(ISNUMBER(F1020)),N(F1020)&lt;0,N(F1020)&gt;=1)),"Perte entre 0 et 99 %",IF(COUNTIFS(bom_prod,A1020,bom_mat,B1020)&gt;1,"Matière en double","OK")))))))))</f>
        <v/>
      </c>
      <c r="K1020" s="71" t="str">
        <f>IF(AND(fiche_sel&lt;&gt;"",A1020=fiche_sel),COUNTIF(A$6:A1020,fiche_sel),"")</f>
        <v/>
      </c>
    </row>
    <row r="1021">
      <c r="A1021" s="60" t="n"/>
      <c r="B1021" s="60" t="n"/>
      <c r="C1021" s="71" t="str">
        <f>IF(B1021="","",IFERROR(INDEX(mat_des,MATCH(B1021,mat_ref,0))&amp;"","Matière inconnue"))</f>
        <v/>
      </c>
      <c r="D1021" s="69" t="str">
        <f>IF(B1021="","",IFERROR(INDEX(mat_unit,MATCH(B1021,mat_ref,0))&amp;"",""))</f>
        <v/>
      </c>
      <c r="E1021" s="72" t="n"/>
      <c r="F1021" s="65" t="n"/>
      <c r="G1021" s="68" t="str">
        <f>IF(J1021&lt;&gt;"OK","",IF(F1021="",N(INDEX(mat_loss,MATCH(B1021,mat_ref,0))),F1021))</f>
        <v/>
      </c>
      <c r="H1021" s="66" t="str">
        <f>IF(J1021&lt;&gt;"OK","",INDEX(mat_price,MATCH(B1021,mat_ref,0)))</f>
        <v/>
      </c>
      <c r="I1021" s="66" t="str">
        <f>IF(J1021&lt;&gt;"OK","",E1021*(1+G1021)*H1021)</f>
        <v/>
      </c>
      <c r="J1021" s="69" t="str">
        <f>IF(AND(A1021="",B1021=""),"",IF(A1021="","Produit manquant",IF(COUNTIF(prod_ref,A1021)=0,"Produit inconnu",IF(B1021="","Matière manquante",IF(ISNA(MATCH(B1021,mat_ref,0)),"Matière inconnue",IF(INDEX(mat_check,MATCH(B1021,mat_ref,0))&lt;&gt;"OK","Matière à corriger",IF(OR(NOT(ISNUMBER(E1021)),N(E1021)&lt;=0),"Quantité invalide",IF(AND(F1021&lt;&gt;"",OR(NOT(ISNUMBER(F1021)),N(F1021)&lt;0,N(F1021)&gt;=1)),"Perte entre 0 et 99 %",IF(COUNTIFS(bom_prod,A1021,bom_mat,B1021)&gt;1,"Matière en double","OK")))))))))</f>
        <v/>
      </c>
      <c r="K1021" s="71" t="str">
        <f>IF(AND(fiche_sel&lt;&gt;"",A1021=fiche_sel),COUNTIF(A$6:A1021,fiche_sel),"")</f>
        <v/>
      </c>
    </row>
    <row r="1022">
      <c r="A1022" s="60" t="n"/>
      <c r="B1022" s="60" t="n"/>
      <c r="C1022" s="71" t="str">
        <f>IF(B1022="","",IFERROR(INDEX(mat_des,MATCH(B1022,mat_ref,0))&amp;"","Matière inconnue"))</f>
        <v/>
      </c>
      <c r="D1022" s="69" t="str">
        <f>IF(B1022="","",IFERROR(INDEX(mat_unit,MATCH(B1022,mat_ref,0))&amp;"",""))</f>
        <v/>
      </c>
      <c r="E1022" s="72" t="n"/>
      <c r="F1022" s="65" t="n"/>
      <c r="G1022" s="68" t="str">
        <f>IF(J1022&lt;&gt;"OK","",IF(F1022="",N(INDEX(mat_loss,MATCH(B1022,mat_ref,0))),F1022))</f>
        <v/>
      </c>
      <c r="H1022" s="66" t="str">
        <f>IF(J1022&lt;&gt;"OK","",INDEX(mat_price,MATCH(B1022,mat_ref,0)))</f>
        <v/>
      </c>
      <c r="I1022" s="66" t="str">
        <f>IF(J1022&lt;&gt;"OK","",E1022*(1+G1022)*H1022)</f>
        <v/>
      </c>
      <c r="J1022" s="69" t="str">
        <f>IF(AND(A1022="",B1022=""),"",IF(A1022="","Produit manquant",IF(COUNTIF(prod_ref,A1022)=0,"Produit inconnu",IF(B1022="","Matière manquante",IF(ISNA(MATCH(B1022,mat_ref,0)),"Matière inconnue",IF(INDEX(mat_check,MATCH(B1022,mat_ref,0))&lt;&gt;"OK","Matière à corriger",IF(OR(NOT(ISNUMBER(E1022)),N(E1022)&lt;=0),"Quantité invalide",IF(AND(F1022&lt;&gt;"",OR(NOT(ISNUMBER(F1022)),N(F1022)&lt;0,N(F1022)&gt;=1)),"Perte entre 0 et 99 %",IF(COUNTIFS(bom_prod,A1022,bom_mat,B1022)&gt;1,"Matière en double","OK")))))))))</f>
        <v/>
      </c>
      <c r="K1022" s="71" t="str">
        <f>IF(AND(fiche_sel&lt;&gt;"",A1022=fiche_sel),COUNTIF(A$6:A1022,fiche_sel),"")</f>
        <v/>
      </c>
    </row>
    <row r="1023">
      <c r="A1023" s="60" t="n"/>
      <c r="B1023" s="60" t="n"/>
      <c r="C1023" s="71" t="str">
        <f>IF(B1023="","",IFERROR(INDEX(mat_des,MATCH(B1023,mat_ref,0))&amp;"","Matière inconnue"))</f>
        <v/>
      </c>
      <c r="D1023" s="69" t="str">
        <f>IF(B1023="","",IFERROR(INDEX(mat_unit,MATCH(B1023,mat_ref,0))&amp;"",""))</f>
        <v/>
      </c>
      <c r="E1023" s="72" t="n"/>
      <c r="F1023" s="65" t="n"/>
      <c r="G1023" s="68" t="str">
        <f>IF(J1023&lt;&gt;"OK","",IF(F1023="",N(INDEX(mat_loss,MATCH(B1023,mat_ref,0))),F1023))</f>
        <v/>
      </c>
      <c r="H1023" s="66" t="str">
        <f>IF(J1023&lt;&gt;"OK","",INDEX(mat_price,MATCH(B1023,mat_ref,0)))</f>
        <v/>
      </c>
      <c r="I1023" s="66" t="str">
        <f>IF(J1023&lt;&gt;"OK","",E1023*(1+G1023)*H1023)</f>
        <v/>
      </c>
      <c r="J1023" s="69" t="str">
        <f>IF(AND(A1023="",B1023=""),"",IF(A1023="","Produit manquant",IF(COUNTIF(prod_ref,A1023)=0,"Produit inconnu",IF(B1023="","Matière manquante",IF(ISNA(MATCH(B1023,mat_ref,0)),"Matière inconnue",IF(INDEX(mat_check,MATCH(B1023,mat_ref,0))&lt;&gt;"OK","Matière à corriger",IF(OR(NOT(ISNUMBER(E1023)),N(E1023)&lt;=0),"Quantité invalide",IF(AND(F1023&lt;&gt;"",OR(NOT(ISNUMBER(F1023)),N(F1023)&lt;0,N(F1023)&gt;=1)),"Perte entre 0 et 99 %",IF(COUNTIFS(bom_prod,A1023,bom_mat,B1023)&gt;1,"Matière en double","OK")))))))))</f>
        <v/>
      </c>
      <c r="K1023" s="71" t="str">
        <f>IF(AND(fiche_sel&lt;&gt;"",A1023=fiche_sel),COUNTIF(A$6:A1023,fiche_sel),"")</f>
        <v/>
      </c>
    </row>
    <row r="1024">
      <c r="A1024" s="60" t="n"/>
      <c r="B1024" s="60" t="n"/>
      <c r="C1024" s="71" t="str">
        <f>IF(B1024="","",IFERROR(INDEX(mat_des,MATCH(B1024,mat_ref,0))&amp;"","Matière inconnue"))</f>
        <v/>
      </c>
      <c r="D1024" s="69" t="str">
        <f>IF(B1024="","",IFERROR(INDEX(mat_unit,MATCH(B1024,mat_ref,0))&amp;"",""))</f>
        <v/>
      </c>
      <c r="E1024" s="72" t="n"/>
      <c r="F1024" s="65" t="n"/>
      <c r="G1024" s="68" t="str">
        <f>IF(J1024&lt;&gt;"OK","",IF(F1024="",N(INDEX(mat_loss,MATCH(B1024,mat_ref,0))),F1024))</f>
        <v/>
      </c>
      <c r="H1024" s="66" t="str">
        <f>IF(J1024&lt;&gt;"OK","",INDEX(mat_price,MATCH(B1024,mat_ref,0)))</f>
        <v/>
      </c>
      <c r="I1024" s="66" t="str">
        <f>IF(J1024&lt;&gt;"OK","",E1024*(1+G1024)*H1024)</f>
        <v/>
      </c>
      <c r="J1024" s="69" t="str">
        <f>IF(AND(A1024="",B1024=""),"",IF(A1024="","Produit manquant",IF(COUNTIF(prod_ref,A1024)=0,"Produit inconnu",IF(B1024="","Matière manquante",IF(ISNA(MATCH(B1024,mat_ref,0)),"Matière inconnue",IF(INDEX(mat_check,MATCH(B1024,mat_ref,0))&lt;&gt;"OK","Matière à corriger",IF(OR(NOT(ISNUMBER(E1024)),N(E1024)&lt;=0),"Quantité invalide",IF(AND(F1024&lt;&gt;"",OR(NOT(ISNUMBER(F1024)),N(F1024)&lt;0,N(F1024)&gt;=1)),"Perte entre 0 et 99 %",IF(COUNTIFS(bom_prod,A1024,bom_mat,B1024)&gt;1,"Matière en double","OK")))))))))</f>
        <v/>
      </c>
      <c r="K1024" s="71" t="str">
        <f>IF(AND(fiche_sel&lt;&gt;"",A1024=fiche_sel),COUNTIF(A$6:A1024,fiche_sel),"")</f>
        <v/>
      </c>
    </row>
    <row r="1025">
      <c r="A1025" s="60" t="n"/>
      <c r="B1025" s="60" t="n"/>
      <c r="C1025" s="71" t="str">
        <f>IF(B1025="","",IFERROR(INDEX(mat_des,MATCH(B1025,mat_ref,0))&amp;"","Matière inconnue"))</f>
        <v/>
      </c>
      <c r="D1025" s="69" t="str">
        <f>IF(B1025="","",IFERROR(INDEX(mat_unit,MATCH(B1025,mat_ref,0))&amp;"",""))</f>
        <v/>
      </c>
      <c r="E1025" s="72" t="n"/>
      <c r="F1025" s="65" t="n"/>
      <c r="G1025" s="68" t="str">
        <f>IF(J1025&lt;&gt;"OK","",IF(F1025="",N(INDEX(mat_loss,MATCH(B1025,mat_ref,0))),F1025))</f>
        <v/>
      </c>
      <c r="H1025" s="66" t="str">
        <f>IF(J1025&lt;&gt;"OK","",INDEX(mat_price,MATCH(B1025,mat_ref,0)))</f>
        <v/>
      </c>
      <c r="I1025" s="66" t="str">
        <f>IF(J1025&lt;&gt;"OK","",E1025*(1+G1025)*H1025)</f>
        <v/>
      </c>
      <c r="J1025" s="69" t="str">
        <f>IF(AND(A1025="",B1025=""),"",IF(A1025="","Produit manquant",IF(COUNTIF(prod_ref,A1025)=0,"Produit inconnu",IF(B1025="","Matière manquante",IF(ISNA(MATCH(B1025,mat_ref,0)),"Matière inconnue",IF(INDEX(mat_check,MATCH(B1025,mat_ref,0))&lt;&gt;"OK","Matière à corriger",IF(OR(NOT(ISNUMBER(E1025)),N(E1025)&lt;=0),"Quantité invalide",IF(AND(F1025&lt;&gt;"",OR(NOT(ISNUMBER(F1025)),N(F1025)&lt;0,N(F1025)&gt;=1)),"Perte entre 0 et 99 %",IF(COUNTIFS(bom_prod,A1025,bom_mat,B1025)&gt;1,"Matière en double","OK")))))))))</f>
        <v/>
      </c>
      <c r="K1025" s="71" t="str">
        <f>IF(AND(fiche_sel&lt;&gt;"",A1025=fiche_sel),COUNTIF(A$6:A1025,fiche_sel),"")</f>
        <v/>
      </c>
    </row>
    <row r="1026">
      <c r="A1026" s="60" t="n"/>
      <c r="B1026" s="60" t="n"/>
      <c r="C1026" s="71" t="str">
        <f>IF(B1026="","",IFERROR(INDEX(mat_des,MATCH(B1026,mat_ref,0))&amp;"","Matière inconnue"))</f>
        <v/>
      </c>
      <c r="D1026" s="69" t="str">
        <f>IF(B1026="","",IFERROR(INDEX(mat_unit,MATCH(B1026,mat_ref,0))&amp;"",""))</f>
        <v/>
      </c>
      <c r="E1026" s="72" t="n"/>
      <c r="F1026" s="65" t="n"/>
      <c r="G1026" s="68" t="str">
        <f>IF(J1026&lt;&gt;"OK","",IF(F1026="",N(INDEX(mat_loss,MATCH(B1026,mat_ref,0))),F1026))</f>
        <v/>
      </c>
      <c r="H1026" s="66" t="str">
        <f>IF(J1026&lt;&gt;"OK","",INDEX(mat_price,MATCH(B1026,mat_ref,0)))</f>
        <v/>
      </c>
      <c r="I1026" s="66" t="str">
        <f>IF(J1026&lt;&gt;"OK","",E1026*(1+G1026)*H1026)</f>
        <v/>
      </c>
      <c r="J1026" s="69" t="str">
        <f>IF(AND(A1026="",B1026=""),"",IF(A1026="","Produit manquant",IF(COUNTIF(prod_ref,A1026)=0,"Produit inconnu",IF(B1026="","Matière manquante",IF(ISNA(MATCH(B1026,mat_ref,0)),"Matière inconnue",IF(INDEX(mat_check,MATCH(B1026,mat_ref,0))&lt;&gt;"OK","Matière à corriger",IF(OR(NOT(ISNUMBER(E1026)),N(E1026)&lt;=0),"Quantité invalide",IF(AND(F1026&lt;&gt;"",OR(NOT(ISNUMBER(F1026)),N(F1026)&lt;0,N(F1026)&gt;=1)),"Perte entre 0 et 99 %",IF(COUNTIFS(bom_prod,A1026,bom_mat,B1026)&gt;1,"Matière en double","OK")))))))))</f>
        <v/>
      </c>
      <c r="K1026" s="71" t="str">
        <f>IF(AND(fiche_sel&lt;&gt;"",A1026=fiche_sel),COUNTIF(A$6:A1026,fiche_sel),"")</f>
        <v/>
      </c>
    </row>
    <row r="1027">
      <c r="A1027" s="60" t="n"/>
      <c r="B1027" s="60" t="n"/>
      <c r="C1027" s="71" t="str">
        <f>IF(B1027="","",IFERROR(INDEX(mat_des,MATCH(B1027,mat_ref,0))&amp;"","Matière inconnue"))</f>
        <v/>
      </c>
      <c r="D1027" s="69" t="str">
        <f>IF(B1027="","",IFERROR(INDEX(mat_unit,MATCH(B1027,mat_ref,0))&amp;"",""))</f>
        <v/>
      </c>
      <c r="E1027" s="72" t="n"/>
      <c r="F1027" s="65" t="n"/>
      <c r="G1027" s="68" t="str">
        <f>IF(J1027&lt;&gt;"OK","",IF(F1027="",N(INDEX(mat_loss,MATCH(B1027,mat_ref,0))),F1027))</f>
        <v/>
      </c>
      <c r="H1027" s="66" t="str">
        <f>IF(J1027&lt;&gt;"OK","",INDEX(mat_price,MATCH(B1027,mat_ref,0)))</f>
        <v/>
      </c>
      <c r="I1027" s="66" t="str">
        <f>IF(J1027&lt;&gt;"OK","",E1027*(1+G1027)*H1027)</f>
        <v/>
      </c>
      <c r="J1027" s="69" t="str">
        <f>IF(AND(A1027="",B1027=""),"",IF(A1027="","Produit manquant",IF(COUNTIF(prod_ref,A1027)=0,"Produit inconnu",IF(B1027="","Matière manquante",IF(ISNA(MATCH(B1027,mat_ref,0)),"Matière inconnue",IF(INDEX(mat_check,MATCH(B1027,mat_ref,0))&lt;&gt;"OK","Matière à corriger",IF(OR(NOT(ISNUMBER(E1027)),N(E1027)&lt;=0),"Quantité invalide",IF(AND(F1027&lt;&gt;"",OR(NOT(ISNUMBER(F1027)),N(F1027)&lt;0,N(F1027)&gt;=1)),"Perte entre 0 et 99 %",IF(COUNTIFS(bom_prod,A1027,bom_mat,B1027)&gt;1,"Matière en double","OK")))))))))</f>
        <v/>
      </c>
      <c r="K1027" s="71" t="str">
        <f>IF(AND(fiche_sel&lt;&gt;"",A1027=fiche_sel),COUNTIF(A$6:A1027,fiche_sel),"")</f>
        <v/>
      </c>
    </row>
    <row r="1028">
      <c r="A1028" s="60" t="n"/>
      <c r="B1028" s="60" t="n"/>
      <c r="C1028" s="71" t="str">
        <f>IF(B1028="","",IFERROR(INDEX(mat_des,MATCH(B1028,mat_ref,0))&amp;"","Matière inconnue"))</f>
        <v/>
      </c>
      <c r="D1028" s="69" t="str">
        <f>IF(B1028="","",IFERROR(INDEX(mat_unit,MATCH(B1028,mat_ref,0))&amp;"",""))</f>
        <v/>
      </c>
      <c r="E1028" s="72" t="n"/>
      <c r="F1028" s="65" t="n"/>
      <c r="G1028" s="68" t="str">
        <f>IF(J1028&lt;&gt;"OK","",IF(F1028="",N(INDEX(mat_loss,MATCH(B1028,mat_ref,0))),F1028))</f>
        <v/>
      </c>
      <c r="H1028" s="66" t="str">
        <f>IF(J1028&lt;&gt;"OK","",INDEX(mat_price,MATCH(B1028,mat_ref,0)))</f>
        <v/>
      </c>
      <c r="I1028" s="66" t="str">
        <f>IF(J1028&lt;&gt;"OK","",E1028*(1+G1028)*H1028)</f>
        <v/>
      </c>
      <c r="J1028" s="69" t="str">
        <f>IF(AND(A1028="",B1028=""),"",IF(A1028="","Produit manquant",IF(COUNTIF(prod_ref,A1028)=0,"Produit inconnu",IF(B1028="","Matière manquante",IF(ISNA(MATCH(B1028,mat_ref,0)),"Matière inconnue",IF(INDEX(mat_check,MATCH(B1028,mat_ref,0))&lt;&gt;"OK","Matière à corriger",IF(OR(NOT(ISNUMBER(E1028)),N(E1028)&lt;=0),"Quantité invalide",IF(AND(F1028&lt;&gt;"",OR(NOT(ISNUMBER(F1028)),N(F1028)&lt;0,N(F1028)&gt;=1)),"Perte entre 0 et 99 %",IF(COUNTIFS(bom_prod,A1028,bom_mat,B1028)&gt;1,"Matière en double","OK")))))))))</f>
        <v/>
      </c>
      <c r="K1028" s="71" t="str">
        <f>IF(AND(fiche_sel&lt;&gt;"",A1028=fiche_sel),COUNTIF(A$6:A1028,fiche_sel),"")</f>
        <v/>
      </c>
    </row>
    <row r="1029">
      <c r="A1029" s="60" t="n"/>
      <c r="B1029" s="60" t="n"/>
      <c r="C1029" s="71" t="str">
        <f>IF(B1029="","",IFERROR(INDEX(mat_des,MATCH(B1029,mat_ref,0))&amp;"","Matière inconnue"))</f>
        <v/>
      </c>
      <c r="D1029" s="69" t="str">
        <f>IF(B1029="","",IFERROR(INDEX(mat_unit,MATCH(B1029,mat_ref,0))&amp;"",""))</f>
        <v/>
      </c>
      <c r="E1029" s="72" t="n"/>
      <c r="F1029" s="65" t="n"/>
      <c r="G1029" s="68" t="str">
        <f>IF(J1029&lt;&gt;"OK","",IF(F1029="",N(INDEX(mat_loss,MATCH(B1029,mat_ref,0))),F1029))</f>
        <v/>
      </c>
      <c r="H1029" s="66" t="str">
        <f>IF(J1029&lt;&gt;"OK","",INDEX(mat_price,MATCH(B1029,mat_ref,0)))</f>
        <v/>
      </c>
      <c r="I1029" s="66" t="str">
        <f>IF(J1029&lt;&gt;"OK","",E1029*(1+G1029)*H1029)</f>
        <v/>
      </c>
      <c r="J1029" s="69" t="str">
        <f>IF(AND(A1029="",B1029=""),"",IF(A1029="","Produit manquant",IF(COUNTIF(prod_ref,A1029)=0,"Produit inconnu",IF(B1029="","Matière manquante",IF(ISNA(MATCH(B1029,mat_ref,0)),"Matière inconnue",IF(INDEX(mat_check,MATCH(B1029,mat_ref,0))&lt;&gt;"OK","Matière à corriger",IF(OR(NOT(ISNUMBER(E1029)),N(E1029)&lt;=0),"Quantité invalide",IF(AND(F1029&lt;&gt;"",OR(NOT(ISNUMBER(F1029)),N(F1029)&lt;0,N(F1029)&gt;=1)),"Perte entre 0 et 99 %",IF(COUNTIFS(bom_prod,A1029,bom_mat,B1029)&gt;1,"Matière en double","OK")))))))))</f>
        <v/>
      </c>
      <c r="K1029" s="71" t="str">
        <f>IF(AND(fiche_sel&lt;&gt;"",A1029=fiche_sel),COUNTIF(A$6:A1029,fiche_sel),"")</f>
        <v/>
      </c>
    </row>
    <row r="1030">
      <c r="A1030" s="60" t="n"/>
      <c r="B1030" s="60" t="n"/>
      <c r="C1030" s="71" t="str">
        <f>IF(B1030="","",IFERROR(INDEX(mat_des,MATCH(B1030,mat_ref,0))&amp;"","Matière inconnue"))</f>
        <v/>
      </c>
      <c r="D1030" s="69" t="str">
        <f>IF(B1030="","",IFERROR(INDEX(mat_unit,MATCH(B1030,mat_ref,0))&amp;"",""))</f>
        <v/>
      </c>
      <c r="E1030" s="72" t="n"/>
      <c r="F1030" s="65" t="n"/>
      <c r="G1030" s="68" t="str">
        <f>IF(J1030&lt;&gt;"OK","",IF(F1030="",N(INDEX(mat_loss,MATCH(B1030,mat_ref,0))),F1030))</f>
        <v/>
      </c>
      <c r="H1030" s="66" t="str">
        <f>IF(J1030&lt;&gt;"OK","",INDEX(mat_price,MATCH(B1030,mat_ref,0)))</f>
        <v/>
      </c>
      <c r="I1030" s="66" t="str">
        <f>IF(J1030&lt;&gt;"OK","",E1030*(1+G1030)*H1030)</f>
        <v/>
      </c>
      <c r="J1030" s="69" t="str">
        <f>IF(AND(A1030="",B1030=""),"",IF(A1030="","Produit manquant",IF(COUNTIF(prod_ref,A1030)=0,"Produit inconnu",IF(B1030="","Matière manquante",IF(ISNA(MATCH(B1030,mat_ref,0)),"Matière inconnue",IF(INDEX(mat_check,MATCH(B1030,mat_ref,0))&lt;&gt;"OK","Matière à corriger",IF(OR(NOT(ISNUMBER(E1030)),N(E1030)&lt;=0),"Quantité invalide",IF(AND(F1030&lt;&gt;"",OR(NOT(ISNUMBER(F1030)),N(F1030)&lt;0,N(F1030)&gt;=1)),"Perte entre 0 et 99 %",IF(COUNTIFS(bom_prod,A1030,bom_mat,B1030)&gt;1,"Matière en double","OK")))))))))</f>
        <v/>
      </c>
      <c r="K1030" s="71" t="str">
        <f>IF(AND(fiche_sel&lt;&gt;"",A1030=fiche_sel),COUNTIF(A$6:A1030,fiche_sel),"")</f>
        <v/>
      </c>
    </row>
    <row r="1031">
      <c r="A1031" s="60" t="n"/>
      <c r="B1031" s="60" t="n"/>
      <c r="C1031" s="71" t="str">
        <f>IF(B1031="","",IFERROR(INDEX(mat_des,MATCH(B1031,mat_ref,0))&amp;"","Matière inconnue"))</f>
        <v/>
      </c>
      <c r="D1031" s="69" t="str">
        <f>IF(B1031="","",IFERROR(INDEX(mat_unit,MATCH(B1031,mat_ref,0))&amp;"",""))</f>
        <v/>
      </c>
      <c r="E1031" s="72" t="n"/>
      <c r="F1031" s="65" t="n"/>
      <c r="G1031" s="68" t="str">
        <f>IF(J1031&lt;&gt;"OK","",IF(F1031="",N(INDEX(mat_loss,MATCH(B1031,mat_ref,0))),F1031))</f>
        <v/>
      </c>
      <c r="H1031" s="66" t="str">
        <f>IF(J1031&lt;&gt;"OK","",INDEX(mat_price,MATCH(B1031,mat_ref,0)))</f>
        <v/>
      </c>
      <c r="I1031" s="66" t="str">
        <f>IF(J1031&lt;&gt;"OK","",E1031*(1+G1031)*H1031)</f>
        <v/>
      </c>
      <c r="J1031" s="69" t="str">
        <f>IF(AND(A1031="",B1031=""),"",IF(A1031="","Produit manquant",IF(COUNTIF(prod_ref,A1031)=0,"Produit inconnu",IF(B1031="","Matière manquante",IF(ISNA(MATCH(B1031,mat_ref,0)),"Matière inconnue",IF(INDEX(mat_check,MATCH(B1031,mat_ref,0))&lt;&gt;"OK","Matière à corriger",IF(OR(NOT(ISNUMBER(E1031)),N(E1031)&lt;=0),"Quantité invalide",IF(AND(F1031&lt;&gt;"",OR(NOT(ISNUMBER(F1031)),N(F1031)&lt;0,N(F1031)&gt;=1)),"Perte entre 0 et 99 %",IF(COUNTIFS(bom_prod,A1031,bom_mat,B1031)&gt;1,"Matière en double","OK")))))))))</f>
        <v/>
      </c>
      <c r="K1031" s="71" t="str">
        <f>IF(AND(fiche_sel&lt;&gt;"",A1031=fiche_sel),COUNTIF(A$6:A1031,fiche_sel),"")</f>
        <v/>
      </c>
    </row>
    <row r="1032">
      <c r="A1032" s="60" t="n"/>
      <c r="B1032" s="60" t="n"/>
      <c r="C1032" s="71" t="str">
        <f>IF(B1032="","",IFERROR(INDEX(mat_des,MATCH(B1032,mat_ref,0))&amp;"","Matière inconnue"))</f>
        <v/>
      </c>
      <c r="D1032" s="69" t="str">
        <f>IF(B1032="","",IFERROR(INDEX(mat_unit,MATCH(B1032,mat_ref,0))&amp;"",""))</f>
        <v/>
      </c>
      <c r="E1032" s="72" t="n"/>
      <c r="F1032" s="65" t="n"/>
      <c r="G1032" s="68" t="str">
        <f>IF(J1032&lt;&gt;"OK","",IF(F1032="",N(INDEX(mat_loss,MATCH(B1032,mat_ref,0))),F1032))</f>
        <v/>
      </c>
      <c r="H1032" s="66" t="str">
        <f>IF(J1032&lt;&gt;"OK","",INDEX(mat_price,MATCH(B1032,mat_ref,0)))</f>
        <v/>
      </c>
      <c r="I1032" s="66" t="str">
        <f>IF(J1032&lt;&gt;"OK","",E1032*(1+G1032)*H1032)</f>
        <v/>
      </c>
      <c r="J1032" s="69" t="str">
        <f>IF(AND(A1032="",B1032=""),"",IF(A1032="","Produit manquant",IF(COUNTIF(prod_ref,A1032)=0,"Produit inconnu",IF(B1032="","Matière manquante",IF(ISNA(MATCH(B1032,mat_ref,0)),"Matière inconnue",IF(INDEX(mat_check,MATCH(B1032,mat_ref,0))&lt;&gt;"OK","Matière à corriger",IF(OR(NOT(ISNUMBER(E1032)),N(E1032)&lt;=0),"Quantité invalide",IF(AND(F1032&lt;&gt;"",OR(NOT(ISNUMBER(F1032)),N(F1032)&lt;0,N(F1032)&gt;=1)),"Perte entre 0 et 99 %",IF(COUNTIFS(bom_prod,A1032,bom_mat,B1032)&gt;1,"Matière en double","OK")))))))))</f>
        <v/>
      </c>
      <c r="K1032" s="71" t="str">
        <f>IF(AND(fiche_sel&lt;&gt;"",A1032=fiche_sel),COUNTIF(A$6:A1032,fiche_sel),"")</f>
        <v/>
      </c>
    </row>
    <row r="1033">
      <c r="A1033" s="60" t="n"/>
      <c r="B1033" s="60" t="n"/>
      <c r="C1033" s="71" t="str">
        <f>IF(B1033="","",IFERROR(INDEX(mat_des,MATCH(B1033,mat_ref,0))&amp;"","Matière inconnue"))</f>
        <v/>
      </c>
      <c r="D1033" s="69" t="str">
        <f>IF(B1033="","",IFERROR(INDEX(mat_unit,MATCH(B1033,mat_ref,0))&amp;"",""))</f>
        <v/>
      </c>
      <c r="E1033" s="72" t="n"/>
      <c r="F1033" s="65" t="n"/>
      <c r="G1033" s="68" t="str">
        <f>IF(J1033&lt;&gt;"OK","",IF(F1033="",N(INDEX(mat_loss,MATCH(B1033,mat_ref,0))),F1033))</f>
        <v/>
      </c>
      <c r="H1033" s="66" t="str">
        <f>IF(J1033&lt;&gt;"OK","",INDEX(mat_price,MATCH(B1033,mat_ref,0)))</f>
        <v/>
      </c>
      <c r="I1033" s="66" t="str">
        <f>IF(J1033&lt;&gt;"OK","",E1033*(1+G1033)*H1033)</f>
        <v/>
      </c>
      <c r="J1033" s="69" t="str">
        <f>IF(AND(A1033="",B1033=""),"",IF(A1033="","Produit manquant",IF(COUNTIF(prod_ref,A1033)=0,"Produit inconnu",IF(B1033="","Matière manquante",IF(ISNA(MATCH(B1033,mat_ref,0)),"Matière inconnue",IF(INDEX(mat_check,MATCH(B1033,mat_ref,0))&lt;&gt;"OK","Matière à corriger",IF(OR(NOT(ISNUMBER(E1033)),N(E1033)&lt;=0),"Quantité invalide",IF(AND(F1033&lt;&gt;"",OR(NOT(ISNUMBER(F1033)),N(F1033)&lt;0,N(F1033)&gt;=1)),"Perte entre 0 et 99 %",IF(COUNTIFS(bom_prod,A1033,bom_mat,B1033)&gt;1,"Matière en double","OK")))))))))</f>
        <v/>
      </c>
      <c r="K1033" s="71" t="str">
        <f>IF(AND(fiche_sel&lt;&gt;"",A1033=fiche_sel),COUNTIF(A$6:A1033,fiche_sel),"")</f>
        <v/>
      </c>
    </row>
    <row r="1034">
      <c r="A1034" s="60" t="n"/>
      <c r="B1034" s="60" t="n"/>
      <c r="C1034" s="71" t="str">
        <f>IF(B1034="","",IFERROR(INDEX(mat_des,MATCH(B1034,mat_ref,0))&amp;"","Matière inconnue"))</f>
        <v/>
      </c>
      <c r="D1034" s="69" t="str">
        <f>IF(B1034="","",IFERROR(INDEX(mat_unit,MATCH(B1034,mat_ref,0))&amp;"",""))</f>
        <v/>
      </c>
      <c r="E1034" s="72" t="n"/>
      <c r="F1034" s="65" t="n"/>
      <c r="G1034" s="68" t="str">
        <f>IF(J1034&lt;&gt;"OK","",IF(F1034="",N(INDEX(mat_loss,MATCH(B1034,mat_ref,0))),F1034))</f>
        <v/>
      </c>
      <c r="H1034" s="66" t="str">
        <f>IF(J1034&lt;&gt;"OK","",INDEX(mat_price,MATCH(B1034,mat_ref,0)))</f>
        <v/>
      </c>
      <c r="I1034" s="66" t="str">
        <f>IF(J1034&lt;&gt;"OK","",E1034*(1+G1034)*H1034)</f>
        <v/>
      </c>
      <c r="J1034" s="69" t="str">
        <f>IF(AND(A1034="",B1034=""),"",IF(A1034="","Produit manquant",IF(COUNTIF(prod_ref,A1034)=0,"Produit inconnu",IF(B1034="","Matière manquante",IF(ISNA(MATCH(B1034,mat_ref,0)),"Matière inconnue",IF(INDEX(mat_check,MATCH(B1034,mat_ref,0))&lt;&gt;"OK","Matière à corriger",IF(OR(NOT(ISNUMBER(E1034)),N(E1034)&lt;=0),"Quantité invalide",IF(AND(F1034&lt;&gt;"",OR(NOT(ISNUMBER(F1034)),N(F1034)&lt;0,N(F1034)&gt;=1)),"Perte entre 0 et 99 %",IF(COUNTIFS(bom_prod,A1034,bom_mat,B1034)&gt;1,"Matière en double","OK")))))))))</f>
        <v/>
      </c>
      <c r="K1034" s="71" t="str">
        <f>IF(AND(fiche_sel&lt;&gt;"",A1034=fiche_sel),COUNTIF(A$6:A1034,fiche_sel),"")</f>
        <v/>
      </c>
    </row>
    <row r="1035">
      <c r="A1035" s="60" t="n"/>
      <c r="B1035" s="60" t="n"/>
      <c r="C1035" s="71" t="str">
        <f>IF(B1035="","",IFERROR(INDEX(mat_des,MATCH(B1035,mat_ref,0))&amp;"","Matière inconnue"))</f>
        <v/>
      </c>
      <c r="D1035" s="69" t="str">
        <f>IF(B1035="","",IFERROR(INDEX(mat_unit,MATCH(B1035,mat_ref,0))&amp;"",""))</f>
        <v/>
      </c>
      <c r="E1035" s="72" t="n"/>
      <c r="F1035" s="65" t="n"/>
      <c r="G1035" s="68" t="str">
        <f>IF(J1035&lt;&gt;"OK","",IF(F1035="",N(INDEX(mat_loss,MATCH(B1035,mat_ref,0))),F1035))</f>
        <v/>
      </c>
      <c r="H1035" s="66" t="str">
        <f>IF(J1035&lt;&gt;"OK","",INDEX(mat_price,MATCH(B1035,mat_ref,0)))</f>
        <v/>
      </c>
      <c r="I1035" s="66" t="str">
        <f>IF(J1035&lt;&gt;"OK","",E1035*(1+G1035)*H1035)</f>
        <v/>
      </c>
      <c r="J1035" s="69" t="str">
        <f>IF(AND(A1035="",B1035=""),"",IF(A1035="","Produit manquant",IF(COUNTIF(prod_ref,A1035)=0,"Produit inconnu",IF(B1035="","Matière manquante",IF(ISNA(MATCH(B1035,mat_ref,0)),"Matière inconnue",IF(INDEX(mat_check,MATCH(B1035,mat_ref,0))&lt;&gt;"OK","Matière à corriger",IF(OR(NOT(ISNUMBER(E1035)),N(E1035)&lt;=0),"Quantité invalide",IF(AND(F1035&lt;&gt;"",OR(NOT(ISNUMBER(F1035)),N(F1035)&lt;0,N(F1035)&gt;=1)),"Perte entre 0 et 99 %",IF(COUNTIFS(bom_prod,A1035,bom_mat,B1035)&gt;1,"Matière en double","OK")))))))))</f>
        <v/>
      </c>
      <c r="K1035" s="71" t="str">
        <f>IF(AND(fiche_sel&lt;&gt;"",A1035=fiche_sel),COUNTIF(A$6:A1035,fiche_sel),"")</f>
        <v/>
      </c>
    </row>
    <row r="1036">
      <c r="A1036" s="60" t="n"/>
      <c r="B1036" s="60" t="n"/>
      <c r="C1036" s="71" t="str">
        <f>IF(B1036="","",IFERROR(INDEX(mat_des,MATCH(B1036,mat_ref,0))&amp;"","Matière inconnue"))</f>
        <v/>
      </c>
      <c r="D1036" s="69" t="str">
        <f>IF(B1036="","",IFERROR(INDEX(mat_unit,MATCH(B1036,mat_ref,0))&amp;"",""))</f>
        <v/>
      </c>
      <c r="E1036" s="72" t="n"/>
      <c r="F1036" s="65" t="n"/>
      <c r="G1036" s="68" t="str">
        <f>IF(J1036&lt;&gt;"OK","",IF(F1036="",N(INDEX(mat_loss,MATCH(B1036,mat_ref,0))),F1036))</f>
        <v/>
      </c>
      <c r="H1036" s="66" t="str">
        <f>IF(J1036&lt;&gt;"OK","",INDEX(mat_price,MATCH(B1036,mat_ref,0)))</f>
        <v/>
      </c>
      <c r="I1036" s="66" t="str">
        <f>IF(J1036&lt;&gt;"OK","",E1036*(1+G1036)*H1036)</f>
        <v/>
      </c>
      <c r="J1036" s="69" t="str">
        <f>IF(AND(A1036="",B1036=""),"",IF(A1036="","Produit manquant",IF(COUNTIF(prod_ref,A1036)=0,"Produit inconnu",IF(B1036="","Matière manquante",IF(ISNA(MATCH(B1036,mat_ref,0)),"Matière inconnue",IF(INDEX(mat_check,MATCH(B1036,mat_ref,0))&lt;&gt;"OK","Matière à corriger",IF(OR(NOT(ISNUMBER(E1036)),N(E1036)&lt;=0),"Quantité invalide",IF(AND(F1036&lt;&gt;"",OR(NOT(ISNUMBER(F1036)),N(F1036)&lt;0,N(F1036)&gt;=1)),"Perte entre 0 et 99 %",IF(COUNTIFS(bom_prod,A1036,bom_mat,B1036)&gt;1,"Matière en double","OK")))))))))</f>
        <v/>
      </c>
      <c r="K1036" s="71" t="str">
        <f>IF(AND(fiche_sel&lt;&gt;"",A1036=fiche_sel),COUNTIF(A$6:A1036,fiche_sel),"")</f>
        <v/>
      </c>
    </row>
    <row r="1037">
      <c r="A1037" s="60" t="n"/>
      <c r="B1037" s="60" t="n"/>
      <c r="C1037" s="71" t="str">
        <f>IF(B1037="","",IFERROR(INDEX(mat_des,MATCH(B1037,mat_ref,0))&amp;"","Matière inconnue"))</f>
        <v/>
      </c>
      <c r="D1037" s="69" t="str">
        <f>IF(B1037="","",IFERROR(INDEX(mat_unit,MATCH(B1037,mat_ref,0))&amp;"",""))</f>
        <v/>
      </c>
      <c r="E1037" s="72" t="n"/>
      <c r="F1037" s="65" t="n"/>
      <c r="G1037" s="68" t="str">
        <f>IF(J1037&lt;&gt;"OK","",IF(F1037="",N(INDEX(mat_loss,MATCH(B1037,mat_ref,0))),F1037))</f>
        <v/>
      </c>
      <c r="H1037" s="66" t="str">
        <f>IF(J1037&lt;&gt;"OK","",INDEX(mat_price,MATCH(B1037,mat_ref,0)))</f>
        <v/>
      </c>
      <c r="I1037" s="66" t="str">
        <f>IF(J1037&lt;&gt;"OK","",E1037*(1+G1037)*H1037)</f>
        <v/>
      </c>
      <c r="J1037" s="69" t="str">
        <f>IF(AND(A1037="",B1037=""),"",IF(A1037="","Produit manquant",IF(COUNTIF(prod_ref,A1037)=0,"Produit inconnu",IF(B1037="","Matière manquante",IF(ISNA(MATCH(B1037,mat_ref,0)),"Matière inconnue",IF(INDEX(mat_check,MATCH(B1037,mat_ref,0))&lt;&gt;"OK","Matière à corriger",IF(OR(NOT(ISNUMBER(E1037)),N(E1037)&lt;=0),"Quantité invalide",IF(AND(F1037&lt;&gt;"",OR(NOT(ISNUMBER(F1037)),N(F1037)&lt;0,N(F1037)&gt;=1)),"Perte entre 0 et 99 %",IF(COUNTIFS(bom_prod,A1037,bom_mat,B1037)&gt;1,"Matière en double","OK")))))))))</f>
        <v/>
      </c>
      <c r="K1037" s="71" t="str">
        <f>IF(AND(fiche_sel&lt;&gt;"",A1037=fiche_sel),COUNTIF(A$6:A1037,fiche_sel),"")</f>
        <v/>
      </c>
    </row>
    <row r="1038">
      <c r="A1038" s="60" t="n"/>
      <c r="B1038" s="60" t="n"/>
      <c r="C1038" s="71" t="str">
        <f>IF(B1038="","",IFERROR(INDEX(mat_des,MATCH(B1038,mat_ref,0))&amp;"","Matière inconnue"))</f>
        <v/>
      </c>
      <c r="D1038" s="69" t="str">
        <f>IF(B1038="","",IFERROR(INDEX(mat_unit,MATCH(B1038,mat_ref,0))&amp;"",""))</f>
        <v/>
      </c>
      <c r="E1038" s="72" t="n"/>
      <c r="F1038" s="65" t="n"/>
      <c r="G1038" s="68" t="str">
        <f>IF(J1038&lt;&gt;"OK","",IF(F1038="",N(INDEX(mat_loss,MATCH(B1038,mat_ref,0))),F1038))</f>
        <v/>
      </c>
      <c r="H1038" s="66" t="str">
        <f>IF(J1038&lt;&gt;"OK","",INDEX(mat_price,MATCH(B1038,mat_ref,0)))</f>
        <v/>
      </c>
      <c r="I1038" s="66" t="str">
        <f>IF(J1038&lt;&gt;"OK","",E1038*(1+G1038)*H1038)</f>
        <v/>
      </c>
      <c r="J1038" s="69" t="str">
        <f>IF(AND(A1038="",B1038=""),"",IF(A1038="","Produit manquant",IF(COUNTIF(prod_ref,A1038)=0,"Produit inconnu",IF(B1038="","Matière manquante",IF(ISNA(MATCH(B1038,mat_ref,0)),"Matière inconnue",IF(INDEX(mat_check,MATCH(B1038,mat_ref,0))&lt;&gt;"OK","Matière à corriger",IF(OR(NOT(ISNUMBER(E1038)),N(E1038)&lt;=0),"Quantité invalide",IF(AND(F1038&lt;&gt;"",OR(NOT(ISNUMBER(F1038)),N(F1038)&lt;0,N(F1038)&gt;=1)),"Perte entre 0 et 99 %",IF(COUNTIFS(bom_prod,A1038,bom_mat,B1038)&gt;1,"Matière en double","OK")))))))))</f>
        <v/>
      </c>
      <c r="K1038" s="71" t="str">
        <f>IF(AND(fiche_sel&lt;&gt;"",A1038=fiche_sel),COUNTIF(A$6:A1038,fiche_sel),"")</f>
        <v/>
      </c>
    </row>
    <row r="1039">
      <c r="A1039" s="60" t="n"/>
      <c r="B1039" s="60" t="n"/>
      <c r="C1039" s="71" t="str">
        <f>IF(B1039="","",IFERROR(INDEX(mat_des,MATCH(B1039,mat_ref,0))&amp;"","Matière inconnue"))</f>
        <v/>
      </c>
      <c r="D1039" s="69" t="str">
        <f>IF(B1039="","",IFERROR(INDEX(mat_unit,MATCH(B1039,mat_ref,0))&amp;"",""))</f>
        <v/>
      </c>
      <c r="E1039" s="72" t="n"/>
      <c r="F1039" s="65" t="n"/>
      <c r="G1039" s="68" t="str">
        <f>IF(J1039&lt;&gt;"OK","",IF(F1039="",N(INDEX(mat_loss,MATCH(B1039,mat_ref,0))),F1039))</f>
        <v/>
      </c>
      <c r="H1039" s="66" t="str">
        <f>IF(J1039&lt;&gt;"OK","",INDEX(mat_price,MATCH(B1039,mat_ref,0)))</f>
        <v/>
      </c>
      <c r="I1039" s="66" t="str">
        <f>IF(J1039&lt;&gt;"OK","",E1039*(1+G1039)*H1039)</f>
        <v/>
      </c>
      <c r="J1039" s="69" t="str">
        <f>IF(AND(A1039="",B1039=""),"",IF(A1039="","Produit manquant",IF(COUNTIF(prod_ref,A1039)=0,"Produit inconnu",IF(B1039="","Matière manquante",IF(ISNA(MATCH(B1039,mat_ref,0)),"Matière inconnue",IF(INDEX(mat_check,MATCH(B1039,mat_ref,0))&lt;&gt;"OK","Matière à corriger",IF(OR(NOT(ISNUMBER(E1039)),N(E1039)&lt;=0),"Quantité invalide",IF(AND(F1039&lt;&gt;"",OR(NOT(ISNUMBER(F1039)),N(F1039)&lt;0,N(F1039)&gt;=1)),"Perte entre 0 et 99 %",IF(COUNTIFS(bom_prod,A1039,bom_mat,B1039)&gt;1,"Matière en double","OK")))))))))</f>
        <v/>
      </c>
      <c r="K1039" s="71" t="str">
        <f>IF(AND(fiche_sel&lt;&gt;"",A1039=fiche_sel),COUNTIF(A$6:A1039,fiche_sel),"")</f>
        <v/>
      </c>
    </row>
    <row r="1040">
      <c r="A1040" s="60" t="n"/>
      <c r="B1040" s="60" t="n"/>
      <c r="C1040" s="71" t="str">
        <f>IF(B1040="","",IFERROR(INDEX(mat_des,MATCH(B1040,mat_ref,0))&amp;"","Matière inconnue"))</f>
        <v/>
      </c>
      <c r="D1040" s="69" t="str">
        <f>IF(B1040="","",IFERROR(INDEX(mat_unit,MATCH(B1040,mat_ref,0))&amp;"",""))</f>
        <v/>
      </c>
      <c r="E1040" s="72" t="n"/>
      <c r="F1040" s="65" t="n"/>
      <c r="G1040" s="68" t="str">
        <f>IF(J1040&lt;&gt;"OK","",IF(F1040="",N(INDEX(mat_loss,MATCH(B1040,mat_ref,0))),F1040))</f>
        <v/>
      </c>
      <c r="H1040" s="66" t="str">
        <f>IF(J1040&lt;&gt;"OK","",INDEX(mat_price,MATCH(B1040,mat_ref,0)))</f>
        <v/>
      </c>
      <c r="I1040" s="66" t="str">
        <f>IF(J1040&lt;&gt;"OK","",E1040*(1+G1040)*H1040)</f>
        <v/>
      </c>
      <c r="J1040" s="69" t="str">
        <f>IF(AND(A1040="",B1040=""),"",IF(A1040="","Produit manquant",IF(COUNTIF(prod_ref,A1040)=0,"Produit inconnu",IF(B1040="","Matière manquante",IF(ISNA(MATCH(B1040,mat_ref,0)),"Matière inconnue",IF(INDEX(mat_check,MATCH(B1040,mat_ref,0))&lt;&gt;"OK","Matière à corriger",IF(OR(NOT(ISNUMBER(E1040)),N(E1040)&lt;=0),"Quantité invalide",IF(AND(F1040&lt;&gt;"",OR(NOT(ISNUMBER(F1040)),N(F1040)&lt;0,N(F1040)&gt;=1)),"Perte entre 0 et 99 %",IF(COUNTIFS(bom_prod,A1040,bom_mat,B1040)&gt;1,"Matière en double","OK")))))))))</f>
        <v/>
      </c>
      <c r="K1040" s="71" t="str">
        <f>IF(AND(fiche_sel&lt;&gt;"",A1040=fiche_sel),COUNTIF(A$6:A1040,fiche_sel),"")</f>
        <v/>
      </c>
    </row>
    <row r="1041">
      <c r="A1041" s="60" t="n"/>
      <c r="B1041" s="60" t="n"/>
      <c r="C1041" s="71" t="str">
        <f>IF(B1041="","",IFERROR(INDEX(mat_des,MATCH(B1041,mat_ref,0))&amp;"","Matière inconnue"))</f>
        <v/>
      </c>
      <c r="D1041" s="69" t="str">
        <f>IF(B1041="","",IFERROR(INDEX(mat_unit,MATCH(B1041,mat_ref,0))&amp;"",""))</f>
        <v/>
      </c>
      <c r="E1041" s="72" t="n"/>
      <c r="F1041" s="65" t="n"/>
      <c r="G1041" s="68" t="str">
        <f>IF(J1041&lt;&gt;"OK","",IF(F1041="",N(INDEX(mat_loss,MATCH(B1041,mat_ref,0))),F1041))</f>
        <v/>
      </c>
      <c r="H1041" s="66" t="str">
        <f>IF(J1041&lt;&gt;"OK","",INDEX(mat_price,MATCH(B1041,mat_ref,0)))</f>
        <v/>
      </c>
      <c r="I1041" s="66" t="str">
        <f>IF(J1041&lt;&gt;"OK","",E1041*(1+G1041)*H1041)</f>
        <v/>
      </c>
      <c r="J1041" s="69" t="str">
        <f>IF(AND(A1041="",B1041=""),"",IF(A1041="","Produit manquant",IF(COUNTIF(prod_ref,A1041)=0,"Produit inconnu",IF(B1041="","Matière manquante",IF(ISNA(MATCH(B1041,mat_ref,0)),"Matière inconnue",IF(INDEX(mat_check,MATCH(B1041,mat_ref,0))&lt;&gt;"OK","Matière à corriger",IF(OR(NOT(ISNUMBER(E1041)),N(E1041)&lt;=0),"Quantité invalide",IF(AND(F1041&lt;&gt;"",OR(NOT(ISNUMBER(F1041)),N(F1041)&lt;0,N(F1041)&gt;=1)),"Perte entre 0 et 99 %",IF(COUNTIFS(bom_prod,A1041,bom_mat,B1041)&gt;1,"Matière en double","OK")))))))))</f>
        <v/>
      </c>
      <c r="K1041" s="71" t="str">
        <f>IF(AND(fiche_sel&lt;&gt;"",A1041=fiche_sel),COUNTIF(A$6:A1041,fiche_sel),"")</f>
        <v/>
      </c>
    </row>
    <row r="1042">
      <c r="A1042" s="60" t="n"/>
      <c r="B1042" s="60" t="n"/>
      <c r="C1042" s="71" t="str">
        <f>IF(B1042="","",IFERROR(INDEX(mat_des,MATCH(B1042,mat_ref,0))&amp;"","Matière inconnue"))</f>
        <v/>
      </c>
      <c r="D1042" s="69" t="str">
        <f>IF(B1042="","",IFERROR(INDEX(mat_unit,MATCH(B1042,mat_ref,0))&amp;"",""))</f>
        <v/>
      </c>
      <c r="E1042" s="72" t="n"/>
      <c r="F1042" s="65" t="n"/>
      <c r="G1042" s="68" t="str">
        <f>IF(J1042&lt;&gt;"OK","",IF(F1042="",N(INDEX(mat_loss,MATCH(B1042,mat_ref,0))),F1042))</f>
        <v/>
      </c>
      <c r="H1042" s="66" t="str">
        <f>IF(J1042&lt;&gt;"OK","",INDEX(mat_price,MATCH(B1042,mat_ref,0)))</f>
        <v/>
      </c>
      <c r="I1042" s="66" t="str">
        <f>IF(J1042&lt;&gt;"OK","",E1042*(1+G1042)*H1042)</f>
        <v/>
      </c>
      <c r="J1042" s="69" t="str">
        <f>IF(AND(A1042="",B1042=""),"",IF(A1042="","Produit manquant",IF(COUNTIF(prod_ref,A1042)=0,"Produit inconnu",IF(B1042="","Matière manquante",IF(ISNA(MATCH(B1042,mat_ref,0)),"Matière inconnue",IF(INDEX(mat_check,MATCH(B1042,mat_ref,0))&lt;&gt;"OK","Matière à corriger",IF(OR(NOT(ISNUMBER(E1042)),N(E1042)&lt;=0),"Quantité invalide",IF(AND(F1042&lt;&gt;"",OR(NOT(ISNUMBER(F1042)),N(F1042)&lt;0,N(F1042)&gt;=1)),"Perte entre 0 et 99 %",IF(COUNTIFS(bom_prod,A1042,bom_mat,B1042)&gt;1,"Matière en double","OK")))))))))</f>
        <v/>
      </c>
      <c r="K1042" s="71" t="str">
        <f>IF(AND(fiche_sel&lt;&gt;"",A1042=fiche_sel),COUNTIF(A$6:A1042,fiche_sel),"")</f>
        <v/>
      </c>
    </row>
    <row r="1043">
      <c r="A1043" s="60" t="n"/>
      <c r="B1043" s="60" t="n"/>
      <c r="C1043" s="71" t="str">
        <f>IF(B1043="","",IFERROR(INDEX(mat_des,MATCH(B1043,mat_ref,0))&amp;"","Matière inconnue"))</f>
        <v/>
      </c>
      <c r="D1043" s="69" t="str">
        <f>IF(B1043="","",IFERROR(INDEX(mat_unit,MATCH(B1043,mat_ref,0))&amp;"",""))</f>
        <v/>
      </c>
      <c r="E1043" s="72" t="n"/>
      <c r="F1043" s="65" t="n"/>
      <c r="G1043" s="68" t="str">
        <f>IF(J1043&lt;&gt;"OK","",IF(F1043="",N(INDEX(mat_loss,MATCH(B1043,mat_ref,0))),F1043))</f>
        <v/>
      </c>
      <c r="H1043" s="66" t="str">
        <f>IF(J1043&lt;&gt;"OK","",INDEX(mat_price,MATCH(B1043,mat_ref,0)))</f>
        <v/>
      </c>
      <c r="I1043" s="66" t="str">
        <f>IF(J1043&lt;&gt;"OK","",E1043*(1+G1043)*H1043)</f>
        <v/>
      </c>
      <c r="J1043" s="69" t="str">
        <f>IF(AND(A1043="",B1043=""),"",IF(A1043="","Produit manquant",IF(COUNTIF(prod_ref,A1043)=0,"Produit inconnu",IF(B1043="","Matière manquante",IF(ISNA(MATCH(B1043,mat_ref,0)),"Matière inconnue",IF(INDEX(mat_check,MATCH(B1043,mat_ref,0))&lt;&gt;"OK","Matière à corriger",IF(OR(NOT(ISNUMBER(E1043)),N(E1043)&lt;=0),"Quantité invalide",IF(AND(F1043&lt;&gt;"",OR(NOT(ISNUMBER(F1043)),N(F1043)&lt;0,N(F1043)&gt;=1)),"Perte entre 0 et 99 %",IF(COUNTIFS(bom_prod,A1043,bom_mat,B1043)&gt;1,"Matière en double","OK")))))))))</f>
        <v/>
      </c>
      <c r="K1043" s="71" t="str">
        <f>IF(AND(fiche_sel&lt;&gt;"",A1043=fiche_sel),COUNTIF(A$6:A1043,fiche_sel),"")</f>
        <v/>
      </c>
    </row>
    <row r="1044">
      <c r="A1044" s="60" t="n"/>
      <c r="B1044" s="60" t="n"/>
      <c r="C1044" s="71" t="str">
        <f>IF(B1044="","",IFERROR(INDEX(mat_des,MATCH(B1044,mat_ref,0))&amp;"","Matière inconnue"))</f>
        <v/>
      </c>
      <c r="D1044" s="69" t="str">
        <f>IF(B1044="","",IFERROR(INDEX(mat_unit,MATCH(B1044,mat_ref,0))&amp;"",""))</f>
        <v/>
      </c>
      <c r="E1044" s="72" t="n"/>
      <c r="F1044" s="65" t="n"/>
      <c r="G1044" s="68" t="str">
        <f>IF(J1044&lt;&gt;"OK","",IF(F1044="",N(INDEX(mat_loss,MATCH(B1044,mat_ref,0))),F1044))</f>
        <v/>
      </c>
      <c r="H1044" s="66" t="str">
        <f>IF(J1044&lt;&gt;"OK","",INDEX(mat_price,MATCH(B1044,mat_ref,0)))</f>
        <v/>
      </c>
      <c r="I1044" s="66" t="str">
        <f>IF(J1044&lt;&gt;"OK","",E1044*(1+G1044)*H1044)</f>
        <v/>
      </c>
      <c r="J1044" s="69" t="str">
        <f>IF(AND(A1044="",B1044=""),"",IF(A1044="","Produit manquant",IF(COUNTIF(prod_ref,A1044)=0,"Produit inconnu",IF(B1044="","Matière manquante",IF(ISNA(MATCH(B1044,mat_ref,0)),"Matière inconnue",IF(INDEX(mat_check,MATCH(B1044,mat_ref,0))&lt;&gt;"OK","Matière à corriger",IF(OR(NOT(ISNUMBER(E1044)),N(E1044)&lt;=0),"Quantité invalide",IF(AND(F1044&lt;&gt;"",OR(NOT(ISNUMBER(F1044)),N(F1044)&lt;0,N(F1044)&gt;=1)),"Perte entre 0 et 99 %",IF(COUNTIFS(bom_prod,A1044,bom_mat,B1044)&gt;1,"Matière en double","OK")))))))))</f>
        <v/>
      </c>
      <c r="K1044" s="71" t="str">
        <f>IF(AND(fiche_sel&lt;&gt;"",A1044=fiche_sel),COUNTIF(A$6:A1044,fiche_sel),"")</f>
        <v/>
      </c>
    </row>
    <row r="1045">
      <c r="A1045" s="60" t="n"/>
      <c r="B1045" s="60" t="n"/>
      <c r="C1045" s="71" t="str">
        <f>IF(B1045="","",IFERROR(INDEX(mat_des,MATCH(B1045,mat_ref,0))&amp;"","Matière inconnue"))</f>
        <v/>
      </c>
      <c r="D1045" s="69" t="str">
        <f>IF(B1045="","",IFERROR(INDEX(mat_unit,MATCH(B1045,mat_ref,0))&amp;"",""))</f>
        <v/>
      </c>
      <c r="E1045" s="72" t="n"/>
      <c r="F1045" s="65" t="n"/>
      <c r="G1045" s="68" t="str">
        <f>IF(J1045&lt;&gt;"OK","",IF(F1045="",N(INDEX(mat_loss,MATCH(B1045,mat_ref,0))),F1045))</f>
        <v/>
      </c>
      <c r="H1045" s="66" t="str">
        <f>IF(J1045&lt;&gt;"OK","",INDEX(mat_price,MATCH(B1045,mat_ref,0)))</f>
        <v/>
      </c>
      <c r="I1045" s="66" t="str">
        <f>IF(J1045&lt;&gt;"OK","",E1045*(1+G1045)*H1045)</f>
        <v/>
      </c>
      <c r="J1045" s="69" t="str">
        <f>IF(AND(A1045="",B1045=""),"",IF(A1045="","Produit manquant",IF(COUNTIF(prod_ref,A1045)=0,"Produit inconnu",IF(B1045="","Matière manquante",IF(ISNA(MATCH(B1045,mat_ref,0)),"Matière inconnue",IF(INDEX(mat_check,MATCH(B1045,mat_ref,0))&lt;&gt;"OK","Matière à corriger",IF(OR(NOT(ISNUMBER(E1045)),N(E1045)&lt;=0),"Quantité invalide",IF(AND(F1045&lt;&gt;"",OR(NOT(ISNUMBER(F1045)),N(F1045)&lt;0,N(F1045)&gt;=1)),"Perte entre 0 et 99 %",IF(COUNTIFS(bom_prod,A1045,bom_mat,B1045)&gt;1,"Matière en double","OK")))))))))</f>
        <v/>
      </c>
      <c r="K1045" s="71" t="str">
        <f>IF(AND(fiche_sel&lt;&gt;"",A1045=fiche_sel),COUNTIF(A$6:A1045,fiche_sel),"")</f>
        <v/>
      </c>
    </row>
    <row r="1046">
      <c r="A1046" s="60" t="n"/>
      <c r="B1046" s="60" t="n"/>
      <c r="C1046" s="71" t="str">
        <f>IF(B1046="","",IFERROR(INDEX(mat_des,MATCH(B1046,mat_ref,0))&amp;"","Matière inconnue"))</f>
        <v/>
      </c>
      <c r="D1046" s="69" t="str">
        <f>IF(B1046="","",IFERROR(INDEX(mat_unit,MATCH(B1046,mat_ref,0))&amp;"",""))</f>
        <v/>
      </c>
      <c r="E1046" s="72" t="n"/>
      <c r="F1046" s="65" t="n"/>
      <c r="G1046" s="68" t="str">
        <f>IF(J1046&lt;&gt;"OK","",IF(F1046="",N(INDEX(mat_loss,MATCH(B1046,mat_ref,0))),F1046))</f>
        <v/>
      </c>
      <c r="H1046" s="66" t="str">
        <f>IF(J1046&lt;&gt;"OK","",INDEX(mat_price,MATCH(B1046,mat_ref,0)))</f>
        <v/>
      </c>
      <c r="I1046" s="66" t="str">
        <f>IF(J1046&lt;&gt;"OK","",E1046*(1+G1046)*H1046)</f>
        <v/>
      </c>
      <c r="J1046" s="69" t="str">
        <f>IF(AND(A1046="",B1046=""),"",IF(A1046="","Produit manquant",IF(COUNTIF(prod_ref,A1046)=0,"Produit inconnu",IF(B1046="","Matière manquante",IF(ISNA(MATCH(B1046,mat_ref,0)),"Matière inconnue",IF(INDEX(mat_check,MATCH(B1046,mat_ref,0))&lt;&gt;"OK","Matière à corriger",IF(OR(NOT(ISNUMBER(E1046)),N(E1046)&lt;=0),"Quantité invalide",IF(AND(F1046&lt;&gt;"",OR(NOT(ISNUMBER(F1046)),N(F1046)&lt;0,N(F1046)&gt;=1)),"Perte entre 0 et 99 %",IF(COUNTIFS(bom_prod,A1046,bom_mat,B1046)&gt;1,"Matière en double","OK")))))))))</f>
        <v/>
      </c>
      <c r="K1046" s="71" t="str">
        <f>IF(AND(fiche_sel&lt;&gt;"",A1046=fiche_sel),COUNTIF(A$6:A1046,fiche_sel),"")</f>
        <v/>
      </c>
    </row>
    <row r="1047">
      <c r="A1047" s="60" t="n"/>
      <c r="B1047" s="60" t="n"/>
      <c r="C1047" s="71" t="str">
        <f>IF(B1047="","",IFERROR(INDEX(mat_des,MATCH(B1047,mat_ref,0))&amp;"","Matière inconnue"))</f>
        <v/>
      </c>
      <c r="D1047" s="69" t="str">
        <f>IF(B1047="","",IFERROR(INDEX(mat_unit,MATCH(B1047,mat_ref,0))&amp;"",""))</f>
        <v/>
      </c>
      <c r="E1047" s="72" t="n"/>
      <c r="F1047" s="65" t="n"/>
      <c r="G1047" s="68" t="str">
        <f>IF(J1047&lt;&gt;"OK","",IF(F1047="",N(INDEX(mat_loss,MATCH(B1047,mat_ref,0))),F1047))</f>
        <v/>
      </c>
      <c r="H1047" s="66" t="str">
        <f>IF(J1047&lt;&gt;"OK","",INDEX(mat_price,MATCH(B1047,mat_ref,0)))</f>
        <v/>
      </c>
      <c r="I1047" s="66" t="str">
        <f>IF(J1047&lt;&gt;"OK","",E1047*(1+G1047)*H1047)</f>
        <v/>
      </c>
      <c r="J1047" s="69" t="str">
        <f>IF(AND(A1047="",B1047=""),"",IF(A1047="","Produit manquant",IF(COUNTIF(prod_ref,A1047)=0,"Produit inconnu",IF(B1047="","Matière manquante",IF(ISNA(MATCH(B1047,mat_ref,0)),"Matière inconnue",IF(INDEX(mat_check,MATCH(B1047,mat_ref,0))&lt;&gt;"OK","Matière à corriger",IF(OR(NOT(ISNUMBER(E1047)),N(E1047)&lt;=0),"Quantité invalide",IF(AND(F1047&lt;&gt;"",OR(NOT(ISNUMBER(F1047)),N(F1047)&lt;0,N(F1047)&gt;=1)),"Perte entre 0 et 99 %",IF(COUNTIFS(bom_prod,A1047,bom_mat,B1047)&gt;1,"Matière en double","OK")))))))))</f>
        <v/>
      </c>
      <c r="K1047" s="71" t="str">
        <f>IF(AND(fiche_sel&lt;&gt;"",A1047=fiche_sel),COUNTIF(A$6:A1047,fiche_sel),"")</f>
        <v/>
      </c>
    </row>
    <row r="1048">
      <c r="A1048" s="60" t="n"/>
      <c r="B1048" s="60" t="n"/>
      <c r="C1048" s="71" t="str">
        <f>IF(B1048="","",IFERROR(INDEX(mat_des,MATCH(B1048,mat_ref,0))&amp;"","Matière inconnue"))</f>
        <v/>
      </c>
      <c r="D1048" s="69" t="str">
        <f>IF(B1048="","",IFERROR(INDEX(mat_unit,MATCH(B1048,mat_ref,0))&amp;"",""))</f>
        <v/>
      </c>
      <c r="E1048" s="72" t="n"/>
      <c r="F1048" s="65" t="n"/>
      <c r="G1048" s="68" t="str">
        <f>IF(J1048&lt;&gt;"OK","",IF(F1048="",N(INDEX(mat_loss,MATCH(B1048,mat_ref,0))),F1048))</f>
        <v/>
      </c>
      <c r="H1048" s="66" t="str">
        <f>IF(J1048&lt;&gt;"OK","",INDEX(mat_price,MATCH(B1048,mat_ref,0)))</f>
        <v/>
      </c>
      <c r="I1048" s="66" t="str">
        <f>IF(J1048&lt;&gt;"OK","",E1048*(1+G1048)*H1048)</f>
        <v/>
      </c>
      <c r="J1048" s="69" t="str">
        <f>IF(AND(A1048="",B1048=""),"",IF(A1048="","Produit manquant",IF(COUNTIF(prod_ref,A1048)=0,"Produit inconnu",IF(B1048="","Matière manquante",IF(ISNA(MATCH(B1048,mat_ref,0)),"Matière inconnue",IF(INDEX(mat_check,MATCH(B1048,mat_ref,0))&lt;&gt;"OK","Matière à corriger",IF(OR(NOT(ISNUMBER(E1048)),N(E1048)&lt;=0),"Quantité invalide",IF(AND(F1048&lt;&gt;"",OR(NOT(ISNUMBER(F1048)),N(F1048)&lt;0,N(F1048)&gt;=1)),"Perte entre 0 et 99 %",IF(COUNTIFS(bom_prod,A1048,bom_mat,B1048)&gt;1,"Matière en double","OK")))))))))</f>
        <v/>
      </c>
      <c r="K1048" s="71" t="str">
        <f>IF(AND(fiche_sel&lt;&gt;"",A1048=fiche_sel),COUNTIF(A$6:A1048,fiche_sel),"")</f>
        <v/>
      </c>
    </row>
    <row r="1049">
      <c r="A1049" s="60" t="n"/>
      <c r="B1049" s="60" t="n"/>
      <c r="C1049" s="71" t="str">
        <f>IF(B1049="","",IFERROR(INDEX(mat_des,MATCH(B1049,mat_ref,0))&amp;"","Matière inconnue"))</f>
        <v/>
      </c>
      <c r="D1049" s="69" t="str">
        <f>IF(B1049="","",IFERROR(INDEX(mat_unit,MATCH(B1049,mat_ref,0))&amp;"",""))</f>
        <v/>
      </c>
      <c r="E1049" s="72" t="n"/>
      <c r="F1049" s="65" t="n"/>
      <c r="G1049" s="68" t="str">
        <f>IF(J1049&lt;&gt;"OK","",IF(F1049="",N(INDEX(mat_loss,MATCH(B1049,mat_ref,0))),F1049))</f>
        <v/>
      </c>
      <c r="H1049" s="66" t="str">
        <f>IF(J1049&lt;&gt;"OK","",INDEX(mat_price,MATCH(B1049,mat_ref,0)))</f>
        <v/>
      </c>
      <c r="I1049" s="66" t="str">
        <f>IF(J1049&lt;&gt;"OK","",E1049*(1+G1049)*H1049)</f>
        <v/>
      </c>
      <c r="J1049" s="69" t="str">
        <f>IF(AND(A1049="",B1049=""),"",IF(A1049="","Produit manquant",IF(COUNTIF(prod_ref,A1049)=0,"Produit inconnu",IF(B1049="","Matière manquante",IF(ISNA(MATCH(B1049,mat_ref,0)),"Matière inconnue",IF(INDEX(mat_check,MATCH(B1049,mat_ref,0))&lt;&gt;"OK","Matière à corriger",IF(OR(NOT(ISNUMBER(E1049)),N(E1049)&lt;=0),"Quantité invalide",IF(AND(F1049&lt;&gt;"",OR(NOT(ISNUMBER(F1049)),N(F1049)&lt;0,N(F1049)&gt;=1)),"Perte entre 0 et 99 %",IF(COUNTIFS(bom_prod,A1049,bom_mat,B1049)&gt;1,"Matière en double","OK")))))))))</f>
        <v/>
      </c>
      <c r="K1049" s="71" t="str">
        <f>IF(AND(fiche_sel&lt;&gt;"",A1049=fiche_sel),COUNTIF(A$6:A1049,fiche_sel),"")</f>
        <v/>
      </c>
    </row>
    <row r="1050">
      <c r="A1050" s="60" t="n"/>
      <c r="B1050" s="60" t="n"/>
      <c r="C1050" s="71" t="str">
        <f>IF(B1050="","",IFERROR(INDEX(mat_des,MATCH(B1050,mat_ref,0))&amp;"","Matière inconnue"))</f>
        <v/>
      </c>
      <c r="D1050" s="69" t="str">
        <f>IF(B1050="","",IFERROR(INDEX(mat_unit,MATCH(B1050,mat_ref,0))&amp;"",""))</f>
        <v/>
      </c>
      <c r="E1050" s="72" t="n"/>
      <c r="F1050" s="65" t="n"/>
      <c r="G1050" s="68" t="str">
        <f>IF(J1050&lt;&gt;"OK","",IF(F1050="",N(INDEX(mat_loss,MATCH(B1050,mat_ref,0))),F1050))</f>
        <v/>
      </c>
      <c r="H1050" s="66" t="str">
        <f>IF(J1050&lt;&gt;"OK","",INDEX(mat_price,MATCH(B1050,mat_ref,0)))</f>
        <v/>
      </c>
      <c r="I1050" s="66" t="str">
        <f>IF(J1050&lt;&gt;"OK","",E1050*(1+G1050)*H1050)</f>
        <v/>
      </c>
      <c r="J1050" s="69" t="str">
        <f>IF(AND(A1050="",B1050=""),"",IF(A1050="","Produit manquant",IF(COUNTIF(prod_ref,A1050)=0,"Produit inconnu",IF(B1050="","Matière manquante",IF(ISNA(MATCH(B1050,mat_ref,0)),"Matière inconnue",IF(INDEX(mat_check,MATCH(B1050,mat_ref,0))&lt;&gt;"OK","Matière à corriger",IF(OR(NOT(ISNUMBER(E1050)),N(E1050)&lt;=0),"Quantité invalide",IF(AND(F1050&lt;&gt;"",OR(NOT(ISNUMBER(F1050)),N(F1050)&lt;0,N(F1050)&gt;=1)),"Perte entre 0 et 99 %",IF(COUNTIFS(bom_prod,A1050,bom_mat,B1050)&gt;1,"Matière en double","OK")))))))))</f>
        <v/>
      </c>
      <c r="K1050" s="71" t="str">
        <f>IF(AND(fiche_sel&lt;&gt;"",A1050=fiche_sel),COUNTIF(A$6:A1050,fiche_sel),"")</f>
        <v/>
      </c>
    </row>
    <row r="1051">
      <c r="A1051" s="60" t="n"/>
      <c r="B1051" s="60" t="n"/>
      <c r="C1051" s="71" t="str">
        <f>IF(B1051="","",IFERROR(INDEX(mat_des,MATCH(B1051,mat_ref,0))&amp;"","Matière inconnue"))</f>
        <v/>
      </c>
      <c r="D1051" s="69" t="str">
        <f>IF(B1051="","",IFERROR(INDEX(mat_unit,MATCH(B1051,mat_ref,0))&amp;"",""))</f>
        <v/>
      </c>
      <c r="E1051" s="72" t="n"/>
      <c r="F1051" s="65" t="n"/>
      <c r="G1051" s="68" t="str">
        <f>IF(J1051&lt;&gt;"OK","",IF(F1051="",N(INDEX(mat_loss,MATCH(B1051,mat_ref,0))),F1051))</f>
        <v/>
      </c>
      <c r="H1051" s="66" t="str">
        <f>IF(J1051&lt;&gt;"OK","",INDEX(mat_price,MATCH(B1051,mat_ref,0)))</f>
        <v/>
      </c>
      <c r="I1051" s="66" t="str">
        <f>IF(J1051&lt;&gt;"OK","",E1051*(1+G1051)*H1051)</f>
        <v/>
      </c>
      <c r="J1051" s="69" t="str">
        <f>IF(AND(A1051="",B1051=""),"",IF(A1051="","Produit manquant",IF(COUNTIF(prod_ref,A1051)=0,"Produit inconnu",IF(B1051="","Matière manquante",IF(ISNA(MATCH(B1051,mat_ref,0)),"Matière inconnue",IF(INDEX(mat_check,MATCH(B1051,mat_ref,0))&lt;&gt;"OK","Matière à corriger",IF(OR(NOT(ISNUMBER(E1051)),N(E1051)&lt;=0),"Quantité invalide",IF(AND(F1051&lt;&gt;"",OR(NOT(ISNUMBER(F1051)),N(F1051)&lt;0,N(F1051)&gt;=1)),"Perte entre 0 et 99 %",IF(COUNTIFS(bom_prod,A1051,bom_mat,B1051)&gt;1,"Matière en double","OK")))))))))</f>
        <v/>
      </c>
      <c r="K1051" s="71" t="str">
        <f>IF(AND(fiche_sel&lt;&gt;"",A1051=fiche_sel),COUNTIF(A$6:A1051,fiche_sel),"")</f>
        <v/>
      </c>
    </row>
    <row r="1052">
      <c r="A1052" s="60" t="n"/>
      <c r="B1052" s="60" t="n"/>
      <c r="C1052" s="71" t="str">
        <f>IF(B1052="","",IFERROR(INDEX(mat_des,MATCH(B1052,mat_ref,0))&amp;"","Matière inconnue"))</f>
        <v/>
      </c>
      <c r="D1052" s="69" t="str">
        <f>IF(B1052="","",IFERROR(INDEX(mat_unit,MATCH(B1052,mat_ref,0))&amp;"",""))</f>
        <v/>
      </c>
      <c r="E1052" s="72" t="n"/>
      <c r="F1052" s="65" t="n"/>
      <c r="G1052" s="68" t="str">
        <f>IF(J1052&lt;&gt;"OK","",IF(F1052="",N(INDEX(mat_loss,MATCH(B1052,mat_ref,0))),F1052))</f>
        <v/>
      </c>
      <c r="H1052" s="66" t="str">
        <f>IF(J1052&lt;&gt;"OK","",INDEX(mat_price,MATCH(B1052,mat_ref,0)))</f>
        <v/>
      </c>
      <c r="I1052" s="66" t="str">
        <f>IF(J1052&lt;&gt;"OK","",E1052*(1+G1052)*H1052)</f>
        <v/>
      </c>
      <c r="J1052" s="69" t="str">
        <f>IF(AND(A1052="",B1052=""),"",IF(A1052="","Produit manquant",IF(COUNTIF(prod_ref,A1052)=0,"Produit inconnu",IF(B1052="","Matière manquante",IF(ISNA(MATCH(B1052,mat_ref,0)),"Matière inconnue",IF(INDEX(mat_check,MATCH(B1052,mat_ref,0))&lt;&gt;"OK","Matière à corriger",IF(OR(NOT(ISNUMBER(E1052)),N(E1052)&lt;=0),"Quantité invalide",IF(AND(F1052&lt;&gt;"",OR(NOT(ISNUMBER(F1052)),N(F1052)&lt;0,N(F1052)&gt;=1)),"Perte entre 0 et 99 %",IF(COUNTIFS(bom_prod,A1052,bom_mat,B1052)&gt;1,"Matière en double","OK")))))))))</f>
        <v/>
      </c>
      <c r="K1052" s="71" t="str">
        <f>IF(AND(fiche_sel&lt;&gt;"",A1052=fiche_sel),COUNTIF(A$6:A1052,fiche_sel),"")</f>
        <v/>
      </c>
    </row>
    <row r="1053">
      <c r="A1053" s="60" t="n"/>
      <c r="B1053" s="60" t="n"/>
      <c r="C1053" s="71" t="str">
        <f>IF(B1053="","",IFERROR(INDEX(mat_des,MATCH(B1053,mat_ref,0))&amp;"","Matière inconnue"))</f>
        <v/>
      </c>
      <c r="D1053" s="69" t="str">
        <f>IF(B1053="","",IFERROR(INDEX(mat_unit,MATCH(B1053,mat_ref,0))&amp;"",""))</f>
        <v/>
      </c>
      <c r="E1053" s="72" t="n"/>
      <c r="F1053" s="65" t="n"/>
      <c r="G1053" s="68" t="str">
        <f>IF(J1053&lt;&gt;"OK","",IF(F1053="",N(INDEX(mat_loss,MATCH(B1053,mat_ref,0))),F1053))</f>
        <v/>
      </c>
      <c r="H1053" s="66" t="str">
        <f>IF(J1053&lt;&gt;"OK","",INDEX(mat_price,MATCH(B1053,mat_ref,0)))</f>
        <v/>
      </c>
      <c r="I1053" s="66" t="str">
        <f>IF(J1053&lt;&gt;"OK","",E1053*(1+G1053)*H1053)</f>
        <v/>
      </c>
      <c r="J1053" s="69" t="str">
        <f>IF(AND(A1053="",B1053=""),"",IF(A1053="","Produit manquant",IF(COUNTIF(prod_ref,A1053)=0,"Produit inconnu",IF(B1053="","Matière manquante",IF(ISNA(MATCH(B1053,mat_ref,0)),"Matière inconnue",IF(INDEX(mat_check,MATCH(B1053,mat_ref,0))&lt;&gt;"OK","Matière à corriger",IF(OR(NOT(ISNUMBER(E1053)),N(E1053)&lt;=0),"Quantité invalide",IF(AND(F1053&lt;&gt;"",OR(NOT(ISNUMBER(F1053)),N(F1053)&lt;0,N(F1053)&gt;=1)),"Perte entre 0 et 99 %",IF(COUNTIFS(bom_prod,A1053,bom_mat,B1053)&gt;1,"Matière en double","OK")))))))))</f>
        <v/>
      </c>
      <c r="K1053" s="71" t="str">
        <f>IF(AND(fiche_sel&lt;&gt;"",A1053=fiche_sel),COUNTIF(A$6:A1053,fiche_sel),"")</f>
        <v/>
      </c>
    </row>
    <row r="1054">
      <c r="A1054" s="60" t="n"/>
      <c r="B1054" s="60" t="n"/>
      <c r="C1054" s="71" t="str">
        <f>IF(B1054="","",IFERROR(INDEX(mat_des,MATCH(B1054,mat_ref,0))&amp;"","Matière inconnue"))</f>
        <v/>
      </c>
      <c r="D1054" s="69" t="str">
        <f>IF(B1054="","",IFERROR(INDEX(mat_unit,MATCH(B1054,mat_ref,0))&amp;"",""))</f>
        <v/>
      </c>
      <c r="E1054" s="72" t="n"/>
      <c r="F1054" s="65" t="n"/>
      <c r="G1054" s="68" t="str">
        <f>IF(J1054&lt;&gt;"OK","",IF(F1054="",N(INDEX(mat_loss,MATCH(B1054,mat_ref,0))),F1054))</f>
        <v/>
      </c>
      <c r="H1054" s="66" t="str">
        <f>IF(J1054&lt;&gt;"OK","",INDEX(mat_price,MATCH(B1054,mat_ref,0)))</f>
        <v/>
      </c>
      <c r="I1054" s="66" t="str">
        <f>IF(J1054&lt;&gt;"OK","",E1054*(1+G1054)*H1054)</f>
        <v/>
      </c>
      <c r="J1054" s="69" t="str">
        <f>IF(AND(A1054="",B1054=""),"",IF(A1054="","Produit manquant",IF(COUNTIF(prod_ref,A1054)=0,"Produit inconnu",IF(B1054="","Matière manquante",IF(ISNA(MATCH(B1054,mat_ref,0)),"Matière inconnue",IF(INDEX(mat_check,MATCH(B1054,mat_ref,0))&lt;&gt;"OK","Matière à corriger",IF(OR(NOT(ISNUMBER(E1054)),N(E1054)&lt;=0),"Quantité invalide",IF(AND(F1054&lt;&gt;"",OR(NOT(ISNUMBER(F1054)),N(F1054)&lt;0,N(F1054)&gt;=1)),"Perte entre 0 et 99 %",IF(COUNTIFS(bom_prod,A1054,bom_mat,B1054)&gt;1,"Matière en double","OK")))))))))</f>
        <v/>
      </c>
      <c r="K1054" s="71" t="str">
        <f>IF(AND(fiche_sel&lt;&gt;"",A1054=fiche_sel),COUNTIF(A$6:A1054,fiche_sel),"")</f>
        <v/>
      </c>
    </row>
    <row r="1055">
      <c r="A1055" s="60" t="n"/>
      <c r="B1055" s="60" t="n"/>
      <c r="C1055" s="71" t="str">
        <f>IF(B1055="","",IFERROR(INDEX(mat_des,MATCH(B1055,mat_ref,0))&amp;"","Matière inconnue"))</f>
        <v/>
      </c>
      <c r="D1055" s="69" t="str">
        <f>IF(B1055="","",IFERROR(INDEX(mat_unit,MATCH(B1055,mat_ref,0))&amp;"",""))</f>
        <v/>
      </c>
      <c r="E1055" s="72" t="n"/>
      <c r="F1055" s="65" t="n"/>
      <c r="G1055" s="68" t="str">
        <f>IF(J1055&lt;&gt;"OK","",IF(F1055="",N(INDEX(mat_loss,MATCH(B1055,mat_ref,0))),F1055))</f>
        <v/>
      </c>
      <c r="H1055" s="66" t="str">
        <f>IF(J1055&lt;&gt;"OK","",INDEX(mat_price,MATCH(B1055,mat_ref,0)))</f>
        <v/>
      </c>
      <c r="I1055" s="66" t="str">
        <f>IF(J1055&lt;&gt;"OK","",E1055*(1+G1055)*H1055)</f>
        <v/>
      </c>
      <c r="J1055" s="69" t="str">
        <f>IF(AND(A1055="",B1055=""),"",IF(A1055="","Produit manquant",IF(COUNTIF(prod_ref,A1055)=0,"Produit inconnu",IF(B1055="","Matière manquante",IF(ISNA(MATCH(B1055,mat_ref,0)),"Matière inconnue",IF(INDEX(mat_check,MATCH(B1055,mat_ref,0))&lt;&gt;"OK","Matière à corriger",IF(OR(NOT(ISNUMBER(E1055)),N(E1055)&lt;=0),"Quantité invalide",IF(AND(F1055&lt;&gt;"",OR(NOT(ISNUMBER(F1055)),N(F1055)&lt;0,N(F1055)&gt;=1)),"Perte entre 0 et 99 %",IF(COUNTIFS(bom_prod,A1055,bom_mat,B1055)&gt;1,"Matière en double","OK")))))))))</f>
        <v/>
      </c>
      <c r="K1055" s="71" t="str">
        <f>IF(AND(fiche_sel&lt;&gt;"",A1055=fiche_sel),COUNTIF(A$6:A1055,fiche_sel),"")</f>
        <v/>
      </c>
    </row>
    <row r="1056">
      <c r="A1056" s="60" t="n"/>
      <c r="B1056" s="60" t="n"/>
      <c r="C1056" s="71" t="str">
        <f>IF(B1056="","",IFERROR(INDEX(mat_des,MATCH(B1056,mat_ref,0))&amp;"","Matière inconnue"))</f>
        <v/>
      </c>
      <c r="D1056" s="69" t="str">
        <f>IF(B1056="","",IFERROR(INDEX(mat_unit,MATCH(B1056,mat_ref,0))&amp;"",""))</f>
        <v/>
      </c>
      <c r="E1056" s="72" t="n"/>
      <c r="F1056" s="65" t="n"/>
      <c r="G1056" s="68" t="str">
        <f>IF(J1056&lt;&gt;"OK","",IF(F1056="",N(INDEX(mat_loss,MATCH(B1056,mat_ref,0))),F1056))</f>
        <v/>
      </c>
      <c r="H1056" s="66" t="str">
        <f>IF(J1056&lt;&gt;"OK","",INDEX(mat_price,MATCH(B1056,mat_ref,0)))</f>
        <v/>
      </c>
      <c r="I1056" s="66" t="str">
        <f>IF(J1056&lt;&gt;"OK","",E1056*(1+G1056)*H1056)</f>
        <v/>
      </c>
      <c r="J1056" s="69" t="str">
        <f>IF(AND(A1056="",B1056=""),"",IF(A1056="","Produit manquant",IF(COUNTIF(prod_ref,A1056)=0,"Produit inconnu",IF(B1056="","Matière manquante",IF(ISNA(MATCH(B1056,mat_ref,0)),"Matière inconnue",IF(INDEX(mat_check,MATCH(B1056,mat_ref,0))&lt;&gt;"OK","Matière à corriger",IF(OR(NOT(ISNUMBER(E1056)),N(E1056)&lt;=0),"Quantité invalide",IF(AND(F1056&lt;&gt;"",OR(NOT(ISNUMBER(F1056)),N(F1056)&lt;0,N(F1056)&gt;=1)),"Perte entre 0 et 99 %",IF(COUNTIFS(bom_prod,A1056,bom_mat,B1056)&gt;1,"Matière en double","OK")))))))))</f>
        <v/>
      </c>
      <c r="K1056" s="71" t="str">
        <f>IF(AND(fiche_sel&lt;&gt;"",A1056=fiche_sel),COUNTIF(A$6:A1056,fiche_sel),"")</f>
        <v/>
      </c>
    </row>
    <row r="1057">
      <c r="A1057" s="60" t="n"/>
      <c r="B1057" s="60" t="n"/>
      <c r="C1057" s="71" t="str">
        <f>IF(B1057="","",IFERROR(INDEX(mat_des,MATCH(B1057,mat_ref,0))&amp;"","Matière inconnue"))</f>
        <v/>
      </c>
      <c r="D1057" s="69" t="str">
        <f>IF(B1057="","",IFERROR(INDEX(mat_unit,MATCH(B1057,mat_ref,0))&amp;"",""))</f>
        <v/>
      </c>
      <c r="E1057" s="72" t="n"/>
      <c r="F1057" s="65" t="n"/>
      <c r="G1057" s="68" t="str">
        <f>IF(J1057&lt;&gt;"OK","",IF(F1057="",N(INDEX(mat_loss,MATCH(B1057,mat_ref,0))),F1057))</f>
        <v/>
      </c>
      <c r="H1057" s="66" t="str">
        <f>IF(J1057&lt;&gt;"OK","",INDEX(mat_price,MATCH(B1057,mat_ref,0)))</f>
        <v/>
      </c>
      <c r="I1057" s="66" t="str">
        <f>IF(J1057&lt;&gt;"OK","",E1057*(1+G1057)*H1057)</f>
        <v/>
      </c>
      <c r="J1057" s="69" t="str">
        <f>IF(AND(A1057="",B1057=""),"",IF(A1057="","Produit manquant",IF(COUNTIF(prod_ref,A1057)=0,"Produit inconnu",IF(B1057="","Matière manquante",IF(ISNA(MATCH(B1057,mat_ref,0)),"Matière inconnue",IF(INDEX(mat_check,MATCH(B1057,mat_ref,0))&lt;&gt;"OK","Matière à corriger",IF(OR(NOT(ISNUMBER(E1057)),N(E1057)&lt;=0),"Quantité invalide",IF(AND(F1057&lt;&gt;"",OR(NOT(ISNUMBER(F1057)),N(F1057)&lt;0,N(F1057)&gt;=1)),"Perte entre 0 et 99 %",IF(COUNTIFS(bom_prod,A1057,bom_mat,B1057)&gt;1,"Matière en double","OK")))))))))</f>
        <v/>
      </c>
      <c r="K1057" s="71" t="str">
        <f>IF(AND(fiche_sel&lt;&gt;"",A1057=fiche_sel),COUNTIF(A$6:A1057,fiche_sel),"")</f>
        <v/>
      </c>
    </row>
    <row r="1058">
      <c r="A1058" s="60" t="n"/>
      <c r="B1058" s="60" t="n"/>
      <c r="C1058" s="71" t="str">
        <f>IF(B1058="","",IFERROR(INDEX(mat_des,MATCH(B1058,mat_ref,0))&amp;"","Matière inconnue"))</f>
        <v/>
      </c>
      <c r="D1058" s="69" t="str">
        <f>IF(B1058="","",IFERROR(INDEX(mat_unit,MATCH(B1058,mat_ref,0))&amp;"",""))</f>
        <v/>
      </c>
      <c r="E1058" s="72" t="n"/>
      <c r="F1058" s="65" t="n"/>
      <c r="G1058" s="68" t="str">
        <f>IF(J1058&lt;&gt;"OK","",IF(F1058="",N(INDEX(mat_loss,MATCH(B1058,mat_ref,0))),F1058))</f>
        <v/>
      </c>
      <c r="H1058" s="66" t="str">
        <f>IF(J1058&lt;&gt;"OK","",INDEX(mat_price,MATCH(B1058,mat_ref,0)))</f>
        <v/>
      </c>
      <c r="I1058" s="66" t="str">
        <f>IF(J1058&lt;&gt;"OK","",E1058*(1+G1058)*H1058)</f>
        <v/>
      </c>
      <c r="J1058" s="69" t="str">
        <f>IF(AND(A1058="",B1058=""),"",IF(A1058="","Produit manquant",IF(COUNTIF(prod_ref,A1058)=0,"Produit inconnu",IF(B1058="","Matière manquante",IF(ISNA(MATCH(B1058,mat_ref,0)),"Matière inconnue",IF(INDEX(mat_check,MATCH(B1058,mat_ref,0))&lt;&gt;"OK","Matière à corriger",IF(OR(NOT(ISNUMBER(E1058)),N(E1058)&lt;=0),"Quantité invalide",IF(AND(F1058&lt;&gt;"",OR(NOT(ISNUMBER(F1058)),N(F1058)&lt;0,N(F1058)&gt;=1)),"Perte entre 0 et 99 %",IF(COUNTIFS(bom_prod,A1058,bom_mat,B1058)&gt;1,"Matière en double","OK")))))))))</f>
        <v/>
      </c>
      <c r="K1058" s="71" t="str">
        <f>IF(AND(fiche_sel&lt;&gt;"",A1058=fiche_sel),COUNTIF(A$6:A1058,fiche_sel),"")</f>
        <v/>
      </c>
    </row>
    <row r="1059">
      <c r="A1059" s="60" t="n"/>
      <c r="B1059" s="60" t="n"/>
      <c r="C1059" s="71" t="str">
        <f>IF(B1059="","",IFERROR(INDEX(mat_des,MATCH(B1059,mat_ref,0))&amp;"","Matière inconnue"))</f>
        <v/>
      </c>
      <c r="D1059" s="69" t="str">
        <f>IF(B1059="","",IFERROR(INDEX(mat_unit,MATCH(B1059,mat_ref,0))&amp;"",""))</f>
        <v/>
      </c>
      <c r="E1059" s="72" t="n"/>
      <c r="F1059" s="65" t="n"/>
      <c r="G1059" s="68" t="str">
        <f>IF(J1059&lt;&gt;"OK","",IF(F1059="",N(INDEX(mat_loss,MATCH(B1059,mat_ref,0))),F1059))</f>
        <v/>
      </c>
      <c r="H1059" s="66" t="str">
        <f>IF(J1059&lt;&gt;"OK","",INDEX(mat_price,MATCH(B1059,mat_ref,0)))</f>
        <v/>
      </c>
      <c r="I1059" s="66" t="str">
        <f>IF(J1059&lt;&gt;"OK","",E1059*(1+G1059)*H1059)</f>
        <v/>
      </c>
      <c r="J1059" s="69" t="str">
        <f>IF(AND(A1059="",B1059=""),"",IF(A1059="","Produit manquant",IF(COUNTIF(prod_ref,A1059)=0,"Produit inconnu",IF(B1059="","Matière manquante",IF(ISNA(MATCH(B1059,mat_ref,0)),"Matière inconnue",IF(INDEX(mat_check,MATCH(B1059,mat_ref,0))&lt;&gt;"OK","Matière à corriger",IF(OR(NOT(ISNUMBER(E1059)),N(E1059)&lt;=0),"Quantité invalide",IF(AND(F1059&lt;&gt;"",OR(NOT(ISNUMBER(F1059)),N(F1059)&lt;0,N(F1059)&gt;=1)),"Perte entre 0 et 99 %",IF(COUNTIFS(bom_prod,A1059,bom_mat,B1059)&gt;1,"Matière en double","OK")))))))))</f>
        <v/>
      </c>
      <c r="K1059" s="71" t="str">
        <f>IF(AND(fiche_sel&lt;&gt;"",A1059=fiche_sel),COUNTIF(A$6:A1059,fiche_sel),"")</f>
        <v/>
      </c>
    </row>
    <row r="1060">
      <c r="A1060" s="60" t="n"/>
      <c r="B1060" s="60" t="n"/>
      <c r="C1060" s="71" t="str">
        <f>IF(B1060="","",IFERROR(INDEX(mat_des,MATCH(B1060,mat_ref,0))&amp;"","Matière inconnue"))</f>
        <v/>
      </c>
      <c r="D1060" s="69" t="str">
        <f>IF(B1060="","",IFERROR(INDEX(mat_unit,MATCH(B1060,mat_ref,0))&amp;"",""))</f>
        <v/>
      </c>
      <c r="E1060" s="72" t="n"/>
      <c r="F1060" s="65" t="n"/>
      <c r="G1060" s="68" t="str">
        <f>IF(J1060&lt;&gt;"OK","",IF(F1060="",N(INDEX(mat_loss,MATCH(B1060,mat_ref,0))),F1060))</f>
        <v/>
      </c>
      <c r="H1060" s="66" t="str">
        <f>IF(J1060&lt;&gt;"OK","",INDEX(mat_price,MATCH(B1060,mat_ref,0)))</f>
        <v/>
      </c>
      <c r="I1060" s="66" t="str">
        <f>IF(J1060&lt;&gt;"OK","",E1060*(1+G1060)*H1060)</f>
        <v/>
      </c>
      <c r="J1060" s="69" t="str">
        <f>IF(AND(A1060="",B1060=""),"",IF(A1060="","Produit manquant",IF(COUNTIF(prod_ref,A1060)=0,"Produit inconnu",IF(B1060="","Matière manquante",IF(ISNA(MATCH(B1060,mat_ref,0)),"Matière inconnue",IF(INDEX(mat_check,MATCH(B1060,mat_ref,0))&lt;&gt;"OK","Matière à corriger",IF(OR(NOT(ISNUMBER(E1060)),N(E1060)&lt;=0),"Quantité invalide",IF(AND(F1060&lt;&gt;"",OR(NOT(ISNUMBER(F1060)),N(F1060)&lt;0,N(F1060)&gt;=1)),"Perte entre 0 et 99 %",IF(COUNTIFS(bom_prod,A1060,bom_mat,B1060)&gt;1,"Matière en double","OK")))))))))</f>
        <v/>
      </c>
      <c r="K1060" s="71" t="str">
        <f>IF(AND(fiche_sel&lt;&gt;"",A1060=fiche_sel),COUNTIF(A$6:A1060,fiche_sel),"")</f>
        <v/>
      </c>
    </row>
    <row r="1061">
      <c r="A1061" s="60" t="n"/>
      <c r="B1061" s="60" t="n"/>
      <c r="C1061" s="71" t="str">
        <f>IF(B1061="","",IFERROR(INDEX(mat_des,MATCH(B1061,mat_ref,0))&amp;"","Matière inconnue"))</f>
        <v/>
      </c>
      <c r="D1061" s="69" t="str">
        <f>IF(B1061="","",IFERROR(INDEX(mat_unit,MATCH(B1061,mat_ref,0))&amp;"",""))</f>
        <v/>
      </c>
      <c r="E1061" s="72" t="n"/>
      <c r="F1061" s="65" t="n"/>
      <c r="G1061" s="68" t="str">
        <f>IF(J1061&lt;&gt;"OK","",IF(F1061="",N(INDEX(mat_loss,MATCH(B1061,mat_ref,0))),F1061))</f>
        <v/>
      </c>
      <c r="H1061" s="66" t="str">
        <f>IF(J1061&lt;&gt;"OK","",INDEX(mat_price,MATCH(B1061,mat_ref,0)))</f>
        <v/>
      </c>
      <c r="I1061" s="66" t="str">
        <f>IF(J1061&lt;&gt;"OK","",E1061*(1+G1061)*H1061)</f>
        <v/>
      </c>
      <c r="J1061" s="69" t="str">
        <f>IF(AND(A1061="",B1061=""),"",IF(A1061="","Produit manquant",IF(COUNTIF(prod_ref,A1061)=0,"Produit inconnu",IF(B1061="","Matière manquante",IF(ISNA(MATCH(B1061,mat_ref,0)),"Matière inconnue",IF(INDEX(mat_check,MATCH(B1061,mat_ref,0))&lt;&gt;"OK","Matière à corriger",IF(OR(NOT(ISNUMBER(E1061)),N(E1061)&lt;=0),"Quantité invalide",IF(AND(F1061&lt;&gt;"",OR(NOT(ISNUMBER(F1061)),N(F1061)&lt;0,N(F1061)&gt;=1)),"Perte entre 0 et 99 %",IF(COUNTIFS(bom_prod,A1061,bom_mat,B1061)&gt;1,"Matière en double","OK")))))))))</f>
        <v/>
      </c>
      <c r="K1061" s="71" t="str">
        <f>IF(AND(fiche_sel&lt;&gt;"",A1061=fiche_sel),COUNTIF(A$6:A1061,fiche_sel),"")</f>
        <v/>
      </c>
    </row>
    <row r="1062">
      <c r="A1062" s="60" t="n"/>
      <c r="B1062" s="60" t="n"/>
      <c r="C1062" s="71" t="str">
        <f>IF(B1062="","",IFERROR(INDEX(mat_des,MATCH(B1062,mat_ref,0))&amp;"","Matière inconnue"))</f>
        <v/>
      </c>
      <c r="D1062" s="69" t="str">
        <f>IF(B1062="","",IFERROR(INDEX(mat_unit,MATCH(B1062,mat_ref,0))&amp;"",""))</f>
        <v/>
      </c>
      <c r="E1062" s="72" t="n"/>
      <c r="F1062" s="65" t="n"/>
      <c r="G1062" s="68" t="str">
        <f>IF(J1062&lt;&gt;"OK","",IF(F1062="",N(INDEX(mat_loss,MATCH(B1062,mat_ref,0))),F1062))</f>
        <v/>
      </c>
      <c r="H1062" s="66" t="str">
        <f>IF(J1062&lt;&gt;"OK","",INDEX(mat_price,MATCH(B1062,mat_ref,0)))</f>
        <v/>
      </c>
      <c r="I1062" s="66" t="str">
        <f>IF(J1062&lt;&gt;"OK","",E1062*(1+G1062)*H1062)</f>
        <v/>
      </c>
      <c r="J1062" s="69" t="str">
        <f>IF(AND(A1062="",B1062=""),"",IF(A1062="","Produit manquant",IF(COUNTIF(prod_ref,A1062)=0,"Produit inconnu",IF(B1062="","Matière manquante",IF(ISNA(MATCH(B1062,mat_ref,0)),"Matière inconnue",IF(INDEX(mat_check,MATCH(B1062,mat_ref,0))&lt;&gt;"OK","Matière à corriger",IF(OR(NOT(ISNUMBER(E1062)),N(E1062)&lt;=0),"Quantité invalide",IF(AND(F1062&lt;&gt;"",OR(NOT(ISNUMBER(F1062)),N(F1062)&lt;0,N(F1062)&gt;=1)),"Perte entre 0 et 99 %",IF(COUNTIFS(bom_prod,A1062,bom_mat,B1062)&gt;1,"Matière en double","OK")))))))))</f>
        <v/>
      </c>
      <c r="K1062" s="71" t="str">
        <f>IF(AND(fiche_sel&lt;&gt;"",A1062=fiche_sel),COUNTIF(A$6:A1062,fiche_sel),"")</f>
        <v/>
      </c>
    </row>
    <row r="1063">
      <c r="A1063" s="60" t="n"/>
      <c r="B1063" s="60" t="n"/>
      <c r="C1063" s="71" t="str">
        <f>IF(B1063="","",IFERROR(INDEX(mat_des,MATCH(B1063,mat_ref,0))&amp;"","Matière inconnue"))</f>
        <v/>
      </c>
      <c r="D1063" s="69" t="str">
        <f>IF(B1063="","",IFERROR(INDEX(mat_unit,MATCH(B1063,mat_ref,0))&amp;"",""))</f>
        <v/>
      </c>
      <c r="E1063" s="72" t="n"/>
      <c r="F1063" s="65" t="n"/>
      <c r="G1063" s="68" t="str">
        <f>IF(J1063&lt;&gt;"OK","",IF(F1063="",N(INDEX(mat_loss,MATCH(B1063,mat_ref,0))),F1063))</f>
        <v/>
      </c>
      <c r="H1063" s="66" t="str">
        <f>IF(J1063&lt;&gt;"OK","",INDEX(mat_price,MATCH(B1063,mat_ref,0)))</f>
        <v/>
      </c>
      <c r="I1063" s="66" t="str">
        <f>IF(J1063&lt;&gt;"OK","",E1063*(1+G1063)*H1063)</f>
        <v/>
      </c>
      <c r="J1063" s="69" t="str">
        <f>IF(AND(A1063="",B1063=""),"",IF(A1063="","Produit manquant",IF(COUNTIF(prod_ref,A1063)=0,"Produit inconnu",IF(B1063="","Matière manquante",IF(ISNA(MATCH(B1063,mat_ref,0)),"Matière inconnue",IF(INDEX(mat_check,MATCH(B1063,mat_ref,0))&lt;&gt;"OK","Matière à corriger",IF(OR(NOT(ISNUMBER(E1063)),N(E1063)&lt;=0),"Quantité invalide",IF(AND(F1063&lt;&gt;"",OR(NOT(ISNUMBER(F1063)),N(F1063)&lt;0,N(F1063)&gt;=1)),"Perte entre 0 et 99 %",IF(COUNTIFS(bom_prod,A1063,bom_mat,B1063)&gt;1,"Matière en double","OK")))))))))</f>
        <v/>
      </c>
      <c r="K1063" s="71" t="str">
        <f>IF(AND(fiche_sel&lt;&gt;"",A1063=fiche_sel),COUNTIF(A$6:A1063,fiche_sel),"")</f>
        <v/>
      </c>
    </row>
    <row r="1064">
      <c r="A1064" s="60" t="n"/>
      <c r="B1064" s="60" t="n"/>
      <c r="C1064" s="71" t="str">
        <f>IF(B1064="","",IFERROR(INDEX(mat_des,MATCH(B1064,mat_ref,0))&amp;"","Matière inconnue"))</f>
        <v/>
      </c>
      <c r="D1064" s="69" t="str">
        <f>IF(B1064="","",IFERROR(INDEX(mat_unit,MATCH(B1064,mat_ref,0))&amp;"",""))</f>
        <v/>
      </c>
      <c r="E1064" s="72" t="n"/>
      <c r="F1064" s="65" t="n"/>
      <c r="G1064" s="68" t="str">
        <f>IF(J1064&lt;&gt;"OK","",IF(F1064="",N(INDEX(mat_loss,MATCH(B1064,mat_ref,0))),F1064))</f>
        <v/>
      </c>
      <c r="H1064" s="66" t="str">
        <f>IF(J1064&lt;&gt;"OK","",INDEX(mat_price,MATCH(B1064,mat_ref,0)))</f>
        <v/>
      </c>
      <c r="I1064" s="66" t="str">
        <f>IF(J1064&lt;&gt;"OK","",E1064*(1+G1064)*H1064)</f>
        <v/>
      </c>
      <c r="J1064" s="69" t="str">
        <f>IF(AND(A1064="",B1064=""),"",IF(A1064="","Produit manquant",IF(COUNTIF(prod_ref,A1064)=0,"Produit inconnu",IF(B1064="","Matière manquante",IF(ISNA(MATCH(B1064,mat_ref,0)),"Matière inconnue",IF(INDEX(mat_check,MATCH(B1064,mat_ref,0))&lt;&gt;"OK","Matière à corriger",IF(OR(NOT(ISNUMBER(E1064)),N(E1064)&lt;=0),"Quantité invalide",IF(AND(F1064&lt;&gt;"",OR(NOT(ISNUMBER(F1064)),N(F1064)&lt;0,N(F1064)&gt;=1)),"Perte entre 0 et 99 %",IF(COUNTIFS(bom_prod,A1064,bom_mat,B1064)&gt;1,"Matière en double","OK")))))))))</f>
        <v/>
      </c>
      <c r="K1064" s="71" t="str">
        <f>IF(AND(fiche_sel&lt;&gt;"",A1064=fiche_sel),COUNTIF(A$6:A1064,fiche_sel),"")</f>
        <v/>
      </c>
    </row>
    <row r="1065">
      <c r="A1065" s="60" t="n"/>
      <c r="B1065" s="60" t="n"/>
      <c r="C1065" s="71" t="str">
        <f>IF(B1065="","",IFERROR(INDEX(mat_des,MATCH(B1065,mat_ref,0))&amp;"","Matière inconnue"))</f>
        <v/>
      </c>
      <c r="D1065" s="69" t="str">
        <f>IF(B1065="","",IFERROR(INDEX(mat_unit,MATCH(B1065,mat_ref,0))&amp;"",""))</f>
        <v/>
      </c>
      <c r="E1065" s="72" t="n"/>
      <c r="F1065" s="65" t="n"/>
      <c r="G1065" s="68" t="str">
        <f>IF(J1065&lt;&gt;"OK","",IF(F1065="",N(INDEX(mat_loss,MATCH(B1065,mat_ref,0))),F1065))</f>
        <v/>
      </c>
      <c r="H1065" s="66" t="str">
        <f>IF(J1065&lt;&gt;"OK","",INDEX(mat_price,MATCH(B1065,mat_ref,0)))</f>
        <v/>
      </c>
      <c r="I1065" s="66" t="str">
        <f>IF(J1065&lt;&gt;"OK","",E1065*(1+G1065)*H1065)</f>
        <v/>
      </c>
      <c r="J1065" s="69" t="str">
        <f>IF(AND(A1065="",B1065=""),"",IF(A1065="","Produit manquant",IF(COUNTIF(prod_ref,A1065)=0,"Produit inconnu",IF(B1065="","Matière manquante",IF(ISNA(MATCH(B1065,mat_ref,0)),"Matière inconnue",IF(INDEX(mat_check,MATCH(B1065,mat_ref,0))&lt;&gt;"OK","Matière à corriger",IF(OR(NOT(ISNUMBER(E1065)),N(E1065)&lt;=0),"Quantité invalide",IF(AND(F1065&lt;&gt;"",OR(NOT(ISNUMBER(F1065)),N(F1065)&lt;0,N(F1065)&gt;=1)),"Perte entre 0 et 99 %",IF(COUNTIFS(bom_prod,A1065,bom_mat,B1065)&gt;1,"Matière en double","OK")))))))))</f>
        <v/>
      </c>
      <c r="K1065" s="71" t="str">
        <f>IF(AND(fiche_sel&lt;&gt;"",A1065=fiche_sel),COUNTIF(A$6:A1065,fiche_sel),"")</f>
        <v/>
      </c>
    </row>
    <row r="1066">
      <c r="A1066" s="60" t="n"/>
      <c r="B1066" s="60" t="n"/>
      <c r="C1066" s="71" t="str">
        <f>IF(B1066="","",IFERROR(INDEX(mat_des,MATCH(B1066,mat_ref,0))&amp;"","Matière inconnue"))</f>
        <v/>
      </c>
      <c r="D1066" s="69" t="str">
        <f>IF(B1066="","",IFERROR(INDEX(mat_unit,MATCH(B1066,mat_ref,0))&amp;"",""))</f>
        <v/>
      </c>
      <c r="E1066" s="72" t="n"/>
      <c r="F1066" s="65" t="n"/>
      <c r="G1066" s="68" t="str">
        <f>IF(J1066&lt;&gt;"OK","",IF(F1066="",N(INDEX(mat_loss,MATCH(B1066,mat_ref,0))),F1066))</f>
        <v/>
      </c>
      <c r="H1066" s="66" t="str">
        <f>IF(J1066&lt;&gt;"OK","",INDEX(mat_price,MATCH(B1066,mat_ref,0)))</f>
        <v/>
      </c>
      <c r="I1066" s="66" t="str">
        <f>IF(J1066&lt;&gt;"OK","",E1066*(1+G1066)*H1066)</f>
        <v/>
      </c>
      <c r="J1066" s="69" t="str">
        <f>IF(AND(A1066="",B1066=""),"",IF(A1066="","Produit manquant",IF(COUNTIF(prod_ref,A1066)=0,"Produit inconnu",IF(B1066="","Matière manquante",IF(ISNA(MATCH(B1066,mat_ref,0)),"Matière inconnue",IF(INDEX(mat_check,MATCH(B1066,mat_ref,0))&lt;&gt;"OK","Matière à corriger",IF(OR(NOT(ISNUMBER(E1066)),N(E1066)&lt;=0),"Quantité invalide",IF(AND(F1066&lt;&gt;"",OR(NOT(ISNUMBER(F1066)),N(F1066)&lt;0,N(F1066)&gt;=1)),"Perte entre 0 et 99 %",IF(COUNTIFS(bom_prod,A1066,bom_mat,B1066)&gt;1,"Matière en double","OK")))))))))</f>
        <v/>
      </c>
      <c r="K1066" s="71" t="str">
        <f>IF(AND(fiche_sel&lt;&gt;"",A1066=fiche_sel),COUNTIF(A$6:A1066,fiche_sel),"")</f>
        <v/>
      </c>
    </row>
    <row r="1067">
      <c r="A1067" s="60" t="n"/>
      <c r="B1067" s="60" t="n"/>
      <c r="C1067" s="71" t="str">
        <f>IF(B1067="","",IFERROR(INDEX(mat_des,MATCH(B1067,mat_ref,0))&amp;"","Matière inconnue"))</f>
        <v/>
      </c>
      <c r="D1067" s="69" t="str">
        <f>IF(B1067="","",IFERROR(INDEX(mat_unit,MATCH(B1067,mat_ref,0))&amp;"",""))</f>
        <v/>
      </c>
      <c r="E1067" s="72" t="n"/>
      <c r="F1067" s="65" t="n"/>
      <c r="G1067" s="68" t="str">
        <f>IF(J1067&lt;&gt;"OK","",IF(F1067="",N(INDEX(mat_loss,MATCH(B1067,mat_ref,0))),F1067))</f>
        <v/>
      </c>
      <c r="H1067" s="66" t="str">
        <f>IF(J1067&lt;&gt;"OK","",INDEX(mat_price,MATCH(B1067,mat_ref,0)))</f>
        <v/>
      </c>
      <c r="I1067" s="66" t="str">
        <f>IF(J1067&lt;&gt;"OK","",E1067*(1+G1067)*H1067)</f>
        <v/>
      </c>
      <c r="J1067" s="69" t="str">
        <f>IF(AND(A1067="",B1067=""),"",IF(A1067="","Produit manquant",IF(COUNTIF(prod_ref,A1067)=0,"Produit inconnu",IF(B1067="","Matière manquante",IF(ISNA(MATCH(B1067,mat_ref,0)),"Matière inconnue",IF(INDEX(mat_check,MATCH(B1067,mat_ref,0))&lt;&gt;"OK","Matière à corriger",IF(OR(NOT(ISNUMBER(E1067)),N(E1067)&lt;=0),"Quantité invalide",IF(AND(F1067&lt;&gt;"",OR(NOT(ISNUMBER(F1067)),N(F1067)&lt;0,N(F1067)&gt;=1)),"Perte entre 0 et 99 %",IF(COUNTIFS(bom_prod,A1067,bom_mat,B1067)&gt;1,"Matière en double","OK")))))))))</f>
        <v/>
      </c>
      <c r="K1067" s="71" t="str">
        <f>IF(AND(fiche_sel&lt;&gt;"",A1067=fiche_sel),COUNTIF(A$6:A1067,fiche_sel),"")</f>
        <v/>
      </c>
    </row>
    <row r="1068">
      <c r="A1068" s="60" t="n"/>
      <c r="B1068" s="60" t="n"/>
      <c r="C1068" s="71" t="str">
        <f>IF(B1068="","",IFERROR(INDEX(mat_des,MATCH(B1068,mat_ref,0))&amp;"","Matière inconnue"))</f>
        <v/>
      </c>
      <c r="D1068" s="69" t="str">
        <f>IF(B1068="","",IFERROR(INDEX(mat_unit,MATCH(B1068,mat_ref,0))&amp;"",""))</f>
        <v/>
      </c>
      <c r="E1068" s="72" t="n"/>
      <c r="F1068" s="65" t="n"/>
      <c r="G1068" s="68" t="str">
        <f>IF(J1068&lt;&gt;"OK","",IF(F1068="",N(INDEX(mat_loss,MATCH(B1068,mat_ref,0))),F1068))</f>
        <v/>
      </c>
      <c r="H1068" s="66" t="str">
        <f>IF(J1068&lt;&gt;"OK","",INDEX(mat_price,MATCH(B1068,mat_ref,0)))</f>
        <v/>
      </c>
      <c r="I1068" s="66" t="str">
        <f>IF(J1068&lt;&gt;"OK","",E1068*(1+G1068)*H1068)</f>
        <v/>
      </c>
      <c r="J1068" s="69" t="str">
        <f>IF(AND(A1068="",B1068=""),"",IF(A1068="","Produit manquant",IF(COUNTIF(prod_ref,A1068)=0,"Produit inconnu",IF(B1068="","Matière manquante",IF(ISNA(MATCH(B1068,mat_ref,0)),"Matière inconnue",IF(INDEX(mat_check,MATCH(B1068,mat_ref,0))&lt;&gt;"OK","Matière à corriger",IF(OR(NOT(ISNUMBER(E1068)),N(E1068)&lt;=0),"Quantité invalide",IF(AND(F1068&lt;&gt;"",OR(NOT(ISNUMBER(F1068)),N(F1068)&lt;0,N(F1068)&gt;=1)),"Perte entre 0 et 99 %",IF(COUNTIFS(bom_prod,A1068,bom_mat,B1068)&gt;1,"Matière en double","OK")))))))))</f>
        <v/>
      </c>
      <c r="K1068" s="71" t="str">
        <f>IF(AND(fiche_sel&lt;&gt;"",A1068=fiche_sel),COUNTIF(A$6:A1068,fiche_sel),"")</f>
        <v/>
      </c>
    </row>
    <row r="1069">
      <c r="A1069" s="60" t="n"/>
      <c r="B1069" s="60" t="n"/>
      <c r="C1069" s="71" t="str">
        <f>IF(B1069="","",IFERROR(INDEX(mat_des,MATCH(B1069,mat_ref,0))&amp;"","Matière inconnue"))</f>
        <v/>
      </c>
      <c r="D1069" s="69" t="str">
        <f>IF(B1069="","",IFERROR(INDEX(mat_unit,MATCH(B1069,mat_ref,0))&amp;"",""))</f>
        <v/>
      </c>
      <c r="E1069" s="72" t="n"/>
      <c r="F1069" s="65" t="n"/>
      <c r="G1069" s="68" t="str">
        <f>IF(J1069&lt;&gt;"OK","",IF(F1069="",N(INDEX(mat_loss,MATCH(B1069,mat_ref,0))),F1069))</f>
        <v/>
      </c>
      <c r="H1069" s="66" t="str">
        <f>IF(J1069&lt;&gt;"OK","",INDEX(mat_price,MATCH(B1069,mat_ref,0)))</f>
        <v/>
      </c>
      <c r="I1069" s="66" t="str">
        <f>IF(J1069&lt;&gt;"OK","",E1069*(1+G1069)*H1069)</f>
        <v/>
      </c>
      <c r="J1069" s="69" t="str">
        <f>IF(AND(A1069="",B1069=""),"",IF(A1069="","Produit manquant",IF(COUNTIF(prod_ref,A1069)=0,"Produit inconnu",IF(B1069="","Matière manquante",IF(ISNA(MATCH(B1069,mat_ref,0)),"Matière inconnue",IF(INDEX(mat_check,MATCH(B1069,mat_ref,0))&lt;&gt;"OK","Matière à corriger",IF(OR(NOT(ISNUMBER(E1069)),N(E1069)&lt;=0),"Quantité invalide",IF(AND(F1069&lt;&gt;"",OR(NOT(ISNUMBER(F1069)),N(F1069)&lt;0,N(F1069)&gt;=1)),"Perte entre 0 et 99 %",IF(COUNTIFS(bom_prod,A1069,bom_mat,B1069)&gt;1,"Matière en double","OK")))))))))</f>
        <v/>
      </c>
      <c r="K1069" s="71" t="str">
        <f>IF(AND(fiche_sel&lt;&gt;"",A1069=fiche_sel),COUNTIF(A$6:A1069,fiche_sel),"")</f>
        <v/>
      </c>
    </row>
    <row r="1070">
      <c r="A1070" s="60" t="n"/>
      <c r="B1070" s="60" t="n"/>
      <c r="C1070" s="71" t="str">
        <f>IF(B1070="","",IFERROR(INDEX(mat_des,MATCH(B1070,mat_ref,0))&amp;"","Matière inconnue"))</f>
        <v/>
      </c>
      <c r="D1070" s="69" t="str">
        <f>IF(B1070="","",IFERROR(INDEX(mat_unit,MATCH(B1070,mat_ref,0))&amp;"",""))</f>
        <v/>
      </c>
      <c r="E1070" s="72" t="n"/>
      <c r="F1070" s="65" t="n"/>
      <c r="G1070" s="68" t="str">
        <f>IF(J1070&lt;&gt;"OK","",IF(F1070="",N(INDEX(mat_loss,MATCH(B1070,mat_ref,0))),F1070))</f>
        <v/>
      </c>
      <c r="H1070" s="66" t="str">
        <f>IF(J1070&lt;&gt;"OK","",INDEX(mat_price,MATCH(B1070,mat_ref,0)))</f>
        <v/>
      </c>
      <c r="I1070" s="66" t="str">
        <f>IF(J1070&lt;&gt;"OK","",E1070*(1+G1070)*H1070)</f>
        <v/>
      </c>
      <c r="J1070" s="69" t="str">
        <f>IF(AND(A1070="",B1070=""),"",IF(A1070="","Produit manquant",IF(COUNTIF(prod_ref,A1070)=0,"Produit inconnu",IF(B1070="","Matière manquante",IF(ISNA(MATCH(B1070,mat_ref,0)),"Matière inconnue",IF(INDEX(mat_check,MATCH(B1070,mat_ref,0))&lt;&gt;"OK","Matière à corriger",IF(OR(NOT(ISNUMBER(E1070)),N(E1070)&lt;=0),"Quantité invalide",IF(AND(F1070&lt;&gt;"",OR(NOT(ISNUMBER(F1070)),N(F1070)&lt;0,N(F1070)&gt;=1)),"Perte entre 0 et 99 %",IF(COUNTIFS(bom_prod,A1070,bom_mat,B1070)&gt;1,"Matière en double","OK")))))))))</f>
        <v/>
      </c>
      <c r="K1070" s="71" t="str">
        <f>IF(AND(fiche_sel&lt;&gt;"",A1070=fiche_sel),COUNTIF(A$6:A1070,fiche_sel),"")</f>
        <v/>
      </c>
    </row>
    <row r="1071">
      <c r="A1071" s="60" t="n"/>
      <c r="B1071" s="60" t="n"/>
      <c r="C1071" s="71" t="str">
        <f>IF(B1071="","",IFERROR(INDEX(mat_des,MATCH(B1071,mat_ref,0))&amp;"","Matière inconnue"))</f>
        <v/>
      </c>
      <c r="D1071" s="69" t="str">
        <f>IF(B1071="","",IFERROR(INDEX(mat_unit,MATCH(B1071,mat_ref,0))&amp;"",""))</f>
        <v/>
      </c>
      <c r="E1071" s="72" t="n"/>
      <c r="F1071" s="65" t="n"/>
      <c r="G1071" s="68" t="str">
        <f>IF(J1071&lt;&gt;"OK","",IF(F1071="",N(INDEX(mat_loss,MATCH(B1071,mat_ref,0))),F1071))</f>
        <v/>
      </c>
      <c r="H1071" s="66" t="str">
        <f>IF(J1071&lt;&gt;"OK","",INDEX(mat_price,MATCH(B1071,mat_ref,0)))</f>
        <v/>
      </c>
      <c r="I1071" s="66" t="str">
        <f>IF(J1071&lt;&gt;"OK","",E1071*(1+G1071)*H1071)</f>
        <v/>
      </c>
      <c r="J1071" s="69" t="str">
        <f>IF(AND(A1071="",B1071=""),"",IF(A1071="","Produit manquant",IF(COUNTIF(prod_ref,A1071)=0,"Produit inconnu",IF(B1071="","Matière manquante",IF(ISNA(MATCH(B1071,mat_ref,0)),"Matière inconnue",IF(INDEX(mat_check,MATCH(B1071,mat_ref,0))&lt;&gt;"OK","Matière à corriger",IF(OR(NOT(ISNUMBER(E1071)),N(E1071)&lt;=0),"Quantité invalide",IF(AND(F1071&lt;&gt;"",OR(NOT(ISNUMBER(F1071)),N(F1071)&lt;0,N(F1071)&gt;=1)),"Perte entre 0 et 99 %",IF(COUNTIFS(bom_prod,A1071,bom_mat,B1071)&gt;1,"Matière en double","OK")))))))))</f>
        <v/>
      </c>
      <c r="K1071" s="71" t="str">
        <f>IF(AND(fiche_sel&lt;&gt;"",A1071=fiche_sel),COUNTIF(A$6:A1071,fiche_sel),"")</f>
        <v/>
      </c>
    </row>
    <row r="1072">
      <c r="A1072" s="60" t="n"/>
      <c r="B1072" s="60" t="n"/>
      <c r="C1072" s="71" t="str">
        <f>IF(B1072="","",IFERROR(INDEX(mat_des,MATCH(B1072,mat_ref,0))&amp;"","Matière inconnue"))</f>
        <v/>
      </c>
      <c r="D1072" s="69" t="str">
        <f>IF(B1072="","",IFERROR(INDEX(mat_unit,MATCH(B1072,mat_ref,0))&amp;"",""))</f>
        <v/>
      </c>
      <c r="E1072" s="72" t="n"/>
      <c r="F1072" s="65" t="n"/>
      <c r="G1072" s="68" t="str">
        <f>IF(J1072&lt;&gt;"OK","",IF(F1072="",N(INDEX(mat_loss,MATCH(B1072,mat_ref,0))),F1072))</f>
        <v/>
      </c>
      <c r="H1072" s="66" t="str">
        <f>IF(J1072&lt;&gt;"OK","",INDEX(mat_price,MATCH(B1072,mat_ref,0)))</f>
        <v/>
      </c>
      <c r="I1072" s="66" t="str">
        <f>IF(J1072&lt;&gt;"OK","",E1072*(1+G1072)*H1072)</f>
        <v/>
      </c>
      <c r="J1072" s="69" t="str">
        <f>IF(AND(A1072="",B1072=""),"",IF(A1072="","Produit manquant",IF(COUNTIF(prod_ref,A1072)=0,"Produit inconnu",IF(B1072="","Matière manquante",IF(ISNA(MATCH(B1072,mat_ref,0)),"Matière inconnue",IF(INDEX(mat_check,MATCH(B1072,mat_ref,0))&lt;&gt;"OK","Matière à corriger",IF(OR(NOT(ISNUMBER(E1072)),N(E1072)&lt;=0),"Quantité invalide",IF(AND(F1072&lt;&gt;"",OR(NOT(ISNUMBER(F1072)),N(F1072)&lt;0,N(F1072)&gt;=1)),"Perte entre 0 et 99 %",IF(COUNTIFS(bom_prod,A1072,bom_mat,B1072)&gt;1,"Matière en double","OK")))))))))</f>
        <v/>
      </c>
      <c r="K1072" s="71" t="str">
        <f>IF(AND(fiche_sel&lt;&gt;"",A1072=fiche_sel),COUNTIF(A$6:A1072,fiche_sel),"")</f>
        <v/>
      </c>
    </row>
    <row r="1073">
      <c r="A1073" s="60" t="n"/>
      <c r="B1073" s="60" t="n"/>
      <c r="C1073" s="71" t="str">
        <f>IF(B1073="","",IFERROR(INDEX(mat_des,MATCH(B1073,mat_ref,0))&amp;"","Matière inconnue"))</f>
        <v/>
      </c>
      <c r="D1073" s="69" t="str">
        <f>IF(B1073="","",IFERROR(INDEX(mat_unit,MATCH(B1073,mat_ref,0))&amp;"",""))</f>
        <v/>
      </c>
      <c r="E1073" s="72" t="n"/>
      <c r="F1073" s="65" t="n"/>
      <c r="G1073" s="68" t="str">
        <f>IF(J1073&lt;&gt;"OK","",IF(F1073="",N(INDEX(mat_loss,MATCH(B1073,mat_ref,0))),F1073))</f>
        <v/>
      </c>
      <c r="H1073" s="66" t="str">
        <f>IF(J1073&lt;&gt;"OK","",INDEX(mat_price,MATCH(B1073,mat_ref,0)))</f>
        <v/>
      </c>
      <c r="I1073" s="66" t="str">
        <f>IF(J1073&lt;&gt;"OK","",E1073*(1+G1073)*H1073)</f>
        <v/>
      </c>
      <c r="J1073" s="69" t="str">
        <f>IF(AND(A1073="",B1073=""),"",IF(A1073="","Produit manquant",IF(COUNTIF(prod_ref,A1073)=0,"Produit inconnu",IF(B1073="","Matière manquante",IF(ISNA(MATCH(B1073,mat_ref,0)),"Matière inconnue",IF(INDEX(mat_check,MATCH(B1073,mat_ref,0))&lt;&gt;"OK","Matière à corriger",IF(OR(NOT(ISNUMBER(E1073)),N(E1073)&lt;=0),"Quantité invalide",IF(AND(F1073&lt;&gt;"",OR(NOT(ISNUMBER(F1073)),N(F1073)&lt;0,N(F1073)&gt;=1)),"Perte entre 0 et 99 %",IF(COUNTIFS(bom_prod,A1073,bom_mat,B1073)&gt;1,"Matière en double","OK")))))))))</f>
        <v/>
      </c>
      <c r="K1073" s="71" t="str">
        <f>IF(AND(fiche_sel&lt;&gt;"",A1073=fiche_sel),COUNTIF(A$6:A1073,fiche_sel),"")</f>
        <v/>
      </c>
    </row>
    <row r="1074">
      <c r="A1074" s="60" t="n"/>
      <c r="B1074" s="60" t="n"/>
      <c r="C1074" s="71" t="str">
        <f>IF(B1074="","",IFERROR(INDEX(mat_des,MATCH(B1074,mat_ref,0))&amp;"","Matière inconnue"))</f>
        <v/>
      </c>
      <c r="D1074" s="69" t="str">
        <f>IF(B1074="","",IFERROR(INDEX(mat_unit,MATCH(B1074,mat_ref,0))&amp;"",""))</f>
        <v/>
      </c>
      <c r="E1074" s="72" t="n"/>
      <c r="F1074" s="65" t="n"/>
      <c r="G1074" s="68" t="str">
        <f>IF(J1074&lt;&gt;"OK","",IF(F1074="",N(INDEX(mat_loss,MATCH(B1074,mat_ref,0))),F1074))</f>
        <v/>
      </c>
      <c r="H1074" s="66" t="str">
        <f>IF(J1074&lt;&gt;"OK","",INDEX(mat_price,MATCH(B1074,mat_ref,0)))</f>
        <v/>
      </c>
      <c r="I1074" s="66" t="str">
        <f>IF(J1074&lt;&gt;"OK","",E1074*(1+G1074)*H1074)</f>
        <v/>
      </c>
      <c r="J1074" s="69" t="str">
        <f>IF(AND(A1074="",B1074=""),"",IF(A1074="","Produit manquant",IF(COUNTIF(prod_ref,A1074)=0,"Produit inconnu",IF(B1074="","Matière manquante",IF(ISNA(MATCH(B1074,mat_ref,0)),"Matière inconnue",IF(INDEX(mat_check,MATCH(B1074,mat_ref,0))&lt;&gt;"OK","Matière à corriger",IF(OR(NOT(ISNUMBER(E1074)),N(E1074)&lt;=0),"Quantité invalide",IF(AND(F1074&lt;&gt;"",OR(NOT(ISNUMBER(F1074)),N(F1074)&lt;0,N(F1074)&gt;=1)),"Perte entre 0 et 99 %",IF(COUNTIFS(bom_prod,A1074,bom_mat,B1074)&gt;1,"Matière en double","OK")))))))))</f>
        <v/>
      </c>
      <c r="K1074" s="71" t="str">
        <f>IF(AND(fiche_sel&lt;&gt;"",A1074=fiche_sel),COUNTIF(A$6:A1074,fiche_sel),"")</f>
        <v/>
      </c>
    </row>
    <row r="1075">
      <c r="A1075" s="60" t="n"/>
      <c r="B1075" s="60" t="n"/>
      <c r="C1075" s="71" t="str">
        <f>IF(B1075="","",IFERROR(INDEX(mat_des,MATCH(B1075,mat_ref,0))&amp;"","Matière inconnue"))</f>
        <v/>
      </c>
      <c r="D1075" s="69" t="str">
        <f>IF(B1075="","",IFERROR(INDEX(mat_unit,MATCH(B1075,mat_ref,0))&amp;"",""))</f>
        <v/>
      </c>
      <c r="E1075" s="72" t="n"/>
      <c r="F1075" s="65" t="n"/>
      <c r="G1075" s="68" t="str">
        <f>IF(J1075&lt;&gt;"OK","",IF(F1075="",N(INDEX(mat_loss,MATCH(B1075,mat_ref,0))),F1075))</f>
        <v/>
      </c>
      <c r="H1075" s="66" t="str">
        <f>IF(J1075&lt;&gt;"OK","",INDEX(mat_price,MATCH(B1075,mat_ref,0)))</f>
        <v/>
      </c>
      <c r="I1075" s="66" t="str">
        <f>IF(J1075&lt;&gt;"OK","",E1075*(1+G1075)*H1075)</f>
        <v/>
      </c>
      <c r="J1075" s="69" t="str">
        <f>IF(AND(A1075="",B1075=""),"",IF(A1075="","Produit manquant",IF(COUNTIF(prod_ref,A1075)=0,"Produit inconnu",IF(B1075="","Matière manquante",IF(ISNA(MATCH(B1075,mat_ref,0)),"Matière inconnue",IF(INDEX(mat_check,MATCH(B1075,mat_ref,0))&lt;&gt;"OK","Matière à corriger",IF(OR(NOT(ISNUMBER(E1075)),N(E1075)&lt;=0),"Quantité invalide",IF(AND(F1075&lt;&gt;"",OR(NOT(ISNUMBER(F1075)),N(F1075)&lt;0,N(F1075)&gt;=1)),"Perte entre 0 et 99 %",IF(COUNTIFS(bom_prod,A1075,bom_mat,B1075)&gt;1,"Matière en double","OK")))))))))</f>
        <v/>
      </c>
      <c r="K1075" s="71" t="str">
        <f>IF(AND(fiche_sel&lt;&gt;"",A1075=fiche_sel),COUNTIF(A$6:A1075,fiche_sel),"")</f>
        <v/>
      </c>
    </row>
    <row r="1076">
      <c r="A1076" s="60" t="n"/>
      <c r="B1076" s="60" t="n"/>
      <c r="C1076" s="71" t="str">
        <f>IF(B1076="","",IFERROR(INDEX(mat_des,MATCH(B1076,mat_ref,0))&amp;"","Matière inconnue"))</f>
        <v/>
      </c>
      <c r="D1076" s="69" t="str">
        <f>IF(B1076="","",IFERROR(INDEX(mat_unit,MATCH(B1076,mat_ref,0))&amp;"",""))</f>
        <v/>
      </c>
      <c r="E1076" s="72" t="n"/>
      <c r="F1076" s="65" t="n"/>
      <c r="G1076" s="68" t="str">
        <f>IF(J1076&lt;&gt;"OK","",IF(F1076="",N(INDEX(mat_loss,MATCH(B1076,mat_ref,0))),F1076))</f>
        <v/>
      </c>
      <c r="H1076" s="66" t="str">
        <f>IF(J1076&lt;&gt;"OK","",INDEX(mat_price,MATCH(B1076,mat_ref,0)))</f>
        <v/>
      </c>
      <c r="I1076" s="66" t="str">
        <f>IF(J1076&lt;&gt;"OK","",E1076*(1+G1076)*H1076)</f>
        <v/>
      </c>
      <c r="J1076" s="69" t="str">
        <f>IF(AND(A1076="",B1076=""),"",IF(A1076="","Produit manquant",IF(COUNTIF(prod_ref,A1076)=0,"Produit inconnu",IF(B1076="","Matière manquante",IF(ISNA(MATCH(B1076,mat_ref,0)),"Matière inconnue",IF(INDEX(mat_check,MATCH(B1076,mat_ref,0))&lt;&gt;"OK","Matière à corriger",IF(OR(NOT(ISNUMBER(E1076)),N(E1076)&lt;=0),"Quantité invalide",IF(AND(F1076&lt;&gt;"",OR(NOT(ISNUMBER(F1076)),N(F1076)&lt;0,N(F1076)&gt;=1)),"Perte entre 0 et 99 %",IF(COUNTIFS(bom_prod,A1076,bom_mat,B1076)&gt;1,"Matière en double","OK")))))))))</f>
        <v/>
      </c>
      <c r="K1076" s="71" t="str">
        <f>IF(AND(fiche_sel&lt;&gt;"",A1076=fiche_sel),COUNTIF(A$6:A1076,fiche_sel),"")</f>
        <v/>
      </c>
    </row>
    <row r="1077">
      <c r="A1077" s="60" t="n"/>
      <c r="B1077" s="60" t="n"/>
      <c r="C1077" s="71" t="str">
        <f>IF(B1077="","",IFERROR(INDEX(mat_des,MATCH(B1077,mat_ref,0))&amp;"","Matière inconnue"))</f>
        <v/>
      </c>
      <c r="D1077" s="69" t="str">
        <f>IF(B1077="","",IFERROR(INDEX(mat_unit,MATCH(B1077,mat_ref,0))&amp;"",""))</f>
        <v/>
      </c>
      <c r="E1077" s="72" t="n"/>
      <c r="F1077" s="65" t="n"/>
      <c r="G1077" s="68" t="str">
        <f>IF(J1077&lt;&gt;"OK","",IF(F1077="",N(INDEX(mat_loss,MATCH(B1077,mat_ref,0))),F1077))</f>
        <v/>
      </c>
      <c r="H1077" s="66" t="str">
        <f>IF(J1077&lt;&gt;"OK","",INDEX(mat_price,MATCH(B1077,mat_ref,0)))</f>
        <v/>
      </c>
      <c r="I1077" s="66" t="str">
        <f>IF(J1077&lt;&gt;"OK","",E1077*(1+G1077)*H1077)</f>
        <v/>
      </c>
      <c r="J1077" s="69" t="str">
        <f>IF(AND(A1077="",B1077=""),"",IF(A1077="","Produit manquant",IF(COUNTIF(prod_ref,A1077)=0,"Produit inconnu",IF(B1077="","Matière manquante",IF(ISNA(MATCH(B1077,mat_ref,0)),"Matière inconnue",IF(INDEX(mat_check,MATCH(B1077,mat_ref,0))&lt;&gt;"OK","Matière à corriger",IF(OR(NOT(ISNUMBER(E1077)),N(E1077)&lt;=0),"Quantité invalide",IF(AND(F1077&lt;&gt;"",OR(NOT(ISNUMBER(F1077)),N(F1077)&lt;0,N(F1077)&gt;=1)),"Perte entre 0 et 99 %",IF(COUNTIFS(bom_prod,A1077,bom_mat,B1077)&gt;1,"Matière en double","OK")))))))))</f>
        <v/>
      </c>
      <c r="K1077" s="71" t="str">
        <f>IF(AND(fiche_sel&lt;&gt;"",A1077=fiche_sel),COUNTIF(A$6:A1077,fiche_sel),"")</f>
        <v/>
      </c>
    </row>
    <row r="1078">
      <c r="A1078" s="60" t="n"/>
      <c r="B1078" s="60" t="n"/>
      <c r="C1078" s="71" t="str">
        <f>IF(B1078="","",IFERROR(INDEX(mat_des,MATCH(B1078,mat_ref,0))&amp;"","Matière inconnue"))</f>
        <v/>
      </c>
      <c r="D1078" s="69" t="str">
        <f>IF(B1078="","",IFERROR(INDEX(mat_unit,MATCH(B1078,mat_ref,0))&amp;"",""))</f>
        <v/>
      </c>
      <c r="E1078" s="72" t="n"/>
      <c r="F1078" s="65" t="n"/>
      <c r="G1078" s="68" t="str">
        <f>IF(J1078&lt;&gt;"OK","",IF(F1078="",N(INDEX(mat_loss,MATCH(B1078,mat_ref,0))),F1078))</f>
        <v/>
      </c>
      <c r="H1078" s="66" t="str">
        <f>IF(J1078&lt;&gt;"OK","",INDEX(mat_price,MATCH(B1078,mat_ref,0)))</f>
        <v/>
      </c>
      <c r="I1078" s="66" t="str">
        <f>IF(J1078&lt;&gt;"OK","",E1078*(1+G1078)*H1078)</f>
        <v/>
      </c>
      <c r="J1078" s="69" t="str">
        <f>IF(AND(A1078="",B1078=""),"",IF(A1078="","Produit manquant",IF(COUNTIF(prod_ref,A1078)=0,"Produit inconnu",IF(B1078="","Matière manquante",IF(ISNA(MATCH(B1078,mat_ref,0)),"Matière inconnue",IF(INDEX(mat_check,MATCH(B1078,mat_ref,0))&lt;&gt;"OK","Matière à corriger",IF(OR(NOT(ISNUMBER(E1078)),N(E1078)&lt;=0),"Quantité invalide",IF(AND(F1078&lt;&gt;"",OR(NOT(ISNUMBER(F1078)),N(F1078)&lt;0,N(F1078)&gt;=1)),"Perte entre 0 et 99 %",IF(COUNTIFS(bom_prod,A1078,bom_mat,B1078)&gt;1,"Matière en double","OK")))))))))</f>
        <v/>
      </c>
      <c r="K1078" s="71" t="str">
        <f>IF(AND(fiche_sel&lt;&gt;"",A1078=fiche_sel),COUNTIF(A$6:A1078,fiche_sel),"")</f>
        <v/>
      </c>
    </row>
    <row r="1079">
      <c r="A1079" s="60" t="n"/>
      <c r="B1079" s="60" t="n"/>
      <c r="C1079" s="71" t="str">
        <f>IF(B1079="","",IFERROR(INDEX(mat_des,MATCH(B1079,mat_ref,0))&amp;"","Matière inconnue"))</f>
        <v/>
      </c>
      <c r="D1079" s="69" t="str">
        <f>IF(B1079="","",IFERROR(INDEX(mat_unit,MATCH(B1079,mat_ref,0))&amp;"",""))</f>
        <v/>
      </c>
      <c r="E1079" s="72" t="n"/>
      <c r="F1079" s="65" t="n"/>
      <c r="G1079" s="68" t="str">
        <f>IF(J1079&lt;&gt;"OK","",IF(F1079="",N(INDEX(mat_loss,MATCH(B1079,mat_ref,0))),F1079))</f>
        <v/>
      </c>
      <c r="H1079" s="66" t="str">
        <f>IF(J1079&lt;&gt;"OK","",INDEX(mat_price,MATCH(B1079,mat_ref,0)))</f>
        <v/>
      </c>
      <c r="I1079" s="66" t="str">
        <f>IF(J1079&lt;&gt;"OK","",E1079*(1+G1079)*H1079)</f>
        <v/>
      </c>
      <c r="J1079" s="69" t="str">
        <f>IF(AND(A1079="",B1079=""),"",IF(A1079="","Produit manquant",IF(COUNTIF(prod_ref,A1079)=0,"Produit inconnu",IF(B1079="","Matière manquante",IF(ISNA(MATCH(B1079,mat_ref,0)),"Matière inconnue",IF(INDEX(mat_check,MATCH(B1079,mat_ref,0))&lt;&gt;"OK","Matière à corriger",IF(OR(NOT(ISNUMBER(E1079)),N(E1079)&lt;=0),"Quantité invalide",IF(AND(F1079&lt;&gt;"",OR(NOT(ISNUMBER(F1079)),N(F1079)&lt;0,N(F1079)&gt;=1)),"Perte entre 0 et 99 %",IF(COUNTIFS(bom_prod,A1079,bom_mat,B1079)&gt;1,"Matière en double","OK")))))))))</f>
        <v/>
      </c>
      <c r="K1079" s="71" t="str">
        <f>IF(AND(fiche_sel&lt;&gt;"",A1079=fiche_sel),COUNTIF(A$6:A1079,fiche_sel),"")</f>
        <v/>
      </c>
    </row>
    <row r="1080">
      <c r="A1080" s="60" t="n"/>
      <c r="B1080" s="60" t="n"/>
      <c r="C1080" s="71" t="str">
        <f>IF(B1080="","",IFERROR(INDEX(mat_des,MATCH(B1080,mat_ref,0))&amp;"","Matière inconnue"))</f>
        <v/>
      </c>
      <c r="D1080" s="69" t="str">
        <f>IF(B1080="","",IFERROR(INDEX(mat_unit,MATCH(B1080,mat_ref,0))&amp;"",""))</f>
        <v/>
      </c>
      <c r="E1080" s="72" t="n"/>
      <c r="F1080" s="65" t="n"/>
      <c r="G1080" s="68" t="str">
        <f>IF(J1080&lt;&gt;"OK","",IF(F1080="",N(INDEX(mat_loss,MATCH(B1080,mat_ref,0))),F1080))</f>
        <v/>
      </c>
      <c r="H1080" s="66" t="str">
        <f>IF(J1080&lt;&gt;"OK","",INDEX(mat_price,MATCH(B1080,mat_ref,0)))</f>
        <v/>
      </c>
      <c r="I1080" s="66" t="str">
        <f>IF(J1080&lt;&gt;"OK","",E1080*(1+G1080)*H1080)</f>
        <v/>
      </c>
      <c r="J1080" s="69" t="str">
        <f>IF(AND(A1080="",B1080=""),"",IF(A1080="","Produit manquant",IF(COUNTIF(prod_ref,A1080)=0,"Produit inconnu",IF(B1080="","Matière manquante",IF(ISNA(MATCH(B1080,mat_ref,0)),"Matière inconnue",IF(INDEX(mat_check,MATCH(B1080,mat_ref,0))&lt;&gt;"OK","Matière à corriger",IF(OR(NOT(ISNUMBER(E1080)),N(E1080)&lt;=0),"Quantité invalide",IF(AND(F1080&lt;&gt;"",OR(NOT(ISNUMBER(F1080)),N(F1080)&lt;0,N(F1080)&gt;=1)),"Perte entre 0 et 99 %",IF(COUNTIFS(bom_prod,A1080,bom_mat,B1080)&gt;1,"Matière en double","OK")))))))))</f>
        <v/>
      </c>
      <c r="K1080" s="71" t="str">
        <f>IF(AND(fiche_sel&lt;&gt;"",A1080=fiche_sel),COUNTIF(A$6:A1080,fiche_sel),"")</f>
        <v/>
      </c>
    </row>
    <row r="1081">
      <c r="A1081" s="60" t="n"/>
      <c r="B1081" s="60" t="n"/>
      <c r="C1081" s="71" t="str">
        <f>IF(B1081="","",IFERROR(INDEX(mat_des,MATCH(B1081,mat_ref,0))&amp;"","Matière inconnue"))</f>
        <v/>
      </c>
      <c r="D1081" s="69" t="str">
        <f>IF(B1081="","",IFERROR(INDEX(mat_unit,MATCH(B1081,mat_ref,0))&amp;"",""))</f>
        <v/>
      </c>
      <c r="E1081" s="72" t="n"/>
      <c r="F1081" s="65" t="n"/>
      <c r="G1081" s="68" t="str">
        <f>IF(J1081&lt;&gt;"OK","",IF(F1081="",N(INDEX(mat_loss,MATCH(B1081,mat_ref,0))),F1081))</f>
        <v/>
      </c>
      <c r="H1081" s="66" t="str">
        <f>IF(J1081&lt;&gt;"OK","",INDEX(mat_price,MATCH(B1081,mat_ref,0)))</f>
        <v/>
      </c>
      <c r="I1081" s="66" t="str">
        <f>IF(J1081&lt;&gt;"OK","",E1081*(1+G1081)*H1081)</f>
        <v/>
      </c>
      <c r="J1081" s="69" t="str">
        <f>IF(AND(A1081="",B1081=""),"",IF(A1081="","Produit manquant",IF(COUNTIF(prod_ref,A1081)=0,"Produit inconnu",IF(B1081="","Matière manquante",IF(ISNA(MATCH(B1081,mat_ref,0)),"Matière inconnue",IF(INDEX(mat_check,MATCH(B1081,mat_ref,0))&lt;&gt;"OK","Matière à corriger",IF(OR(NOT(ISNUMBER(E1081)),N(E1081)&lt;=0),"Quantité invalide",IF(AND(F1081&lt;&gt;"",OR(NOT(ISNUMBER(F1081)),N(F1081)&lt;0,N(F1081)&gt;=1)),"Perte entre 0 et 99 %",IF(COUNTIFS(bom_prod,A1081,bom_mat,B1081)&gt;1,"Matière en double","OK")))))))))</f>
        <v/>
      </c>
      <c r="K1081" s="71" t="str">
        <f>IF(AND(fiche_sel&lt;&gt;"",A1081=fiche_sel),COUNTIF(A$6:A1081,fiche_sel),"")</f>
        <v/>
      </c>
    </row>
    <row r="1082">
      <c r="A1082" s="60" t="n"/>
      <c r="B1082" s="60" t="n"/>
      <c r="C1082" s="71" t="str">
        <f>IF(B1082="","",IFERROR(INDEX(mat_des,MATCH(B1082,mat_ref,0))&amp;"","Matière inconnue"))</f>
        <v/>
      </c>
      <c r="D1082" s="69" t="str">
        <f>IF(B1082="","",IFERROR(INDEX(mat_unit,MATCH(B1082,mat_ref,0))&amp;"",""))</f>
        <v/>
      </c>
      <c r="E1082" s="72" t="n"/>
      <c r="F1082" s="65" t="n"/>
      <c r="G1082" s="68" t="str">
        <f>IF(J1082&lt;&gt;"OK","",IF(F1082="",N(INDEX(mat_loss,MATCH(B1082,mat_ref,0))),F1082))</f>
        <v/>
      </c>
      <c r="H1082" s="66" t="str">
        <f>IF(J1082&lt;&gt;"OK","",INDEX(mat_price,MATCH(B1082,mat_ref,0)))</f>
        <v/>
      </c>
      <c r="I1082" s="66" t="str">
        <f>IF(J1082&lt;&gt;"OK","",E1082*(1+G1082)*H1082)</f>
        <v/>
      </c>
      <c r="J1082" s="69" t="str">
        <f>IF(AND(A1082="",B1082=""),"",IF(A1082="","Produit manquant",IF(COUNTIF(prod_ref,A1082)=0,"Produit inconnu",IF(B1082="","Matière manquante",IF(ISNA(MATCH(B1082,mat_ref,0)),"Matière inconnue",IF(INDEX(mat_check,MATCH(B1082,mat_ref,0))&lt;&gt;"OK","Matière à corriger",IF(OR(NOT(ISNUMBER(E1082)),N(E1082)&lt;=0),"Quantité invalide",IF(AND(F1082&lt;&gt;"",OR(NOT(ISNUMBER(F1082)),N(F1082)&lt;0,N(F1082)&gt;=1)),"Perte entre 0 et 99 %",IF(COUNTIFS(bom_prod,A1082,bom_mat,B1082)&gt;1,"Matière en double","OK")))))))))</f>
        <v/>
      </c>
      <c r="K1082" s="71" t="str">
        <f>IF(AND(fiche_sel&lt;&gt;"",A1082=fiche_sel),COUNTIF(A$6:A1082,fiche_sel),"")</f>
        <v/>
      </c>
    </row>
    <row r="1083">
      <c r="A1083" s="60" t="n"/>
      <c r="B1083" s="60" t="n"/>
      <c r="C1083" s="71" t="str">
        <f>IF(B1083="","",IFERROR(INDEX(mat_des,MATCH(B1083,mat_ref,0))&amp;"","Matière inconnue"))</f>
        <v/>
      </c>
      <c r="D1083" s="69" t="str">
        <f>IF(B1083="","",IFERROR(INDEX(mat_unit,MATCH(B1083,mat_ref,0))&amp;"",""))</f>
        <v/>
      </c>
      <c r="E1083" s="72" t="n"/>
      <c r="F1083" s="65" t="n"/>
      <c r="G1083" s="68" t="str">
        <f>IF(J1083&lt;&gt;"OK","",IF(F1083="",N(INDEX(mat_loss,MATCH(B1083,mat_ref,0))),F1083))</f>
        <v/>
      </c>
      <c r="H1083" s="66" t="str">
        <f>IF(J1083&lt;&gt;"OK","",INDEX(mat_price,MATCH(B1083,mat_ref,0)))</f>
        <v/>
      </c>
      <c r="I1083" s="66" t="str">
        <f>IF(J1083&lt;&gt;"OK","",E1083*(1+G1083)*H1083)</f>
        <v/>
      </c>
      <c r="J1083" s="69" t="str">
        <f>IF(AND(A1083="",B1083=""),"",IF(A1083="","Produit manquant",IF(COUNTIF(prod_ref,A1083)=0,"Produit inconnu",IF(B1083="","Matière manquante",IF(ISNA(MATCH(B1083,mat_ref,0)),"Matière inconnue",IF(INDEX(mat_check,MATCH(B1083,mat_ref,0))&lt;&gt;"OK","Matière à corriger",IF(OR(NOT(ISNUMBER(E1083)),N(E1083)&lt;=0),"Quantité invalide",IF(AND(F1083&lt;&gt;"",OR(NOT(ISNUMBER(F1083)),N(F1083)&lt;0,N(F1083)&gt;=1)),"Perte entre 0 et 99 %",IF(COUNTIFS(bom_prod,A1083,bom_mat,B1083)&gt;1,"Matière en double","OK")))))))))</f>
        <v/>
      </c>
      <c r="K1083" s="71" t="str">
        <f>IF(AND(fiche_sel&lt;&gt;"",A1083=fiche_sel),COUNTIF(A$6:A1083,fiche_sel),"")</f>
        <v/>
      </c>
    </row>
    <row r="1084">
      <c r="A1084" s="60" t="n"/>
      <c r="B1084" s="60" t="n"/>
      <c r="C1084" s="71" t="str">
        <f>IF(B1084="","",IFERROR(INDEX(mat_des,MATCH(B1084,mat_ref,0))&amp;"","Matière inconnue"))</f>
        <v/>
      </c>
      <c r="D1084" s="69" t="str">
        <f>IF(B1084="","",IFERROR(INDEX(mat_unit,MATCH(B1084,mat_ref,0))&amp;"",""))</f>
        <v/>
      </c>
      <c r="E1084" s="72" t="n"/>
      <c r="F1084" s="65" t="n"/>
      <c r="G1084" s="68" t="str">
        <f>IF(J1084&lt;&gt;"OK","",IF(F1084="",N(INDEX(mat_loss,MATCH(B1084,mat_ref,0))),F1084))</f>
        <v/>
      </c>
      <c r="H1084" s="66" t="str">
        <f>IF(J1084&lt;&gt;"OK","",INDEX(mat_price,MATCH(B1084,mat_ref,0)))</f>
        <v/>
      </c>
      <c r="I1084" s="66" t="str">
        <f>IF(J1084&lt;&gt;"OK","",E1084*(1+G1084)*H1084)</f>
        <v/>
      </c>
      <c r="J1084" s="69" t="str">
        <f>IF(AND(A1084="",B1084=""),"",IF(A1084="","Produit manquant",IF(COUNTIF(prod_ref,A1084)=0,"Produit inconnu",IF(B1084="","Matière manquante",IF(ISNA(MATCH(B1084,mat_ref,0)),"Matière inconnue",IF(INDEX(mat_check,MATCH(B1084,mat_ref,0))&lt;&gt;"OK","Matière à corriger",IF(OR(NOT(ISNUMBER(E1084)),N(E1084)&lt;=0),"Quantité invalide",IF(AND(F1084&lt;&gt;"",OR(NOT(ISNUMBER(F1084)),N(F1084)&lt;0,N(F1084)&gt;=1)),"Perte entre 0 et 99 %",IF(COUNTIFS(bom_prod,A1084,bom_mat,B1084)&gt;1,"Matière en double","OK")))))))))</f>
        <v/>
      </c>
      <c r="K1084" s="71" t="str">
        <f>IF(AND(fiche_sel&lt;&gt;"",A1084=fiche_sel),COUNTIF(A$6:A1084,fiche_sel),"")</f>
        <v/>
      </c>
    </row>
    <row r="1085">
      <c r="A1085" s="60" t="n"/>
      <c r="B1085" s="60" t="n"/>
      <c r="C1085" s="71" t="str">
        <f>IF(B1085="","",IFERROR(INDEX(mat_des,MATCH(B1085,mat_ref,0))&amp;"","Matière inconnue"))</f>
        <v/>
      </c>
      <c r="D1085" s="69" t="str">
        <f>IF(B1085="","",IFERROR(INDEX(mat_unit,MATCH(B1085,mat_ref,0))&amp;"",""))</f>
        <v/>
      </c>
      <c r="E1085" s="72" t="n"/>
      <c r="F1085" s="65" t="n"/>
      <c r="G1085" s="68" t="str">
        <f>IF(J1085&lt;&gt;"OK","",IF(F1085="",N(INDEX(mat_loss,MATCH(B1085,mat_ref,0))),F1085))</f>
        <v/>
      </c>
      <c r="H1085" s="66" t="str">
        <f>IF(J1085&lt;&gt;"OK","",INDEX(mat_price,MATCH(B1085,mat_ref,0)))</f>
        <v/>
      </c>
      <c r="I1085" s="66" t="str">
        <f>IF(J1085&lt;&gt;"OK","",E1085*(1+G1085)*H1085)</f>
        <v/>
      </c>
      <c r="J1085" s="69" t="str">
        <f>IF(AND(A1085="",B1085=""),"",IF(A1085="","Produit manquant",IF(COUNTIF(prod_ref,A1085)=0,"Produit inconnu",IF(B1085="","Matière manquante",IF(ISNA(MATCH(B1085,mat_ref,0)),"Matière inconnue",IF(INDEX(mat_check,MATCH(B1085,mat_ref,0))&lt;&gt;"OK","Matière à corriger",IF(OR(NOT(ISNUMBER(E1085)),N(E1085)&lt;=0),"Quantité invalide",IF(AND(F1085&lt;&gt;"",OR(NOT(ISNUMBER(F1085)),N(F1085)&lt;0,N(F1085)&gt;=1)),"Perte entre 0 et 99 %",IF(COUNTIFS(bom_prod,A1085,bom_mat,B1085)&gt;1,"Matière en double","OK")))))))))</f>
        <v/>
      </c>
      <c r="K1085" s="71" t="str">
        <f>IF(AND(fiche_sel&lt;&gt;"",A1085=fiche_sel),COUNTIF(A$6:A1085,fiche_sel),"")</f>
        <v/>
      </c>
    </row>
    <row r="1086">
      <c r="A1086" s="60" t="n"/>
      <c r="B1086" s="60" t="n"/>
      <c r="C1086" s="71" t="str">
        <f>IF(B1086="","",IFERROR(INDEX(mat_des,MATCH(B1086,mat_ref,0))&amp;"","Matière inconnue"))</f>
        <v/>
      </c>
      <c r="D1086" s="69" t="str">
        <f>IF(B1086="","",IFERROR(INDEX(mat_unit,MATCH(B1086,mat_ref,0))&amp;"",""))</f>
        <v/>
      </c>
      <c r="E1086" s="72" t="n"/>
      <c r="F1086" s="65" t="n"/>
      <c r="G1086" s="68" t="str">
        <f>IF(J1086&lt;&gt;"OK","",IF(F1086="",N(INDEX(mat_loss,MATCH(B1086,mat_ref,0))),F1086))</f>
        <v/>
      </c>
      <c r="H1086" s="66" t="str">
        <f>IF(J1086&lt;&gt;"OK","",INDEX(mat_price,MATCH(B1086,mat_ref,0)))</f>
        <v/>
      </c>
      <c r="I1086" s="66" t="str">
        <f>IF(J1086&lt;&gt;"OK","",E1086*(1+G1086)*H1086)</f>
        <v/>
      </c>
      <c r="J1086" s="69" t="str">
        <f>IF(AND(A1086="",B1086=""),"",IF(A1086="","Produit manquant",IF(COUNTIF(prod_ref,A1086)=0,"Produit inconnu",IF(B1086="","Matière manquante",IF(ISNA(MATCH(B1086,mat_ref,0)),"Matière inconnue",IF(INDEX(mat_check,MATCH(B1086,mat_ref,0))&lt;&gt;"OK","Matière à corriger",IF(OR(NOT(ISNUMBER(E1086)),N(E1086)&lt;=0),"Quantité invalide",IF(AND(F1086&lt;&gt;"",OR(NOT(ISNUMBER(F1086)),N(F1086)&lt;0,N(F1086)&gt;=1)),"Perte entre 0 et 99 %",IF(COUNTIFS(bom_prod,A1086,bom_mat,B1086)&gt;1,"Matière en double","OK")))))))))</f>
        <v/>
      </c>
      <c r="K1086" s="71" t="str">
        <f>IF(AND(fiche_sel&lt;&gt;"",A1086=fiche_sel),COUNTIF(A$6:A1086,fiche_sel),"")</f>
        <v/>
      </c>
    </row>
    <row r="1087">
      <c r="A1087" s="60" t="n"/>
      <c r="B1087" s="60" t="n"/>
      <c r="C1087" s="71" t="str">
        <f>IF(B1087="","",IFERROR(INDEX(mat_des,MATCH(B1087,mat_ref,0))&amp;"","Matière inconnue"))</f>
        <v/>
      </c>
      <c r="D1087" s="69" t="str">
        <f>IF(B1087="","",IFERROR(INDEX(mat_unit,MATCH(B1087,mat_ref,0))&amp;"",""))</f>
        <v/>
      </c>
      <c r="E1087" s="72" t="n"/>
      <c r="F1087" s="65" t="n"/>
      <c r="G1087" s="68" t="str">
        <f>IF(J1087&lt;&gt;"OK","",IF(F1087="",N(INDEX(mat_loss,MATCH(B1087,mat_ref,0))),F1087))</f>
        <v/>
      </c>
      <c r="H1087" s="66" t="str">
        <f>IF(J1087&lt;&gt;"OK","",INDEX(mat_price,MATCH(B1087,mat_ref,0)))</f>
        <v/>
      </c>
      <c r="I1087" s="66" t="str">
        <f>IF(J1087&lt;&gt;"OK","",E1087*(1+G1087)*H1087)</f>
        <v/>
      </c>
      <c r="J1087" s="69" t="str">
        <f>IF(AND(A1087="",B1087=""),"",IF(A1087="","Produit manquant",IF(COUNTIF(prod_ref,A1087)=0,"Produit inconnu",IF(B1087="","Matière manquante",IF(ISNA(MATCH(B1087,mat_ref,0)),"Matière inconnue",IF(INDEX(mat_check,MATCH(B1087,mat_ref,0))&lt;&gt;"OK","Matière à corriger",IF(OR(NOT(ISNUMBER(E1087)),N(E1087)&lt;=0),"Quantité invalide",IF(AND(F1087&lt;&gt;"",OR(NOT(ISNUMBER(F1087)),N(F1087)&lt;0,N(F1087)&gt;=1)),"Perte entre 0 et 99 %",IF(COUNTIFS(bom_prod,A1087,bom_mat,B1087)&gt;1,"Matière en double","OK")))))))))</f>
        <v/>
      </c>
      <c r="K1087" s="71" t="str">
        <f>IF(AND(fiche_sel&lt;&gt;"",A1087=fiche_sel),COUNTIF(A$6:A1087,fiche_sel),"")</f>
        <v/>
      </c>
    </row>
    <row r="1088">
      <c r="A1088" s="60" t="n"/>
      <c r="B1088" s="60" t="n"/>
      <c r="C1088" s="71" t="str">
        <f>IF(B1088="","",IFERROR(INDEX(mat_des,MATCH(B1088,mat_ref,0))&amp;"","Matière inconnue"))</f>
        <v/>
      </c>
      <c r="D1088" s="69" t="str">
        <f>IF(B1088="","",IFERROR(INDEX(mat_unit,MATCH(B1088,mat_ref,0))&amp;"",""))</f>
        <v/>
      </c>
      <c r="E1088" s="72" t="n"/>
      <c r="F1088" s="65" t="n"/>
      <c r="G1088" s="68" t="str">
        <f>IF(J1088&lt;&gt;"OK","",IF(F1088="",N(INDEX(mat_loss,MATCH(B1088,mat_ref,0))),F1088))</f>
        <v/>
      </c>
      <c r="H1088" s="66" t="str">
        <f>IF(J1088&lt;&gt;"OK","",INDEX(mat_price,MATCH(B1088,mat_ref,0)))</f>
        <v/>
      </c>
      <c r="I1088" s="66" t="str">
        <f>IF(J1088&lt;&gt;"OK","",E1088*(1+G1088)*H1088)</f>
        <v/>
      </c>
      <c r="J1088" s="69" t="str">
        <f>IF(AND(A1088="",B1088=""),"",IF(A1088="","Produit manquant",IF(COUNTIF(prod_ref,A1088)=0,"Produit inconnu",IF(B1088="","Matière manquante",IF(ISNA(MATCH(B1088,mat_ref,0)),"Matière inconnue",IF(INDEX(mat_check,MATCH(B1088,mat_ref,0))&lt;&gt;"OK","Matière à corriger",IF(OR(NOT(ISNUMBER(E1088)),N(E1088)&lt;=0),"Quantité invalide",IF(AND(F1088&lt;&gt;"",OR(NOT(ISNUMBER(F1088)),N(F1088)&lt;0,N(F1088)&gt;=1)),"Perte entre 0 et 99 %",IF(COUNTIFS(bom_prod,A1088,bom_mat,B1088)&gt;1,"Matière en double","OK")))))))))</f>
        <v/>
      </c>
      <c r="K1088" s="71" t="str">
        <f>IF(AND(fiche_sel&lt;&gt;"",A1088=fiche_sel),COUNTIF(A$6:A1088,fiche_sel),"")</f>
        <v/>
      </c>
    </row>
    <row r="1089">
      <c r="A1089" s="60" t="n"/>
      <c r="B1089" s="60" t="n"/>
      <c r="C1089" s="71" t="str">
        <f>IF(B1089="","",IFERROR(INDEX(mat_des,MATCH(B1089,mat_ref,0))&amp;"","Matière inconnue"))</f>
        <v/>
      </c>
      <c r="D1089" s="69" t="str">
        <f>IF(B1089="","",IFERROR(INDEX(mat_unit,MATCH(B1089,mat_ref,0))&amp;"",""))</f>
        <v/>
      </c>
      <c r="E1089" s="72" t="n"/>
      <c r="F1089" s="65" t="n"/>
      <c r="G1089" s="68" t="str">
        <f>IF(J1089&lt;&gt;"OK","",IF(F1089="",N(INDEX(mat_loss,MATCH(B1089,mat_ref,0))),F1089))</f>
        <v/>
      </c>
      <c r="H1089" s="66" t="str">
        <f>IF(J1089&lt;&gt;"OK","",INDEX(mat_price,MATCH(B1089,mat_ref,0)))</f>
        <v/>
      </c>
      <c r="I1089" s="66" t="str">
        <f>IF(J1089&lt;&gt;"OK","",E1089*(1+G1089)*H1089)</f>
        <v/>
      </c>
      <c r="J1089" s="69" t="str">
        <f>IF(AND(A1089="",B1089=""),"",IF(A1089="","Produit manquant",IF(COUNTIF(prod_ref,A1089)=0,"Produit inconnu",IF(B1089="","Matière manquante",IF(ISNA(MATCH(B1089,mat_ref,0)),"Matière inconnue",IF(INDEX(mat_check,MATCH(B1089,mat_ref,0))&lt;&gt;"OK","Matière à corriger",IF(OR(NOT(ISNUMBER(E1089)),N(E1089)&lt;=0),"Quantité invalide",IF(AND(F1089&lt;&gt;"",OR(NOT(ISNUMBER(F1089)),N(F1089)&lt;0,N(F1089)&gt;=1)),"Perte entre 0 et 99 %",IF(COUNTIFS(bom_prod,A1089,bom_mat,B1089)&gt;1,"Matière en double","OK")))))))))</f>
        <v/>
      </c>
      <c r="K1089" s="71" t="str">
        <f>IF(AND(fiche_sel&lt;&gt;"",A1089=fiche_sel),COUNTIF(A$6:A1089,fiche_sel),"")</f>
        <v/>
      </c>
    </row>
    <row r="1090">
      <c r="A1090" s="60" t="n"/>
      <c r="B1090" s="60" t="n"/>
      <c r="C1090" s="71" t="str">
        <f>IF(B1090="","",IFERROR(INDEX(mat_des,MATCH(B1090,mat_ref,0))&amp;"","Matière inconnue"))</f>
        <v/>
      </c>
      <c r="D1090" s="69" t="str">
        <f>IF(B1090="","",IFERROR(INDEX(mat_unit,MATCH(B1090,mat_ref,0))&amp;"",""))</f>
        <v/>
      </c>
      <c r="E1090" s="72" t="n"/>
      <c r="F1090" s="65" t="n"/>
      <c r="G1090" s="68" t="str">
        <f>IF(J1090&lt;&gt;"OK","",IF(F1090="",N(INDEX(mat_loss,MATCH(B1090,mat_ref,0))),F1090))</f>
        <v/>
      </c>
      <c r="H1090" s="66" t="str">
        <f>IF(J1090&lt;&gt;"OK","",INDEX(mat_price,MATCH(B1090,mat_ref,0)))</f>
        <v/>
      </c>
      <c r="I1090" s="66" t="str">
        <f>IF(J1090&lt;&gt;"OK","",E1090*(1+G1090)*H1090)</f>
        <v/>
      </c>
      <c r="J1090" s="69" t="str">
        <f>IF(AND(A1090="",B1090=""),"",IF(A1090="","Produit manquant",IF(COUNTIF(prod_ref,A1090)=0,"Produit inconnu",IF(B1090="","Matière manquante",IF(ISNA(MATCH(B1090,mat_ref,0)),"Matière inconnue",IF(INDEX(mat_check,MATCH(B1090,mat_ref,0))&lt;&gt;"OK","Matière à corriger",IF(OR(NOT(ISNUMBER(E1090)),N(E1090)&lt;=0),"Quantité invalide",IF(AND(F1090&lt;&gt;"",OR(NOT(ISNUMBER(F1090)),N(F1090)&lt;0,N(F1090)&gt;=1)),"Perte entre 0 et 99 %",IF(COUNTIFS(bom_prod,A1090,bom_mat,B1090)&gt;1,"Matière en double","OK")))))))))</f>
        <v/>
      </c>
      <c r="K1090" s="71" t="str">
        <f>IF(AND(fiche_sel&lt;&gt;"",A1090=fiche_sel),COUNTIF(A$6:A1090,fiche_sel),"")</f>
        <v/>
      </c>
    </row>
    <row r="1091">
      <c r="A1091" s="60" t="n"/>
      <c r="B1091" s="60" t="n"/>
      <c r="C1091" s="71" t="str">
        <f>IF(B1091="","",IFERROR(INDEX(mat_des,MATCH(B1091,mat_ref,0))&amp;"","Matière inconnue"))</f>
        <v/>
      </c>
      <c r="D1091" s="69" t="str">
        <f>IF(B1091="","",IFERROR(INDEX(mat_unit,MATCH(B1091,mat_ref,0))&amp;"",""))</f>
        <v/>
      </c>
      <c r="E1091" s="72" t="n"/>
      <c r="F1091" s="65" t="n"/>
      <c r="G1091" s="68" t="str">
        <f>IF(J1091&lt;&gt;"OK","",IF(F1091="",N(INDEX(mat_loss,MATCH(B1091,mat_ref,0))),F1091))</f>
        <v/>
      </c>
      <c r="H1091" s="66" t="str">
        <f>IF(J1091&lt;&gt;"OK","",INDEX(mat_price,MATCH(B1091,mat_ref,0)))</f>
        <v/>
      </c>
      <c r="I1091" s="66" t="str">
        <f>IF(J1091&lt;&gt;"OK","",E1091*(1+G1091)*H1091)</f>
        <v/>
      </c>
      <c r="J1091" s="69" t="str">
        <f>IF(AND(A1091="",B1091=""),"",IF(A1091="","Produit manquant",IF(COUNTIF(prod_ref,A1091)=0,"Produit inconnu",IF(B1091="","Matière manquante",IF(ISNA(MATCH(B1091,mat_ref,0)),"Matière inconnue",IF(INDEX(mat_check,MATCH(B1091,mat_ref,0))&lt;&gt;"OK","Matière à corriger",IF(OR(NOT(ISNUMBER(E1091)),N(E1091)&lt;=0),"Quantité invalide",IF(AND(F1091&lt;&gt;"",OR(NOT(ISNUMBER(F1091)),N(F1091)&lt;0,N(F1091)&gt;=1)),"Perte entre 0 et 99 %",IF(COUNTIFS(bom_prod,A1091,bom_mat,B1091)&gt;1,"Matière en double","OK")))))))))</f>
        <v/>
      </c>
      <c r="K1091" s="71" t="str">
        <f>IF(AND(fiche_sel&lt;&gt;"",A1091=fiche_sel),COUNTIF(A$6:A1091,fiche_sel),"")</f>
        <v/>
      </c>
    </row>
    <row r="1092">
      <c r="A1092" s="60" t="n"/>
      <c r="B1092" s="60" t="n"/>
      <c r="C1092" s="71" t="str">
        <f>IF(B1092="","",IFERROR(INDEX(mat_des,MATCH(B1092,mat_ref,0))&amp;"","Matière inconnue"))</f>
        <v/>
      </c>
      <c r="D1092" s="69" t="str">
        <f>IF(B1092="","",IFERROR(INDEX(mat_unit,MATCH(B1092,mat_ref,0))&amp;"",""))</f>
        <v/>
      </c>
      <c r="E1092" s="72" t="n"/>
      <c r="F1092" s="65" t="n"/>
      <c r="G1092" s="68" t="str">
        <f>IF(J1092&lt;&gt;"OK","",IF(F1092="",N(INDEX(mat_loss,MATCH(B1092,mat_ref,0))),F1092))</f>
        <v/>
      </c>
      <c r="H1092" s="66" t="str">
        <f>IF(J1092&lt;&gt;"OK","",INDEX(mat_price,MATCH(B1092,mat_ref,0)))</f>
        <v/>
      </c>
      <c r="I1092" s="66" t="str">
        <f>IF(J1092&lt;&gt;"OK","",E1092*(1+G1092)*H1092)</f>
        <v/>
      </c>
      <c r="J1092" s="69" t="str">
        <f>IF(AND(A1092="",B1092=""),"",IF(A1092="","Produit manquant",IF(COUNTIF(prod_ref,A1092)=0,"Produit inconnu",IF(B1092="","Matière manquante",IF(ISNA(MATCH(B1092,mat_ref,0)),"Matière inconnue",IF(INDEX(mat_check,MATCH(B1092,mat_ref,0))&lt;&gt;"OK","Matière à corriger",IF(OR(NOT(ISNUMBER(E1092)),N(E1092)&lt;=0),"Quantité invalide",IF(AND(F1092&lt;&gt;"",OR(NOT(ISNUMBER(F1092)),N(F1092)&lt;0,N(F1092)&gt;=1)),"Perte entre 0 et 99 %",IF(COUNTIFS(bom_prod,A1092,bom_mat,B1092)&gt;1,"Matière en double","OK")))))))))</f>
        <v/>
      </c>
      <c r="K1092" s="71" t="str">
        <f>IF(AND(fiche_sel&lt;&gt;"",A1092=fiche_sel),COUNTIF(A$6:A1092,fiche_sel),"")</f>
        <v/>
      </c>
    </row>
    <row r="1093">
      <c r="A1093" s="60" t="n"/>
      <c r="B1093" s="60" t="n"/>
      <c r="C1093" s="71" t="str">
        <f>IF(B1093="","",IFERROR(INDEX(mat_des,MATCH(B1093,mat_ref,0))&amp;"","Matière inconnue"))</f>
        <v/>
      </c>
      <c r="D1093" s="69" t="str">
        <f>IF(B1093="","",IFERROR(INDEX(mat_unit,MATCH(B1093,mat_ref,0))&amp;"",""))</f>
        <v/>
      </c>
      <c r="E1093" s="72" t="n"/>
      <c r="F1093" s="65" t="n"/>
      <c r="G1093" s="68" t="str">
        <f>IF(J1093&lt;&gt;"OK","",IF(F1093="",N(INDEX(mat_loss,MATCH(B1093,mat_ref,0))),F1093))</f>
        <v/>
      </c>
      <c r="H1093" s="66" t="str">
        <f>IF(J1093&lt;&gt;"OK","",INDEX(mat_price,MATCH(B1093,mat_ref,0)))</f>
        <v/>
      </c>
      <c r="I1093" s="66" t="str">
        <f>IF(J1093&lt;&gt;"OK","",E1093*(1+G1093)*H1093)</f>
        <v/>
      </c>
      <c r="J1093" s="69" t="str">
        <f>IF(AND(A1093="",B1093=""),"",IF(A1093="","Produit manquant",IF(COUNTIF(prod_ref,A1093)=0,"Produit inconnu",IF(B1093="","Matière manquante",IF(ISNA(MATCH(B1093,mat_ref,0)),"Matière inconnue",IF(INDEX(mat_check,MATCH(B1093,mat_ref,0))&lt;&gt;"OK","Matière à corriger",IF(OR(NOT(ISNUMBER(E1093)),N(E1093)&lt;=0),"Quantité invalide",IF(AND(F1093&lt;&gt;"",OR(NOT(ISNUMBER(F1093)),N(F1093)&lt;0,N(F1093)&gt;=1)),"Perte entre 0 et 99 %",IF(COUNTIFS(bom_prod,A1093,bom_mat,B1093)&gt;1,"Matière en double","OK")))))))))</f>
        <v/>
      </c>
      <c r="K1093" s="71" t="str">
        <f>IF(AND(fiche_sel&lt;&gt;"",A1093=fiche_sel),COUNTIF(A$6:A1093,fiche_sel),"")</f>
        <v/>
      </c>
    </row>
    <row r="1094">
      <c r="A1094" s="60" t="n"/>
      <c r="B1094" s="60" t="n"/>
      <c r="C1094" s="71" t="str">
        <f>IF(B1094="","",IFERROR(INDEX(mat_des,MATCH(B1094,mat_ref,0))&amp;"","Matière inconnue"))</f>
        <v/>
      </c>
      <c r="D1094" s="69" t="str">
        <f>IF(B1094="","",IFERROR(INDEX(mat_unit,MATCH(B1094,mat_ref,0))&amp;"",""))</f>
        <v/>
      </c>
      <c r="E1094" s="72" t="n"/>
      <c r="F1094" s="65" t="n"/>
      <c r="G1094" s="68" t="str">
        <f>IF(J1094&lt;&gt;"OK","",IF(F1094="",N(INDEX(mat_loss,MATCH(B1094,mat_ref,0))),F1094))</f>
        <v/>
      </c>
      <c r="H1094" s="66" t="str">
        <f>IF(J1094&lt;&gt;"OK","",INDEX(mat_price,MATCH(B1094,mat_ref,0)))</f>
        <v/>
      </c>
      <c r="I1094" s="66" t="str">
        <f>IF(J1094&lt;&gt;"OK","",E1094*(1+G1094)*H1094)</f>
        <v/>
      </c>
      <c r="J1094" s="69" t="str">
        <f>IF(AND(A1094="",B1094=""),"",IF(A1094="","Produit manquant",IF(COUNTIF(prod_ref,A1094)=0,"Produit inconnu",IF(B1094="","Matière manquante",IF(ISNA(MATCH(B1094,mat_ref,0)),"Matière inconnue",IF(INDEX(mat_check,MATCH(B1094,mat_ref,0))&lt;&gt;"OK","Matière à corriger",IF(OR(NOT(ISNUMBER(E1094)),N(E1094)&lt;=0),"Quantité invalide",IF(AND(F1094&lt;&gt;"",OR(NOT(ISNUMBER(F1094)),N(F1094)&lt;0,N(F1094)&gt;=1)),"Perte entre 0 et 99 %",IF(COUNTIFS(bom_prod,A1094,bom_mat,B1094)&gt;1,"Matière en double","OK")))))))))</f>
        <v/>
      </c>
      <c r="K1094" s="71" t="str">
        <f>IF(AND(fiche_sel&lt;&gt;"",A1094=fiche_sel),COUNTIF(A$6:A1094,fiche_sel),"")</f>
        <v/>
      </c>
    </row>
    <row r="1095">
      <c r="A1095" s="60" t="n"/>
      <c r="B1095" s="60" t="n"/>
      <c r="C1095" s="71" t="str">
        <f>IF(B1095="","",IFERROR(INDEX(mat_des,MATCH(B1095,mat_ref,0))&amp;"","Matière inconnue"))</f>
        <v/>
      </c>
      <c r="D1095" s="69" t="str">
        <f>IF(B1095="","",IFERROR(INDEX(mat_unit,MATCH(B1095,mat_ref,0))&amp;"",""))</f>
        <v/>
      </c>
      <c r="E1095" s="72" t="n"/>
      <c r="F1095" s="65" t="n"/>
      <c r="G1095" s="68" t="str">
        <f>IF(J1095&lt;&gt;"OK","",IF(F1095="",N(INDEX(mat_loss,MATCH(B1095,mat_ref,0))),F1095))</f>
        <v/>
      </c>
      <c r="H1095" s="66" t="str">
        <f>IF(J1095&lt;&gt;"OK","",INDEX(mat_price,MATCH(B1095,mat_ref,0)))</f>
        <v/>
      </c>
      <c r="I1095" s="66" t="str">
        <f>IF(J1095&lt;&gt;"OK","",E1095*(1+G1095)*H1095)</f>
        <v/>
      </c>
      <c r="J1095" s="69" t="str">
        <f>IF(AND(A1095="",B1095=""),"",IF(A1095="","Produit manquant",IF(COUNTIF(prod_ref,A1095)=0,"Produit inconnu",IF(B1095="","Matière manquante",IF(ISNA(MATCH(B1095,mat_ref,0)),"Matière inconnue",IF(INDEX(mat_check,MATCH(B1095,mat_ref,0))&lt;&gt;"OK","Matière à corriger",IF(OR(NOT(ISNUMBER(E1095)),N(E1095)&lt;=0),"Quantité invalide",IF(AND(F1095&lt;&gt;"",OR(NOT(ISNUMBER(F1095)),N(F1095)&lt;0,N(F1095)&gt;=1)),"Perte entre 0 et 99 %",IF(COUNTIFS(bom_prod,A1095,bom_mat,B1095)&gt;1,"Matière en double","OK")))))))))</f>
        <v/>
      </c>
      <c r="K1095" s="71" t="str">
        <f>IF(AND(fiche_sel&lt;&gt;"",A1095=fiche_sel),COUNTIF(A$6:A1095,fiche_sel),"")</f>
        <v/>
      </c>
    </row>
    <row r="1096">
      <c r="A1096" s="60" t="n"/>
      <c r="B1096" s="60" t="n"/>
      <c r="C1096" s="71" t="str">
        <f>IF(B1096="","",IFERROR(INDEX(mat_des,MATCH(B1096,mat_ref,0))&amp;"","Matière inconnue"))</f>
        <v/>
      </c>
      <c r="D1096" s="69" t="str">
        <f>IF(B1096="","",IFERROR(INDEX(mat_unit,MATCH(B1096,mat_ref,0))&amp;"",""))</f>
        <v/>
      </c>
      <c r="E1096" s="72" t="n"/>
      <c r="F1096" s="65" t="n"/>
      <c r="G1096" s="68" t="str">
        <f>IF(J1096&lt;&gt;"OK","",IF(F1096="",N(INDEX(mat_loss,MATCH(B1096,mat_ref,0))),F1096))</f>
        <v/>
      </c>
      <c r="H1096" s="66" t="str">
        <f>IF(J1096&lt;&gt;"OK","",INDEX(mat_price,MATCH(B1096,mat_ref,0)))</f>
        <v/>
      </c>
      <c r="I1096" s="66" t="str">
        <f>IF(J1096&lt;&gt;"OK","",E1096*(1+G1096)*H1096)</f>
        <v/>
      </c>
      <c r="J1096" s="69" t="str">
        <f>IF(AND(A1096="",B1096=""),"",IF(A1096="","Produit manquant",IF(COUNTIF(prod_ref,A1096)=0,"Produit inconnu",IF(B1096="","Matière manquante",IF(ISNA(MATCH(B1096,mat_ref,0)),"Matière inconnue",IF(INDEX(mat_check,MATCH(B1096,mat_ref,0))&lt;&gt;"OK","Matière à corriger",IF(OR(NOT(ISNUMBER(E1096)),N(E1096)&lt;=0),"Quantité invalide",IF(AND(F1096&lt;&gt;"",OR(NOT(ISNUMBER(F1096)),N(F1096)&lt;0,N(F1096)&gt;=1)),"Perte entre 0 et 99 %",IF(COUNTIFS(bom_prod,A1096,bom_mat,B1096)&gt;1,"Matière en double","OK")))))))))</f>
        <v/>
      </c>
      <c r="K1096" s="71" t="str">
        <f>IF(AND(fiche_sel&lt;&gt;"",A1096=fiche_sel),COUNTIF(A$6:A1096,fiche_sel),"")</f>
        <v/>
      </c>
    </row>
    <row r="1097">
      <c r="A1097" s="60" t="n"/>
      <c r="B1097" s="60" t="n"/>
      <c r="C1097" s="71" t="str">
        <f>IF(B1097="","",IFERROR(INDEX(mat_des,MATCH(B1097,mat_ref,0))&amp;"","Matière inconnue"))</f>
        <v/>
      </c>
      <c r="D1097" s="69" t="str">
        <f>IF(B1097="","",IFERROR(INDEX(mat_unit,MATCH(B1097,mat_ref,0))&amp;"",""))</f>
        <v/>
      </c>
      <c r="E1097" s="72" t="n"/>
      <c r="F1097" s="65" t="n"/>
      <c r="G1097" s="68" t="str">
        <f>IF(J1097&lt;&gt;"OK","",IF(F1097="",N(INDEX(mat_loss,MATCH(B1097,mat_ref,0))),F1097))</f>
        <v/>
      </c>
      <c r="H1097" s="66" t="str">
        <f>IF(J1097&lt;&gt;"OK","",INDEX(mat_price,MATCH(B1097,mat_ref,0)))</f>
        <v/>
      </c>
      <c r="I1097" s="66" t="str">
        <f>IF(J1097&lt;&gt;"OK","",E1097*(1+G1097)*H1097)</f>
        <v/>
      </c>
      <c r="J1097" s="69" t="str">
        <f>IF(AND(A1097="",B1097=""),"",IF(A1097="","Produit manquant",IF(COUNTIF(prod_ref,A1097)=0,"Produit inconnu",IF(B1097="","Matière manquante",IF(ISNA(MATCH(B1097,mat_ref,0)),"Matière inconnue",IF(INDEX(mat_check,MATCH(B1097,mat_ref,0))&lt;&gt;"OK","Matière à corriger",IF(OR(NOT(ISNUMBER(E1097)),N(E1097)&lt;=0),"Quantité invalide",IF(AND(F1097&lt;&gt;"",OR(NOT(ISNUMBER(F1097)),N(F1097)&lt;0,N(F1097)&gt;=1)),"Perte entre 0 et 99 %",IF(COUNTIFS(bom_prod,A1097,bom_mat,B1097)&gt;1,"Matière en double","OK")))))))))</f>
        <v/>
      </c>
      <c r="K1097" s="71" t="str">
        <f>IF(AND(fiche_sel&lt;&gt;"",A1097=fiche_sel),COUNTIF(A$6:A1097,fiche_sel),"")</f>
        <v/>
      </c>
    </row>
    <row r="1098">
      <c r="A1098" s="60" t="n"/>
      <c r="B1098" s="60" t="n"/>
      <c r="C1098" s="71" t="str">
        <f>IF(B1098="","",IFERROR(INDEX(mat_des,MATCH(B1098,mat_ref,0))&amp;"","Matière inconnue"))</f>
        <v/>
      </c>
      <c r="D1098" s="69" t="str">
        <f>IF(B1098="","",IFERROR(INDEX(mat_unit,MATCH(B1098,mat_ref,0))&amp;"",""))</f>
        <v/>
      </c>
      <c r="E1098" s="72" t="n"/>
      <c r="F1098" s="65" t="n"/>
      <c r="G1098" s="68" t="str">
        <f>IF(J1098&lt;&gt;"OK","",IF(F1098="",N(INDEX(mat_loss,MATCH(B1098,mat_ref,0))),F1098))</f>
        <v/>
      </c>
      <c r="H1098" s="66" t="str">
        <f>IF(J1098&lt;&gt;"OK","",INDEX(mat_price,MATCH(B1098,mat_ref,0)))</f>
        <v/>
      </c>
      <c r="I1098" s="66" t="str">
        <f>IF(J1098&lt;&gt;"OK","",E1098*(1+G1098)*H1098)</f>
        <v/>
      </c>
      <c r="J1098" s="69" t="str">
        <f>IF(AND(A1098="",B1098=""),"",IF(A1098="","Produit manquant",IF(COUNTIF(prod_ref,A1098)=0,"Produit inconnu",IF(B1098="","Matière manquante",IF(ISNA(MATCH(B1098,mat_ref,0)),"Matière inconnue",IF(INDEX(mat_check,MATCH(B1098,mat_ref,0))&lt;&gt;"OK","Matière à corriger",IF(OR(NOT(ISNUMBER(E1098)),N(E1098)&lt;=0),"Quantité invalide",IF(AND(F1098&lt;&gt;"",OR(NOT(ISNUMBER(F1098)),N(F1098)&lt;0,N(F1098)&gt;=1)),"Perte entre 0 et 99 %",IF(COUNTIFS(bom_prod,A1098,bom_mat,B1098)&gt;1,"Matière en double","OK")))))))))</f>
        <v/>
      </c>
      <c r="K1098" s="71" t="str">
        <f>IF(AND(fiche_sel&lt;&gt;"",A1098=fiche_sel),COUNTIF(A$6:A1098,fiche_sel),"")</f>
        <v/>
      </c>
    </row>
    <row r="1099">
      <c r="A1099" s="60" t="n"/>
      <c r="B1099" s="60" t="n"/>
      <c r="C1099" s="71" t="str">
        <f>IF(B1099="","",IFERROR(INDEX(mat_des,MATCH(B1099,mat_ref,0))&amp;"","Matière inconnue"))</f>
        <v/>
      </c>
      <c r="D1099" s="69" t="str">
        <f>IF(B1099="","",IFERROR(INDEX(mat_unit,MATCH(B1099,mat_ref,0))&amp;"",""))</f>
        <v/>
      </c>
      <c r="E1099" s="72" t="n"/>
      <c r="F1099" s="65" t="n"/>
      <c r="G1099" s="68" t="str">
        <f>IF(J1099&lt;&gt;"OK","",IF(F1099="",N(INDEX(mat_loss,MATCH(B1099,mat_ref,0))),F1099))</f>
        <v/>
      </c>
      <c r="H1099" s="66" t="str">
        <f>IF(J1099&lt;&gt;"OK","",INDEX(mat_price,MATCH(B1099,mat_ref,0)))</f>
        <v/>
      </c>
      <c r="I1099" s="66" t="str">
        <f>IF(J1099&lt;&gt;"OK","",E1099*(1+G1099)*H1099)</f>
        <v/>
      </c>
      <c r="J1099" s="69" t="str">
        <f>IF(AND(A1099="",B1099=""),"",IF(A1099="","Produit manquant",IF(COUNTIF(prod_ref,A1099)=0,"Produit inconnu",IF(B1099="","Matière manquante",IF(ISNA(MATCH(B1099,mat_ref,0)),"Matière inconnue",IF(INDEX(mat_check,MATCH(B1099,mat_ref,0))&lt;&gt;"OK","Matière à corriger",IF(OR(NOT(ISNUMBER(E1099)),N(E1099)&lt;=0),"Quantité invalide",IF(AND(F1099&lt;&gt;"",OR(NOT(ISNUMBER(F1099)),N(F1099)&lt;0,N(F1099)&gt;=1)),"Perte entre 0 et 99 %",IF(COUNTIFS(bom_prod,A1099,bom_mat,B1099)&gt;1,"Matière en double","OK")))))))))</f>
        <v/>
      </c>
      <c r="K1099" s="71" t="str">
        <f>IF(AND(fiche_sel&lt;&gt;"",A1099=fiche_sel),COUNTIF(A$6:A1099,fiche_sel),"")</f>
        <v/>
      </c>
    </row>
    <row r="1100">
      <c r="A1100" s="60" t="n"/>
      <c r="B1100" s="60" t="n"/>
      <c r="C1100" s="71" t="str">
        <f>IF(B1100="","",IFERROR(INDEX(mat_des,MATCH(B1100,mat_ref,0))&amp;"","Matière inconnue"))</f>
        <v/>
      </c>
      <c r="D1100" s="69" t="str">
        <f>IF(B1100="","",IFERROR(INDEX(mat_unit,MATCH(B1100,mat_ref,0))&amp;"",""))</f>
        <v/>
      </c>
      <c r="E1100" s="72" t="n"/>
      <c r="F1100" s="65" t="n"/>
      <c r="G1100" s="68" t="str">
        <f>IF(J1100&lt;&gt;"OK","",IF(F1100="",N(INDEX(mat_loss,MATCH(B1100,mat_ref,0))),F1100))</f>
        <v/>
      </c>
      <c r="H1100" s="66" t="str">
        <f>IF(J1100&lt;&gt;"OK","",INDEX(mat_price,MATCH(B1100,mat_ref,0)))</f>
        <v/>
      </c>
      <c r="I1100" s="66" t="str">
        <f>IF(J1100&lt;&gt;"OK","",E1100*(1+G1100)*H1100)</f>
        <v/>
      </c>
      <c r="J1100" s="69" t="str">
        <f>IF(AND(A1100="",B1100=""),"",IF(A1100="","Produit manquant",IF(COUNTIF(prod_ref,A1100)=0,"Produit inconnu",IF(B1100="","Matière manquante",IF(ISNA(MATCH(B1100,mat_ref,0)),"Matière inconnue",IF(INDEX(mat_check,MATCH(B1100,mat_ref,0))&lt;&gt;"OK","Matière à corriger",IF(OR(NOT(ISNUMBER(E1100)),N(E1100)&lt;=0),"Quantité invalide",IF(AND(F1100&lt;&gt;"",OR(NOT(ISNUMBER(F1100)),N(F1100)&lt;0,N(F1100)&gt;=1)),"Perte entre 0 et 99 %",IF(COUNTIFS(bom_prod,A1100,bom_mat,B1100)&gt;1,"Matière en double","OK")))))))))</f>
        <v/>
      </c>
      <c r="K1100" s="71" t="str">
        <f>IF(AND(fiche_sel&lt;&gt;"",A1100=fiche_sel),COUNTIF(A$6:A1100,fiche_sel),"")</f>
        <v/>
      </c>
    </row>
    <row r="1101">
      <c r="A1101" s="60" t="n"/>
      <c r="B1101" s="60" t="n"/>
      <c r="C1101" s="71" t="str">
        <f>IF(B1101="","",IFERROR(INDEX(mat_des,MATCH(B1101,mat_ref,0))&amp;"","Matière inconnue"))</f>
        <v/>
      </c>
      <c r="D1101" s="69" t="str">
        <f>IF(B1101="","",IFERROR(INDEX(mat_unit,MATCH(B1101,mat_ref,0))&amp;"",""))</f>
        <v/>
      </c>
      <c r="E1101" s="72" t="n"/>
      <c r="F1101" s="65" t="n"/>
      <c r="G1101" s="68" t="str">
        <f>IF(J1101&lt;&gt;"OK","",IF(F1101="",N(INDEX(mat_loss,MATCH(B1101,mat_ref,0))),F1101))</f>
        <v/>
      </c>
      <c r="H1101" s="66" t="str">
        <f>IF(J1101&lt;&gt;"OK","",INDEX(mat_price,MATCH(B1101,mat_ref,0)))</f>
        <v/>
      </c>
      <c r="I1101" s="66" t="str">
        <f>IF(J1101&lt;&gt;"OK","",E1101*(1+G1101)*H1101)</f>
        <v/>
      </c>
      <c r="J1101" s="69" t="str">
        <f>IF(AND(A1101="",B1101=""),"",IF(A1101="","Produit manquant",IF(COUNTIF(prod_ref,A1101)=0,"Produit inconnu",IF(B1101="","Matière manquante",IF(ISNA(MATCH(B1101,mat_ref,0)),"Matière inconnue",IF(INDEX(mat_check,MATCH(B1101,mat_ref,0))&lt;&gt;"OK","Matière à corriger",IF(OR(NOT(ISNUMBER(E1101)),N(E1101)&lt;=0),"Quantité invalide",IF(AND(F1101&lt;&gt;"",OR(NOT(ISNUMBER(F1101)),N(F1101)&lt;0,N(F1101)&gt;=1)),"Perte entre 0 et 99 %",IF(COUNTIFS(bom_prod,A1101,bom_mat,B1101)&gt;1,"Matière en double","OK")))))))))</f>
        <v/>
      </c>
      <c r="K1101" s="71" t="str">
        <f>IF(AND(fiche_sel&lt;&gt;"",A1101=fiche_sel),COUNTIF(A$6:A1101,fiche_sel),"")</f>
        <v/>
      </c>
    </row>
    <row r="1102">
      <c r="A1102" s="60" t="n"/>
      <c r="B1102" s="60" t="n"/>
      <c r="C1102" s="71" t="str">
        <f>IF(B1102="","",IFERROR(INDEX(mat_des,MATCH(B1102,mat_ref,0))&amp;"","Matière inconnue"))</f>
        <v/>
      </c>
      <c r="D1102" s="69" t="str">
        <f>IF(B1102="","",IFERROR(INDEX(mat_unit,MATCH(B1102,mat_ref,0))&amp;"",""))</f>
        <v/>
      </c>
      <c r="E1102" s="72" t="n"/>
      <c r="F1102" s="65" t="n"/>
      <c r="G1102" s="68" t="str">
        <f>IF(J1102&lt;&gt;"OK","",IF(F1102="",N(INDEX(mat_loss,MATCH(B1102,mat_ref,0))),F1102))</f>
        <v/>
      </c>
      <c r="H1102" s="66" t="str">
        <f>IF(J1102&lt;&gt;"OK","",INDEX(mat_price,MATCH(B1102,mat_ref,0)))</f>
        <v/>
      </c>
      <c r="I1102" s="66" t="str">
        <f>IF(J1102&lt;&gt;"OK","",E1102*(1+G1102)*H1102)</f>
        <v/>
      </c>
      <c r="J1102" s="69" t="str">
        <f>IF(AND(A1102="",B1102=""),"",IF(A1102="","Produit manquant",IF(COUNTIF(prod_ref,A1102)=0,"Produit inconnu",IF(B1102="","Matière manquante",IF(ISNA(MATCH(B1102,mat_ref,0)),"Matière inconnue",IF(INDEX(mat_check,MATCH(B1102,mat_ref,0))&lt;&gt;"OK","Matière à corriger",IF(OR(NOT(ISNUMBER(E1102)),N(E1102)&lt;=0),"Quantité invalide",IF(AND(F1102&lt;&gt;"",OR(NOT(ISNUMBER(F1102)),N(F1102)&lt;0,N(F1102)&gt;=1)),"Perte entre 0 et 99 %",IF(COUNTIFS(bom_prod,A1102,bom_mat,B1102)&gt;1,"Matière en double","OK")))))))))</f>
        <v/>
      </c>
      <c r="K1102" s="71" t="str">
        <f>IF(AND(fiche_sel&lt;&gt;"",A1102=fiche_sel),COUNTIF(A$6:A1102,fiche_sel),"")</f>
        <v/>
      </c>
    </row>
    <row r="1103">
      <c r="A1103" s="60" t="n"/>
      <c r="B1103" s="60" t="n"/>
      <c r="C1103" s="71" t="str">
        <f>IF(B1103="","",IFERROR(INDEX(mat_des,MATCH(B1103,mat_ref,0))&amp;"","Matière inconnue"))</f>
        <v/>
      </c>
      <c r="D1103" s="69" t="str">
        <f>IF(B1103="","",IFERROR(INDEX(mat_unit,MATCH(B1103,mat_ref,0))&amp;"",""))</f>
        <v/>
      </c>
      <c r="E1103" s="72" t="n"/>
      <c r="F1103" s="65" t="n"/>
      <c r="G1103" s="68" t="str">
        <f>IF(J1103&lt;&gt;"OK","",IF(F1103="",N(INDEX(mat_loss,MATCH(B1103,mat_ref,0))),F1103))</f>
        <v/>
      </c>
      <c r="H1103" s="66" t="str">
        <f>IF(J1103&lt;&gt;"OK","",INDEX(mat_price,MATCH(B1103,mat_ref,0)))</f>
        <v/>
      </c>
      <c r="I1103" s="66" t="str">
        <f>IF(J1103&lt;&gt;"OK","",E1103*(1+G1103)*H1103)</f>
        <v/>
      </c>
      <c r="J1103" s="69" t="str">
        <f>IF(AND(A1103="",B1103=""),"",IF(A1103="","Produit manquant",IF(COUNTIF(prod_ref,A1103)=0,"Produit inconnu",IF(B1103="","Matière manquante",IF(ISNA(MATCH(B1103,mat_ref,0)),"Matière inconnue",IF(INDEX(mat_check,MATCH(B1103,mat_ref,0))&lt;&gt;"OK","Matière à corriger",IF(OR(NOT(ISNUMBER(E1103)),N(E1103)&lt;=0),"Quantité invalide",IF(AND(F1103&lt;&gt;"",OR(NOT(ISNUMBER(F1103)),N(F1103)&lt;0,N(F1103)&gt;=1)),"Perte entre 0 et 99 %",IF(COUNTIFS(bom_prod,A1103,bom_mat,B1103)&gt;1,"Matière en double","OK")))))))))</f>
        <v/>
      </c>
      <c r="K1103" s="71" t="str">
        <f>IF(AND(fiche_sel&lt;&gt;"",A1103=fiche_sel),COUNTIF(A$6:A1103,fiche_sel),"")</f>
        <v/>
      </c>
    </row>
    <row r="1104">
      <c r="A1104" s="60" t="n"/>
      <c r="B1104" s="60" t="n"/>
      <c r="C1104" s="71" t="str">
        <f>IF(B1104="","",IFERROR(INDEX(mat_des,MATCH(B1104,mat_ref,0))&amp;"","Matière inconnue"))</f>
        <v/>
      </c>
      <c r="D1104" s="69" t="str">
        <f>IF(B1104="","",IFERROR(INDEX(mat_unit,MATCH(B1104,mat_ref,0))&amp;"",""))</f>
        <v/>
      </c>
      <c r="E1104" s="72" t="n"/>
      <c r="F1104" s="65" t="n"/>
      <c r="G1104" s="68" t="str">
        <f>IF(J1104&lt;&gt;"OK","",IF(F1104="",N(INDEX(mat_loss,MATCH(B1104,mat_ref,0))),F1104))</f>
        <v/>
      </c>
      <c r="H1104" s="66" t="str">
        <f>IF(J1104&lt;&gt;"OK","",INDEX(mat_price,MATCH(B1104,mat_ref,0)))</f>
        <v/>
      </c>
      <c r="I1104" s="66" t="str">
        <f>IF(J1104&lt;&gt;"OK","",E1104*(1+G1104)*H1104)</f>
        <v/>
      </c>
      <c r="J1104" s="69" t="str">
        <f>IF(AND(A1104="",B1104=""),"",IF(A1104="","Produit manquant",IF(COUNTIF(prod_ref,A1104)=0,"Produit inconnu",IF(B1104="","Matière manquante",IF(ISNA(MATCH(B1104,mat_ref,0)),"Matière inconnue",IF(INDEX(mat_check,MATCH(B1104,mat_ref,0))&lt;&gt;"OK","Matière à corriger",IF(OR(NOT(ISNUMBER(E1104)),N(E1104)&lt;=0),"Quantité invalide",IF(AND(F1104&lt;&gt;"",OR(NOT(ISNUMBER(F1104)),N(F1104)&lt;0,N(F1104)&gt;=1)),"Perte entre 0 et 99 %",IF(COUNTIFS(bom_prod,A1104,bom_mat,B1104)&gt;1,"Matière en double","OK")))))))))</f>
        <v/>
      </c>
      <c r="K1104" s="71" t="str">
        <f>IF(AND(fiche_sel&lt;&gt;"",A1104=fiche_sel),COUNTIF(A$6:A1104,fiche_sel),"")</f>
        <v/>
      </c>
    </row>
    <row r="1105">
      <c r="A1105" s="60" t="n"/>
      <c r="B1105" s="60" t="n"/>
      <c r="C1105" s="71" t="str">
        <f>IF(B1105="","",IFERROR(INDEX(mat_des,MATCH(B1105,mat_ref,0))&amp;"","Matière inconnue"))</f>
        <v/>
      </c>
      <c r="D1105" s="69" t="str">
        <f>IF(B1105="","",IFERROR(INDEX(mat_unit,MATCH(B1105,mat_ref,0))&amp;"",""))</f>
        <v/>
      </c>
      <c r="E1105" s="72" t="n"/>
      <c r="F1105" s="65" t="n"/>
      <c r="G1105" s="68" t="str">
        <f>IF(J1105&lt;&gt;"OK","",IF(F1105="",N(INDEX(mat_loss,MATCH(B1105,mat_ref,0))),F1105))</f>
        <v/>
      </c>
      <c r="H1105" s="66" t="str">
        <f>IF(J1105&lt;&gt;"OK","",INDEX(mat_price,MATCH(B1105,mat_ref,0)))</f>
        <v/>
      </c>
      <c r="I1105" s="66" t="str">
        <f>IF(J1105&lt;&gt;"OK","",E1105*(1+G1105)*H1105)</f>
        <v/>
      </c>
      <c r="J1105" s="69" t="str">
        <f>IF(AND(A1105="",B1105=""),"",IF(A1105="","Produit manquant",IF(COUNTIF(prod_ref,A1105)=0,"Produit inconnu",IF(B1105="","Matière manquante",IF(ISNA(MATCH(B1105,mat_ref,0)),"Matière inconnue",IF(INDEX(mat_check,MATCH(B1105,mat_ref,0))&lt;&gt;"OK","Matière à corriger",IF(OR(NOT(ISNUMBER(E1105)),N(E1105)&lt;=0),"Quantité invalide",IF(AND(F1105&lt;&gt;"",OR(NOT(ISNUMBER(F1105)),N(F1105)&lt;0,N(F1105)&gt;=1)),"Perte entre 0 et 99 %",IF(COUNTIFS(bom_prod,A1105,bom_mat,B1105)&gt;1,"Matière en double","OK")))))))))</f>
        <v/>
      </c>
      <c r="K1105" s="71" t="str">
        <f>IF(AND(fiche_sel&lt;&gt;"",A1105=fiche_sel),COUNTIF(A$6:A1105,fiche_sel),"")</f>
        <v/>
      </c>
    </row>
    <row r="1106">
      <c r="A1106" s="60" t="n"/>
      <c r="B1106" s="60" t="n"/>
      <c r="C1106" s="71" t="str">
        <f>IF(B1106="","",IFERROR(INDEX(mat_des,MATCH(B1106,mat_ref,0))&amp;"","Matière inconnue"))</f>
        <v/>
      </c>
      <c r="D1106" s="69" t="str">
        <f>IF(B1106="","",IFERROR(INDEX(mat_unit,MATCH(B1106,mat_ref,0))&amp;"",""))</f>
        <v/>
      </c>
      <c r="E1106" s="72" t="n"/>
      <c r="F1106" s="65" t="n"/>
      <c r="G1106" s="68" t="str">
        <f>IF(J1106&lt;&gt;"OK","",IF(F1106="",N(INDEX(mat_loss,MATCH(B1106,mat_ref,0))),F1106))</f>
        <v/>
      </c>
      <c r="H1106" s="66" t="str">
        <f>IF(J1106&lt;&gt;"OK","",INDEX(mat_price,MATCH(B1106,mat_ref,0)))</f>
        <v/>
      </c>
      <c r="I1106" s="66" t="str">
        <f>IF(J1106&lt;&gt;"OK","",E1106*(1+G1106)*H1106)</f>
        <v/>
      </c>
      <c r="J1106" s="69" t="str">
        <f>IF(AND(A1106="",B1106=""),"",IF(A1106="","Produit manquant",IF(COUNTIF(prod_ref,A1106)=0,"Produit inconnu",IF(B1106="","Matière manquante",IF(ISNA(MATCH(B1106,mat_ref,0)),"Matière inconnue",IF(INDEX(mat_check,MATCH(B1106,mat_ref,0))&lt;&gt;"OK","Matière à corriger",IF(OR(NOT(ISNUMBER(E1106)),N(E1106)&lt;=0),"Quantité invalide",IF(AND(F1106&lt;&gt;"",OR(NOT(ISNUMBER(F1106)),N(F1106)&lt;0,N(F1106)&gt;=1)),"Perte entre 0 et 99 %",IF(COUNTIFS(bom_prod,A1106,bom_mat,B1106)&gt;1,"Matière en double","OK")))))))))</f>
        <v/>
      </c>
      <c r="K1106" s="71" t="str">
        <f>IF(AND(fiche_sel&lt;&gt;"",A1106=fiche_sel),COUNTIF(A$6:A1106,fiche_sel),"")</f>
        <v/>
      </c>
    </row>
    <row r="1107">
      <c r="A1107" s="60" t="n"/>
      <c r="B1107" s="60" t="n"/>
      <c r="C1107" s="71" t="str">
        <f>IF(B1107="","",IFERROR(INDEX(mat_des,MATCH(B1107,mat_ref,0))&amp;"","Matière inconnue"))</f>
        <v/>
      </c>
      <c r="D1107" s="69" t="str">
        <f>IF(B1107="","",IFERROR(INDEX(mat_unit,MATCH(B1107,mat_ref,0))&amp;"",""))</f>
        <v/>
      </c>
      <c r="E1107" s="72" t="n"/>
      <c r="F1107" s="65" t="n"/>
      <c r="G1107" s="68" t="str">
        <f>IF(J1107&lt;&gt;"OK","",IF(F1107="",N(INDEX(mat_loss,MATCH(B1107,mat_ref,0))),F1107))</f>
        <v/>
      </c>
      <c r="H1107" s="66" t="str">
        <f>IF(J1107&lt;&gt;"OK","",INDEX(mat_price,MATCH(B1107,mat_ref,0)))</f>
        <v/>
      </c>
      <c r="I1107" s="66" t="str">
        <f>IF(J1107&lt;&gt;"OK","",E1107*(1+G1107)*H1107)</f>
        <v/>
      </c>
      <c r="J1107" s="69" t="str">
        <f>IF(AND(A1107="",B1107=""),"",IF(A1107="","Produit manquant",IF(COUNTIF(prod_ref,A1107)=0,"Produit inconnu",IF(B1107="","Matière manquante",IF(ISNA(MATCH(B1107,mat_ref,0)),"Matière inconnue",IF(INDEX(mat_check,MATCH(B1107,mat_ref,0))&lt;&gt;"OK","Matière à corriger",IF(OR(NOT(ISNUMBER(E1107)),N(E1107)&lt;=0),"Quantité invalide",IF(AND(F1107&lt;&gt;"",OR(NOT(ISNUMBER(F1107)),N(F1107)&lt;0,N(F1107)&gt;=1)),"Perte entre 0 et 99 %",IF(COUNTIFS(bom_prod,A1107,bom_mat,B1107)&gt;1,"Matière en double","OK")))))))))</f>
        <v/>
      </c>
      <c r="K1107" s="71" t="str">
        <f>IF(AND(fiche_sel&lt;&gt;"",A1107=fiche_sel),COUNTIF(A$6:A1107,fiche_sel),"")</f>
        <v/>
      </c>
    </row>
    <row r="1108">
      <c r="A1108" s="60" t="n"/>
      <c r="B1108" s="60" t="n"/>
      <c r="C1108" s="71" t="str">
        <f>IF(B1108="","",IFERROR(INDEX(mat_des,MATCH(B1108,mat_ref,0))&amp;"","Matière inconnue"))</f>
        <v/>
      </c>
      <c r="D1108" s="69" t="str">
        <f>IF(B1108="","",IFERROR(INDEX(mat_unit,MATCH(B1108,mat_ref,0))&amp;"",""))</f>
        <v/>
      </c>
      <c r="E1108" s="72" t="n"/>
      <c r="F1108" s="65" t="n"/>
      <c r="G1108" s="68" t="str">
        <f>IF(J1108&lt;&gt;"OK","",IF(F1108="",N(INDEX(mat_loss,MATCH(B1108,mat_ref,0))),F1108))</f>
        <v/>
      </c>
      <c r="H1108" s="66" t="str">
        <f>IF(J1108&lt;&gt;"OK","",INDEX(mat_price,MATCH(B1108,mat_ref,0)))</f>
        <v/>
      </c>
      <c r="I1108" s="66" t="str">
        <f>IF(J1108&lt;&gt;"OK","",E1108*(1+G1108)*H1108)</f>
        <v/>
      </c>
      <c r="J1108" s="69" t="str">
        <f>IF(AND(A1108="",B1108=""),"",IF(A1108="","Produit manquant",IF(COUNTIF(prod_ref,A1108)=0,"Produit inconnu",IF(B1108="","Matière manquante",IF(ISNA(MATCH(B1108,mat_ref,0)),"Matière inconnue",IF(INDEX(mat_check,MATCH(B1108,mat_ref,0))&lt;&gt;"OK","Matière à corriger",IF(OR(NOT(ISNUMBER(E1108)),N(E1108)&lt;=0),"Quantité invalide",IF(AND(F1108&lt;&gt;"",OR(NOT(ISNUMBER(F1108)),N(F1108)&lt;0,N(F1108)&gt;=1)),"Perte entre 0 et 99 %",IF(COUNTIFS(bom_prod,A1108,bom_mat,B1108)&gt;1,"Matière en double","OK")))))))))</f>
        <v/>
      </c>
      <c r="K1108" s="71" t="str">
        <f>IF(AND(fiche_sel&lt;&gt;"",A1108=fiche_sel),COUNTIF(A$6:A1108,fiche_sel),"")</f>
        <v/>
      </c>
    </row>
    <row r="1109">
      <c r="A1109" s="60" t="n"/>
      <c r="B1109" s="60" t="n"/>
      <c r="C1109" s="71" t="str">
        <f>IF(B1109="","",IFERROR(INDEX(mat_des,MATCH(B1109,mat_ref,0))&amp;"","Matière inconnue"))</f>
        <v/>
      </c>
      <c r="D1109" s="69" t="str">
        <f>IF(B1109="","",IFERROR(INDEX(mat_unit,MATCH(B1109,mat_ref,0))&amp;"",""))</f>
        <v/>
      </c>
      <c r="E1109" s="72" t="n"/>
      <c r="F1109" s="65" t="n"/>
      <c r="G1109" s="68" t="str">
        <f>IF(J1109&lt;&gt;"OK","",IF(F1109="",N(INDEX(mat_loss,MATCH(B1109,mat_ref,0))),F1109))</f>
        <v/>
      </c>
      <c r="H1109" s="66" t="str">
        <f>IF(J1109&lt;&gt;"OK","",INDEX(mat_price,MATCH(B1109,mat_ref,0)))</f>
        <v/>
      </c>
      <c r="I1109" s="66" t="str">
        <f>IF(J1109&lt;&gt;"OK","",E1109*(1+G1109)*H1109)</f>
        <v/>
      </c>
      <c r="J1109" s="69" t="str">
        <f>IF(AND(A1109="",B1109=""),"",IF(A1109="","Produit manquant",IF(COUNTIF(prod_ref,A1109)=0,"Produit inconnu",IF(B1109="","Matière manquante",IF(ISNA(MATCH(B1109,mat_ref,0)),"Matière inconnue",IF(INDEX(mat_check,MATCH(B1109,mat_ref,0))&lt;&gt;"OK","Matière à corriger",IF(OR(NOT(ISNUMBER(E1109)),N(E1109)&lt;=0),"Quantité invalide",IF(AND(F1109&lt;&gt;"",OR(NOT(ISNUMBER(F1109)),N(F1109)&lt;0,N(F1109)&gt;=1)),"Perte entre 0 et 99 %",IF(COUNTIFS(bom_prod,A1109,bom_mat,B1109)&gt;1,"Matière en double","OK")))))))))</f>
        <v/>
      </c>
      <c r="K1109" s="71" t="str">
        <f>IF(AND(fiche_sel&lt;&gt;"",A1109=fiche_sel),COUNTIF(A$6:A1109,fiche_sel),"")</f>
        <v/>
      </c>
    </row>
    <row r="1110">
      <c r="A1110" s="60" t="n"/>
      <c r="B1110" s="60" t="n"/>
      <c r="C1110" s="71" t="str">
        <f>IF(B1110="","",IFERROR(INDEX(mat_des,MATCH(B1110,mat_ref,0))&amp;"","Matière inconnue"))</f>
        <v/>
      </c>
      <c r="D1110" s="69" t="str">
        <f>IF(B1110="","",IFERROR(INDEX(mat_unit,MATCH(B1110,mat_ref,0))&amp;"",""))</f>
        <v/>
      </c>
      <c r="E1110" s="72" t="n"/>
      <c r="F1110" s="65" t="n"/>
      <c r="G1110" s="68" t="str">
        <f>IF(J1110&lt;&gt;"OK","",IF(F1110="",N(INDEX(mat_loss,MATCH(B1110,mat_ref,0))),F1110))</f>
        <v/>
      </c>
      <c r="H1110" s="66" t="str">
        <f>IF(J1110&lt;&gt;"OK","",INDEX(mat_price,MATCH(B1110,mat_ref,0)))</f>
        <v/>
      </c>
      <c r="I1110" s="66" t="str">
        <f>IF(J1110&lt;&gt;"OK","",E1110*(1+G1110)*H1110)</f>
        <v/>
      </c>
      <c r="J1110" s="69" t="str">
        <f>IF(AND(A1110="",B1110=""),"",IF(A1110="","Produit manquant",IF(COUNTIF(prod_ref,A1110)=0,"Produit inconnu",IF(B1110="","Matière manquante",IF(ISNA(MATCH(B1110,mat_ref,0)),"Matière inconnue",IF(INDEX(mat_check,MATCH(B1110,mat_ref,0))&lt;&gt;"OK","Matière à corriger",IF(OR(NOT(ISNUMBER(E1110)),N(E1110)&lt;=0),"Quantité invalide",IF(AND(F1110&lt;&gt;"",OR(NOT(ISNUMBER(F1110)),N(F1110)&lt;0,N(F1110)&gt;=1)),"Perte entre 0 et 99 %",IF(COUNTIFS(bom_prod,A1110,bom_mat,B1110)&gt;1,"Matière en double","OK")))))))))</f>
        <v/>
      </c>
      <c r="K1110" s="71" t="str">
        <f>IF(AND(fiche_sel&lt;&gt;"",A1110=fiche_sel),COUNTIF(A$6:A1110,fiche_sel),"")</f>
        <v/>
      </c>
    </row>
    <row r="1111">
      <c r="A1111" s="60" t="n"/>
      <c r="B1111" s="60" t="n"/>
      <c r="C1111" s="71" t="str">
        <f>IF(B1111="","",IFERROR(INDEX(mat_des,MATCH(B1111,mat_ref,0))&amp;"","Matière inconnue"))</f>
        <v/>
      </c>
      <c r="D1111" s="69" t="str">
        <f>IF(B1111="","",IFERROR(INDEX(mat_unit,MATCH(B1111,mat_ref,0))&amp;"",""))</f>
        <v/>
      </c>
      <c r="E1111" s="72" t="n"/>
      <c r="F1111" s="65" t="n"/>
      <c r="G1111" s="68" t="str">
        <f>IF(J1111&lt;&gt;"OK","",IF(F1111="",N(INDEX(mat_loss,MATCH(B1111,mat_ref,0))),F1111))</f>
        <v/>
      </c>
      <c r="H1111" s="66" t="str">
        <f>IF(J1111&lt;&gt;"OK","",INDEX(mat_price,MATCH(B1111,mat_ref,0)))</f>
        <v/>
      </c>
      <c r="I1111" s="66" t="str">
        <f>IF(J1111&lt;&gt;"OK","",E1111*(1+G1111)*H1111)</f>
        <v/>
      </c>
      <c r="J1111" s="69" t="str">
        <f>IF(AND(A1111="",B1111=""),"",IF(A1111="","Produit manquant",IF(COUNTIF(prod_ref,A1111)=0,"Produit inconnu",IF(B1111="","Matière manquante",IF(ISNA(MATCH(B1111,mat_ref,0)),"Matière inconnue",IF(INDEX(mat_check,MATCH(B1111,mat_ref,0))&lt;&gt;"OK","Matière à corriger",IF(OR(NOT(ISNUMBER(E1111)),N(E1111)&lt;=0),"Quantité invalide",IF(AND(F1111&lt;&gt;"",OR(NOT(ISNUMBER(F1111)),N(F1111)&lt;0,N(F1111)&gt;=1)),"Perte entre 0 et 99 %",IF(COUNTIFS(bom_prod,A1111,bom_mat,B1111)&gt;1,"Matière en double","OK")))))))))</f>
        <v/>
      </c>
      <c r="K1111" s="71" t="str">
        <f>IF(AND(fiche_sel&lt;&gt;"",A1111=fiche_sel),COUNTIF(A$6:A1111,fiche_sel),"")</f>
        <v/>
      </c>
    </row>
    <row r="1112">
      <c r="A1112" s="60" t="n"/>
      <c r="B1112" s="60" t="n"/>
      <c r="C1112" s="71" t="str">
        <f>IF(B1112="","",IFERROR(INDEX(mat_des,MATCH(B1112,mat_ref,0))&amp;"","Matière inconnue"))</f>
        <v/>
      </c>
      <c r="D1112" s="69" t="str">
        <f>IF(B1112="","",IFERROR(INDEX(mat_unit,MATCH(B1112,mat_ref,0))&amp;"",""))</f>
        <v/>
      </c>
      <c r="E1112" s="72" t="n"/>
      <c r="F1112" s="65" t="n"/>
      <c r="G1112" s="68" t="str">
        <f>IF(J1112&lt;&gt;"OK","",IF(F1112="",N(INDEX(mat_loss,MATCH(B1112,mat_ref,0))),F1112))</f>
        <v/>
      </c>
      <c r="H1112" s="66" t="str">
        <f>IF(J1112&lt;&gt;"OK","",INDEX(mat_price,MATCH(B1112,mat_ref,0)))</f>
        <v/>
      </c>
      <c r="I1112" s="66" t="str">
        <f>IF(J1112&lt;&gt;"OK","",E1112*(1+G1112)*H1112)</f>
        <v/>
      </c>
      <c r="J1112" s="69" t="str">
        <f>IF(AND(A1112="",B1112=""),"",IF(A1112="","Produit manquant",IF(COUNTIF(prod_ref,A1112)=0,"Produit inconnu",IF(B1112="","Matière manquante",IF(ISNA(MATCH(B1112,mat_ref,0)),"Matière inconnue",IF(INDEX(mat_check,MATCH(B1112,mat_ref,0))&lt;&gt;"OK","Matière à corriger",IF(OR(NOT(ISNUMBER(E1112)),N(E1112)&lt;=0),"Quantité invalide",IF(AND(F1112&lt;&gt;"",OR(NOT(ISNUMBER(F1112)),N(F1112)&lt;0,N(F1112)&gt;=1)),"Perte entre 0 et 99 %",IF(COUNTIFS(bom_prod,A1112,bom_mat,B1112)&gt;1,"Matière en double","OK")))))))))</f>
        <v/>
      </c>
      <c r="K1112" s="71" t="str">
        <f>IF(AND(fiche_sel&lt;&gt;"",A1112=fiche_sel),COUNTIF(A$6:A1112,fiche_sel),"")</f>
        <v/>
      </c>
    </row>
    <row r="1113">
      <c r="A1113" s="60" t="n"/>
      <c r="B1113" s="60" t="n"/>
      <c r="C1113" s="71" t="str">
        <f>IF(B1113="","",IFERROR(INDEX(mat_des,MATCH(B1113,mat_ref,0))&amp;"","Matière inconnue"))</f>
        <v/>
      </c>
      <c r="D1113" s="69" t="str">
        <f>IF(B1113="","",IFERROR(INDEX(mat_unit,MATCH(B1113,mat_ref,0))&amp;"",""))</f>
        <v/>
      </c>
      <c r="E1113" s="72" t="n"/>
      <c r="F1113" s="65" t="n"/>
      <c r="G1113" s="68" t="str">
        <f>IF(J1113&lt;&gt;"OK","",IF(F1113="",N(INDEX(mat_loss,MATCH(B1113,mat_ref,0))),F1113))</f>
        <v/>
      </c>
      <c r="H1113" s="66" t="str">
        <f>IF(J1113&lt;&gt;"OK","",INDEX(mat_price,MATCH(B1113,mat_ref,0)))</f>
        <v/>
      </c>
      <c r="I1113" s="66" t="str">
        <f>IF(J1113&lt;&gt;"OK","",E1113*(1+G1113)*H1113)</f>
        <v/>
      </c>
      <c r="J1113" s="69" t="str">
        <f>IF(AND(A1113="",B1113=""),"",IF(A1113="","Produit manquant",IF(COUNTIF(prod_ref,A1113)=0,"Produit inconnu",IF(B1113="","Matière manquante",IF(ISNA(MATCH(B1113,mat_ref,0)),"Matière inconnue",IF(INDEX(mat_check,MATCH(B1113,mat_ref,0))&lt;&gt;"OK","Matière à corriger",IF(OR(NOT(ISNUMBER(E1113)),N(E1113)&lt;=0),"Quantité invalide",IF(AND(F1113&lt;&gt;"",OR(NOT(ISNUMBER(F1113)),N(F1113)&lt;0,N(F1113)&gt;=1)),"Perte entre 0 et 99 %",IF(COUNTIFS(bom_prod,A1113,bom_mat,B1113)&gt;1,"Matière en double","OK")))))))))</f>
        <v/>
      </c>
      <c r="K1113" s="71" t="str">
        <f>IF(AND(fiche_sel&lt;&gt;"",A1113=fiche_sel),COUNTIF(A$6:A1113,fiche_sel),"")</f>
        <v/>
      </c>
    </row>
    <row r="1114">
      <c r="A1114" s="60" t="n"/>
      <c r="B1114" s="60" t="n"/>
      <c r="C1114" s="71" t="str">
        <f>IF(B1114="","",IFERROR(INDEX(mat_des,MATCH(B1114,mat_ref,0))&amp;"","Matière inconnue"))</f>
        <v/>
      </c>
      <c r="D1114" s="69" t="str">
        <f>IF(B1114="","",IFERROR(INDEX(mat_unit,MATCH(B1114,mat_ref,0))&amp;"",""))</f>
        <v/>
      </c>
      <c r="E1114" s="72" t="n"/>
      <c r="F1114" s="65" t="n"/>
      <c r="G1114" s="68" t="str">
        <f>IF(J1114&lt;&gt;"OK","",IF(F1114="",N(INDEX(mat_loss,MATCH(B1114,mat_ref,0))),F1114))</f>
        <v/>
      </c>
      <c r="H1114" s="66" t="str">
        <f>IF(J1114&lt;&gt;"OK","",INDEX(mat_price,MATCH(B1114,mat_ref,0)))</f>
        <v/>
      </c>
      <c r="I1114" s="66" t="str">
        <f>IF(J1114&lt;&gt;"OK","",E1114*(1+G1114)*H1114)</f>
        <v/>
      </c>
      <c r="J1114" s="69" t="str">
        <f>IF(AND(A1114="",B1114=""),"",IF(A1114="","Produit manquant",IF(COUNTIF(prod_ref,A1114)=0,"Produit inconnu",IF(B1114="","Matière manquante",IF(ISNA(MATCH(B1114,mat_ref,0)),"Matière inconnue",IF(INDEX(mat_check,MATCH(B1114,mat_ref,0))&lt;&gt;"OK","Matière à corriger",IF(OR(NOT(ISNUMBER(E1114)),N(E1114)&lt;=0),"Quantité invalide",IF(AND(F1114&lt;&gt;"",OR(NOT(ISNUMBER(F1114)),N(F1114)&lt;0,N(F1114)&gt;=1)),"Perte entre 0 et 99 %",IF(COUNTIFS(bom_prod,A1114,bom_mat,B1114)&gt;1,"Matière en double","OK")))))))))</f>
        <v/>
      </c>
      <c r="K1114" s="71" t="str">
        <f>IF(AND(fiche_sel&lt;&gt;"",A1114=fiche_sel),COUNTIF(A$6:A1114,fiche_sel),"")</f>
        <v/>
      </c>
    </row>
    <row r="1115">
      <c r="A1115" s="60" t="n"/>
      <c r="B1115" s="60" t="n"/>
      <c r="C1115" s="71" t="str">
        <f>IF(B1115="","",IFERROR(INDEX(mat_des,MATCH(B1115,mat_ref,0))&amp;"","Matière inconnue"))</f>
        <v/>
      </c>
      <c r="D1115" s="69" t="str">
        <f>IF(B1115="","",IFERROR(INDEX(mat_unit,MATCH(B1115,mat_ref,0))&amp;"",""))</f>
        <v/>
      </c>
      <c r="E1115" s="72" t="n"/>
      <c r="F1115" s="65" t="n"/>
      <c r="G1115" s="68" t="str">
        <f>IF(J1115&lt;&gt;"OK","",IF(F1115="",N(INDEX(mat_loss,MATCH(B1115,mat_ref,0))),F1115))</f>
        <v/>
      </c>
      <c r="H1115" s="66" t="str">
        <f>IF(J1115&lt;&gt;"OK","",INDEX(mat_price,MATCH(B1115,mat_ref,0)))</f>
        <v/>
      </c>
      <c r="I1115" s="66" t="str">
        <f>IF(J1115&lt;&gt;"OK","",E1115*(1+G1115)*H1115)</f>
        <v/>
      </c>
      <c r="J1115" s="69" t="str">
        <f>IF(AND(A1115="",B1115=""),"",IF(A1115="","Produit manquant",IF(COUNTIF(prod_ref,A1115)=0,"Produit inconnu",IF(B1115="","Matière manquante",IF(ISNA(MATCH(B1115,mat_ref,0)),"Matière inconnue",IF(INDEX(mat_check,MATCH(B1115,mat_ref,0))&lt;&gt;"OK","Matière à corriger",IF(OR(NOT(ISNUMBER(E1115)),N(E1115)&lt;=0),"Quantité invalide",IF(AND(F1115&lt;&gt;"",OR(NOT(ISNUMBER(F1115)),N(F1115)&lt;0,N(F1115)&gt;=1)),"Perte entre 0 et 99 %",IF(COUNTIFS(bom_prod,A1115,bom_mat,B1115)&gt;1,"Matière en double","OK")))))))))</f>
        <v/>
      </c>
      <c r="K1115" s="71" t="str">
        <f>IF(AND(fiche_sel&lt;&gt;"",A1115=fiche_sel),COUNTIF(A$6:A1115,fiche_sel),"")</f>
        <v/>
      </c>
    </row>
    <row r="1116">
      <c r="A1116" s="60" t="n"/>
      <c r="B1116" s="60" t="n"/>
      <c r="C1116" s="71" t="str">
        <f>IF(B1116="","",IFERROR(INDEX(mat_des,MATCH(B1116,mat_ref,0))&amp;"","Matière inconnue"))</f>
        <v/>
      </c>
      <c r="D1116" s="69" t="str">
        <f>IF(B1116="","",IFERROR(INDEX(mat_unit,MATCH(B1116,mat_ref,0))&amp;"",""))</f>
        <v/>
      </c>
      <c r="E1116" s="72" t="n"/>
      <c r="F1116" s="65" t="n"/>
      <c r="G1116" s="68" t="str">
        <f>IF(J1116&lt;&gt;"OK","",IF(F1116="",N(INDEX(mat_loss,MATCH(B1116,mat_ref,0))),F1116))</f>
        <v/>
      </c>
      <c r="H1116" s="66" t="str">
        <f>IF(J1116&lt;&gt;"OK","",INDEX(mat_price,MATCH(B1116,mat_ref,0)))</f>
        <v/>
      </c>
      <c r="I1116" s="66" t="str">
        <f>IF(J1116&lt;&gt;"OK","",E1116*(1+G1116)*H1116)</f>
        <v/>
      </c>
      <c r="J1116" s="69" t="str">
        <f>IF(AND(A1116="",B1116=""),"",IF(A1116="","Produit manquant",IF(COUNTIF(prod_ref,A1116)=0,"Produit inconnu",IF(B1116="","Matière manquante",IF(ISNA(MATCH(B1116,mat_ref,0)),"Matière inconnue",IF(INDEX(mat_check,MATCH(B1116,mat_ref,0))&lt;&gt;"OK","Matière à corriger",IF(OR(NOT(ISNUMBER(E1116)),N(E1116)&lt;=0),"Quantité invalide",IF(AND(F1116&lt;&gt;"",OR(NOT(ISNUMBER(F1116)),N(F1116)&lt;0,N(F1116)&gt;=1)),"Perte entre 0 et 99 %",IF(COUNTIFS(bom_prod,A1116,bom_mat,B1116)&gt;1,"Matière en double","OK")))))))))</f>
        <v/>
      </c>
      <c r="K1116" s="71" t="str">
        <f>IF(AND(fiche_sel&lt;&gt;"",A1116=fiche_sel),COUNTIF(A$6:A1116,fiche_sel),"")</f>
        <v/>
      </c>
    </row>
    <row r="1117">
      <c r="A1117" s="60" t="n"/>
      <c r="B1117" s="60" t="n"/>
      <c r="C1117" s="71" t="str">
        <f>IF(B1117="","",IFERROR(INDEX(mat_des,MATCH(B1117,mat_ref,0))&amp;"","Matière inconnue"))</f>
        <v/>
      </c>
      <c r="D1117" s="69" t="str">
        <f>IF(B1117="","",IFERROR(INDEX(mat_unit,MATCH(B1117,mat_ref,0))&amp;"",""))</f>
        <v/>
      </c>
      <c r="E1117" s="72" t="n"/>
      <c r="F1117" s="65" t="n"/>
      <c r="G1117" s="68" t="str">
        <f>IF(J1117&lt;&gt;"OK","",IF(F1117="",N(INDEX(mat_loss,MATCH(B1117,mat_ref,0))),F1117))</f>
        <v/>
      </c>
      <c r="H1117" s="66" t="str">
        <f>IF(J1117&lt;&gt;"OK","",INDEX(mat_price,MATCH(B1117,mat_ref,0)))</f>
        <v/>
      </c>
      <c r="I1117" s="66" t="str">
        <f>IF(J1117&lt;&gt;"OK","",E1117*(1+G1117)*H1117)</f>
        <v/>
      </c>
      <c r="J1117" s="69" t="str">
        <f>IF(AND(A1117="",B1117=""),"",IF(A1117="","Produit manquant",IF(COUNTIF(prod_ref,A1117)=0,"Produit inconnu",IF(B1117="","Matière manquante",IF(ISNA(MATCH(B1117,mat_ref,0)),"Matière inconnue",IF(INDEX(mat_check,MATCH(B1117,mat_ref,0))&lt;&gt;"OK","Matière à corriger",IF(OR(NOT(ISNUMBER(E1117)),N(E1117)&lt;=0),"Quantité invalide",IF(AND(F1117&lt;&gt;"",OR(NOT(ISNUMBER(F1117)),N(F1117)&lt;0,N(F1117)&gt;=1)),"Perte entre 0 et 99 %",IF(COUNTIFS(bom_prod,A1117,bom_mat,B1117)&gt;1,"Matière en double","OK")))))))))</f>
        <v/>
      </c>
      <c r="K1117" s="71" t="str">
        <f>IF(AND(fiche_sel&lt;&gt;"",A1117=fiche_sel),COUNTIF(A$6:A1117,fiche_sel),"")</f>
        <v/>
      </c>
    </row>
    <row r="1118">
      <c r="A1118" s="60" t="n"/>
      <c r="B1118" s="60" t="n"/>
      <c r="C1118" s="71" t="str">
        <f>IF(B1118="","",IFERROR(INDEX(mat_des,MATCH(B1118,mat_ref,0))&amp;"","Matière inconnue"))</f>
        <v/>
      </c>
      <c r="D1118" s="69" t="str">
        <f>IF(B1118="","",IFERROR(INDEX(mat_unit,MATCH(B1118,mat_ref,0))&amp;"",""))</f>
        <v/>
      </c>
      <c r="E1118" s="72" t="n"/>
      <c r="F1118" s="65" t="n"/>
      <c r="G1118" s="68" t="str">
        <f>IF(J1118&lt;&gt;"OK","",IF(F1118="",N(INDEX(mat_loss,MATCH(B1118,mat_ref,0))),F1118))</f>
        <v/>
      </c>
      <c r="H1118" s="66" t="str">
        <f>IF(J1118&lt;&gt;"OK","",INDEX(mat_price,MATCH(B1118,mat_ref,0)))</f>
        <v/>
      </c>
      <c r="I1118" s="66" t="str">
        <f>IF(J1118&lt;&gt;"OK","",E1118*(1+G1118)*H1118)</f>
        <v/>
      </c>
      <c r="J1118" s="69" t="str">
        <f>IF(AND(A1118="",B1118=""),"",IF(A1118="","Produit manquant",IF(COUNTIF(prod_ref,A1118)=0,"Produit inconnu",IF(B1118="","Matière manquante",IF(ISNA(MATCH(B1118,mat_ref,0)),"Matière inconnue",IF(INDEX(mat_check,MATCH(B1118,mat_ref,0))&lt;&gt;"OK","Matière à corriger",IF(OR(NOT(ISNUMBER(E1118)),N(E1118)&lt;=0),"Quantité invalide",IF(AND(F1118&lt;&gt;"",OR(NOT(ISNUMBER(F1118)),N(F1118)&lt;0,N(F1118)&gt;=1)),"Perte entre 0 et 99 %",IF(COUNTIFS(bom_prod,A1118,bom_mat,B1118)&gt;1,"Matière en double","OK")))))))))</f>
        <v/>
      </c>
      <c r="K1118" s="71" t="str">
        <f>IF(AND(fiche_sel&lt;&gt;"",A1118=fiche_sel),COUNTIF(A$6:A1118,fiche_sel),"")</f>
        <v/>
      </c>
    </row>
    <row r="1119">
      <c r="A1119" s="60" t="n"/>
      <c r="B1119" s="60" t="n"/>
      <c r="C1119" s="71" t="str">
        <f>IF(B1119="","",IFERROR(INDEX(mat_des,MATCH(B1119,mat_ref,0))&amp;"","Matière inconnue"))</f>
        <v/>
      </c>
      <c r="D1119" s="69" t="str">
        <f>IF(B1119="","",IFERROR(INDEX(mat_unit,MATCH(B1119,mat_ref,0))&amp;"",""))</f>
        <v/>
      </c>
      <c r="E1119" s="72" t="n"/>
      <c r="F1119" s="65" t="n"/>
      <c r="G1119" s="68" t="str">
        <f>IF(J1119&lt;&gt;"OK","",IF(F1119="",N(INDEX(mat_loss,MATCH(B1119,mat_ref,0))),F1119))</f>
        <v/>
      </c>
      <c r="H1119" s="66" t="str">
        <f>IF(J1119&lt;&gt;"OK","",INDEX(mat_price,MATCH(B1119,mat_ref,0)))</f>
        <v/>
      </c>
      <c r="I1119" s="66" t="str">
        <f>IF(J1119&lt;&gt;"OK","",E1119*(1+G1119)*H1119)</f>
        <v/>
      </c>
      <c r="J1119" s="69" t="str">
        <f>IF(AND(A1119="",B1119=""),"",IF(A1119="","Produit manquant",IF(COUNTIF(prod_ref,A1119)=0,"Produit inconnu",IF(B1119="","Matière manquante",IF(ISNA(MATCH(B1119,mat_ref,0)),"Matière inconnue",IF(INDEX(mat_check,MATCH(B1119,mat_ref,0))&lt;&gt;"OK","Matière à corriger",IF(OR(NOT(ISNUMBER(E1119)),N(E1119)&lt;=0),"Quantité invalide",IF(AND(F1119&lt;&gt;"",OR(NOT(ISNUMBER(F1119)),N(F1119)&lt;0,N(F1119)&gt;=1)),"Perte entre 0 et 99 %",IF(COUNTIFS(bom_prod,A1119,bom_mat,B1119)&gt;1,"Matière en double","OK")))))))))</f>
        <v/>
      </c>
      <c r="K1119" s="71" t="str">
        <f>IF(AND(fiche_sel&lt;&gt;"",A1119=fiche_sel),COUNTIF(A$6:A1119,fiche_sel),"")</f>
        <v/>
      </c>
    </row>
    <row r="1120">
      <c r="A1120" s="60" t="n"/>
      <c r="B1120" s="60" t="n"/>
      <c r="C1120" s="71" t="str">
        <f>IF(B1120="","",IFERROR(INDEX(mat_des,MATCH(B1120,mat_ref,0))&amp;"","Matière inconnue"))</f>
        <v/>
      </c>
      <c r="D1120" s="69" t="str">
        <f>IF(B1120="","",IFERROR(INDEX(mat_unit,MATCH(B1120,mat_ref,0))&amp;"",""))</f>
        <v/>
      </c>
      <c r="E1120" s="72" t="n"/>
      <c r="F1120" s="65" t="n"/>
      <c r="G1120" s="68" t="str">
        <f>IF(J1120&lt;&gt;"OK","",IF(F1120="",N(INDEX(mat_loss,MATCH(B1120,mat_ref,0))),F1120))</f>
        <v/>
      </c>
      <c r="H1120" s="66" t="str">
        <f>IF(J1120&lt;&gt;"OK","",INDEX(mat_price,MATCH(B1120,mat_ref,0)))</f>
        <v/>
      </c>
      <c r="I1120" s="66" t="str">
        <f>IF(J1120&lt;&gt;"OK","",E1120*(1+G1120)*H1120)</f>
        <v/>
      </c>
      <c r="J1120" s="69" t="str">
        <f>IF(AND(A1120="",B1120=""),"",IF(A1120="","Produit manquant",IF(COUNTIF(prod_ref,A1120)=0,"Produit inconnu",IF(B1120="","Matière manquante",IF(ISNA(MATCH(B1120,mat_ref,0)),"Matière inconnue",IF(INDEX(mat_check,MATCH(B1120,mat_ref,0))&lt;&gt;"OK","Matière à corriger",IF(OR(NOT(ISNUMBER(E1120)),N(E1120)&lt;=0),"Quantité invalide",IF(AND(F1120&lt;&gt;"",OR(NOT(ISNUMBER(F1120)),N(F1120)&lt;0,N(F1120)&gt;=1)),"Perte entre 0 et 99 %",IF(COUNTIFS(bom_prod,A1120,bom_mat,B1120)&gt;1,"Matière en double","OK")))))))))</f>
        <v/>
      </c>
      <c r="K1120" s="71" t="str">
        <f>IF(AND(fiche_sel&lt;&gt;"",A1120=fiche_sel),COUNTIF(A$6:A1120,fiche_sel),"")</f>
        <v/>
      </c>
    </row>
    <row r="1121">
      <c r="A1121" s="60" t="n"/>
      <c r="B1121" s="60" t="n"/>
      <c r="C1121" s="71" t="str">
        <f>IF(B1121="","",IFERROR(INDEX(mat_des,MATCH(B1121,mat_ref,0))&amp;"","Matière inconnue"))</f>
        <v/>
      </c>
      <c r="D1121" s="69" t="str">
        <f>IF(B1121="","",IFERROR(INDEX(mat_unit,MATCH(B1121,mat_ref,0))&amp;"",""))</f>
        <v/>
      </c>
      <c r="E1121" s="72" t="n"/>
      <c r="F1121" s="65" t="n"/>
      <c r="G1121" s="68" t="str">
        <f>IF(J1121&lt;&gt;"OK","",IF(F1121="",N(INDEX(mat_loss,MATCH(B1121,mat_ref,0))),F1121))</f>
        <v/>
      </c>
      <c r="H1121" s="66" t="str">
        <f>IF(J1121&lt;&gt;"OK","",INDEX(mat_price,MATCH(B1121,mat_ref,0)))</f>
        <v/>
      </c>
      <c r="I1121" s="66" t="str">
        <f>IF(J1121&lt;&gt;"OK","",E1121*(1+G1121)*H1121)</f>
        <v/>
      </c>
      <c r="J1121" s="69" t="str">
        <f>IF(AND(A1121="",B1121=""),"",IF(A1121="","Produit manquant",IF(COUNTIF(prod_ref,A1121)=0,"Produit inconnu",IF(B1121="","Matière manquante",IF(ISNA(MATCH(B1121,mat_ref,0)),"Matière inconnue",IF(INDEX(mat_check,MATCH(B1121,mat_ref,0))&lt;&gt;"OK","Matière à corriger",IF(OR(NOT(ISNUMBER(E1121)),N(E1121)&lt;=0),"Quantité invalide",IF(AND(F1121&lt;&gt;"",OR(NOT(ISNUMBER(F1121)),N(F1121)&lt;0,N(F1121)&gt;=1)),"Perte entre 0 et 99 %",IF(COUNTIFS(bom_prod,A1121,bom_mat,B1121)&gt;1,"Matière en double","OK")))))))))</f>
        <v/>
      </c>
      <c r="K1121" s="71" t="str">
        <f>IF(AND(fiche_sel&lt;&gt;"",A1121=fiche_sel),COUNTIF(A$6:A1121,fiche_sel),"")</f>
        <v/>
      </c>
    </row>
    <row r="1122">
      <c r="A1122" s="60" t="n"/>
      <c r="B1122" s="60" t="n"/>
      <c r="C1122" s="71" t="str">
        <f>IF(B1122="","",IFERROR(INDEX(mat_des,MATCH(B1122,mat_ref,0))&amp;"","Matière inconnue"))</f>
        <v/>
      </c>
      <c r="D1122" s="69" t="str">
        <f>IF(B1122="","",IFERROR(INDEX(mat_unit,MATCH(B1122,mat_ref,0))&amp;"",""))</f>
        <v/>
      </c>
      <c r="E1122" s="72" t="n"/>
      <c r="F1122" s="65" t="n"/>
      <c r="G1122" s="68" t="str">
        <f>IF(J1122&lt;&gt;"OK","",IF(F1122="",N(INDEX(mat_loss,MATCH(B1122,mat_ref,0))),F1122))</f>
        <v/>
      </c>
      <c r="H1122" s="66" t="str">
        <f>IF(J1122&lt;&gt;"OK","",INDEX(mat_price,MATCH(B1122,mat_ref,0)))</f>
        <v/>
      </c>
      <c r="I1122" s="66" t="str">
        <f>IF(J1122&lt;&gt;"OK","",E1122*(1+G1122)*H1122)</f>
        <v/>
      </c>
      <c r="J1122" s="69" t="str">
        <f>IF(AND(A1122="",B1122=""),"",IF(A1122="","Produit manquant",IF(COUNTIF(prod_ref,A1122)=0,"Produit inconnu",IF(B1122="","Matière manquante",IF(ISNA(MATCH(B1122,mat_ref,0)),"Matière inconnue",IF(INDEX(mat_check,MATCH(B1122,mat_ref,0))&lt;&gt;"OK","Matière à corriger",IF(OR(NOT(ISNUMBER(E1122)),N(E1122)&lt;=0),"Quantité invalide",IF(AND(F1122&lt;&gt;"",OR(NOT(ISNUMBER(F1122)),N(F1122)&lt;0,N(F1122)&gt;=1)),"Perte entre 0 et 99 %",IF(COUNTIFS(bom_prod,A1122,bom_mat,B1122)&gt;1,"Matière en double","OK")))))))))</f>
        <v/>
      </c>
      <c r="K1122" s="71" t="str">
        <f>IF(AND(fiche_sel&lt;&gt;"",A1122=fiche_sel),COUNTIF(A$6:A1122,fiche_sel),"")</f>
        <v/>
      </c>
    </row>
    <row r="1123">
      <c r="A1123" s="60" t="n"/>
      <c r="B1123" s="60" t="n"/>
      <c r="C1123" s="71" t="str">
        <f>IF(B1123="","",IFERROR(INDEX(mat_des,MATCH(B1123,mat_ref,0))&amp;"","Matière inconnue"))</f>
        <v/>
      </c>
      <c r="D1123" s="69" t="str">
        <f>IF(B1123="","",IFERROR(INDEX(mat_unit,MATCH(B1123,mat_ref,0))&amp;"",""))</f>
        <v/>
      </c>
      <c r="E1123" s="72" t="n"/>
      <c r="F1123" s="65" t="n"/>
      <c r="G1123" s="68" t="str">
        <f>IF(J1123&lt;&gt;"OK","",IF(F1123="",N(INDEX(mat_loss,MATCH(B1123,mat_ref,0))),F1123))</f>
        <v/>
      </c>
      <c r="H1123" s="66" t="str">
        <f>IF(J1123&lt;&gt;"OK","",INDEX(mat_price,MATCH(B1123,mat_ref,0)))</f>
        <v/>
      </c>
      <c r="I1123" s="66" t="str">
        <f>IF(J1123&lt;&gt;"OK","",E1123*(1+G1123)*H1123)</f>
        <v/>
      </c>
      <c r="J1123" s="69" t="str">
        <f>IF(AND(A1123="",B1123=""),"",IF(A1123="","Produit manquant",IF(COUNTIF(prod_ref,A1123)=0,"Produit inconnu",IF(B1123="","Matière manquante",IF(ISNA(MATCH(B1123,mat_ref,0)),"Matière inconnue",IF(INDEX(mat_check,MATCH(B1123,mat_ref,0))&lt;&gt;"OK","Matière à corriger",IF(OR(NOT(ISNUMBER(E1123)),N(E1123)&lt;=0),"Quantité invalide",IF(AND(F1123&lt;&gt;"",OR(NOT(ISNUMBER(F1123)),N(F1123)&lt;0,N(F1123)&gt;=1)),"Perte entre 0 et 99 %",IF(COUNTIFS(bom_prod,A1123,bom_mat,B1123)&gt;1,"Matière en double","OK")))))))))</f>
        <v/>
      </c>
      <c r="K1123" s="71" t="str">
        <f>IF(AND(fiche_sel&lt;&gt;"",A1123=fiche_sel),COUNTIF(A$6:A1123,fiche_sel),"")</f>
        <v/>
      </c>
    </row>
    <row r="1124">
      <c r="A1124" s="60" t="n"/>
      <c r="B1124" s="60" t="n"/>
      <c r="C1124" s="71" t="str">
        <f>IF(B1124="","",IFERROR(INDEX(mat_des,MATCH(B1124,mat_ref,0))&amp;"","Matière inconnue"))</f>
        <v/>
      </c>
      <c r="D1124" s="69" t="str">
        <f>IF(B1124="","",IFERROR(INDEX(mat_unit,MATCH(B1124,mat_ref,0))&amp;"",""))</f>
        <v/>
      </c>
      <c r="E1124" s="72" t="n"/>
      <c r="F1124" s="65" t="n"/>
      <c r="G1124" s="68" t="str">
        <f>IF(J1124&lt;&gt;"OK","",IF(F1124="",N(INDEX(mat_loss,MATCH(B1124,mat_ref,0))),F1124))</f>
        <v/>
      </c>
      <c r="H1124" s="66" t="str">
        <f>IF(J1124&lt;&gt;"OK","",INDEX(mat_price,MATCH(B1124,mat_ref,0)))</f>
        <v/>
      </c>
      <c r="I1124" s="66" t="str">
        <f>IF(J1124&lt;&gt;"OK","",E1124*(1+G1124)*H1124)</f>
        <v/>
      </c>
      <c r="J1124" s="69" t="str">
        <f>IF(AND(A1124="",B1124=""),"",IF(A1124="","Produit manquant",IF(COUNTIF(prod_ref,A1124)=0,"Produit inconnu",IF(B1124="","Matière manquante",IF(ISNA(MATCH(B1124,mat_ref,0)),"Matière inconnue",IF(INDEX(mat_check,MATCH(B1124,mat_ref,0))&lt;&gt;"OK","Matière à corriger",IF(OR(NOT(ISNUMBER(E1124)),N(E1124)&lt;=0),"Quantité invalide",IF(AND(F1124&lt;&gt;"",OR(NOT(ISNUMBER(F1124)),N(F1124)&lt;0,N(F1124)&gt;=1)),"Perte entre 0 et 99 %",IF(COUNTIFS(bom_prod,A1124,bom_mat,B1124)&gt;1,"Matière en double","OK")))))))))</f>
        <v/>
      </c>
      <c r="K1124" s="71" t="str">
        <f>IF(AND(fiche_sel&lt;&gt;"",A1124=fiche_sel),COUNTIF(A$6:A1124,fiche_sel),"")</f>
        <v/>
      </c>
    </row>
    <row r="1125">
      <c r="A1125" s="60" t="n"/>
      <c r="B1125" s="60" t="n"/>
      <c r="C1125" s="71" t="str">
        <f>IF(B1125="","",IFERROR(INDEX(mat_des,MATCH(B1125,mat_ref,0))&amp;"","Matière inconnue"))</f>
        <v/>
      </c>
      <c r="D1125" s="69" t="str">
        <f>IF(B1125="","",IFERROR(INDEX(mat_unit,MATCH(B1125,mat_ref,0))&amp;"",""))</f>
        <v/>
      </c>
      <c r="E1125" s="72" t="n"/>
      <c r="F1125" s="65" t="n"/>
      <c r="G1125" s="68" t="str">
        <f>IF(J1125&lt;&gt;"OK","",IF(F1125="",N(INDEX(mat_loss,MATCH(B1125,mat_ref,0))),F1125))</f>
        <v/>
      </c>
      <c r="H1125" s="66" t="str">
        <f>IF(J1125&lt;&gt;"OK","",INDEX(mat_price,MATCH(B1125,mat_ref,0)))</f>
        <v/>
      </c>
      <c r="I1125" s="66" t="str">
        <f>IF(J1125&lt;&gt;"OK","",E1125*(1+G1125)*H1125)</f>
        <v/>
      </c>
      <c r="J1125" s="69" t="str">
        <f>IF(AND(A1125="",B1125=""),"",IF(A1125="","Produit manquant",IF(COUNTIF(prod_ref,A1125)=0,"Produit inconnu",IF(B1125="","Matière manquante",IF(ISNA(MATCH(B1125,mat_ref,0)),"Matière inconnue",IF(INDEX(mat_check,MATCH(B1125,mat_ref,0))&lt;&gt;"OK","Matière à corriger",IF(OR(NOT(ISNUMBER(E1125)),N(E1125)&lt;=0),"Quantité invalide",IF(AND(F1125&lt;&gt;"",OR(NOT(ISNUMBER(F1125)),N(F1125)&lt;0,N(F1125)&gt;=1)),"Perte entre 0 et 99 %",IF(COUNTIFS(bom_prod,A1125,bom_mat,B1125)&gt;1,"Matière en double","OK")))))))))</f>
        <v/>
      </c>
      <c r="K1125" s="71" t="str">
        <f>IF(AND(fiche_sel&lt;&gt;"",A1125=fiche_sel),COUNTIF(A$6:A1125,fiche_sel),"")</f>
        <v/>
      </c>
    </row>
    <row r="1126">
      <c r="A1126" s="60" t="n"/>
      <c r="B1126" s="60" t="n"/>
      <c r="C1126" s="71" t="str">
        <f>IF(B1126="","",IFERROR(INDEX(mat_des,MATCH(B1126,mat_ref,0))&amp;"","Matière inconnue"))</f>
        <v/>
      </c>
      <c r="D1126" s="69" t="str">
        <f>IF(B1126="","",IFERROR(INDEX(mat_unit,MATCH(B1126,mat_ref,0))&amp;"",""))</f>
        <v/>
      </c>
      <c r="E1126" s="72" t="n"/>
      <c r="F1126" s="65" t="n"/>
      <c r="G1126" s="68" t="str">
        <f>IF(J1126&lt;&gt;"OK","",IF(F1126="",N(INDEX(mat_loss,MATCH(B1126,mat_ref,0))),F1126))</f>
        <v/>
      </c>
      <c r="H1126" s="66" t="str">
        <f>IF(J1126&lt;&gt;"OK","",INDEX(mat_price,MATCH(B1126,mat_ref,0)))</f>
        <v/>
      </c>
      <c r="I1126" s="66" t="str">
        <f>IF(J1126&lt;&gt;"OK","",E1126*(1+G1126)*H1126)</f>
        <v/>
      </c>
      <c r="J1126" s="69" t="str">
        <f>IF(AND(A1126="",B1126=""),"",IF(A1126="","Produit manquant",IF(COUNTIF(prod_ref,A1126)=0,"Produit inconnu",IF(B1126="","Matière manquante",IF(ISNA(MATCH(B1126,mat_ref,0)),"Matière inconnue",IF(INDEX(mat_check,MATCH(B1126,mat_ref,0))&lt;&gt;"OK","Matière à corriger",IF(OR(NOT(ISNUMBER(E1126)),N(E1126)&lt;=0),"Quantité invalide",IF(AND(F1126&lt;&gt;"",OR(NOT(ISNUMBER(F1126)),N(F1126)&lt;0,N(F1126)&gt;=1)),"Perte entre 0 et 99 %",IF(COUNTIFS(bom_prod,A1126,bom_mat,B1126)&gt;1,"Matière en double","OK")))))))))</f>
        <v/>
      </c>
      <c r="K1126" s="71" t="str">
        <f>IF(AND(fiche_sel&lt;&gt;"",A1126=fiche_sel),COUNTIF(A$6:A1126,fiche_sel),"")</f>
        <v/>
      </c>
    </row>
    <row r="1127">
      <c r="A1127" s="60" t="n"/>
      <c r="B1127" s="60" t="n"/>
      <c r="C1127" s="71" t="str">
        <f>IF(B1127="","",IFERROR(INDEX(mat_des,MATCH(B1127,mat_ref,0))&amp;"","Matière inconnue"))</f>
        <v/>
      </c>
      <c r="D1127" s="69" t="str">
        <f>IF(B1127="","",IFERROR(INDEX(mat_unit,MATCH(B1127,mat_ref,0))&amp;"",""))</f>
        <v/>
      </c>
      <c r="E1127" s="72" t="n"/>
      <c r="F1127" s="65" t="n"/>
      <c r="G1127" s="68" t="str">
        <f>IF(J1127&lt;&gt;"OK","",IF(F1127="",N(INDEX(mat_loss,MATCH(B1127,mat_ref,0))),F1127))</f>
        <v/>
      </c>
      <c r="H1127" s="66" t="str">
        <f>IF(J1127&lt;&gt;"OK","",INDEX(mat_price,MATCH(B1127,mat_ref,0)))</f>
        <v/>
      </c>
      <c r="I1127" s="66" t="str">
        <f>IF(J1127&lt;&gt;"OK","",E1127*(1+G1127)*H1127)</f>
        <v/>
      </c>
      <c r="J1127" s="69" t="str">
        <f>IF(AND(A1127="",B1127=""),"",IF(A1127="","Produit manquant",IF(COUNTIF(prod_ref,A1127)=0,"Produit inconnu",IF(B1127="","Matière manquante",IF(ISNA(MATCH(B1127,mat_ref,0)),"Matière inconnue",IF(INDEX(mat_check,MATCH(B1127,mat_ref,0))&lt;&gt;"OK","Matière à corriger",IF(OR(NOT(ISNUMBER(E1127)),N(E1127)&lt;=0),"Quantité invalide",IF(AND(F1127&lt;&gt;"",OR(NOT(ISNUMBER(F1127)),N(F1127)&lt;0,N(F1127)&gt;=1)),"Perte entre 0 et 99 %",IF(COUNTIFS(bom_prod,A1127,bom_mat,B1127)&gt;1,"Matière en double","OK")))))))))</f>
        <v/>
      </c>
      <c r="K1127" s="71" t="str">
        <f>IF(AND(fiche_sel&lt;&gt;"",A1127=fiche_sel),COUNTIF(A$6:A1127,fiche_sel),"")</f>
        <v/>
      </c>
    </row>
    <row r="1128">
      <c r="A1128" s="60" t="n"/>
      <c r="B1128" s="60" t="n"/>
      <c r="C1128" s="71" t="str">
        <f>IF(B1128="","",IFERROR(INDEX(mat_des,MATCH(B1128,mat_ref,0))&amp;"","Matière inconnue"))</f>
        <v/>
      </c>
      <c r="D1128" s="69" t="str">
        <f>IF(B1128="","",IFERROR(INDEX(mat_unit,MATCH(B1128,mat_ref,0))&amp;"",""))</f>
        <v/>
      </c>
      <c r="E1128" s="72" t="n"/>
      <c r="F1128" s="65" t="n"/>
      <c r="G1128" s="68" t="str">
        <f>IF(J1128&lt;&gt;"OK","",IF(F1128="",N(INDEX(mat_loss,MATCH(B1128,mat_ref,0))),F1128))</f>
        <v/>
      </c>
      <c r="H1128" s="66" t="str">
        <f>IF(J1128&lt;&gt;"OK","",INDEX(mat_price,MATCH(B1128,mat_ref,0)))</f>
        <v/>
      </c>
      <c r="I1128" s="66" t="str">
        <f>IF(J1128&lt;&gt;"OK","",E1128*(1+G1128)*H1128)</f>
        <v/>
      </c>
      <c r="J1128" s="69" t="str">
        <f>IF(AND(A1128="",B1128=""),"",IF(A1128="","Produit manquant",IF(COUNTIF(prod_ref,A1128)=0,"Produit inconnu",IF(B1128="","Matière manquante",IF(ISNA(MATCH(B1128,mat_ref,0)),"Matière inconnue",IF(INDEX(mat_check,MATCH(B1128,mat_ref,0))&lt;&gt;"OK","Matière à corriger",IF(OR(NOT(ISNUMBER(E1128)),N(E1128)&lt;=0),"Quantité invalide",IF(AND(F1128&lt;&gt;"",OR(NOT(ISNUMBER(F1128)),N(F1128)&lt;0,N(F1128)&gt;=1)),"Perte entre 0 et 99 %",IF(COUNTIFS(bom_prod,A1128,bom_mat,B1128)&gt;1,"Matière en double","OK")))))))))</f>
        <v/>
      </c>
      <c r="K1128" s="71" t="str">
        <f>IF(AND(fiche_sel&lt;&gt;"",A1128=fiche_sel),COUNTIF(A$6:A1128,fiche_sel),"")</f>
        <v/>
      </c>
    </row>
    <row r="1129">
      <c r="A1129" s="60" t="n"/>
      <c r="B1129" s="60" t="n"/>
      <c r="C1129" s="71" t="str">
        <f>IF(B1129="","",IFERROR(INDEX(mat_des,MATCH(B1129,mat_ref,0))&amp;"","Matière inconnue"))</f>
        <v/>
      </c>
      <c r="D1129" s="69" t="str">
        <f>IF(B1129="","",IFERROR(INDEX(mat_unit,MATCH(B1129,mat_ref,0))&amp;"",""))</f>
        <v/>
      </c>
      <c r="E1129" s="72" t="n"/>
      <c r="F1129" s="65" t="n"/>
      <c r="G1129" s="68" t="str">
        <f>IF(J1129&lt;&gt;"OK","",IF(F1129="",N(INDEX(mat_loss,MATCH(B1129,mat_ref,0))),F1129))</f>
        <v/>
      </c>
      <c r="H1129" s="66" t="str">
        <f>IF(J1129&lt;&gt;"OK","",INDEX(mat_price,MATCH(B1129,mat_ref,0)))</f>
        <v/>
      </c>
      <c r="I1129" s="66" t="str">
        <f>IF(J1129&lt;&gt;"OK","",E1129*(1+G1129)*H1129)</f>
        <v/>
      </c>
      <c r="J1129" s="69" t="str">
        <f>IF(AND(A1129="",B1129=""),"",IF(A1129="","Produit manquant",IF(COUNTIF(prod_ref,A1129)=0,"Produit inconnu",IF(B1129="","Matière manquante",IF(ISNA(MATCH(B1129,mat_ref,0)),"Matière inconnue",IF(INDEX(mat_check,MATCH(B1129,mat_ref,0))&lt;&gt;"OK","Matière à corriger",IF(OR(NOT(ISNUMBER(E1129)),N(E1129)&lt;=0),"Quantité invalide",IF(AND(F1129&lt;&gt;"",OR(NOT(ISNUMBER(F1129)),N(F1129)&lt;0,N(F1129)&gt;=1)),"Perte entre 0 et 99 %",IF(COUNTIFS(bom_prod,A1129,bom_mat,B1129)&gt;1,"Matière en double","OK")))))))))</f>
        <v/>
      </c>
      <c r="K1129" s="71" t="str">
        <f>IF(AND(fiche_sel&lt;&gt;"",A1129=fiche_sel),COUNTIF(A$6:A1129,fiche_sel),"")</f>
        <v/>
      </c>
    </row>
    <row r="1130">
      <c r="A1130" s="60" t="n"/>
      <c r="B1130" s="60" t="n"/>
      <c r="C1130" s="71" t="str">
        <f>IF(B1130="","",IFERROR(INDEX(mat_des,MATCH(B1130,mat_ref,0))&amp;"","Matière inconnue"))</f>
        <v/>
      </c>
      <c r="D1130" s="69" t="str">
        <f>IF(B1130="","",IFERROR(INDEX(mat_unit,MATCH(B1130,mat_ref,0))&amp;"",""))</f>
        <v/>
      </c>
      <c r="E1130" s="72" t="n"/>
      <c r="F1130" s="65" t="n"/>
      <c r="G1130" s="68" t="str">
        <f>IF(J1130&lt;&gt;"OK","",IF(F1130="",N(INDEX(mat_loss,MATCH(B1130,mat_ref,0))),F1130))</f>
        <v/>
      </c>
      <c r="H1130" s="66" t="str">
        <f>IF(J1130&lt;&gt;"OK","",INDEX(mat_price,MATCH(B1130,mat_ref,0)))</f>
        <v/>
      </c>
      <c r="I1130" s="66" t="str">
        <f>IF(J1130&lt;&gt;"OK","",E1130*(1+G1130)*H1130)</f>
        <v/>
      </c>
      <c r="J1130" s="69" t="str">
        <f>IF(AND(A1130="",B1130=""),"",IF(A1130="","Produit manquant",IF(COUNTIF(prod_ref,A1130)=0,"Produit inconnu",IF(B1130="","Matière manquante",IF(ISNA(MATCH(B1130,mat_ref,0)),"Matière inconnue",IF(INDEX(mat_check,MATCH(B1130,mat_ref,0))&lt;&gt;"OK","Matière à corriger",IF(OR(NOT(ISNUMBER(E1130)),N(E1130)&lt;=0),"Quantité invalide",IF(AND(F1130&lt;&gt;"",OR(NOT(ISNUMBER(F1130)),N(F1130)&lt;0,N(F1130)&gt;=1)),"Perte entre 0 et 99 %",IF(COUNTIFS(bom_prod,A1130,bom_mat,B1130)&gt;1,"Matière en double","OK")))))))))</f>
        <v/>
      </c>
      <c r="K1130" s="71" t="str">
        <f>IF(AND(fiche_sel&lt;&gt;"",A1130=fiche_sel),COUNTIF(A$6:A1130,fiche_sel),"")</f>
        <v/>
      </c>
    </row>
    <row r="1131">
      <c r="A1131" s="60" t="n"/>
      <c r="B1131" s="60" t="n"/>
      <c r="C1131" s="71" t="str">
        <f>IF(B1131="","",IFERROR(INDEX(mat_des,MATCH(B1131,mat_ref,0))&amp;"","Matière inconnue"))</f>
        <v/>
      </c>
      <c r="D1131" s="69" t="str">
        <f>IF(B1131="","",IFERROR(INDEX(mat_unit,MATCH(B1131,mat_ref,0))&amp;"",""))</f>
        <v/>
      </c>
      <c r="E1131" s="72" t="n"/>
      <c r="F1131" s="65" t="n"/>
      <c r="G1131" s="68" t="str">
        <f>IF(J1131&lt;&gt;"OK","",IF(F1131="",N(INDEX(mat_loss,MATCH(B1131,mat_ref,0))),F1131))</f>
        <v/>
      </c>
      <c r="H1131" s="66" t="str">
        <f>IF(J1131&lt;&gt;"OK","",INDEX(mat_price,MATCH(B1131,mat_ref,0)))</f>
        <v/>
      </c>
      <c r="I1131" s="66" t="str">
        <f>IF(J1131&lt;&gt;"OK","",E1131*(1+G1131)*H1131)</f>
        <v/>
      </c>
      <c r="J1131" s="69" t="str">
        <f>IF(AND(A1131="",B1131=""),"",IF(A1131="","Produit manquant",IF(COUNTIF(prod_ref,A1131)=0,"Produit inconnu",IF(B1131="","Matière manquante",IF(ISNA(MATCH(B1131,mat_ref,0)),"Matière inconnue",IF(INDEX(mat_check,MATCH(B1131,mat_ref,0))&lt;&gt;"OK","Matière à corriger",IF(OR(NOT(ISNUMBER(E1131)),N(E1131)&lt;=0),"Quantité invalide",IF(AND(F1131&lt;&gt;"",OR(NOT(ISNUMBER(F1131)),N(F1131)&lt;0,N(F1131)&gt;=1)),"Perte entre 0 et 99 %",IF(COUNTIFS(bom_prod,A1131,bom_mat,B1131)&gt;1,"Matière en double","OK")))))))))</f>
        <v/>
      </c>
      <c r="K1131" s="71" t="str">
        <f>IF(AND(fiche_sel&lt;&gt;"",A1131=fiche_sel),COUNTIF(A$6:A1131,fiche_sel),"")</f>
        <v/>
      </c>
    </row>
    <row r="1132">
      <c r="A1132" s="60" t="n"/>
      <c r="B1132" s="60" t="n"/>
      <c r="C1132" s="71" t="str">
        <f>IF(B1132="","",IFERROR(INDEX(mat_des,MATCH(B1132,mat_ref,0))&amp;"","Matière inconnue"))</f>
        <v/>
      </c>
      <c r="D1132" s="69" t="str">
        <f>IF(B1132="","",IFERROR(INDEX(mat_unit,MATCH(B1132,mat_ref,0))&amp;"",""))</f>
        <v/>
      </c>
      <c r="E1132" s="72" t="n"/>
      <c r="F1132" s="65" t="n"/>
      <c r="G1132" s="68" t="str">
        <f>IF(J1132&lt;&gt;"OK","",IF(F1132="",N(INDEX(mat_loss,MATCH(B1132,mat_ref,0))),F1132))</f>
        <v/>
      </c>
      <c r="H1132" s="66" t="str">
        <f>IF(J1132&lt;&gt;"OK","",INDEX(mat_price,MATCH(B1132,mat_ref,0)))</f>
        <v/>
      </c>
      <c r="I1132" s="66" t="str">
        <f>IF(J1132&lt;&gt;"OK","",E1132*(1+G1132)*H1132)</f>
        <v/>
      </c>
      <c r="J1132" s="69" t="str">
        <f>IF(AND(A1132="",B1132=""),"",IF(A1132="","Produit manquant",IF(COUNTIF(prod_ref,A1132)=0,"Produit inconnu",IF(B1132="","Matière manquante",IF(ISNA(MATCH(B1132,mat_ref,0)),"Matière inconnue",IF(INDEX(mat_check,MATCH(B1132,mat_ref,0))&lt;&gt;"OK","Matière à corriger",IF(OR(NOT(ISNUMBER(E1132)),N(E1132)&lt;=0),"Quantité invalide",IF(AND(F1132&lt;&gt;"",OR(NOT(ISNUMBER(F1132)),N(F1132)&lt;0,N(F1132)&gt;=1)),"Perte entre 0 et 99 %",IF(COUNTIFS(bom_prod,A1132,bom_mat,B1132)&gt;1,"Matière en double","OK")))))))))</f>
        <v/>
      </c>
      <c r="K1132" s="71" t="str">
        <f>IF(AND(fiche_sel&lt;&gt;"",A1132=fiche_sel),COUNTIF(A$6:A1132,fiche_sel),"")</f>
        <v/>
      </c>
    </row>
    <row r="1133">
      <c r="A1133" s="60" t="n"/>
      <c r="B1133" s="60" t="n"/>
      <c r="C1133" s="71" t="str">
        <f>IF(B1133="","",IFERROR(INDEX(mat_des,MATCH(B1133,mat_ref,0))&amp;"","Matière inconnue"))</f>
        <v/>
      </c>
      <c r="D1133" s="69" t="str">
        <f>IF(B1133="","",IFERROR(INDEX(mat_unit,MATCH(B1133,mat_ref,0))&amp;"",""))</f>
        <v/>
      </c>
      <c r="E1133" s="72" t="n"/>
      <c r="F1133" s="65" t="n"/>
      <c r="G1133" s="68" t="str">
        <f>IF(J1133&lt;&gt;"OK","",IF(F1133="",N(INDEX(mat_loss,MATCH(B1133,mat_ref,0))),F1133))</f>
        <v/>
      </c>
      <c r="H1133" s="66" t="str">
        <f>IF(J1133&lt;&gt;"OK","",INDEX(mat_price,MATCH(B1133,mat_ref,0)))</f>
        <v/>
      </c>
      <c r="I1133" s="66" t="str">
        <f>IF(J1133&lt;&gt;"OK","",E1133*(1+G1133)*H1133)</f>
        <v/>
      </c>
      <c r="J1133" s="69" t="str">
        <f>IF(AND(A1133="",B1133=""),"",IF(A1133="","Produit manquant",IF(COUNTIF(prod_ref,A1133)=0,"Produit inconnu",IF(B1133="","Matière manquante",IF(ISNA(MATCH(B1133,mat_ref,0)),"Matière inconnue",IF(INDEX(mat_check,MATCH(B1133,mat_ref,0))&lt;&gt;"OK","Matière à corriger",IF(OR(NOT(ISNUMBER(E1133)),N(E1133)&lt;=0),"Quantité invalide",IF(AND(F1133&lt;&gt;"",OR(NOT(ISNUMBER(F1133)),N(F1133)&lt;0,N(F1133)&gt;=1)),"Perte entre 0 et 99 %",IF(COUNTIFS(bom_prod,A1133,bom_mat,B1133)&gt;1,"Matière en double","OK")))))))))</f>
        <v/>
      </c>
      <c r="K1133" s="71" t="str">
        <f>IF(AND(fiche_sel&lt;&gt;"",A1133=fiche_sel),COUNTIF(A$6:A1133,fiche_sel),"")</f>
        <v/>
      </c>
    </row>
    <row r="1134">
      <c r="A1134" s="60" t="n"/>
      <c r="B1134" s="60" t="n"/>
      <c r="C1134" s="71" t="str">
        <f>IF(B1134="","",IFERROR(INDEX(mat_des,MATCH(B1134,mat_ref,0))&amp;"","Matière inconnue"))</f>
        <v/>
      </c>
      <c r="D1134" s="69" t="str">
        <f>IF(B1134="","",IFERROR(INDEX(mat_unit,MATCH(B1134,mat_ref,0))&amp;"",""))</f>
        <v/>
      </c>
      <c r="E1134" s="72" t="n"/>
      <c r="F1134" s="65" t="n"/>
      <c r="G1134" s="68" t="str">
        <f>IF(J1134&lt;&gt;"OK","",IF(F1134="",N(INDEX(mat_loss,MATCH(B1134,mat_ref,0))),F1134))</f>
        <v/>
      </c>
      <c r="H1134" s="66" t="str">
        <f>IF(J1134&lt;&gt;"OK","",INDEX(mat_price,MATCH(B1134,mat_ref,0)))</f>
        <v/>
      </c>
      <c r="I1134" s="66" t="str">
        <f>IF(J1134&lt;&gt;"OK","",E1134*(1+G1134)*H1134)</f>
        <v/>
      </c>
      <c r="J1134" s="69" t="str">
        <f>IF(AND(A1134="",B1134=""),"",IF(A1134="","Produit manquant",IF(COUNTIF(prod_ref,A1134)=0,"Produit inconnu",IF(B1134="","Matière manquante",IF(ISNA(MATCH(B1134,mat_ref,0)),"Matière inconnue",IF(INDEX(mat_check,MATCH(B1134,mat_ref,0))&lt;&gt;"OK","Matière à corriger",IF(OR(NOT(ISNUMBER(E1134)),N(E1134)&lt;=0),"Quantité invalide",IF(AND(F1134&lt;&gt;"",OR(NOT(ISNUMBER(F1134)),N(F1134)&lt;0,N(F1134)&gt;=1)),"Perte entre 0 et 99 %",IF(COUNTIFS(bom_prod,A1134,bom_mat,B1134)&gt;1,"Matière en double","OK")))))))))</f>
        <v/>
      </c>
      <c r="K1134" s="71" t="str">
        <f>IF(AND(fiche_sel&lt;&gt;"",A1134=fiche_sel),COUNTIF(A$6:A1134,fiche_sel),"")</f>
        <v/>
      </c>
    </row>
    <row r="1135">
      <c r="A1135" s="60" t="n"/>
      <c r="B1135" s="60" t="n"/>
      <c r="C1135" s="71" t="str">
        <f>IF(B1135="","",IFERROR(INDEX(mat_des,MATCH(B1135,mat_ref,0))&amp;"","Matière inconnue"))</f>
        <v/>
      </c>
      <c r="D1135" s="69" t="str">
        <f>IF(B1135="","",IFERROR(INDEX(mat_unit,MATCH(B1135,mat_ref,0))&amp;"",""))</f>
        <v/>
      </c>
      <c r="E1135" s="72" t="n"/>
      <c r="F1135" s="65" t="n"/>
      <c r="G1135" s="68" t="str">
        <f>IF(J1135&lt;&gt;"OK","",IF(F1135="",N(INDEX(mat_loss,MATCH(B1135,mat_ref,0))),F1135))</f>
        <v/>
      </c>
      <c r="H1135" s="66" t="str">
        <f>IF(J1135&lt;&gt;"OK","",INDEX(mat_price,MATCH(B1135,mat_ref,0)))</f>
        <v/>
      </c>
      <c r="I1135" s="66" t="str">
        <f>IF(J1135&lt;&gt;"OK","",E1135*(1+G1135)*H1135)</f>
        <v/>
      </c>
      <c r="J1135" s="69" t="str">
        <f>IF(AND(A1135="",B1135=""),"",IF(A1135="","Produit manquant",IF(COUNTIF(prod_ref,A1135)=0,"Produit inconnu",IF(B1135="","Matière manquante",IF(ISNA(MATCH(B1135,mat_ref,0)),"Matière inconnue",IF(INDEX(mat_check,MATCH(B1135,mat_ref,0))&lt;&gt;"OK","Matière à corriger",IF(OR(NOT(ISNUMBER(E1135)),N(E1135)&lt;=0),"Quantité invalide",IF(AND(F1135&lt;&gt;"",OR(NOT(ISNUMBER(F1135)),N(F1135)&lt;0,N(F1135)&gt;=1)),"Perte entre 0 et 99 %",IF(COUNTIFS(bom_prod,A1135,bom_mat,B1135)&gt;1,"Matière en double","OK")))))))))</f>
        <v/>
      </c>
      <c r="K1135" s="71" t="str">
        <f>IF(AND(fiche_sel&lt;&gt;"",A1135=fiche_sel),COUNTIF(A$6:A1135,fiche_sel),"")</f>
        <v/>
      </c>
    </row>
    <row r="1136">
      <c r="A1136" s="60" t="n"/>
      <c r="B1136" s="60" t="n"/>
      <c r="C1136" s="71" t="str">
        <f>IF(B1136="","",IFERROR(INDEX(mat_des,MATCH(B1136,mat_ref,0))&amp;"","Matière inconnue"))</f>
        <v/>
      </c>
      <c r="D1136" s="69" t="str">
        <f>IF(B1136="","",IFERROR(INDEX(mat_unit,MATCH(B1136,mat_ref,0))&amp;"",""))</f>
        <v/>
      </c>
      <c r="E1136" s="72" t="n"/>
      <c r="F1136" s="65" t="n"/>
      <c r="G1136" s="68" t="str">
        <f>IF(J1136&lt;&gt;"OK","",IF(F1136="",N(INDEX(mat_loss,MATCH(B1136,mat_ref,0))),F1136))</f>
        <v/>
      </c>
      <c r="H1136" s="66" t="str">
        <f>IF(J1136&lt;&gt;"OK","",INDEX(mat_price,MATCH(B1136,mat_ref,0)))</f>
        <v/>
      </c>
      <c r="I1136" s="66" t="str">
        <f>IF(J1136&lt;&gt;"OK","",E1136*(1+G1136)*H1136)</f>
        <v/>
      </c>
      <c r="J1136" s="69" t="str">
        <f>IF(AND(A1136="",B1136=""),"",IF(A1136="","Produit manquant",IF(COUNTIF(prod_ref,A1136)=0,"Produit inconnu",IF(B1136="","Matière manquante",IF(ISNA(MATCH(B1136,mat_ref,0)),"Matière inconnue",IF(INDEX(mat_check,MATCH(B1136,mat_ref,0))&lt;&gt;"OK","Matière à corriger",IF(OR(NOT(ISNUMBER(E1136)),N(E1136)&lt;=0),"Quantité invalide",IF(AND(F1136&lt;&gt;"",OR(NOT(ISNUMBER(F1136)),N(F1136)&lt;0,N(F1136)&gt;=1)),"Perte entre 0 et 99 %",IF(COUNTIFS(bom_prod,A1136,bom_mat,B1136)&gt;1,"Matière en double","OK")))))))))</f>
        <v/>
      </c>
      <c r="K1136" s="71" t="str">
        <f>IF(AND(fiche_sel&lt;&gt;"",A1136=fiche_sel),COUNTIF(A$6:A1136,fiche_sel),"")</f>
        <v/>
      </c>
    </row>
    <row r="1137">
      <c r="A1137" s="60" t="n"/>
      <c r="B1137" s="60" t="n"/>
      <c r="C1137" s="71" t="str">
        <f>IF(B1137="","",IFERROR(INDEX(mat_des,MATCH(B1137,mat_ref,0))&amp;"","Matière inconnue"))</f>
        <v/>
      </c>
      <c r="D1137" s="69" t="str">
        <f>IF(B1137="","",IFERROR(INDEX(mat_unit,MATCH(B1137,mat_ref,0))&amp;"",""))</f>
        <v/>
      </c>
      <c r="E1137" s="72" t="n"/>
      <c r="F1137" s="65" t="n"/>
      <c r="G1137" s="68" t="str">
        <f>IF(J1137&lt;&gt;"OK","",IF(F1137="",N(INDEX(mat_loss,MATCH(B1137,mat_ref,0))),F1137))</f>
        <v/>
      </c>
      <c r="H1137" s="66" t="str">
        <f>IF(J1137&lt;&gt;"OK","",INDEX(mat_price,MATCH(B1137,mat_ref,0)))</f>
        <v/>
      </c>
      <c r="I1137" s="66" t="str">
        <f>IF(J1137&lt;&gt;"OK","",E1137*(1+G1137)*H1137)</f>
        <v/>
      </c>
      <c r="J1137" s="69" t="str">
        <f>IF(AND(A1137="",B1137=""),"",IF(A1137="","Produit manquant",IF(COUNTIF(prod_ref,A1137)=0,"Produit inconnu",IF(B1137="","Matière manquante",IF(ISNA(MATCH(B1137,mat_ref,0)),"Matière inconnue",IF(INDEX(mat_check,MATCH(B1137,mat_ref,0))&lt;&gt;"OK","Matière à corriger",IF(OR(NOT(ISNUMBER(E1137)),N(E1137)&lt;=0),"Quantité invalide",IF(AND(F1137&lt;&gt;"",OR(NOT(ISNUMBER(F1137)),N(F1137)&lt;0,N(F1137)&gt;=1)),"Perte entre 0 et 99 %",IF(COUNTIFS(bom_prod,A1137,bom_mat,B1137)&gt;1,"Matière en double","OK")))))))))</f>
        <v/>
      </c>
      <c r="K1137" s="71" t="str">
        <f>IF(AND(fiche_sel&lt;&gt;"",A1137=fiche_sel),COUNTIF(A$6:A1137,fiche_sel),"")</f>
        <v/>
      </c>
    </row>
    <row r="1138">
      <c r="A1138" s="60" t="n"/>
      <c r="B1138" s="60" t="n"/>
      <c r="C1138" s="71" t="str">
        <f>IF(B1138="","",IFERROR(INDEX(mat_des,MATCH(B1138,mat_ref,0))&amp;"","Matière inconnue"))</f>
        <v/>
      </c>
      <c r="D1138" s="69" t="str">
        <f>IF(B1138="","",IFERROR(INDEX(mat_unit,MATCH(B1138,mat_ref,0))&amp;"",""))</f>
        <v/>
      </c>
      <c r="E1138" s="72" t="n"/>
      <c r="F1138" s="65" t="n"/>
      <c r="G1138" s="68" t="str">
        <f>IF(J1138&lt;&gt;"OK","",IF(F1138="",N(INDEX(mat_loss,MATCH(B1138,mat_ref,0))),F1138))</f>
        <v/>
      </c>
      <c r="H1138" s="66" t="str">
        <f>IF(J1138&lt;&gt;"OK","",INDEX(mat_price,MATCH(B1138,mat_ref,0)))</f>
        <v/>
      </c>
      <c r="I1138" s="66" t="str">
        <f>IF(J1138&lt;&gt;"OK","",E1138*(1+G1138)*H1138)</f>
        <v/>
      </c>
      <c r="J1138" s="69" t="str">
        <f>IF(AND(A1138="",B1138=""),"",IF(A1138="","Produit manquant",IF(COUNTIF(prod_ref,A1138)=0,"Produit inconnu",IF(B1138="","Matière manquante",IF(ISNA(MATCH(B1138,mat_ref,0)),"Matière inconnue",IF(INDEX(mat_check,MATCH(B1138,mat_ref,0))&lt;&gt;"OK","Matière à corriger",IF(OR(NOT(ISNUMBER(E1138)),N(E1138)&lt;=0),"Quantité invalide",IF(AND(F1138&lt;&gt;"",OR(NOT(ISNUMBER(F1138)),N(F1138)&lt;0,N(F1138)&gt;=1)),"Perte entre 0 et 99 %",IF(COUNTIFS(bom_prod,A1138,bom_mat,B1138)&gt;1,"Matière en double","OK")))))))))</f>
        <v/>
      </c>
      <c r="K1138" s="71" t="str">
        <f>IF(AND(fiche_sel&lt;&gt;"",A1138=fiche_sel),COUNTIF(A$6:A1138,fiche_sel),"")</f>
        <v/>
      </c>
    </row>
    <row r="1139">
      <c r="A1139" s="60" t="n"/>
      <c r="B1139" s="60" t="n"/>
      <c r="C1139" s="71" t="str">
        <f>IF(B1139="","",IFERROR(INDEX(mat_des,MATCH(B1139,mat_ref,0))&amp;"","Matière inconnue"))</f>
        <v/>
      </c>
      <c r="D1139" s="69" t="str">
        <f>IF(B1139="","",IFERROR(INDEX(mat_unit,MATCH(B1139,mat_ref,0))&amp;"",""))</f>
        <v/>
      </c>
      <c r="E1139" s="72" t="n"/>
      <c r="F1139" s="65" t="n"/>
      <c r="G1139" s="68" t="str">
        <f>IF(J1139&lt;&gt;"OK","",IF(F1139="",N(INDEX(mat_loss,MATCH(B1139,mat_ref,0))),F1139))</f>
        <v/>
      </c>
      <c r="H1139" s="66" t="str">
        <f>IF(J1139&lt;&gt;"OK","",INDEX(mat_price,MATCH(B1139,mat_ref,0)))</f>
        <v/>
      </c>
      <c r="I1139" s="66" t="str">
        <f>IF(J1139&lt;&gt;"OK","",E1139*(1+G1139)*H1139)</f>
        <v/>
      </c>
      <c r="J1139" s="69" t="str">
        <f>IF(AND(A1139="",B1139=""),"",IF(A1139="","Produit manquant",IF(COUNTIF(prod_ref,A1139)=0,"Produit inconnu",IF(B1139="","Matière manquante",IF(ISNA(MATCH(B1139,mat_ref,0)),"Matière inconnue",IF(INDEX(mat_check,MATCH(B1139,mat_ref,0))&lt;&gt;"OK","Matière à corriger",IF(OR(NOT(ISNUMBER(E1139)),N(E1139)&lt;=0),"Quantité invalide",IF(AND(F1139&lt;&gt;"",OR(NOT(ISNUMBER(F1139)),N(F1139)&lt;0,N(F1139)&gt;=1)),"Perte entre 0 et 99 %",IF(COUNTIFS(bom_prod,A1139,bom_mat,B1139)&gt;1,"Matière en double","OK")))))))))</f>
        <v/>
      </c>
      <c r="K1139" s="71" t="str">
        <f>IF(AND(fiche_sel&lt;&gt;"",A1139=fiche_sel),COUNTIF(A$6:A1139,fiche_sel),"")</f>
        <v/>
      </c>
    </row>
    <row r="1140">
      <c r="A1140" s="60" t="n"/>
      <c r="B1140" s="60" t="n"/>
      <c r="C1140" s="71" t="str">
        <f>IF(B1140="","",IFERROR(INDEX(mat_des,MATCH(B1140,mat_ref,0))&amp;"","Matière inconnue"))</f>
        <v/>
      </c>
      <c r="D1140" s="69" t="str">
        <f>IF(B1140="","",IFERROR(INDEX(mat_unit,MATCH(B1140,mat_ref,0))&amp;"",""))</f>
        <v/>
      </c>
      <c r="E1140" s="72" t="n"/>
      <c r="F1140" s="65" t="n"/>
      <c r="G1140" s="68" t="str">
        <f>IF(J1140&lt;&gt;"OK","",IF(F1140="",N(INDEX(mat_loss,MATCH(B1140,mat_ref,0))),F1140))</f>
        <v/>
      </c>
      <c r="H1140" s="66" t="str">
        <f>IF(J1140&lt;&gt;"OK","",INDEX(mat_price,MATCH(B1140,mat_ref,0)))</f>
        <v/>
      </c>
      <c r="I1140" s="66" t="str">
        <f>IF(J1140&lt;&gt;"OK","",E1140*(1+G1140)*H1140)</f>
        <v/>
      </c>
      <c r="J1140" s="69" t="str">
        <f>IF(AND(A1140="",B1140=""),"",IF(A1140="","Produit manquant",IF(COUNTIF(prod_ref,A1140)=0,"Produit inconnu",IF(B1140="","Matière manquante",IF(ISNA(MATCH(B1140,mat_ref,0)),"Matière inconnue",IF(INDEX(mat_check,MATCH(B1140,mat_ref,0))&lt;&gt;"OK","Matière à corriger",IF(OR(NOT(ISNUMBER(E1140)),N(E1140)&lt;=0),"Quantité invalide",IF(AND(F1140&lt;&gt;"",OR(NOT(ISNUMBER(F1140)),N(F1140)&lt;0,N(F1140)&gt;=1)),"Perte entre 0 et 99 %",IF(COUNTIFS(bom_prod,A1140,bom_mat,B1140)&gt;1,"Matière en double","OK")))))))))</f>
        <v/>
      </c>
      <c r="K1140" s="71" t="str">
        <f>IF(AND(fiche_sel&lt;&gt;"",A1140=fiche_sel),COUNTIF(A$6:A1140,fiche_sel),"")</f>
        <v/>
      </c>
    </row>
    <row r="1141">
      <c r="A1141" s="60" t="n"/>
      <c r="B1141" s="60" t="n"/>
      <c r="C1141" s="71" t="str">
        <f>IF(B1141="","",IFERROR(INDEX(mat_des,MATCH(B1141,mat_ref,0))&amp;"","Matière inconnue"))</f>
        <v/>
      </c>
      <c r="D1141" s="69" t="str">
        <f>IF(B1141="","",IFERROR(INDEX(mat_unit,MATCH(B1141,mat_ref,0))&amp;"",""))</f>
        <v/>
      </c>
      <c r="E1141" s="72" t="n"/>
      <c r="F1141" s="65" t="n"/>
      <c r="G1141" s="68" t="str">
        <f>IF(J1141&lt;&gt;"OK","",IF(F1141="",N(INDEX(mat_loss,MATCH(B1141,mat_ref,0))),F1141))</f>
        <v/>
      </c>
      <c r="H1141" s="66" t="str">
        <f>IF(J1141&lt;&gt;"OK","",INDEX(mat_price,MATCH(B1141,mat_ref,0)))</f>
        <v/>
      </c>
      <c r="I1141" s="66" t="str">
        <f>IF(J1141&lt;&gt;"OK","",E1141*(1+G1141)*H1141)</f>
        <v/>
      </c>
      <c r="J1141" s="69" t="str">
        <f>IF(AND(A1141="",B1141=""),"",IF(A1141="","Produit manquant",IF(COUNTIF(prod_ref,A1141)=0,"Produit inconnu",IF(B1141="","Matière manquante",IF(ISNA(MATCH(B1141,mat_ref,0)),"Matière inconnue",IF(INDEX(mat_check,MATCH(B1141,mat_ref,0))&lt;&gt;"OK","Matière à corriger",IF(OR(NOT(ISNUMBER(E1141)),N(E1141)&lt;=0),"Quantité invalide",IF(AND(F1141&lt;&gt;"",OR(NOT(ISNUMBER(F1141)),N(F1141)&lt;0,N(F1141)&gt;=1)),"Perte entre 0 et 99 %",IF(COUNTIFS(bom_prod,A1141,bom_mat,B1141)&gt;1,"Matière en double","OK")))))))))</f>
        <v/>
      </c>
      <c r="K1141" s="71" t="str">
        <f>IF(AND(fiche_sel&lt;&gt;"",A1141=fiche_sel),COUNTIF(A$6:A1141,fiche_sel),"")</f>
        <v/>
      </c>
    </row>
    <row r="1142">
      <c r="A1142" s="60" t="n"/>
      <c r="B1142" s="60" t="n"/>
      <c r="C1142" s="71" t="str">
        <f>IF(B1142="","",IFERROR(INDEX(mat_des,MATCH(B1142,mat_ref,0))&amp;"","Matière inconnue"))</f>
        <v/>
      </c>
      <c r="D1142" s="69" t="str">
        <f>IF(B1142="","",IFERROR(INDEX(mat_unit,MATCH(B1142,mat_ref,0))&amp;"",""))</f>
        <v/>
      </c>
      <c r="E1142" s="72" t="n"/>
      <c r="F1142" s="65" t="n"/>
      <c r="G1142" s="68" t="str">
        <f>IF(J1142&lt;&gt;"OK","",IF(F1142="",N(INDEX(mat_loss,MATCH(B1142,mat_ref,0))),F1142))</f>
        <v/>
      </c>
      <c r="H1142" s="66" t="str">
        <f>IF(J1142&lt;&gt;"OK","",INDEX(mat_price,MATCH(B1142,mat_ref,0)))</f>
        <v/>
      </c>
      <c r="I1142" s="66" t="str">
        <f>IF(J1142&lt;&gt;"OK","",E1142*(1+G1142)*H1142)</f>
        <v/>
      </c>
      <c r="J1142" s="69" t="str">
        <f>IF(AND(A1142="",B1142=""),"",IF(A1142="","Produit manquant",IF(COUNTIF(prod_ref,A1142)=0,"Produit inconnu",IF(B1142="","Matière manquante",IF(ISNA(MATCH(B1142,mat_ref,0)),"Matière inconnue",IF(INDEX(mat_check,MATCH(B1142,mat_ref,0))&lt;&gt;"OK","Matière à corriger",IF(OR(NOT(ISNUMBER(E1142)),N(E1142)&lt;=0),"Quantité invalide",IF(AND(F1142&lt;&gt;"",OR(NOT(ISNUMBER(F1142)),N(F1142)&lt;0,N(F1142)&gt;=1)),"Perte entre 0 et 99 %",IF(COUNTIFS(bom_prod,A1142,bom_mat,B1142)&gt;1,"Matière en double","OK")))))))))</f>
        <v/>
      </c>
      <c r="K1142" s="71" t="str">
        <f>IF(AND(fiche_sel&lt;&gt;"",A1142=fiche_sel),COUNTIF(A$6:A1142,fiche_sel),"")</f>
        <v/>
      </c>
    </row>
    <row r="1143">
      <c r="A1143" s="60" t="n"/>
      <c r="B1143" s="60" t="n"/>
      <c r="C1143" s="71" t="str">
        <f>IF(B1143="","",IFERROR(INDEX(mat_des,MATCH(B1143,mat_ref,0))&amp;"","Matière inconnue"))</f>
        <v/>
      </c>
      <c r="D1143" s="69" t="str">
        <f>IF(B1143="","",IFERROR(INDEX(mat_unit,MATCH(B1143,mat_ref,0))&amp;"",""))</f>
        <v/>
      </c>
      <c r="E1143" s="72" t="n"/>
      <c r="F1143" s="65" t="n"/>
      <c r="G1143" s="68" t="str">
        <f>IF(J1143&lt;&gt;"OK","",IF(F1143="",N(INDEX(mat_loss,MATCH(B1143,mat_ref,0))),F1143))</f>
        <v/>
      </c>
      <c r="H1143" s="66" t="str">
        <f>IF(J1143&lt;&gt;"OK","",INDEX(mat_price,MATCH(B1143,mat_ref,0)))</f>
        <v/>
      </c>
      <c r="I1143" s="66" t="str">
        <f>IF(J1143&lt;&gt;"OK","",E1143*(1+G1143)*H1143)</f>
        <v/>
      </c>
      <c r="J1143" s="69" t="str">
        <f>IF(AND(A1143="",B1143=""),"",IF(A1143="","Produit manquant",IF(COUNTIF(prod_ref,A1143)=0,"Produit inconnu",IF(B1143="","Matière manquante",IF(ISNA(MATCH(B1143,mat_ref,0)),"Matière inconnue",IF(INDEX(mat_check,MATCH(B1143,mat_ref,0))&lt;&gt;"OK","Matière à corriger",IF(OR(NOT(ISNUMBER(E1143)),N(E1143)&lt;=0),"Quantité invalide",IF(AND(F1143&lt;&gt;"",OR(NOT(ISNUMBER(F1143)),N(F1143)&lt;0,N(F1143)&gt;=1)),"Perte entre 0 et 99 %",IF(COUNTIFS(bom_prod,A1143,bom_mat,B1143)&gt;1,"Matière en double","OK")))))))))</f>
        <v/>
      </c>
      <c r="K1143" s="71" t="str">
        <f>IF(AND(fiche_sel&lt;&gt;"",A1143=fiche_sel),COUNTIF(A$6:A1143,fiche_sel),"")</f>
        <v/>
      </c>
    </row>
    <row r="1144">
      <c r="A1144" s="60" t="n"/>
      <c r="B1144" s="60" t="n"/>
      <c r="C1144" s="71" t="str">
        <f>IF(B1144="","",IFERROR(INDEX(mat_des,MATCH(B1144,mat_ref,0))&amp;"","Matière inconnue"))</f>
        <v/>
      </c>
      <c r="D1144" s="69" t="str">
        <f>IF(B1144="","",IFERROR(INDEX(mat_unit,MATCH(B1144,mat_ref,0))&amp;"",""))</f>
        <v/>
      </c>
      <c r="E1144" s="72" t="n"/>
      <c r="F1144" s="65" t="n"/>
      <c r="G1144" s="68" t="str">
        <f>IF(J1144&lt;&gt;"OK","",IF(F1144="",N(INDEX(mat_loss,MATCH(B1144,mat_ref,0))),F1144))</f>
        <v/>
      </c>
      <c r="H1144" s="66" t="str">
        <f>IF(J1144&lt;&gt;"OK","",INDEX(mat_price,MATCH(B1144,mat_ref,0)))</f>
        <v/>
      </c>
      <c r="I1144" s="66" t="str">
        <f>IF(J1144&lt;&gt;"OK","",E1144*(1+G1144)*H1144)</f>
        <v/>
      </c>
      <c r="J1144" s="69" t="str">
        <f>IF(AND(A1144="",B1144=""),"",IF(A1144="","Produit manquant",IF(COUNTIF(prod_ref,A1144)=0,"Produit inconnu",IF(B1144="","Matière manquante",IF(ISNA(MATCH(B1144,mat_ref,0)),"Matière inconnue",IF(INDEX(mat_check,MATCH(B1144,mat_ref,0))&lt;&gt;"OK","Matière à corriger",IF(OR(NOT(ISNUMBER(E1144)),N(E1144)&lt;=0),"Quantité invalide",IF(AND(F1144&lt;&gt;"",OR(NOT(ISNUMBER(F1144)),N(F1144)&lt;0,N(F1144)&gt;=1)),"Perte entre 0 et 99 %",IF(COUNTIFS(bom_prod,A1144,bom_mat,B1144)&gt;1,"Matière en double","OK")))))))))</f>
        <v/>
      </c>
      <c r="K1144" s="71" t="str">
        <f>IF(AND(fiche_sel&lt;&gt;"",A1144=fiche_sel),COUNTIF(A$6:A1144,fiche_sel),"")</f>
        <v/>
      </c>
    </row>
    <row r="1145">
      <c r="A1145" s="60" t="n"/>
      <c r="B1145" s="60" t="n"/>
      <c r="C1145" s="71" t="str">
        <f>IF(B1145="","",IFERROR(INDEX(mat_des,MATCH(B1145,mat_ref,0))&amp;"","Matière inconnue"))</f>
        <v/>
      </c>
      <c r="D1145" s="69" t="str">
        <f>IF(B1145="","",IFERROR(INDEX(mat_unit,MATCH(B1145,mat_ref,0))&amp;"",""))</f>
        <v/>
      </c>
      <c r="E1145" s="72" t="n"/>
      <c r="F1145" s="65" t="n"/>
      <c r="G1145" s="68" t="str">
        <f>IF(J1145&lt;&gt;"OK","",IF(F1145="",N(INDEX(mat_loss,MATCH(B1145,mat_ref,0))),F1145))</f>
        <v/>
      </c>
      <c r="H1145" s="66" t="str">
        <f>IF(J1145&lt;&gt;"OK","",INDEX(mat_price,MATCH(B1145,mat_ref,0)))</f>
        <v/>
      </c>
      <c r="I1145" s="66" t="str">
        <f>IF(J1145&lt;&gt;"OK","",E1145*(1+G1145)*H1145)</f>
        <v/>
      </c>
      <c r="J1145" s="69" t="str">
        <f>IF(AND(A1145="",B1145=""),"",IF(A1145="","Produit manquant",IF(COUNTIF(prod_ref,A1145)=0,"Produit inconnu",IF(B1145="","Matière manquante",IF(ISNA(MATCH(B1145,mat_ref,0)),"Matière inconnue",IF(INDEX(mat_check,MATCH(B1145,mat_ref,0))&lt;&gt;"OK","Matière à corriger",IF(OR(NOT(ISNUMBER(E1145)),N(E1145)&lt;=0),"Quantité invalide",IF(AND(F1145&lt;&gt;"",OR(NOT(ISNUMBER(F1145)),N(F1145)&lt;0,N(F1145)&gt;=1)),"Perte entre 0 et 99 %",IF(COUNTIFS(bom_prod,A1145,bom_mat,B1145)&gt;1,"Matière en double","OK")))))))))</f>
        <v/>
      </c>
      <c r="K1145" s="71" t="str">
        <f>IF(AND(fiche_sel&lt;&gt;"",A1145=fiche_sel),COUNTIF(A$6:A1145,fiche_sel),"")</f>
        <v/>
      </c>
    </row>
    <row r="1146">
      <c r="A1146" s="60" t="n"/>
      <c r="B1146" s="60" t="n"/>
      <c r="C1146" s="71" t="str">
        <f>IF(B1146="","",IFERROR(INDEX(mat_des,MATCH(B1146,mat_ref,0))&amp;"","Matière inconnue"))</f>
        <v/>
      </c>
      <c r="D1146" s="69" t="str">
        <f>IF(B1146="","",IFERROR(INDEX(mat_unit,MATCH(B1146,mat_ref,0))&amp;"",""))</f>
        <v/>
      </c>
      <c r="E1146" s="72" t="n"/>
      <c r="F1146" s="65" t="n"/>
      <c r="G1146" s="68" t="str">
        <f>IF(J1146&lt;&gt;"OK","",IF(F1146="",N(INDEX(mat_loss,MATCH(B1146,mat_ref,0))),F1146))</f>
        <v/>
      </c>
      <c r="H1146" s="66" t="str">
        <f>IF(J1146&lt;&gt;"OK","",INDEX(mat_price,MATCH(B1146,mat_ref,0)))</f>
        <v/>
      </c>
      <c r="I1146" s="66" t="str">
        <f>IF(J1146&lt;&gt;"OK","",E1146*(1+G1146)*H1146)</f>
        <v/>
      </c>
      <c r="J1146" s="69" t="str">
        <f>IF(AND(A1146="",B1146=""),"",IF(A1146="","Produit manquant",IF(COUNTIF(prod_ref,A1146)=0,"Produit inconnu",IF(B1146="","Matière manquante",IF(ISNA(MATCH(B1146,mat_ref,0)),"Matière inconnue",IF(INDEX(mat_check,MATCH(B1146,mat_ref,0))&lt;&gt;"OK","Matière à corriger",IF(OR(NOT(ISNUMBER(E1146)),N(E1146)&lt;=0),"Quantité invalide",IF(AND(F1146&lt;&gt;"",OR(NOT(ISNUMBER(F1146)),N(F1146)&lt;0,N(F1146)&gt;=1)),"Perte entre 0 et 99 %",IF(COUNTIFS(bom_prod,A1146,bom_mat,B1146)&gt;1,"Matière en double","OK")))))))))</f>
        <v/>
      </c>
      <c r="K1146" s="71" t="str">
        <f>IF(AND(fiche_sel&lt;&gt;"",A1146=fiche_sel),COUNTIF(A$6:A1146,fiche_sel),"")</f>
        <v/>
      </c>
    </row>
    <row r="1147">
      <c r="A1147" s="60" t="n"/>
      <c r="B1147" s="60" t="n"/>
      <c r="C1147" s="71" t="str">
        <f>IF(B1147="","",IFERROR(INDEX(mat_des,MATCH(B1147,mat_ref,0))&amp;"","Matière inconnue"))</f>
        <v/>
      </c>
      <c r="D1147" s="69" t="str">
        <f>IF(B1147="","",IFERROR(INDEX(mat_unit,MATCH(B1147,mat_ref,0))&amp;"",""))</f>
        <v/>
      </c>
      <c r="E1147" s="72" t="n"/>
      <c r="F1147" s="65" t="n"/>
      <c r="G1147" s="68" t="str">
        <f>IF(J1147&lt;&gt;"OK","",IF(F1147="",N(INDEX(mat_loss,MATCH(B1147,mat_ref,0))),F1147))</f>
        <v/>
      </c>
      <c r="H1147" s="66" t="str">
        <f>IF(J1147&lt;&gt;"OK","",INDEX(mat_price,MATCH(B1147,mat_ref,0)))</f>
        <v/>
      </c>
      <c r="I1147" s="66" t="str">
        <f>IF(J1147&lt;&gt;"OK","",E1147*(1+G1147)*H1147)</f>
        <v/>
      </c>
      <c r="J1147" s="69" t="str">
        <f>IF(AND(A1147="",B1147=""),"",IF(A1147="","Produit manquant",IF(COUNTIF(prod_ref,A1147)=0,"Produit inconnu",IF(B1147="","Matière manquante",IF(ISNA(MATCH(B1147,mat_ref,0)),"Matière inconnue",IF(INDEX(mat_check,MATCH(B1147,mat_ref,0))&lt;&gt;"OK","Matière à corriger",IF(OR(NOT(ISNUMBER(E1147)),N(E1147)&lt;=0),"Quantité invalide",IF(AND(F1147&lt;&gt;"",OR(NOT(ISNUMBER(F1147)),N(F1147)&lt;0,N(F1147)&gt;=1)),"Perte entre 0 et 99 %",IF(COUNTIFS(bom_prod,A1147,bom_mat,B1147)&gt;1,"Matière en double","OK")))))))))</f>
        <v/>
      </c>
      <c r="K1147" s="71" t="str">
        <f>IF(AND(fiche_sel&lt;&gt;"",A1147=fiche_sel),COUNTIF(A$6:A1147,fiche_sel),"")</f>
        <v/>
      </c>
    </row>
    <row r="1148">
      <c r="A1148" s="60" t="n"/>
      <c r="B1148" s="60" t="n"/>
      <c r="C1148" s="71" t="str">
        <f>IF(B1148="","",IFERROR(INDEX(mat_des,MATCH(B1148,mat_ref,0))&amp;"","Matière inconnue"))</f>
        <v/>
      </c>
      <c r="D1148" s="69" t="str">
        <f>IF(B1148="","",IFERROR(INDEX(mat_unit,MATCH(B1148,mat_ref,0))&amp;"",""))</f>
        <v/>
      </c>
      <c r="E1148" s="72" t="n"/>
      <c r="F1148" s="65" t="n"/>
      <c r="G1148" s="68" t="str">
        <f>IF(J1148&lt;&gt;"OK","",IF(F1148="",N(INDEX(mat_loss,MATCH(B1148,mat_ref,0))),F1148))</f>
        <v/>
      </c>
      <c r="H1148" s="66" t="str">
        <f>IF(J1148&lt;&gt;"OK","",INDEX(mat_price,MATCH(B1148,mat_ref,0)))</f>
        <v/>
      </c>
      <c r="I1148" s="66" t="str">
        <f>IF(J1148&lt;&gt;"OK","",E1148*(1+G1148)*H1148)</f>
        <v/>
      </c>
      <c r="J1148" s="69" t="str">
        <f>IF(AND(A1148="",B1148=""),"",IF(A1148="","Produit manquant",IF(COUNTIF(prod_ref,A1148)=0,"Produit inconnu",IF(B1148="","Matière manquante",IF(ISNA(MATCH(B1148,mat_ref,0)),"Matière inconnue",IF(INDEX(mat_check,MATCH(B1148,mat_ref,0))&lt;&gt;"OK","Matière à corriger",IF(OR(NOT(ISNUMBER(E1148)),N(E1148)&lt;=0),"Quantité invalide",IF(AND(F1148&lt;&gt;"",OR(NOT(ISNUMBER(F1148)),N(F1148)&lt;0,N(F1148)&gt;=1)),"Perte entre 0 et 99 %",IF(COUNTIFS(bom_prod,A1148,bom_mat,B1148)&gt;1,"Matière en double","OK")))))))))</f>
        <v/>
      </c>
      <c r="K1148" s="71" t="str">
        <f>IF(AND(fiche_sel&lt;&gt;"",A1148=fiche_sel),COUNTIF(A$6:A1148,fiche_sel),"")</f>
        <v/>
      </c>
    </row>
    <row r="1149">
      <c r="A1149" s="60" t="n"/>
      <c r="B1149" s="60" t="n"/>
      <c r="C1149" s="71" t="str">
        <f>IF(B1149="","",IFERROR(INDEX(mat_des,MATCH(B1149,mat_ref,0))&amp;"","Matière inconnue"))</f>
        <v/>
      </c>
      <c r="D1149" s="69" t="str">
        <f>IF(B1149="","",IFERROR(INDEX(mat_unit,MATCH(B1149,mat_ref,0))&amp;"",""))</f>
        <v/>
      </c>
      <c r="E1149" s="72" t="n"/>
      <c r="F1149" s="65" t="n"/>
      <c r="G1149" s="68" t="str">
        <f>IF(J1149&lt;&gt;"OK","",IF(F1149="",N(INDEX(mat_loss,MATCH(B1149,mat_ref,0))),F1149))</f>
        <v/>
      </c>
      <c r="H1149" s="66" t="str">
        <f>IF(J1149&lt;&gt;"OK","",INDEX(mat_price,MATCH(B1149,mat_ref,0)))</f>
        <v/>
      </c>
      <c r="I1149" s="66" t="str">
        <f>IF(J1149&lt;&gt;"OK","",E1149*(1+G1149)*H1149)</f>
        <v/>
      </c>
      <c r="J1149" s="69" t="str">
        <f>IF(AND(A1149="",B1149=""),"",IF(A1149="","Produit manquant",IF(COUNTIF(prod_ref,A1149)=0,"Produit inconnu",IF(B1149="","Matière manquante",IF(ISNA(MATCH(B1149,mat_ref,0)),"Matière inconnue",IF(INDEX(mat_check,MATCH(B1149,mat_ref,0))&lt;&gt;"OK","Matière à corriger",IF(OR(NOT(ISNUMBER(E1149)),N(E1149)&lt;=0),"Quantité invalide",IF(AND(F1149&lt;&gt;"",OR(NOT(ISNUMBER(F1149)),N(F1149)&lt;0,N(F1149)&gt;=1)),"Perte entre 0 et 99 %",IF(COUNTIFS(bom_prod,A1149,bom_mat,B1149)&gt;1,"Matière en double","OK")))))))))</f>
        <v/>
      </c>
      <c r="K1149" s="71" t="str">
        <f>IF(AND(fiche_sel&lt;&gt;"",A1149=fiche_sel),COUNTIF(A$6:A1149,fiche_sel),"")</f>
        <v/>
      </c>
    </row>
    <row r="1150">
      <c r="A1150" s="60" t="n"/>
      <c r="B1150" s="60" t="n"/>
      <c r="C1150" s="71" t="str">
        <f>IF(B1150="","",IFERROR(INDEX(mat_des,MATCH(B1150,mat_ref,0))&amp;"","Matière inconnue"))</f>
        <v/>
      </c>
      <c r="D1150" s="69" t="str">
        <f>IF(B1150="","",IFERROR(INDEX(mat_unit,MATCH(B1150,mat_ref,0))&amp;"",""))</f>
        <v/>
      </c>
      <c r="E1150" s="72" t="n"/>
      <c r="F1150" s="65" t="n"/>
      <c r="G1150" s="68" t="str">
        <f>IF(J1150&lt;&gt;"OK","",IF(F1150="",N(INDEX(mat_loss,MATCH(B1150,mat_ref,0))),F1150))</f>
        <v/>
      </c>
      <c r="H1150" s="66" t="str">
        <f>IF(J1150&lt;&gt;"OK","",INDEX(mat_price,MATCH(B1150,mat_ref,0)))</f>
        <v/>
      </c>
      <c r="I1150" s="66" t="str">
        <f>IF(J1150&lt;&gt;"OK","",E1150*(1+G1150)*H1150)</f>
        <v/>
      </c>
      <c r="J1150" s="69" t="str">
        <f>IF(AND(A1150="",B1150=""),"",IF(A1150="","Produit manquant",IF(COUNTIF(prod_ref,A1150)=0,"Produit inconnu",IF(B1150="","Matière manquante",IF(ISNA(MATCH(B1150,mat_ref,0)),"Matière inconnue",IF(INDEX(mat_check,MATCH(B1150,mat_ref,0))&lt;&gt;"OK","Matière à corriger",IF(OR(NOT(ISNUMBER(E1150)),N(E1150)&lt;=0),"Quantité invalide",IF(AND(F1150&lt;&gt;"",OR(NOT(ISNUMBER(F1150)),N(F1150)&lt;0,N(F1150)&gt;=1)),"Perte entre 0 et 99 %",IF(COUNTIFS(bom_prod,A1150,bom_mat,B1150)&gt;1,"Matière en double","OK")))))))))</f>
        <v/>
      </c>
      <c r="K1150" s="71" t="str">
        <f>IF(AND(fiche_sel&lt;&gt;"",A1150=fiche_sel),COUNTIF(A$6:A1150,fiche_sel),"")</f>
        <v/>
      </c>
    </row>
    <row r="1151">
      <c r="A1151" s="60" t="n"/>
      <c r="B1151" s="60" t="n"/>
      <c r="C1151" s="71" t="str">
        <f>IF(B1151="","",IFERROR(INDEX(mat_des,MATCH(B1151,mat_ref,0))&amp;"","Matière inconnue"))</f>
        <v/>
      </c>
      <c r="D1151" s="69" t="str">
        <f>IF(B1151="","",IFERROR(INDEX(mat_unit,MATCH(B1151,mat_ref,0))&amp;"",""))</f>
        <v/>
      </c>
      <c r="E1151" s="72" t="n"/>
      <c r="F1151" s="65" t="n"/>
      <c r="G1151" s="68" t="str">
        <f>IF(J1151&lt;&gt;"OK","",IF(F1151="",N(INDEX(mat_loss,MATCH(B1151,mat_ref,0))),F1151))</f>
        <v/>
      </c>
      <c r="H1151" s="66" t="str">
        <f>IF(J1151&lt;&gt;"OK","",INDEX(mat_price,MATCH(B1151,mat_ref,0)))</f>
        <v/>
      </c>
      <c r="I1151" s="66" t="str">
        <f>IF(J1151&lt;&gt;"OK","",E1151*(1+G1151)*H1151)</f>
        <v/>
      </c>
      <c r="J1151" s="69" t="str">
        <f>IF(AND(A1151="",B1151=""),"",IF(A1151="","Produit manquant",IF(COUNTIF(prod_ref,A1151)=0,"Produit inconnu",IF(B1151="","Matière manquante",IF(ISNA(MATCH(B1151,mat_ref,0)),"Matière inconnue",IF(INDEX(mat_check,MATCH(B1151,mat_ref,0))&lt;&gt;"OK","Matière à corriger",IF(OR(NOT(ISNUMBER(E1151)),N(E1151)&lt;=0),"Quantité invalide",IF(AND(F1151&lt;&gt;"",OR(NOT(ISNUMBER(F1151)),N(F1151)&lt;0,N(F1151)&gt;=1)),"Perte entre 0 et 99 %",IF(COUNTIFS(bom_prod,A1151,bom_mat,B1151)&gt;1,"Matière en double","OK")))))))))</f>
        <v/>
      </c>
      <c r="K1151" s="71" t="str">
        <f>IF(AND(fiche_sel&lt;&gt;"",A1151=fiche_sel),COUNTIF(A$6:A1151,fiche_sel),"")</f>
        <v/>
      </c>
    </row>
    <row r="1152">
      <c r="A1152" s="60" t="n"/>
      <c r="B1152" s="60" t="n"/>
      <c r="C1152" s="71" t="str">
        <f>IF(B1152="","",IFERROR(INDEX(mat_des,MATCH(B1152,mat_ref,0))&amp;"","Matière inconnue"))</f>
        <v/>
      </c>
      <c r="D1152" s="69" t="str">
        <f>IF(B1152="","",IFERROR(INDEX(mat_unit,MATCH(B1152,mat_ref,0))&amp;"",""))</f>
        <v/>
      </c>
      <c r="E1152" s="72" t="n"/>
      <c r="F1152" s="65" t="n"/>
      <c r="G1152" s="68" t="str">
        <f>IF(J1152&lt;&gt;"OK","",IF(F1152="",N(INDEX(mat_loss,MATCH(B1152,mat_ref,0))),F1152))</f>
        <v/>
      </c>
      <c r="H1152" s="66" t="str">
        <f>IF(J1152&lt;&gt;"OK","",INDEX(mat_price,MATCH(B1152,mat_ref,0)))</f>
        <v/>
      </c>
      <c r="I1152" s="66" t="str">
        <f>IF(J1152&lt;&gt;"OK","",E1152*(1+G1152)*H1152)</f>
        <v/>
      </c>
      <c r="J1152" s="69" t="str">
        <f>IF(AND(A1152="",B1152=""),"",IF(A1152="","Produit manquant",IF(COUNTIF(prod_ref,A1152)=0,"Produit inconnu",IF(B1152="","Matière manquante",IF(ISNA(MATCH(B1152,mat_ref,0)),"Matière inconnue",IF(INDEX(mat_check,MATCH(B1152,mat_ref,0))&lt;&gt;"OK","Matière à corriger",IF(OR(NOT(ISNUMBER(E1152)),N(E1152)&lt;=0),"Quantité invalide",IF(AND(F1152&lt;&gt;"",OR(NOT(ISNUMBER(F1152)),N(F1152)&lt;0,N(F1152)&gt;=1)),"Perte entre 0 et 99 %",IF(COUNTIFS(bom_prod,A1152,bom_mat,B1152)&gt;1,"Matière en double","OK")))))))))</f>
        <v/>
      </c>
      <c r="K1152" s="71" t="str">
        <f>IF(AND(fiche_sel&lt;&gt;"",A1152=fiche_sel),COUNTIF(A$6:A1152,fiche_sel),"")</f>
        <v/>
      </c>
    </row>
    <row r="1153">
      <c r="A1153" s="60" t="n"/>
      <c r="B1153" s="60" t="n"/>
      <c r="C1153" s="71" t="str">
        <f>IF(B1153="","",IFERROR(INDEX(mat_des,MATCH(B1153,mat_ref,0))&amp;"","Matière inconnue"))</f>
        <v/>
      </c>
      <c r="D1153" s="69" t="str">
        <f>IF(B1153="","",IFERROR(INDEX(mat_unit,MATCH(B1153,mat_ref,0))&amp;"",""))</f>
        <v/>
      </c>
      <c r="E1153" s="72" t="n"/>
      <c r="F1153" s="65" t="n"/>
      <c r="G1153" s="68" t="str">
        <f>IF(J1153&lt;&gt;"OK","",IF(F1153="",N(INDEX(mat_loss,MATCH(B1153,mat_ref,0))),F1153))</f>
        <v/>
      </c>
      <c r="H1153" s="66" t="str">
        <f>IF(J1153&lt;&gt;"OK","",INDEX(mat_price,MATCH(B1153,mat_ref,0)))</f>
        <v/>
      </c>
      <c r="I1153" s="66" t="str">
        <f>IF(J1153&lt;&gt;"OK","",E1153*(1+G1153)*H1153)</f>
        <v/>
      </c>
      <c r="J1153" s="69" t="str">
        <f>IF(AND(A1153="",B1153=""),"",IF(A1153="","Produit manquant",IF(COUNTIF(prod_ref,A1153)=0,"Produit inconnu",IF(B1153="","Matière manquante",IF(ISNA(MATCH(B1153,mat_ref,0)),"Matière inconnue",IF(INDEX(mat_check,MATCH(B1153,mat_ref,0))&lt;&gt;"OK","Matière à corriger",IF(OR(NOT(ISNUMBER(E1153)),N(E1153)&lt;=0),"Quantité invalide",IF(AND(F1153&lt;&gt;"",OR(NOT(ISNUMBER(F1153)),N(F1153)&lt;0,N(F1153)&gt;=1)),"Perte entre 0 et 99 %",IF(COUNTIFS(bom_prod,A1153,bom_mat,B1153)&gt;1,"Matière en double","OK")))))))))</f>
        <v/>
      </c>
      <c r="K1153" s="71" t="str">
        <f>IF(AND(fiche_sel&lt;&gt;"",A1153=fiche_sel),COUNTIF(A$6:A1153,fiche_sel),"")</f>
        <v/>
      </c>
    </row>
    <row r="1154">
      <c r="A1154" s="60" t="n"/>
      <c r="B1154" s="60" t="n"/>
      <c r="C1154" s="71" t="str">
        <f>IF(B1154="","",IFERROR(INDEX(mat_des,MATCH(B1154,mat_ref,0))&amp;"","Matière inconnue"))</f>
        <v/>
      </c>
      <c r="D1154" s="69" t="str">
        <f>IF(B1154="","",IFERROR(INDEX(mat_unit,MATCH(B1154,mat_ref,0))&amp;"",""))</f>
        <v/>
      </c>
      <c r="E1154" s="72" t="n"/>
      <c r="F1154" s="65" t="n"/>
      <c r="G1154" s="68" t="str">
        <f>IF(J1154&lt;&gt;"OK","",IF(F1154="",N(INDEX(mat_loss,MATCH(B1154,mat_ref,0))),F1154))</f>
        <v/>
      </c>
      <c r="H1154" s="66" t="str">
        <f>IF(J1154&lt;&gt;"OK","",INDEX(mat_price,MATCH(B1154,mat_ref,0)))</f>
        <v/>
      </c>
      <c r="I1154" s="66" t="str">
        <f>IF(J1154&lt;&gt;"OK","",E1154*(1+G1154)*H1154)</f>
        <v/>
      </c>
      <c r="J1154" s="69" t="str">
        <f>IF(AND(A1154="",B1154=""),"",IF(A1154="","Produit manquant",IF(COUNTIF(prod_ref,A1154)=0,"Produit inconnu",IF(B1154="","Matière manquante",IF(ISNA(MATCH(B1154,mat_ref,0)),"Matière inconnue",IF(INDEX(mat_check,MATCH(B1154,mat_ref,0))&lt;&gt;"OK","Matière à corriger",IF(OR(NOT(ISNUMBER(E1154)),N(E1154)&lt;=0),"Quantité invalide",IF(AND(F1154&lt;&gt;"",OR(NOT(ISNUMBER(F1154)),N(F1154)&lt;0,N(F1154)&gt;=1)),"Perte entre 0 et 99 %",IF(COUNTIFS(bom_prod,A1154,bom_mat,B1154)&gt;1,"Matière en double","OK")))))))))</f>
        <v/>
      </c>
      <c r="K1154" s="71" t="str">
        <f>IF(AND(fiche_sel&lt;&gt;"",A1154=fiche_sel),COUNTIF(A$6:A1154,fiche_sel),"")</f>
        <v/>
      </c>
    </row>
    <row r="1155">
      <c r="A1155" s="60" t="n"/>
      <c r="B1155" s="60" t="n"/>
      <c r="C1155" s="71" t="str">
        <f>IF(B1155="","",IFERROR(INDEX(mat_des,MATCH(B1155,mat_ref,0))&amp;"","Matière inconnue"))</f>
        <v/>
      </c>
      <c r="D1155" s="69" t="str">
        <f>IF(B1155="","",IFERROR(INDEX(mat_unit,MATCH(B1155,mat_ref,0))&amp;"",""))</f>
        <v/>
      </c>
      <c r="E1155" s="72" t="n"/>
      <c r="F1155" s="65" t="n"/>
      <c r="G1155" s="68" t="str">
        <f>IF(J1155&lt;&gt;"OK","",IF(F1155="",N(INDEX(mat_loss,MATCH(B1155,mat_ref,0))),F1155))</f>
        <v/>
      </c>
      <c r="H1155" s="66" t="str">
        <f>IF(J1155&lt;&gt;"OK","",INDEX(mat_price,MATCH(B1155,mat_ref,0)))</f>
        <v/>
      </c>
      <c r="I1155" s="66" t="str">
        <f>IF(J1155&lt;&gt;"OK","",E1155*(1+G1155)*H1155)</f>
        <v/>
      </c>
      <c r="J1155" s="69" t="str">
        <f>IF(AND(A1155="",B1155=""),"",IF(A1155="","Produit manquant",IF(COUNTIF(prod_ref,A1155)=0,"Produit inconnu",IF(B1155="","Matière manquante",IF(ISNA(MATCH(B1155,mat_ref,0)),"Matière inconnue",IF(INDEX(mat_check,MATCH(B1155,mat_ref,0))&lt;&gt;"OK","Matière à corriger",IF(OR(NOT(ISNUMBER(E1155)),N(E1155)&lt;=0),"Quantité invalide",IF(AND(F1155&lt;&gt;"",OR(NOT(ISNUMBER(F1155)),N(F1155)&lt;0,N(F1155)&gt;=1)),"Perte entre 0 et 99 %",IF(COUNTIFS(bom_prod,A1155,bom_mat,B1155)&gt;1,"Matière en double","OK")))))))))</f>
        <v/>
      </c>
      <c r="K1155" s="71" t="str">
        <f>IF(AND(fiche_sel&lt;&gt;"",A1155=fiche_sel),COUNTIF(A$6:A1155,fiche_sel),"")</f>
        <v/>
      </c>
    </row>
    <row r="1156">
      <c r="A1156" s="60" t="n"/>
      <c r="B1156" s="60" t="n"/>
      <c r="C1156" s="71" t="str">
        <f>IF(B1156="","",IFERROR(INDEX(mat_des,MATCH(B1156,mat_ref,0))&amp;"","Matière inconnue"))</f>
        <v/>
      </c>
      <c r="D1156" s="69" t="str">
        <f>IF(B1156="","",IFERROR(INDEX(mat_unit,MATCH(B1156,mat_ref,0))&amp;"",""))</f>
        <v/>
      </c>
      <c r="E1156" s="72" t="n"/>
      <c r="F1156" s="65" t="n"/>
      <c r="G1156" s="68" t="str">
        <f>IF(J1156&lt;&gt;"OK","",IF(F1156="",N(INDEX(mat_loss,MATCH(B1156,mat_ref,0))),F1156))</f>
        <v/>
      </c>
      <c r="H1156" s="66" t="str">
        <f>IF(J1156&lt;&gt;"OK","",INDEX(mat_price,MATCH(B1156,mat_ref,0)))</f>
        <v/>
      </c>
      <c r="I1156" s="66" t="str">
        <f>IF(J1156&lt;&gt;"OK","",E1156*(1+G1156)*H1156)</f>
        <v/>
      </c>
      <c r="J1156" s="69" t="str">
        <f>IF(AND(A1156="",B1156=""),"",IF(A1156="","Produit manquant",IF(COUNTIF(prod_ref,A1156)=0,"Produit inconnu",IF(B1156="","Matière manquante",IF(ISNA(MATCH(B1156,mat_ref,0)),"Matière inconnue",IF(INDEX(mat_check,MATCH(B1156,mat_ref,0))&lt;&gt;"OK","Matière à corriger",IF(OR(NOT(ISNUMBER(E1156)),N(E1156)&lt;=0),"Quantité invalide",IF(AND(F1156&lt;&gt;"",OR(NOT(ISNUMBER(F1156)),N(F1156)&lt;0,N(F1156)&gt;=1)),"Perte entre 0 et 99 %",IF(COUNTIFS(bom_prod,A1156,bom_mat,B1156)&gt;1,"Matière en double","OK")))))))))</f>
        <v/>
      </c>
      <c r="K1156" s="71" t="str">
        <f>IF(AND(fiche_sel&lt;&gt;"",A1156=fiche_sel),COUNTIF(A$6:A1156,fiche_sel),"")</f>
        <v/>
      </c>
    </row>
    <row r="1157">
      <c r="A1157" s="60" t="n"/>
      <c r="B1157" s="60" t="n"/>
      <c r="C1157" s="71" t="str">
        <f>IF(B1157="","",IFERROR(INDEX(mat_des,MATCH(B1157,mat_ref,0))&amp;"","Matière inconnue"))</f>
        <v/>
      </c>
      <c r="D1157" s="69" t="str">
        <f>IF(B1157="","",IFERROR(INDEX(mat_unit,MATCH(B1157,mat_ref,0))&amp;"",""))</f>
        <v/>
      </c>
      <c r="E1157" s="72" t="n"/>
      <c r="F1157" s="65" t="n"/>
      <c r="G1157" s="68" t="str">
        <f>IF(J1157&lt;&gt;"OK","",IF(F1157="",N(INDEX(mat_loss,MATCH(B1157,mat_ref,0))),F1157))</f>
        <v/>
      </c>
      <c r="H1157" s="66" t="str">
        <f>IF(J1157&lt;&gt;"OK","",INDEX(mat_price,MATCH(B1157,mat_ref,0)))</f>
        <v/>
      </c>
      <c r="I1157" s="66" t="str">
        <f>IF(J1157&lt;&gt;"OK","",E1157*(1+G1157)*H1157)</f>
        <v/>
      </c>
      <c r="J1157" s="69" t="str">
        <f>IF(AND(A1157="",B1157=""),"",IF(A1157="","Produit manquant",IF(COUNTIF(prod_ref,A1157)=0,"Produit inconnu",IF(B1157="","Matière manquante",IF(ISNA(MATCH(B1157,mat_ref,0)),"Matière inconnue",IF(INDEX(mat_check,MATCH(B1157,mat_ref,0))&lt;&gt;"OK","Matière à corriger",IF(OR(NOT(ISNUMBER(E1157)),N(E1157)&lt;=0),"Quantité invalide",IF(AND(F1157&lt;&gt;"",OR(NOT(ISNUMBER(F1157)),N(F1157)&lt;0,N(F1157)&gt;=1)),"Perte entre 0 et 99 %",IF(COUNTIFS(bom_prod,A1157,bom_mat,B1157)&gt;1,"Matière en double","OK")))))))))</f>
        <v/>
      </c>
      <c r="K1157" s="71" t="str">
        <f>IF(AND(fiche_sel&lt;&gt;"",A1157=fiche_sel),COUNTIF(A$6:A1157,fiche_sel),"")</f>
        <v/>
      </c>
    </row>
    <row r="1158">
      <c r="A1158" s="60" t="n"/>
      <c r="B1158" s="60" t="n"/>
      <c r="C1158" s="71" t="str">
        <f>IF(B1158="","",IFERROR(INDEX(mat_des,MATCH(B1158,mat_ref,0))&amp;"","Matière inconnue"))</f>
        <v/>
      </c>
      <c r="D1158" s="69" t="str">
        <f>IF(B1158="","",IFERROR(INDEX(mat_unit,MATCH(B1158,mat_ref,0))&amp;"",""))</f>
        <v/>
      </c>
      <c r="E1158" s="72" t="n"/>
      <c r="F1158" s="65" t="n"/>
      <c r="G1158" s="68" t="str">
        <f>IF(J1158&lt;&gt;"OK","",IF(F1158="",N(INDEX(mat_loss,MATCH(B1158,mat_ref,0))),F1158))</f>
        <v/>
      </c>
      <c r="H1158" s="66" t="str">
        <f>IF(J1158&lt;&gt;"OK","",INDEX(mat_price,MATCH(B1158,mat_ref,0)))</f>
        <v/>
      </c>
      <c r="I1158" s="66" t="str">
        <f>IF(J1158&lt;&gt;"OK","",E1158*(1+G1158)*H1158)</f>
        <v/>
      </c>
      <c r="J1158" s="69" t="str">
        <f>IF(AND(A1158="",B1158=""),"",IF(A1158="","Produit manquant",IF(COUNTIF(prod_ref,A1158)=0,"Produit inconnu",IF(B1158="","Matière manquante",IF(ISNA(MATCH(B1158,mat_ref,0)),"Matière inconnue",IF(INDEX(mat_check,MATCH(B1158,mat_ref,0))&lt;&gt;"OK","Matière à corriger",IF(OR(NOT(ISNUMBER(E1158)),N(E1158)&lt;=0),"Quantité invalide",IF(AND(F1158&lt;&gt;"",OR(NOT(ISNUMBER(F1158)),N(F1158)&lt;0,N(F1158)&gt;=1)),"Perte entre 0 et 99 %",IF(COUNTIFS(bom_prod,A1158,bom_mat,B1158)&gt;1,"Matière en double","OK")))))))))</f>
        <v/>
      </c>
      <c r="K1158" s="71" t="str">
        <f>IF(AND(fiche_sel&lt;&gt;"",A1158=fiche_sel),COUNTIF(A$6:A1158,fiche_sel),"")</f>
        <v/>
      </c>
    </row>
    <row r="1159">
      <c r="A1159" s="60" t="n"/>
      <c r="B1159" s="60" t="n"/>
      <c r="C1159" s="71" t="str">
        <f>IF(B1159="","",IFERROR(INDEX(mat_des,MATCH(B1159,mat_ref,0))&amp;"","Matière inconnue"))</f>
        <v/>
      </c>
      <c r="D1159" s="69" t="str">
        <f>IF(B1159="","",IFERROR(INDEX(mat_unit,MATCH(B1159,mat_ref,0))&amp;"",""))</f>
        <v/>
      </c>
      <c r="E1159" s="72" t="n"/>
      <c r="F1159" s="65" t="n"/>
      <c r="G1159" s="68" t="str">
        <f>IF(J1159&lt;&gt;"OK","",IF(F1159="",N(INDEX(mat_loss,MATCH(B1159,mat_ref,0))),F1159))</f>
        <v/>
      </c>
      <c r="H1159" s="66" t="str">
        <f>IF(J1159&lt;&gt;"OK","",INDEX(mat_price,MATCH(B1159,mat_ref,0)))</f>
        <v/>
      </c>
      <c r="I1159" s="66" t="str">
        <f>IF(J1159&lt;&gt;"OK","",E1159*(1+G1159)*H1159)</f>
        <v/>
      </c>
      <c r="J1159" s="69" t="str">
        <f>IF(AND(A1159="",B1159=""),"",IF(A1159="","Produit manquant",IF(COUNTIF(prod_ref,A1159)=0,"Produit inconnu",IF(B1159="","Matière manquante",IF(ISNA(MATCH(B1159,mat_ref,0)),"Matière inconnue",IF(INDEX(mat_check,MATCH(B1159,mat_ref,0))&lt;&gt;"OK","Matière à corriger",IF(OR(NOT(ISNUMBER(E1159)),N(E1159)&lt;=0),"Quantité invalide",IF(AND(F1159&lt;&gt;"",OR(NOT(ISNUMBER(F1159)),N(F1159)&lt;0,N(F1159)&gt;=1)),"Perte entre 0 et 99 %",IF(COUNTIFS(bom_prod,A1159,bom_mat,B1159)&gt;1,"Matière en double","OK")))))))))</f>
        <v/>
      </c>
      <c r="K1159" s="71" t="str">
        <f>IF(AND(fiche_sel&lt;&gt;"",A1159=fiche_sel),COUNTIF(A$6:A1159,fiche_sel),"")</f>
        <v/>
      </c>
    </row>
    <row r="1160">
      <c r="A1160" s="60" t="n"/>
      <c r="B1160" s="60" t="n"/>
      <c r="C1160" s="71" t="str">
        <f>IF(B1160="","",IFERROR(INDEX(mat_des,MATCH(B1160,mat_ref,0))&amp;"","Matière inconnue"))</f>
        <v/>
      </c>
      <c r="D1160" s="69" t="str">
        <f>IF(B1160="","",IFERROR(INDEX(mat_unit,MATCH(B1160,mat_ref,0))&amp;"",""))</f>
        <v/>
      </c>
      <c r="E1160" s="72" t="n"/>
      <c r="F1160" s="65" t="n"/>
      <c r="G1160" s="68" t="str">
        <f>IF(J1160&lt;&gt;"OK","",IF(F1160="",N(INDEX(mat_loss,MATCH(B1160,mat_ref,0))),F1160))</f>
        <v/>
      </c>
      <c r="H1160" s="66" t="str">
        <f>IF(J1160&lt;&gt;"OK","",INDEX(mat_price,MATCH(B1160,mat_ref,0)))</f>
        <v/>
      </c>
      <c r="I1160" s="66" t="str">
        <f>IF(J1160&lt;&gt;"OK","",E1160*(1+G1160)*H1160)</f>
        <v/>
      </c>
      <c r="J1160" s="69" t="str">
        <f>IF(AND(A1160="",B1160=""),"",IF(A1160="","Produit manquant",IF(COUNTIF(prod_ref,A1160)=0,"Produit inconnu",IF(B1160="","Matière manquante",IF(ISNA(MATCH(B1160,mat_ref,0)),"Matière inconnue",IF(INDEX(mat_check,MATCH(B1160,mat_ref,0))&lt;&gt;"OK","Matière à corriger",IF(OR(NOT(ISNUMBER(E1160)),N(E1160)&lt;=0),"Quantité invalide",IF(AND(F1160&lt;&gt;"",OR(NOT(ISNUMBER(F1160)),N(F1160)&lt;0,N(F1160)&gt;=1)),"Perte entre 0 et 99 %",IF(COUNTIFS(bom_prod,A1160,bom_mat,B1160)&gt;1,"Matière en double","OK")))))))))</f>
        <v/>
      </c>
      <c r="K1160" s="71" t="str">
        <f>IF(AND(fiche_sel&lt;&gt;"",A1160=fiche_sel),COUNTIF(A$6:A1160,fiche_sel),"")</f>
        <v/>
      </c>
    </row>
    <row r="1161">
      <c r="A1161" s="60" t="n"/>
      <c r="B1161" s="60" t="n"/>
      <c r="C1161" s="71" t="str">
        <f>IF(B1161="","",IFERROR(INDEX(mat_des,MATCH(B1161,mat_ref,0))&amp;"","Matière inconnue"))</f>
        <v/>
      </c>
      <c r="D1161" s="69" t="str">
        <f>IF(B1161="","",IFERROR(INDEX(mat_unit,MATCH(B1161,mat_ref,0))&amp;"",""))</f>
        <v/>
      </c>
      <c r="E1161" s="72" t="n"/>
      <c r="F1161" s="65" t="n"/>
      <c r="G1161" s="68" t="str">
        <f>IF(J1161&lt;&gt;"OK","",IF(F1161="",N(INDEX(mat_loss,MATCH(B1161,mat_ref,0))),F1161))</f>
        <v/>
      </c>
      <c r="H1161" s="66" t="str">
        <f>IF(J1161&lt;&gt;"OK","",INDEX(mat_price,MATCH(B1161,mat_ref,0)))</f>
        <v/>
      </c>
      <c r="I1161" s="66" t="str">
        <f>IF(J1161&lt;&gt;"OK","",E1161*(1+G1161)*H1161)</f>
        <v/>
      </c>
      <c r="J1161" s="69" t="str">
        <f>IF(AND(A1161="",B1161=""),"",IF(A1161="","Produit manquant",IF(COUNTIF(prod_ref,A1161)=0,"Produit inconnu",IF(B1161="","Matière manquante",IF(ISNA(MATCH(B1161,mat_ref,0)),"Matière inconnue",IF(INDEX(mat_check,MATCH(B1161,mat_ref,0))&lt;&gt;"OK","Matière à corriger",IF(OR(NOT(ISNUMBER(E1161)),N(E1161)&lt;=0),"Quantité invalide",IF(AND(F1161&lt;&gt;"",OR(NOT(ISNUMBER(F1161)),N(F1161)&lt;0,N(F1161)&gt;=1)),"Perte entre 0 et 99 %",IF(COUNTIFS(bom_prod,A1161,bom_mat,B1161)&gt;1,"Matière en double","OK")))))))))</f>
        <v/>
      </c>
      <c r="K1161" s="71" t="str">
        <f>IF(AND(fiche_sel&lt;&gt;"",A1161=fiche_sel),COUNTIF(A$6:A1161,fiche_sel),"")</f>
        <v/>
      </c>
    </row>
    <row r="1162">
      <c r="A1162" s="60" t="n"/>
      <c r="B1162" s="60" t="n"/>
      <c r="C1162" s="71" t="str">
        <f>IF(B1162="","",IFERROR(INDEX(mat_des,MATCH(B1162,mat_ref,0))&amp;"","Matière inconnue"))</f>
        <v/>
      </c>
      <c r="D1162" s="69" t="str">
        <f>IF(B1162="","",IFERROR(INDEX(mat_unit,MATCH(B1162,mat_ref,0))&amp;"",""))</f>
        <v/>
      </c>
      <c r="E1162" s="72" t="n"/>
      <c r="F1162" s="65" t="n"/>
      <c r="G1162" s="68" t="str">
        <f>IF(J1162&lt;&gt;"OK","",IF(F1162="",N(INDEX(mat_loss,MATCH(B1162,mat_ref,0))),F1162))</f>
        <v/>
      </c>
      <c r="H1162" s="66" t="str">
        <f>IF(J1162&lt;&gt;"OK","",INDEX(mat_price,MATCH(B1162,mat_ref,0)))</f>
        <v/>
      </c>
      <c r="I1162" s="66" t="str">
        <f>IF(J1162&lt;&gt;"OK","",E1162*(1+G1162)*H1162)</f>
        <v/>
      </c>
      <c r="J1162" s="69" t="str">
        <f>IF(AND(A1162="",B1162=""),"",IF(A1162="","Produit manquant",IF(COUNTIF(prod_ref,A1162)=0,"Produit inconnu",IF(B1162="","Matière manquante",IF(ISNA(MATCH(B1162,mat_ref,0)),"Matière inconnue",IF(INDEX(mat_check,MATCH(B1162,mat_ref,0))&lt;&gt;"OK","Matière à corriger",IF(OR(NOT(ISNUMBER(E1162)),N(E1162)&lt;=0),"Quantité invalide",IF(AND(F1162&lt;&gt;"",OR(NOT(ISNUMBER(F1162)),N(F1162)&lt;0,N(F1162)&gt;=1)),"Perte entre 0 et 99 %",IF(COUNTIFS(bom_prod,A1162,bom_mat,B1162)&gt;1,"Matière en double","OK")))))))))</f>
        <v/>
      </c>
      <c r="K1162" s="71" t="str">
        <f>IF(AND(fiche_sel&lt;&gt;"",A1162=fiche_sel),COUNTIF(A$6:A1162,fiche_sel),"")</f>
        <v/>
      </c>
    </row>
    <row r="1163">
      <c r="A1163" s="60" t="n"/>
      <c r="B1163" s="60" t="n"/>
      <c r="C1163" s="71" t="str">
        <f>IF(B1163="","",IFERROR(INDEX(mat_des,MATCH(B1163,mat_ref,0))&amp;"","Matière inconnue"))</f>
        <v/>
      </c>
      <c r="D1163" s="69" t="str">
        <f>IF(B1163="","",IFERROR(INDEX(mat_unit,MATCH(B1163,mat_ref,0))&amp;"",""))</f>
        <v/>
      </c>
      <c r="E1163" s="72" t="n"/>
      <c r="F1163" s="65" t="n"/>
      <c r="G1163" s="68" t="str">
        <f>IF(J1163&lt;&gt;"OK","",IF(F1163="",N(INDEX(mat_loss,MATCH(B1163,mat_ref,0))),F1163))</f>
        <v/>
      </c>
      <c r="H1163" s="66" t="str">
        <f>IF(J1163&lt;&gt;"OK","",INDEX(mat_price,MATCH(B1163,mat_ref,0)))</f>
        <v/>
      </c>
      <c r="I1163" s="66" t="str">
        <f>IF(J1163&lt;&gt;"OK","",E1163*(1+G1163)*H1163)</f>
        <v/>
      </c>
      <c r="J1163" s="69" t="str">
        <f>IF(AND(A1163="",B1163=""),"",IF(A1163="","Produit manquant",IF(COUNTIF(prod_ref,A1163)=0,"Produit inconnu",IF(B1163="","Matière manquante",IF(ISNA(MATCH(B1163,mat_ref,0)),"Matière inconnue",IF(INDEX(mat_check,MATCH(B1163,mat_ref,0))&lt;&gt;"OK","Matière à corriger",IF(OR(NOT(ISNUMBER(E1163)),N(E1163)&lt;=0),"Quantité invalide",IF(AND(F1163&lt;&gt;"",OR(NOT(ISNUMBER(F1163)),N(F1163)&lt;0,N(F1163)&gt;=1)),"Perte entre 0 et 99 %",IF(COUNTIFS(bom_prod,A1163,bom_mat,B1163)&gt;1,"Matière en double","OK")))))))))</f>
        <v/>
      </c>
      <c r="K1163" s="71" t="str">
        <f>IF(AND(fiche_sel&lt;&gt;"",A1163=fiche_sel),COUNTIF(A$6:A1163,fiche_sel),"")</f>
        <v/>
      </c>
    </row>
    <row r="1164">
      <c r="A1164" s="60" t="n"/>
      <c r="B1164" s="60" t="n"/>
      <c r="C1164" s="71" t="str">
        <f>IF(B1164="","",IFERROR(INDEX(mat_des,MATCH(B1164,mat_ref,0))&amp;"","Matière inconnue"))</f>
        <v/>
      </c>
      <c r="D1164" s="69" t="str">
        <f>IF(B1164="","",IFERROR(INDEX(mat_unit,MATCH(B1164,mat_ref,0))&amp;"",""))</f>
        <v/>
      </c>
      <c r="E1164" s="72" t="n"/>
      <c r="F1164" s="65" t="n"/>
      <c r="G1164" s="68" t="str">
        <f>IF(J1164&lt;&gt;"OK","",IF(F1164="",N(INDEX(mat_loss,MATCH(B1164,mat_ref,0))),F1164))</f>
        <v/>
      </c>
      <c r="H1164" s="66" t="str">
        <f>IF(J1164&lt;&gt;"OK","",INDEX(mat_price,MATCH(B1164,mat_ref,0)))</f>
        <v/>
      </c>
      <c r="I1164" s="66" t="str">
        <f>IF(J1164&lt;&gt;"OK","",E1164*(1+G1164)*H1164)</f>
        <v/>
      </c>
      <c r="J1164" s="69" t="str">
        <f>IF(AND(A1164="",B1164=""),"",IF(A1164="","Produit manquant",IF(COUNTIF(prod_ref,A1164)=0,"Produit inconnu",IF(B1164="","Matière manquante",IF(ISNA(MATCH(B1164,mat_ref,0)),"Matière inconnue",IF(INDEX(mat_check,MATCH(B1164,mat_ref,0))&lt;&gt;"OK","Matière à corriger",IF(OR(NOT(ISNUMBER(E1164)),N(E1164)&lt;=0),"Quantité invalide",IF(AND(F1164&lt;&gt;"",OR(NOT(ISNUMBER(F1164)),N(F1164)&lt;0,N(F1164)&gt;=1)),"Perte entre 0 et 99 %",IF(COUNTIFS(bom_prod,A1164,bom_mat,B1164)&gt;1,"Matière en double","OK")))))))))</f>
        <v/>
      </c>
      <c r="K1164" s="71" t="str">
        <f>IF(AND(fiche_sel&lt;&gt;"",A1164=fiche_sel),COUNTIF(A$6:A1164,fiche_sel),"")</f>
        <v/>
      </c>
    </row>
    <row r="1165">
      <c r="A1165" s="60" t="n"/>
      <c r="B1165" s="60" t="n"/>
      <c r="C1165" s="71" t="str">
        <f>IF(B1165="","",IFERROR(INDEX(mat_des,MATCH(B1165,mat_ref,0))&amp;"","Matière inconnue"))</f>
        <v/>
      </c>
      <c r="D1165" s="69" t="str">
        <f>IF(B1165="","",IFERROR(INDEX(mat_unit,MATCH(B1165,mat_ref,0))&amp;"",""))</f>
        <v/>
      </c>
      <c r="E1165" s="72" t="n"/>
      <c r="F1165" s="65" t="n"/>
      <c r="G1165" s="68" t="str">
        <f>IF(J1165&lt;&gt;"OK","",IF(F1165="",N(INDEX(mat_loss,MATCH(B1165,mat_ref,0))),F1165))</f>
        <v/>
      </c>
      <c r="H1165" s="66" t="str">
        <f>IF(J1165&lt;&gt;"OK","",INDEX(mat_price,MATCH(B1165,mat_ref,0)))</f>
        <v/>
      </c>
      <c r="I1165" s="66" t="str">
        <f>IF(J1165&lt;&gt;"OK","",E1165*(1+G1165)*H1165)</f>
        <v/>
      </c>
      <c r="J1165" s="69" t="str">
        <f>IF(AND(A1165="",B1165=""),"",IF(A1165="","Produit manquant",IF(COUNTIF(prod_ref,A1165)=0,"Produit inconnu",IF(B1165="","Matière manquante",IF(ISNA(MATCH(B1165,mat_ref,0)),"Matière inconnue",IF(INDEX(mat_check,MATCH(B1165,mat_ref,0))&lt;&gt;"OK","Matière à corriger",IF(OR(NOT(ISNUMBER(E1165)),N(E1165)&lt;=0),"Quantité invalide",IF(AND(F1165&lt;&gt;"",OR(NOT(ISNUMBER(F1165)),N(F1165)&lt;0,N(F1165)&gt;=1)),"Perte entre 0 et 99 %",IF(COUNTIFS(bom_prod,A1165,bom_mat,B1165)&gt;1,"Matière en double","OK")))))))))</f>
        <v/>
      </c>
      <c r="K1165" s="71" t="str">
        <f>IF(AND(fiche_sel&lt;&gt;"",A1165=fiche_sel),COUNTIF(A$6:A1165,fiche_sel),"")</f>
        <v/>
      </c>
    </row>
    <row r="1166">
      <c r="A1166" s="60" t="n"/>
      <c r="B1166" s="60" t="n"/>
      <c r="C1166" s="71" t="str">
        <f>IF(B1166="","",IFERROR(INDEX(mat_des,MATCH(B1166,mat_ref,0))&amp;"","Matière inconnue"))</f>
        <v/>
      </c>
      <c r="D1166" s="69" t="str">
        <f>IF(B1166="","",IFERROR(INDEX(mat_unit,MATCH(B1166,mat_ref,0))&amp;"",""))</f>
        <v/>
      </c>
      <c r="E1166" s="72" t="n"/>
      <c r="F1166" s="65" t="n"/>
      <c r="G1166" s="68" t="str">
        <f>IF(J1166&lt;&gt;"OK","",IF(F1166="",N(INDEX(mat_loss,MATCH(B1166,mat_ref,0))),F1166))</f>
        <v/>
      </c>
      <c r="H1166" s="66" t="str">
        <f>IF(J1166&lt;&gt;"OK","",INDEX(mat_price,MATCH(B1166,mat_ref,0)))</f>
        <v/>
      </c>
      <c r="I1166" s="66" t="str">
        <f>IF(J1166&lt;&gt;"OK","",E1166*(1+G1166)*H1166)</f>
        <v/>
      </c>
      <c r="J1166" s="69" t="str">
        <f>IF(AND(A1166="",B1166=""),"",IF(A1166="","Produit manquant",IF(COUNTIF(prod_ref,A1166)=0,"Produit inconnu",IF(B1166="","Matière manquante",IF(ISNA(MATCH(B1166,mat_ref,0)),"Matière inconnue",IF(INDEX(mat_check,MATCH(B1166,mat_ref,0))&lt;&gt;"OK","Matière à corriger",IF(OR(NOT(ISNUMBER(E1166)),N(E1166)&lt;=0),"Quantité invalide",IF(AND(F1166&lt;&gt;"",OR(NOT(ISNUMBER(F1166)),N(F1166)&lt;0,N(F1166)&gt;=1)),"Perte entre 0 et 99 %",IF(COUNTIFS(bom_prod,A1166,bom_mat,B1166)&gt;1,"Matière en double","OK")))))))))</f>
        <v/>
      </c>
      <c r="K1166" s="71" t="str">
        <f>IF(AND(fiche_sel&lt;&gt;"",A1166=fiche_sel),COUNTIF(A$6:A1166,fiche_sel),"")</f>
        <v/>
      </c>
    </row>
    <row r="1167">
      <c r="A1167" s="60" t="n"/>
      <c r="B1167" s="60" t="n"/>
      <c r="C1167" s="71" t="str">
        <f>IF(B1167="","",IFERROR(INDEX(mat_des,MATCH(B1167,mat_ref,0))&amp;"","Matière inconnue"))</f>
        <v/>
      </c>
      <c r="D1167" s="69" t="str">
        <f>IF(B1167="","",IFERROR(INDEX(mat_unit,MATCH(B1167,mat_ref,0))&amp;"",""))</f>
        <v/>
      </c>
      <c r="E1167" s="72" t="n"/>
      <c r="F1167" s="65" t="n"/>
      <c r="G1167" s="68" t="str">
        <f>IF(J1167&lt;&gt;"OK","",IF(F1167="",N(INDEX(mat_loss,MATCH(B1167,mat_ref,0))),F1167))</f>
        <v/>
      </c>
      <c r="H1167" s="66" t="str">
        <f>IF(J1167&lt;&gt;"OK","",INDEX(mat_price,MATCH(B1167,mat_ref,0)))</f>
        <v/>
      </c>
      <c r="I1167" s="66" t="str">
        <f>IF(J1167&lt;&gt;"OK","",E1167*(1+G1167)*H1167)</f>
        <v/>
      </c>
      <c r="J1167" s="69" t="str">
        <f>IF(AND(A1167="",B1167=""),"",IF(A1167="","Produit manquant",IF(COUNTIF(prod_ref,A1167)=0,"Produit inconnu",IF(B1167="","Matière manquante",IF(ISNA(MATCH(B1167,mat_ref,0)),"Matière inconnue",IF(INDEX(mat_check,MATCH(B1167,mat_ref,0))&lt;&gt;"OK","Matière à corriger",IF(OR(NOT(ISNUMBER(E1167)),N(E1167)&lt;=0),"Quantité invalide",IF(AND(F1167&lt;&gt;"",OR(NOT(ISNUMBER(F1167)),N(F1167)&lt;0,N(F1167)&gt;=1)),"Perte entre 0 et 99 %",IF(COUNTIFS(bom_prod,A1167,bom_mat,B1167)&gt;1,"Matière en double","OK")))))))))</f>
        <v/>
      </c>
      <c r="K1167" s="71" t="str">
        <f>IF(AND(fiche_sel&lt;&gt;"",A1167=fiche_sel),COUNTIF(A$6:A1167,fiche_sel),"")</f>
        <v/>
      </c>
    </row>
    <row r="1168">
      <c r="A1168" s="60" t="n"/>
      <c r="B1168" s="60" t="n"/>
      <c r="C1168" s="71" t="str">
        <f>IF(B1168="","",IFERROR(INDEX(mat_des,MATCH(B1168,mat_ref,0))&amp;"","Matière inconnue"))</f>
        <v/>
      </c>
      <c r="D1168" s="69" t="str">
        <f>IF(B1168="","",IFERROR(INDEX(mat_unit,MATCH(B1168,mat_ref,0))&amp;"",""))</f>
        <v/>
      </c>
      <c r="E1168" s="72" t="n"/>
      <c r="F1168" s="65" t="n"/>
      <c r="G1168" s="68" t="str">
        <f>IF(J1168&lt;&gt;"OK","",IF(F1168="",N(INDEX(mat_loss,MATCH(B1168,mat_ref,0))),F1168))</f>
        <v/>
      </c>
      <c r="H1168" s="66" t="str">
        <f>IF(J1168&lt;&gt;"OK","",INDEX(mat_price,MATCH(B1168,mat_ref,0)))</f>
        <v/>
      </c>
      <c r="I1168" s="66" t="str">
        <f>IF(J1168&lt;&gt;"OK","",E1168*(1+G1168)*H1168)</f>
        <v/>
      </c>
      <c r="J1168" s="69" t="str">
        <f>IF(AND(A1168="",B1168=""),"",IF(A1168="","Produit manquant",IF(COUNTIF(prod_ref,A1168)=0,"Produit inconnu",IF(B1168="","Matière manquante",IF(ISNA(MATCH(B1168,mat_ref,0)),"Matière inconnue",IF(INDEX(mat_check,MATCH(B1168,mat_ref,0))&lt;&gt;"OK","Matière à corriger",IF(OR(NOT(ISNUMBER(E1168)),N(E1168)&lt;=0),"Quantité invalide",IF(AND(F1168&lt;&gt;"",OR(NOT(ISNUMBER(F1168)),N(F1168)&lt;0,N(F1168)&gt;=1)),"Perte entre 0 et 99 %",IF(COUNTIFS(bom_prod,A1168,bom_mat,B1168)&gt;1,"Matière en double","OK")))))))))</f>
        <v/>
      </c>
      <c r="K1168" s="71" t="str">
        <f>IF(AND(fiche_sel&lt;&gt;"",A1168=fiche_sel),COUNTIF(A$6:A1168,fiche_sel),"")</f>
        <v/>
      </c>
    </row>
    <row r="1169">
      <c r="A1169" s="60" t="n"/>
      <c r="B1169" s="60" t="n"/>
      <c r="C1169" s="71" t="str">
        <f>IF(B1169="","",IFERROR(INDEX(mat_des,MATCH(B1169,mat_ref,0))&amp;"","Matière inconnue"))</f>
        <v/>
      </c>
      <c r="D1169" s="69" t="str">
        <f>IF(B1169="","",IFERROR(INDEX(mat_unit,MATCH(B1169,mat_ref,0))&amp;"",""))</f>
        <v/>
      </c>
      <c r="E1169" s="72" t="n"/>
      <c r="F1169" s="65" t="n"/>
      <c r="G1169" s="68" t="str">
        <f>IF(J1169&lt;&gt;"OK","",IF(F1169="",N(INDEX(mat_loss,MATCH(B1169,mat_ref,0))),F1169))</f>
        <v/>
      </c>
      <c r="H1169" s="66" t="str">
        <f>IF(J1169&lt;&gt;"OK","",INDEX(mat_price,MATCH(B1169,mat_ref,0)))</f>
        <v/>
      </c>
      <c r="I1169" s="66" t="str">
        <f>IF(J1169&lt;&gt;"OK","",E1169*(1+G1169)*H1169)</f>
        <v/>
      </c>
      <c r="J1169" s="69" t="str">
        <f>IF(AND(A1169="",B1169=""),"",IF(A1169="","Produit manquant",IF(COUNTIF(prod_ref,A1169)=0,"Produit inconnu",IF(B1169="","Matière manquante",IF(ISNA(MATCH(B1169,mat_ref,0)),"Matière inconnue",IF(INDEX(mat_check,MATCH(B1169,mat_ref,0))&lt;&gt;"OK","Matière à corriger",IF(OR(NOT(ISNUMBER(E1169)),N(E1169)&lt;=0),"Quantité invalide",IF(AND(F1169&lt;&gt;"",OR(NOT(ISNUMBER(F1169)),N(F1169)&lt;0,N(F1169)&gt;=1)),"Perte entre 0 et 99 %",IF(COUNTIFS(bom_prod,A1169,bom_mat,B1169)&gt;1,"Matière en double","OK")))))))))</f>
        <v/>
      </c>
      <c r="K1169" s="71" t="str">
        <f>IF(AND(fiche_sel&lt;&gt;"",A1169=fiche_sel),COUNTIF(A$6:A1169,fiche_sel),"")</f>
        <v/>
      </c>
    </row>
    <row r="1170">
      <c r="A1170" s="60" t="n"/>
      <c r="B1170" s="60" t="n"/>
      <c r="C1170" s="71" t="str">
        <f>IF(B1170="","",IFERROR(INDEX(mat_des,MATCH(B1170,mat_ref,0))&amp;"","Matière inconnue"))</f>
        <v/>
      </c>
      <c r="D1170" s="69" t="str">
        <f>IF(B1170="","",IFERROR(INDEX(mat_unit,MATCH(B1170,mat_ref,0))&amp;"",""))</f>
        <v/>
      </c>
      <c r="E1170" s="72" t="n"/>
      <c r="F1170" s="65" t="n"/>
      <c r="G1170" s="68" t="str">
        <f>IF(J1170&lt;&gt;"OK","",IF(F1170="",N(INDEX(mat_loss,MATCH(B1170,mat_ref,0))),F1170))</f>
        <v/>
      </c>
      <c r="H1170" s="66" t="str">
        <f>IF(J1170&lt;&gt;"OK","",INDEX(mat_price,MATCH(B1170,mat_ref,0)))</f>
        <v/>
      </c>
      <c r="I1170" s="66" t="str">
        <f>IF(J1170&lt;&gt;"OK","",E1170*(1+G1170)*H1170)</f>
        <v/>
      </c>
      <c r="J1170" s="69" t="str">
        <f>IF(AND(A1170="",B1170=""),"",IF(A1170="","Produit manquant",IF(COUNTIF(prod_ref,A1170)=0,"Produit inconnu",IF(B1170="","Matière manquante",IF(ISNA(MATCH(B1170,mat_ref,0)),"Matière inconnue",IF(INDEX(mat_check,MATCH(B1170,mat_ref,0))&lt;&gt;"OK","Matière à corriger",IF(OR(NOT(ISNUMBER(E1170)),N(E1170)&lt;=0),"Quantité invalide",IF(AND(F1170&lt;&gt;"",OR(NOT(ISNUMBER(F1170)),N(F1170)&lt;0,N(F1170)&gt;=1)),"Perte entre 0 et 99 %",IF(COUNTIFS(bom_prod,A1170,bom_mat,B1170)&gt;1,"Matière en double","OK")))))))))</f>
        <v/>
      </c>
      <c r="K1170" s="71" t="str">
        <f>IF(AND(fiche_sel&lt;&gt;"",A1170=fiche_sel),COUNTIF(A$6:A1170,fiche_sel),"")</f>
        <v/>
      </c>
    </row>
    <row r="1171">
      <c r="A1171" s="60" t="n"/>
      <c r="B1171" s="60" t="n"/>
      <c r="C1171" s="71" t="str">
        <f>IF(B1171="","",IFERROR(INDEX(mat_des,MATCH(B1171,mat_ref,0))&amp;"","Matière inconnue"))</f>
        <v/>
      </c>
      <c r="D1171" s="69" t="str">
        <f>IF(B1171="","",IFERROR(INDEX(mat_unit,MATCH(B1171,mat_ref,0))&amp;"",""))</f>
        <v/>
      </c>
      <c r="E1171" s="72" t="n"/>
      <c r="F1171" s="65" t="n"/>
      <c r="G1171" s="68" t="str">
        <f>IF(J1171&lt;&gt;"OK","",IF(F1171="",N(INDEX(mat_loss,MATCH(B1171,mat_ref,0))),F1171))</f>
        <v/>
      </c>
      <c r="H1171" s="66" t="str">
        <f>IF(J1171&lt;&gt;"OK","",INDEX(mat_price,MATCH(B1171,mat_ref,0)))</f>
        <v/>
      </c>
      <c r="I1171" s="66" t="str">
        <f>IF(J1171&lt;&gt;"OK","",E1171*(1+G1171)*H1171)</f>
        <v/>
      </c>
      <c r="J1171" s="69" t="str">
        <f>IF(AND(A1171="",B1171=""),"",IF(A1171="","Produit manquant",IF(COUNTIF(prod_ref,A1171)=0,"Produit inconnu",IF(B1171="","Matière manquante",IF(ISNA(MATCH(B1171,mat_ref,0)),"Matière inconnue",IF(INDEX(mat_check,MATCH(B1171,mat_ref,0))&lt;&gt;"OK","Matière à corriger",IF(OR(NOT(ISNUMBER(E1171)),N(E1171)&lt;=0),"Quantité invalide",IF(AND(F1171&lt;&gt;"",OR(NOT(ISNUMBER(F1171)),N(F1171)&lt;0,N(F1171)&gt;=1)),"Perte entre 0 et 99 %",IF(COUNTIFS(bom_prod,A1171,bom_mat,B1171)&gt;1,"Matière en double","OK")))))))))</f>
        <v/>
      </c>
      <c r="K1171" s="71" t="str">
        <f>IF(AND(fiche_sel&lt;&gt;"",A1171=fiche_sel),COUNTIF(A$6:A1171,fiche_sel),"")</f>
        <v/>
      </c>
    </row>
    <row r="1172">
      <c r="A1172" s="60" t="n"/>
      <c r="B1172" s="60" t="n"/>
      <c r="C1172" s="71" t="str">
        <f>IF(B1172="","",IFERROR(INDEX(mat_des,MATCH(B1172,mat_ref,0))&amp;"","Matière inconnue"))</f>
        <v/>
      </c>
      <c r="D1172" s="69" t="str">
        <f>IF(B1172="","",IFERROR(INDEX(mat_unit,MATCH(B1172,mat_ref,0))&amp;"",""))</f>
        <v/>
      </c>
      <c r="E1172" s="72" t="n"/>
      <c r="F1172" s="65" t="n"/>
      <c r="G1172" s="68" t="str">
        <f>IF(J1172&lt;&gt;"OK","",IF(F1172="",N(INDEX(mat_loss,MATCH(B1172,mat_ref,0))),F1172))</f>
        <v/>
      </c>
      <c r="H1172" s="66" t="str">
        <f>IF(J1172&lt;&gt;"OK","",INDEX(mat_price,MATCH(B1172,mat_ref,0)))</f>
        <v/>
      </c>
      <c r="I1172" s="66" t="str">
        <f>IF(J1172&lt;&gt;"OK","",E1172*(1+G1172)*H1172)</f>
        <v/>
      </c>
      <c r="J1172" s="69" t="str">
        <f>IF(AND(A1172="",B1172=""),"",IF(A1172="","Produit manquant",IF(COUNTIF(prod_ref,A1172)=0,"Produit inconnu",IF(B1172="","Matière manquante",IF(ISNA(MATCH(B1172,mat_ref,0)),"Matière inconnue",IF(INDEX(mat_check,MATCH(B1172,mat_ref,0))&lt;&gt;"OK","Matière à corriger",IF(OR(NOT(ISNUMBER(E1172)),N(E1172)&lt;=0),"Quantité invalide",IF(AND(F1172&lt;&gt;"",OR(NOT(ISNUMBER(F1172)),N(F1172)&lt;0,N(F1172)&gt;=1)),"Perte entre 0 et 99 %",IF(COUNTIFS(bom_prod,A1172,bom_mat,B1172)&gt;1,"Matière en double","OK")))))))))</f>
        <v/>
      </c>
      <c r="K1172" s="71" t="str">
        <f>IF(AND(fiche_sel&lt;&gt;"",A1172=fiche_sel),COUNTIF(A$6:A1172,fiche_sel),"")</f>
        <v/>
      </c>
    </row>
    <row r="1173">
      <c r="A1173" s="60" t="n"/>
      <c r="B1173" s="60" t="n"/>
      <c r="C1173" s="71" t="str">
        <f>IF(B1173="","",IFERROR(INDEX(mat_des,MATCH(B1173,mat_ref,0))&amp;"","Matière inconnue"))</f>
        <v/>
      </c>
      <c r="D1173" s="69" t="str">
        <f>IF(B1173="","",IFERROR(INDEX(mat_unit,MATCH(B1173,mat_ref,0))&amp;"",""))</f>
        <v/>
      </c>
      <c r="E1173" s="72" t="n"/>
      <c r="F1173" s="65" t="n"/>
      <c r="G1173" s="68" t="str">
        <f>IF(J1173&lt;&gt;"OK","",IF(F1173="",N(INDEX(mat_loss,MATCH(B1173,mat_ref,0))),F1173))</f>
        <v/>
      </c>
      <c r="H1173" s="66" t="str">
        <f>IF(J1173&lt;&gt;"OK","",INDEX(mat_price,MATCH(B1173,mat_ref,0)))</f>
        <v/>
      </c>
      <c r="I1173" s="66" t="str">
        <f>IF(J1173&lt;&gt;"OK","",E1173*(1+G1173)*H1173)</f>
        <v/>
      </c>
      <c r="J1173" s="69" t="str">
        <f>IF(AND(A1173="",B1173=""),"",IF(A1173="","Produit manquant",IF(COUNTIF(prod_ref,A1173)=0,"Produit inconnu",IF(B1173="","Matière manquante",IF(ISNA(MATCH(B1173,mat_ref,0)),"Matière inconnue",IF(INDEX(mat_check,MATCH(B1173,mat_ref,0))&lt;&gt;"OK","Matière à corriger",IF(OR(NOT(ISNUMBER(E1173)),N(E1173)&lt;=0),"Quantité invalide",IF(AND(F1173&lt;&gt;"",OR(NOT(ISNUMBER(F1173)),N(F1173)&lt;0,N(F1173)&gt;=1)),"Perte entre 0 et 99 %",IF(COUNTIFS(bom_prod,A1173,bom_mat,B1173)&gt;1,"Matière en double","OK")))))))))</f>
        <v/>
      </c>
      <c r="K1173" s="71" t="str">
        <f>IF(AND(fiche_sel&lt;&gt;"",A1173=fiche_sel),COUNTIF(A$6:A1173,fiche_sel),"")</f>
        <v/>
      </c>
    </row>
    <row r="1174">
      <c r="A1174" s="60" t="n"/>
      <c r="B1174" s="60" t="n"/>
      <c r="C1174" s="71" t="str">
        <f>IF(B1174="","",IFERROR(INDEX(mat_des,MATCH(B1174,mat_ref,0))&amp;"","Matière inconnue"))</f>
        <v/>
      </c>
      <c r="D1174" s="69" t="str">
        <f>IF(B1174="","",IFERROR(INDEX(mat_unit,MATCH(B1174,mat_ref,0))&amp;"",""))</f>
        <v/>
      </c>
      <c r="E1174" s="72" t="n"/>
      <c r="F1174" s="65" t="n"/>
      <c r="G1174" s="68" t="str">
        <f>IF(J1174&lt;&gt;"OK","",IF(F1174="",N(INDEX(mat_loss,MATCH(B1174,mat_ref,0))),F1174))</f>
        <v/>
      </c>
      <c r="H1174" s="66" t="str">
        <f>IF(J1174&lt;&gt;"OK","",INDEX(mat_price,MATCH(B1174,mat_ref,0)))</f>
        <v/>
      </c>
      <c r="I1174" s="66" t="str">
        <f>IF(J1174&lt;&gt;"OK","",E1174*(1+G1174)*H1174)</f>
        <v/>
      </c>
      <c r="J1174" s="69" t="str">
        <f>IF(AND(A1174="",B1174=""),"",IF(A1174="","Produit manquant",IF(COUNTIF(prod_ref,A1174)=0,"Produit inconnu",IF(B1174="","Matière manquante",IF(ISNA(MATCH(B1174,mat_ref,0)),"Matière inconnue",IF(INDEX(mat_check,MATCH(B1174,mat_ref,0))&lt;&gt;"OK","Matière à corriger",IF(OR(NOT(ISNUMBER(E1174)),N(E1174)&lt;=0),"Quantité invalide",IF(AND(F1174&lt;&gt;"",OR(NOT(ISNUMBER(F1174)),N(F1174)&lt;0,N(F1174)&gt;=1)),"Perte entre 0 et 99 %",IF(COUNTIFS(bom_prod,A1174,bom_mat,B1174)&gt;1,"Matière en double","OK")))))))))</f>
        <v/>
      </c>
      <c r="K1174" s="71" t="str">
        <f>IF(AND(fiche_sel&lt;&gt;"",A1174=fiche_sel),COUNTIF(A$6:A1174,fiche_sel),"")</f>
        <v/>
      </c>
    </row>
    <row r="1175">
      <c r="A1175" s="60" t="n"/>
      <c r="B1175" s="60" t="n"/>
      <c r="C1175" s="71" t="str">
        <f>IF(B1175="","",IFERROR(INDEX(mat_des,MATCH(B1175,mat_ref,0))&amp;"","Matière inconnue"))</f>
        <v/>
      </c>
      <c r="D1175" s="69" t="str">
        <f>IF(B1175="","",IFERROR(INDEX(mat_unit,MATCH(B1175,mat_ref,0))&amp;"",""))</f>
        <v/>
      </c>
      <c r="E1175" s="72" t="n"/>
      <c r="F1175" s="65" t="n"/>
      <c r="G1175" s="68" t="str">
        <f>IF(J1175&lt;&gt;"OK","",IF(F1175="",N(INDEX(mat_loss,MATCH(B1175,mat_ref,0))),F1175))</f>
        <v/>
      </c>
      <c r="H1175" s="66" t="str">
        <f>IF(J1175&lt;&gt;"OK","",INDEX(mat_price,MATCH(B1175,mat_ref,0)))</f>
        <v/>
      </c>
      <c r="I1175" s="66" t="str">
        <f>IF(J1175&lt;&gt;"OK","",E1175*(1+G1175)*H1175)</f>
        <v/>
      </c>
      <c r="J1175" s="69" t="str">
        <f>IF(AND(A1175="",B1175=""),"",IF(A1175="","Produit manquant",IF(COUNTIF(prod_ref,A1175)=0,"Produit inconnu",IF(B1175="","Matière manquante",IF(ISNA(MATCH(B1175,mat_ref,0)),"Matière inconnue",IF(INDEX(mat_check,MATCH(B1175,mat_ref,0))&lt;&gt;"OK","Matière à corriger",IF(OR(NOT(ISNUMBER(E1175)),N(E1175)&lt;=0),"Quantité invalide",IF(AND(F1175&lt;&gt;"",OR(NOT(ISNUMBER(F1175)),N(F1175)&lt;0,N(F1175)&gt;=1)),"Perte entre 0 et 99 %",IF(COUNTIFS(bom_prod,A1175,bom_mat,B1175)&gt;1,"Matière en double","OK")))))))))</f>
        <v/>
      </c>
      <c r="K1175" s="71" t="str">
        <f>IF(AND(fiche_sel&lt;&gt;"",A1175=fiche_sel),COUNTIF(A$6:A1175,fiche_sel),"")</f>
        <v/>
      </c>
    </row>
    <row r="1176">
      <c r="A1176" s="60" t="n"/>
      <c r="B1176" s="60" t="n"/>
      <c r="C1176" s="71" t="str">
        <f>IF(B1176="","",IFERROR(INDEX(mat_des,MATCH(B1176,mat_ref,0))&amp;"","Matière inconnue"))</f>
        <v/>
      </c>
      <c r="D1176" s="69" t="str">
        <f>IF(B1176="","",IFERROR(INDEX(mat_unit,MATCH(B1176,mat_ref,0))&amp;"",""))</f>
        <v/>
      </c>
      <c r="E1176" s="72" t="n"/>
      <c r="F1176" s="65" t="n"/>
      <c r="G1176" s="68" t="str">
        <f>IF(J1176&lt;&gt;"OK","",IF(F1176="",N(INDEX(mat_loss,MATCH(B1176,mat_ref,0))),F1176))</f>
        <v/>
      </c>
      <c r="H1176" s="66" t="str">
        <f>IF(J1176&lt;&gt;"OK","",INDEX(mat_price,MATCH(B1176,mat_ref,0)))</f>
        <v/>
      </c>
      <c r="I1176" s="66" t="str">
        <f>IF(J1176&lt;&gt;"OK","",E1176*(1+G1176)*H1176)</f>
        <v/>
      </c>
      <c r="J1176" s="69" t="str">
        <f>IF(AND(A1176="",B1176=""),"",IF(A1176="","Produit manquant",IF(COUNTIF(prod_ref,A1176)=0,"Produit inconnu",IF(B1176="","Matière manquante",IF(ISNA(MATCH(B1176,mat_ref,0)),"Matière inconnue",IF(INDEX(mat_check,MATCH(B1176,mat_ref,0))&lt;&gt;"OK","Matière à corriger",IF(OR(NOT(ISNUMBER(E1176)),N(E1176)&lt;=0),"Quantité invalide",IF(AND(F1176&lt;&gt;"",OR(NOT(ISNUMBER(F1176)),N(F1176)&lt;0,N(F1176)&gt;=1)),"Perte entre 0 et 99 %",IF(COUNTIFS(bom_prod,A1176,bom_mat,B1176)&gt;1,"Matière en double","OK")))))))))</f>
        <v/>
      </c>
      <c r="K1176" s="71" t="str">
        <f>IF(AND(fiche_sel&lt;&gt;"",A1176=fiche_sel),COUNTIF(A$6:A1176,fiche_sel),"")</f>
        <v/>
      </c>
    </row>
    <row r="1177">
      <c r="A1177" s="60" t="n"/>
      <c r="B1177" s="60" t="n"/>
      <c r="C1177" s="71" t="str">
        <f>IF(B1177="","",IFERROR(INDEX(mat_des,MATCH(B1177,mat_ref,0))&amp;"","Matière inconnue"))</f>
        <v/>
      </c>
      <c r="D1177" s="69" t="str">
        <f>IF(B1177="","",IFERROR(INDEX(mat_unit,MATCH(B1177,mat_ref,0))&amp;"",""))</f>
        <v/>
      </c>
      <c r="E1177" s="72" t="n"/>
      <c r="F1177" s="65" t="n"/>
      <c r="G1177" s="68" t="str">
        <f>IF(J1177&lt;&gt;"OK","",IF(F1177="",N(INDEX(mat_loss,MATCH(B1177,mat_ref,0))),F1177))</f>
        <v/>
      </c>
      <c r="H1177" s="66" t="str">
        <f>IF(J1177&lt;&gt;"OK","",INDEX(mat_price,MATCH(B1177,mat_ref,0)))</f>
        <v/>
      </c>
      <c r="I1177" s="66" t="str">
        <f>IF(J1177&lt;&gt;"OK","",E1177*(1+G1177)*H1177)</f>
        <v/>
      </c>
      <c r="J1177" s="69" t="str">
        <f>IF(AND(A1177="",B1177=""),"",IF(A1177="","Produit manquant",IF(COUNTIF(prod_ref,A1177)=0,"Produit inconnu",IF(B1177="","Matière manquante",IF(ISNA(MATCH(B1177,mat_ref,0)),"Matière inconnue",IF(INDEX(mat_check,MATCH(B1177,mat_ref,0))&lt;&gt;"OK","Matière à corriger",IF(OR(NOT(ISNUMBER(E1177)),N(E1177)&lt;=0),"Quantité invalide",IF(AND(F1177&lt;&gt;"",OR(NOT(ISNUMBER(F1177)),N(F1177)&lt;0,N(F1177)&gt;=1)),"Perte entre 0 et 99 %",IF(COUNTIFS(bom_prod,A1177,bom_mat,B1177)&gt;1,"Matière en double","OK")))))))))</f>
        <v/>
      </c>
      <c r="K1177" s="71" t="str">
        <f>IF(AND(fiche_sel&lt;&gt;"",A1177=fiche_sel),COUNTIF(A$6:A1177,fiche_sel),"")</f>
        <v/>
      </c>
    </row>
    <row r="1178">
      <c r="A1178" s="60" t="n"/>
      <c r="B1178" s="60" t="n"/>
      <c r="C1178" s="71" t="str">
        <f>IF(B1178="","",IFERROR(INDEX(mat_des,MATCH(B1178,mat_ref,0))&amp;"","Matière inconnue"))</f>
        <v/>
      </c>
      <c r="D1178" s="69" t="str">
        <f>IF(B1178="","",IFERROR(INDEX(mat_unit,MATCH(B1178,mat_ref,0))&amp;"",""))</f>
        <v/>
      </c>
      <c r="E1178" s="72" t="n"/>
      <c r="F1178" s="65" t="n"/>
      <c r="G1178" s="68" t="str">
        <f>IF(J1178&lt;&gt;"OK","",IF(F1178="",N(INDEX(mat_loss,MATCH(B1178,mat_ref,0))),F1178))</f>
        <v/>
      </c>
      <c r="H1178" s="66" t="str">
        <f>IF(J1178&lt;&gt;"OK","",INDEX(mat_price,MATCH(B1178,mat_ref,0)))</f>
        <v/>
      </c>
      <c r="I1178" s="66" t="str">
        <f>IF(J1178&lt;&gt;"OK","",E1178*(1+G1178)*H1178)</f>
        <v/>
      </c>
      <c r="J1178" s="69" t="str">
        <f>IF(AND(A1178="",B1178=""),"",IF(A1178="","Produit manquant",IF(COUNTIF(prod_ref,A1178)=0,"Produit inconnu",IF(B1178="","Matière manquante",IF(ISNA(MATCH(B1178,mat_ref,0)),"Matière inconnue",IF(INDEX(mat_check,MATCH(B1178,mat_ref,0))&lt;&gt;"OK","Matière à corriger",IF(OR(NOT(ISNUMBER(E1178)),N(E1178)&lt;=0),"Quantité invalide",IF(AND(F1178&lt;&gt;"",OR(NOT(ISNUMBER(F1178)),N(F1178)&lt;0,N(F1178)&gt;=1)),"Perte entre 0 et 99 %",IF(COUNTIFS(bom_prod,A1178,bom_mat,B1178)&gt;1,"Matière en double","OK")))))))))</f>
        <v/>
      </c>
      <c r="K1178" s="71" t="str">
        <f>IF(AND(fiche_sel&lt;&gt;"",A1178=fiche_sel),COUNTIF(A$6:A1178,fiche_sel),"")</f>
        <v/>
      </c>
    </row>
    <row r="1179">
      <c r="A1179" s="60" t="n"/>
      <c r="B1179" s="60" t="n"/>
      <c r="C1179" s="71" t="str">
        <f>IF(B1179="","",IFERROR(INDEX(mat_des,MATCH(B1179,mat_ref,0))&amp;"","Matière inconnue"))</f>
        <v/>
      </c>
      <c r="D1179" s="69" t="str">
        <f>IF(B1179="","",IFERROR(INDEX(mat_unit,MATCH(B1179,mat_ref,0))&amp;"",""))</f>
        <v/>
      </c>
      <c r="E1179" s="72" t="n"/>
      <c r="F1179" s="65" t="n"/>
      <c r="G1179" s="68" t="str">
        <f>IF(J1179&lt;&gt;"OK","",IF(F1179="",N(INDEX(mat_loss,MATCH(B1179,mat_ref,0))),F1179))</f>
        <v/>
      </c>
      <c r="H1179" s="66" t="str">
        <f>IF(J1179&lt;&gt;"OK","",INDEX(mat_price,MATCH(B1179,mat_ref,0)))</f>
        <v/>
      </c>
      <c r="I1179" s="66" t="str">
        <f>IF(J1179&lt;&gt;"OK","",E1179*(1+G1179)*H1179)</f>
        <v/>
      </c>
      <c r="J1179" s="69" t="str">
        <f>IF(AND(A1179="",B1179=""),"",IF(A1179="","Produit manquant",IF(COUNTIF(prod_ref,A1179)=0,"Produit inconnu",IF(B1179="","Matière manquante",IF(ISNA(MATCH(B1179,mat_ref,0)),"Matière inconnue",IF(INDEX(mat_check,MATCH(B1179,mat_ref,0))&lt;&gt;"OK","Matière à corriger",IF(OR(NOT(ISNUMBER(E1179)),N(E1179)&lt;=0),"Quantité invalide",IF(AND(F1179&lt;&gt;"",OR(NOT(ISNUMBER(F1179)),N(F1179)&lt;0,N(F1179)&gt;=1)),"Perte entre 0 et 99 %",IF(COUNTIFS(bom_prod,A1179,bom_mat,B1179)&gt;1,"Matière en double","OK")))))))))</f>
        <v/>
      </c>
      <c r="K1179" s="71" t="str">
        <f>IF(AND(fiche_sel&lt;&gt;"",A1179=fiche_sel),COUNTIF(A$6:A1179,fiche_sel),"")</f>
        <v/>
      </c>
    </row>
    <row r="1180">
      <c r="A1180" s="60" t="n"/>
      <c r="B1180" s="60" t="n"/>
      <c r="C1180" s="71" t="str">
        <f>IF(B1180="","",IFERROR(INDEX(mat_des,MATCH(B1180,mat_ref,0))&amp;"","Matière inconnue"))</f>
        <v/>
      </c>
      <c r="D1180" s="69" t="str">
        <f>IF(B1180="","",IFERROR(INDEX(mat_unit,MATCH(B1180,mat_ref,0))&amp;"",""))</f>
        <v/>
      </c>
      <c r="E1180" s="72" t="n"/>
      <c r="F1180" s="65" t="n"/>
      <c r="G1180" s="68" t="str">
        <f>IF(J1180&lt;&gt;"OK","",IF(F1180="",N(INDEX(mat_loss,MATCH(B1180,mat_ref,0))),F1180))</f>
        <v/>
      </c>
      <c r="H1180" s="66" t="str">
        <f>IF(J1180&lt;&gt;"OK","",INDEX(mat_price,MATCH(B1180,mat_ref,0)))</f>
        <v/>
      </c>
      <c r="I1180" s="66" t="str">
        <f>IF(J1180&lt;&gt;"OK","",E1180*(1+G1180)*H1180)</f>
        <v/>
      </c>
      <c r="J1180" s="69" t="str">
        <f>IF(AND(A1180="",B1180=""),"",IF(A1180="","Produit manquant",IF(COUNTIF(prod_ref,A1180)=0,"Produit inconnu",IF(B1180="","Matière manquante",IF(ISNA(MATCH(B1180,mat_ref,0)),"Matière inconnue",IF(INDEX(mat_check,MATCH(B1180,mat_ref,0))&lt;&gt;"OK","Matière à corriger",IF(OR(NOT(ISNUMBER(E1180)),N(E1180)&lt;=0),"Quantité invalide",IF(AND(F1180&lt;&gt;"",OR(NOT(ISNUMBER(F1180)),N(F1180)&lt;0,N(F1180)&gt;=1)),"Perte entre 0 et 99 %",IF(COUNTIFS(bom_prod,A1180,bom_mat,B1180)&gt;1,"Matière en double","OK")))))))))</f>
        <v/>
      </c>
      <c r="K1180" s="71" t="str">
        <f>IF(AND(fiche_sel&lt;&gt;"",A1180=fiche_sel),COUNTIF(A$6:A1180,fiche_sel),"")</f>
        <v/>
      </c>
    </row>
    <row r="1181">
      <c r="A1181" s="60" t="n"/>
      <c r="B1181" s="60" t="n"/>
      <c r="C1181" s="71" t="str">
        <f>IF(B1181="","",IFERROR(INDEX(mat_des,MATCH(B1181,mat_ref,0))&amp;"","Matière inconnue"))</f>
        <v/>
      </c>
      <c r="D1181" s="69" t="str">
        <f>IF(B1181="","",IFERROR(INDEX(mat_unit,MATCH(B1181,mat_ref,0))&amp;"",""))</f>
        <v/>
      </c>
      <c r="E1181" s="72" t="n"/>
      <c r="F1181" s="65" t="n"/>
      <c r="G1181" s="68" t="str">
        <f>IF(J1181&lt;&gt;"OK","",IF(F1181="",N(INDEX(mat_loss,MATCH(B1181,mat_ref,0))),F1181))</f>
        <v/>
      </c>
      <c r="H1181" s="66" t="str">
        <f>IF(J1181&lt;&gt;"OK","",INDEX(mat_price,MATCH(B1181,mat_ref,0)))</f>
        <v/>
      </c>
      <c r="I1181" s="66" t="str">
        <f>IF(J1181&lt;&gt;"OK","",E1181*(1+G1181)*H1181)</f>
        <v/>
      </c>
      <c r="J1181" s="69" t="str">
        <f>IF(AND(A1181="",B1181=""),"",IF(A1181="","Produit manquant",IF(COUNTIF(prod_ref,A1181)=0,"Produit inconnu",IF(B1181="","Matière manquante",IF(ISNA(MATCH(B1181,mat_ref,0)),"Matière inconnue",IF(INDEX(mat_check,MATCH(B1181,mat_ref,0))&lt;&gt;"OK","Matière à corriger",IF(OR(NOT(ISNUMBER(E1181)),N(E1181)&lt;=0),"Quantité invalide",IF(AND(F1181&lt;&gt;"",OR(NOT(ISNUMBER(F1181)),N(F1181)&lt;0,N(F1181)&gt;=1)),"Perte entre 0 et 99 %",IF(COUNTIFS(bom_prod,A1181,bom_mat,B1181)&gt;1,"Matière en double","OK")))))))))</f>
        <v/>
      </c>
      <c r="K1181" s="71" t="str">
        <f>IF(AND(fiche_sel&lt;&gt;"",A1181=fiche_sel),COUNTIF(A$6:A1181,fiche_sel),"")</f>
        <v/>
      </c>
    </row>
    <row r="1182">
      <c r="A1182" s="60" t="n"/>
      <c r="B1182" s="60" t="n"/>
      <c r="C1182" s="71" t="str">
        <f>IF(B1182="","",IFERROR(INDEX(mat_des,MATCH(B1182,mat_ref,0))&amp;"","Matière inconnue"))</f>
        <v/>
      </c>
      <c r="D1182" s="69" t="str">
        <f>IF(B1182="","",IFERROR(INDEX(mat_unit,MATCH(B1182,mat_ref,0))&amp;"",""))</f>
        <v/>
      </c>
      <c r="E1182" s="72" t="n"/>
      <c r="F1182" s="65" t="n"/>
      <c r="G1182" s="68" t="str">
        <f>IF(J1182&lt;&gt;"OK","",IF(F1182="",N(INDEX(mat_loss,MATCH(B1182,mat_ref,0))),F1182))</f>
        <v/>
      </c>
      <c r="H1182" s="66" t="str">
        <f>IF(J1182&lt;&gt;"OK","",INDEX(mat_price,MATCH(B1182,mat_ref,0)))</f>
        <v/>
      </c>
      <c r="I1182" s="66" t="str">
        <f>IF(J1182&lt;&gt;"OK","",E1182*(1+G1182)*H1182)</f>
        <v/>
      </c>
      <c r="J1182" s="69" t="str">
        <f>IF(AND(A1182="",B1182=""),"",IF(A1182="","Produit manquant",IF(COUNTIF(prod_ref,A1182)=0,"Produit inconnu",IF(B1182="","Matière manquante",IF(ISNA(MATCH(B1182,mat_ref,0)),"Matière inconnue",IF(INDEX(mat_check,MATCH(B1182,mat_ref,0))&lt;&gt;"OK","Matière à corriger",IF(OR(NOT(ISNUMBER(E1182)),N(E1182)&lt;=0),"Quantité invalide",IF(AND(F1182&lt;&gt;"",OR(NOT(ISNUMBER(F1182)),N(F1182)&lt;0,N(F1182)&gt;=1)),"Perte entre 0 et 99 %",IF(COUNTIFS(bom_prod,A1182,bom_mat,B1182)&gt;1,"Matière en double","OK")))))))))</f>
        <v/>
      </c>
      <c r="K1182" s="71" t="str">
        <f>IF(AND(fiche_sel&lt;&gt;"",A1182=fiche_sel),COUNTIF(A$6:A1182,fiche_sel),"")</f>
        <v/>
      </c>
    </row>
    <row r="1183">
      <c r="A1183" s="60" t="n"/>
      <c r="B1183" s="60" t="n"/>
      <c r="C1183" s="71" t="str">
        <f>IF(B1183="","",IFERROR(INDEX(mat_des,MATCH(B1183,mat_ref,0))&amp;"","Matière inconnue"))</f>
        <v/>
      </c>
      <c r="D1183" s="69" t="str">
        <f>IF(B1183="","",IFERROR(INDEX(mat_unit,MATCH(B1183,mat_ref,0))&amp;"",""))</f>
        <v/>
      </c>
      <c r="E1183" s="72" t="n"/>
      <c r="F1183" s="65" t="n"/>
      <c r="G1183" s="68" t="str">
        <f>IF(J1183&lt;&gt;"OK","",IF(F1183="",N(INDEX(mat_loss,MATCH(B1183,mat_ref,0))),F1183))</f>
        <v/>
      </c>
      <c r="H1183" s="66" t="str">
        <f>IF(J1183&lt;&gt;"OK","",INDEX(mat_price,MATCH(B1183,mat_ref,0)))</f>
        <v/>
      </c>
      <c r="I1183" s="66" t="str">
        <f>IF(J1183&lt;&gt;"OK","",E1183*(1+G1183)*H1183)</f>
        <v/>
      </c>
      <c r="J1183" s="69" t="str">
        <f>IF(AND(A1183="",B1183=""),"",IF(A1183="","Produit manquant",IF(COUNTIF(prod_ref,A1183)=0,"Produit inconnu",IF(B1183="","Matière manquante",IF(ISNA(MATCH(B1183,mat_ref,0)),"Matière inconnue",IF(INDEX(mat_check,MATCH(B1183,mat_ref,0))&lt;&gt;"OK","Matière à corriger",IF(OR(NOT(ISNUMBER(E1183)),N(E1183)&lt;=0),"Quantité invalide",IF(AND(F1183&lt;&gt;"",OR(NOT(ISNUMBER(F1183)),N(F1183)&lt;0,N(F1183)&gt;=1)),"Perte entre 0 et 99 %",IF(COUNTIFS(bom_prod,A1183,bom_mat,B1183)&gt;1,"Matière en double","OK")))))))))</f>
        <v/>
      </c>
      <c r="K1183" s="71" t="str">
        <f>IF(AND(fiche_sel&lt;&gt;"",A1183=fiche_sel),COUNTIF(A$6:A1183,fiche_sel),"")</f>
        <v/>
      </c>
    </row>
    <row r="1184">
      <c r="A1184" s="60" t="n"/>
      <c r="B1184" s="60" t="n"/>
      <c r="C1184" s="71" t="str">
        <f>IF(B1184="","",IFERROR(INDEX(mat_des,MATCH(B1184,mat_ref,0))&amp;"","Matière inconnue"))</f>
        <v/>
      </c>
      <c r="D1184" s="69" t="str">
        <f>IF(B1184="","",IFERROR(INDEX(mat_unit,MATCH(B1184,mat_ref,0))&amp;"",""))</f>
        <v/>
      </c>
      <c r="E1184" s="72" t="n"/>
      <c r="F1184" s="65" t="n"/>
      <c r="G1184" s="68" t="str">
        <f>IF(J1184&lt;&gt;"OK","",IF(F1184="",N(INDEX(mat_loss,MATCH(B1184,mat_ref,0))),F1184))</f>
        <v/>
      </c>
      <c r="H1184" s="66" t="str">
        <f>IF(J1184&lt;&gt;"OK","",INDEX(mat_price,MATCH(B1184,mat_ref,0)))</f>
        <v/>
      </c>
      <c r="I1184" s="66" t="str">
        <f>IF(J1184&lt;&gt;"OK","",E1184*(1+G1184)*H1184)</f>
        <v/>
      </c>
      <c r="J1184" s="69" t="str">
        <f>IF(AND(A1184="",B1184=""),"",IF(A1184="","Produit manquant",IF(COUNTIF(prod_ref,A1184)=0,"Produit inconnu",IF(B1184="","Matière manquante",IF(ISNA(MATCH(B1184,mat_ref,0)),"Matière inconnue",IF(INDEX(mat_check,MATCH(B1184,mat_ref,0))&lt;&gt;"OK","Matière à corriger",IF(OR(NOT(ISNUMBER(E1184)),N(E1184)&lt;=0),"Quantité invalide",IF(AND(F1184&lt;&gt;"",OR(NOT(ISNUMBER(F1184)),N(F1184)&lt;0,N(F1184)&gt;=1)),"Perte entre 0 et 99 %",IF(COUNTIFS(bom_prod,A1184,bom_mat,B1184)&gt;1,"Matière en double","OK")))))))))</f>
        <v/>
      </c>
      <c r="K1184" s="71" t="str">
        <f>IF(AND(fiche_sel&lt;&gt;"",A1184=fiche_sel),COUNTIF(A$6:A1184,fiche_sel),"")</f>
        <v/>
      </c>
    </row>
    <row r="1185">
      <c r="A1185" s="60" t="n"/>
      <c r="B1185" s="60" t="n"/>
      <c r="C1185" s="71" t="str">
        <f>IF(B1185="","",IFERROR(INDEX(mat_des,MATCH(B1185,mat_ref,0))&amp;"","Matière inconnue"))</f>
        <v/>
      </c>
      <c r="D1185" s="69" t="str">
        <f>IF(B1185="","",IFERROR(INDEX(mat_unit,MATCH(B1185,mat_ref,0))&amp;"",""))</f>
        <v/>
      </c>
      <c r="E1185" s="72" t="n"/>
      <c r="F1185" s="65" t="n"/>
      <c r="G1185" s="68" t="str">
        <f>IF(J1185&lt;&gt;"OK","",IF(F1185="",N(INDEX(mat_loss,MATCH(B1185,mat_ref,0))),F1185))</f>
        <v/>
      </c>
      <c r="H1185" s="66" t="str">
        <f>IF(J1185&lt;&gt;"OK","",INDEX(mat_price,MATCH(B1185,mat_ref,0)))</f>
        <v/>
      </c>
      <c r="I1185" s="66" t="str">
        <f>IF(J1185&lt;&gt;"OK","",E1185*(1+G1185)*H1185)</f>
        <v/>
      </c>
      <c r="J1185" s="69" t="str">
        <f>IF(AND(A1185="",B1185=""),"",IF(A1185="","Produit manquant",IF(COUNTIF(prod_ref,A1185)=0,"Produit inconnu",IF(B1185="","Matière manquante",IF(ISNA(MATCH(B1185,mat_ref,0)),"Matière inconnue",IF(INDEX(mat_check,MATCH(B1185,mat_ref,0))&lt;&gt;"OK","Matière à corriger",IF(OR(NOT(ISNUMBER(E1185)),N(E1185)&lt;=0),"Quantité invalide",IF(AND(F1185&lt;&gt;"",OR(NOT(ISNUMBER(F1185)),N(F1185)&lt;0,N(F1185)&gt;=1)),"Perte entre 0 et 99 %",IF(COUNTIFS(bom_prod,A1185,bom_mat,B1185)&gt;1,"Matière en double","OK")))))))))</f>
        <v/>
      </c>
      <c r="K1185" s="71" t="str">
        <f>IF(AND(fiche_sel&lt;&gt;"",A1185=fiche_sel),COUNTIF(A$6:A1185,fiche_sel),"")</f>
        <v/>
      </c>
    </row>
    <row r="1186">
      <c r="A1186" s="60" t="n"/>
      <c r="B1186" s="60" t="n"/>
      <c r="C1186" s="71" t="str">
        <f>IF(B1186="","",IFERROR(INDEX(mat_des,MATCH(B1186,mat_ref,0))&amp;"","Matière inconnue"))</f>
        <v/>
      </c>
      <c r="D1186" s="69" t="str">
        <f>IF(B1186="","",IFERROR(INDEX(mat_unit,MATCH(B1186,mat_ref,0))&amp;"",""))</f>
        <v/>
      </c>
      <c r="E1186" s="72" t="n"/>
      <c r="F1186" s="65" t="n"/>
      <c r="G1186" s="68" t="str">
        <f>IF(J1186&lt;&gt;"OK","",IF(F1186="",N(INDEX(mat_loss,MATCH(B1186,mat_ref,0))),F1186))</f>
        <v/>
      </c>
      <c r="H1186" s="66" t="str">
        <f>IF(J1186&lt;&gt;"OK","",INDEX(mat_price,MATCH(B1186,mat_ref,0)))</f>
        <v/>
      </c>
      <c r="I1186" s="66" t="str">
        <f>IF(J1186&lt;&gt;"OK","",E1186*(1+G1186)*H1186)</f>
        <v/>
      </c>
      <c r="J1186" s="69" t="str">
        <f>IF(AND(A1186="",B1186=""),"",IF(A1186="","Produit manquant",IF(COUNTIF(prod_ref,A1186)=0,"Produit inconnu",IF(B1186="","Matière manquante",IF(ISNA(MATCH(B1186,mat_ref,0)),"Matière inconnue",IF(INDEX(mat_check,MATCH(B1186,mat_ref,0))&lt;&gt;"OK","Matière à corriger",IF(OR(NOT(ISNUMBER(E1186)),N(E1186)&lt;=0),"Quantité invalide",IF(AND(F1186&lt;&gt;"",OR(NOT(ISNUMBER(F1186)),N(F1186)&lt;0,N(F1186)&gt;=1)),"Perte entre 0 et 99 %",IF(COUNTIFS(bom_prod,A1186,bom_mat,B1186)&gt;1,"Matière en double","OK")))))))))</f>
        <v/>
      </c>
      <c r="K1186" s="71" t="str">
        <f>IF(AND(fiche_sel&lt;&gt;"",A1186=fiche_sel),COUNTIF(A$6:A1186,fiche_sel),"")</f>
        <v/>
      </c>
    </row>
    <row r="1187">
      <c r="A1187" s="60" t="n"/>
      <c r="B1187" s="60" t="n"/>
      <c r="C1187" s="71" t="str">
        <f>IF(B1187="","",IFERROR(INDEX(mat_des,MATCH(B1187,mat_ref,0))&amp;"","Matière inconnue"))</f>
        <v/>
      </c>
      <c r="D1187" s="69" t="str">
        <f>IF(B1187="","",IFERROR(INDEX(mat_unit,MATCH(B1187,mat_ref,0))&amp;"",""))</f>
        <v/>
      </c>
      <c r="E1187" s="72" t="n"/>
      <c r="F1187" s="65" t="n"/>
      <c r="G1187" s="68" t="str">
        <f>IF(J1187&lt;&gt;"OK","",IF(F1187="",N(INDEX(mat_loss,MATCH(B1187,mat_ref,0))),F1187))</f>
        <v/>
      </c>
      <c r="H1187" s="66" t="str">
        <f>IF(J1187&lt;&gt;"OK","",INDEX(mat_price,MATCH(B1187,mat_ref,0)))</f>
        <v/>
      </c>
      <c r="I1187" s="66" t="str">
        <f>IF(J1187&lt;&gt;"OK","",E1187*(1+G1187)*H1187)</f>
        <v/>
      </c>
      <c r="J1187" s="69" t="str">
        <f>IF(AND(A1187="",B1187=""),"",IF(A1187="","Produit manquant",IF(COUNTIF(prod_ref,A1187)=0,"Produit inconnu",IF(B1187="","Matière manquante",IF(ISNA(MATCH(B1187,mat_ref,0)),"Matière inconnue",IF(INDEX(mat_check,MATCH(B1187,mat_ref,0))&lt;&gt;"OK","Matière à corriger",IF(OR(NOT(ISNUMBER(E1187)),N(E1187)&lt;=0),"Quantité invalide",IF(AND(F1187&lt;&gt;"",OR(NOT(ISNUMBER(F1187)),N(F1187)&lt;0,N(F1187)&gt;=1)),"Perte entre 0 et 99 %",IF(COUNTIFS(bom_prod,A1187,bom_mat,B1187)&gt;1,"Matière en double","OK")))))))))</f>
        <v/>
      </c>
      <c r="K1187" s="71" t="str">
        <f>IF(AND(fiche_sel&lt;&gt;"",A1187=fiche_sel),COUNTIF(A$6:A1187,fiche_sel),"")</f>
        <v/>
      </c>
    </row>
    <row r="1188">
      <c r="A1188" s="60" t="n"/>
      <c r="B1188" s="60" t="n"/>
      <c r="C1188" s="71" t="str">
        <f>IF(B1188="","",IFERROR(INDEX(mat_des,MATCH(B1188,mat_ref,0))&amp;"","Matière inconnue"))</f>
        <v/>
      </c>
      <c r="D1188" s="69" t="str">
        <f>IF(B1188="","",IFERROR(INDEX(mat_unit,MATCH(B1188,mat_ref,0))&amp;"",""))</f>
        <v/>
      </c>
      <c r="E1188" s="72" t="n"/>
      <c r="F1188" s="65" t="n"/>
      <c r="G1188" s="68" t="str">
        <f>IF(J1188&lt;&gt;"OK","",IF(F1188="",N(INDEX(mat_loss,MATCH(B1188,mat_ref,0))),F1188))</f>
        <v/>
      </c>
      <c r="H1188" s="66" t="str">
        <f>IF(J1188&lt;&gt;"OK","",INDEX(mat_price,MATCH(B1188,mat_ref,0)))</f>
        <v/>
      </c>
      <c r="I1188" s="66" t="str">
        <f>IF(J1188&lt;&gt;"OK","",E1188*(1+G1188)*H1188)</f>
        <v/>
      </c>
      <c r="J1188" s="69" t="str">
        <f>IF(AND(A1188="",B1188=""),"",IF(A1188="","Produit manquant",IF(COUNTIF(prod_ref,A1188)=0,"Produit inconnu",IF(B1188="","Matière manquante",IF(ISNA(MATCH(B1188,mat_ref,0)),"Matière inconnue",IF(INDEX(mat_check,MATCH(B1188,mat_ref,0))&lt;&gt;"OK","Matière à corriger",IF(OR(NOT(ISNUMBER(E1188)),N(E1188)&lt;=0),"Quantité invalide",IF(AND(F1188&lt;&gt;"",OR(NOT(ISNUMBER(F1188)),N(F1188)&lt;0,N(F1188)&gt;=1)),"Perte entre 0 et 99 %",IF(COUNTIFS(bom_prod,A1188,bom_mat,B1188)&gt;1,"Matière en double","OK")))))))))</f>
        <v/>
      </c>
      <c r="K1188" s="71" t="str">
        <f>IF(AND(fiche_sel&lt;&gt;"",A1188=fiche_sel),COUNTIF(A$6:A1188,fiche_sel),"")</f>
        <v/>
      </c>
    </row>
    <row r="1189">
      <c r="A1189" s="60" t="n"/>
      <c r="B1189" s="60" t="n"/>
      <c r="C1189" s="71" t="str">
        <f>IF(B1189="","",IFERROR(INDEX(mat_des,MATCH(B1189,mat_ref,0))&amp;"","Matière inconnue"))</f>
        <v/>
      </c>
      <c r="D1189" s="69" t="str">
        <f>IF(B1189="","",IFERROR(INDEX(mat_unit,MATCH(B1189,mat_ref,0))&amp;"",""))</f>
        <v/>
      </c>
      <c r="E1189" s="72" t="n"/>
      <c r="F1189" s="65" t="n"/>
      <c r="G1189" s="68" t="str">
        <f>IF(J1189&lt;&gt;"OK","",IF(F1189="",N(INDEX(mat_loss,MATCH(B1189,mat_ref,0))),F1189))</f>
        <v/>
      </c>
      <c r="H1189" s="66" t="str">
        <f>IF(J1189&lt;&gt;"OK","",INDEX(mat_price,MATCH(B1189,mat_ref,0)))</f>
        <v/>
      </c>
      <c r="I1189" s="66" t="str">
        <f>IF(J1189&lt;&gt;"OK","",E1189*(1+G1189)*H1189)</f>
        <v/>
      </c>
      <c r="J1189" s="69" t="str">
        <f>IF(AND(A1189="",B1189=""),"",IF(A1189="","Produit manquant",IF(COUNTIF(prod_ref,A1189)=0,"Produit inconnu",IF(B1189="","Matière manquante",IF(ISNA(MATCH(B1189,mat_ref,0)),"Matière inconnue",IF(INDEX(mat_check,MATCH(B1189,mat_ref,0))&lt;&gt;"OK","Matière à corriger",IF(OR(NOT(ISNUMBER(E1189)),N(E1189)&lt;=0),"Quantité invalide",IF(AND(F1189&lt;&gt;"",OR(NOT(ISNUMBER(F1189)),N(F1189)&lt;0,N(F1189)&gt;=1)),"Perte entre 0 et 99 %",IF(COUNTIFS(bom_prod,A1189,bom_mat,B1189)&gt;1,"Matière en double","OK")))))))))</f>
        <v/>
      </c>
      <c r="K1189" s="71" t="str">
        <f>IF(AND(fiche_sel&lt;&gt;"",A1189=fiche_sel),COUNTIF(A$6:A1189,fiche_sel),"")</f>
        <v/>
      </c>
    </row>
    <row r="1190">
      <c r="A1190" s="60" t="n"/>
      <c r="B1190" s="60" t="n"/>
      <c r="C1190" s="71" t="str">
        <f>IF(B1190="","",IFERROR(INDEX(mat_des,MATCH(B1190,mat_ref,0))&amp;"","Matière inconnue"))</f>
        <v/>
      </c>
      <c r="D1190" s="69" t="str">
        <f>IF(B1190="","",IFERROR(INDEX(mat_unit,MATCH(B1190,mat_ref,0))&amp;"",""))</f>
        <v/>
      </c>
      <c r="E1190" s="72" t="n"/>
      <c r="F1190" s="65" t="n"/>
      <c r="G1190" s="68" t="str">
        <f>IF(J1190&lt;&gt;"OK","",IF(F1190="",N(INDEX(mat_loss,MATCH(B1190,mat_ref,0))),F1190))</f>
        <v/>
      </c>
      <c r="H1190" s="66" t="str">
        <f>IF(J1190&lt;&gt;"OK","",INDEX(mat_price,MATCH(B1190,mat_ref,0)))</f>
        <v/>
      </c>
      <c r="I1190" s="66" t="str">
        <f>IF(J1190&lt;&gt;"OK","",E1190*(1+G1190)*H1190)</f>
        <v/>
      </c>
      <c r="J1190" s="69" t="str">
        <f>IF(AND(A1190="",B1190=""),"",IF(A1190="","Produit manquant",IF(COUNTIF(prod_ref,A1190)=0,"Produit inconnu",IF(B1190="","Matière manquante",IF(ISNA(MATCH(B1190,mat_ref,0)),"Matière inconnue",IF(INDEX(mat_check,MATCH(B1190,mat_ref,0))&lt;&gt;"OK","Matière à corriger",IF(OR(NOT(ISNUMBER(E1190)),N(E1190)&lt;=0),"Quantité invalide",IF(AND(F1190&lt;&gt;"",OR(NOT(ISNUMBER(F1190)),N(F1190)&lt;0,N(F1190)&gt;=1)),"Perte entre 0 et 99 %",IF(COUNTIFS(bom_prod,A1190,bom_mat,B1190)&gt;1,"Matière en double","OK")))))))))</f>
        <v/>
      </c>
      <c r="K1190" s="71" t="str">
        <f>IF(AND(fiche_sel&lt;&gt;"",A1190=fiche_sel),COUNTIF(A$6:A1190,fiche_sel),"")</f>
        <v/>
      </c>
    </row>
    <row r="1191">
      <c r="A1191" s="60" t="n"/>
      <c r="B1191" s="60" t="n"/>
      <c r="C1191" s="71" t="str">
        <f>IF(B1191="","",IFERROR(INDEX(mat_des,MATCH(B1191,mat_ref,0))&amp;"","Matière inconnue"))</f>
        <v/>
      </c>
      <c r="D1191" s="69" t="str">
        <f>IF(B1191="","",IFERROR(INDEX(mat_unit,MATCH(B1191,mat_ref,0))&amp;"",""))</f>
        <v/>
      </c>
      <c r="E1191" s="72" t="n"/>
      <c r="F1191" s="65" t="n"/>
      <c r="G1191" s="68" t="str">
        <f>IF(J1191&lt;&gt;"OK","",IF(F1191="",N(INDEX(mat_loss,MATCH(B1191,mat_ref,0))),F1191))</f>
        <v/>
      </c>
      <c r="H1191" s="66" t="str">
        <f>IF(J1191&lt;&gt;"OK","",INDEX(mat_price,MATCH(B1191,mat_ref,0)))</f>
        <v/>
      </c>
      <c r="I1191" s="66" t="str">
        <f>IF(J1191&lt;&gt;"OK","",E1191*(1+G1191)*H1191)</f>
        <v/>
      </c>
      <c r="J1191" s="69" t="str">
        <f>IF(AND(A1191="",B1191=""),"",IF(A1191="","Produit manquant",IF(COUNTIF(prod_ref,A1191)=0,"Produit inconnu",IF(B1191="","Matière manquante",IF(ISNA(MATCH(B1191,mat_ref,0)),"Matière inconnue",IF(INDEX(mat_check,MATCH(B1191,mat_ref,0))&lt;&gt;"OK","Matière à corriger",IF(OR(NOT(ISNUMBER(E1191)),N(E1191)&lt;=0),"Quantité invalide",IF(AND(F1191&lt;&gt;"",OR(NOT(ISNUMBER(F1191)),N(F1191)&lt;0,N(F1191)&gt;=1)),"Perte entre 0 et 99 %",IF(COUNTIFS(bom_prod,A1191,bom_mat,B1191)&gt;1,"Matière en double","OK")))))))))</f>
        <v/>
      </c>
      <c r="K1191" s="71" t="str">
        <f>IF(AND(fiche_sel&lt;&gt;"",A1191=fiche_sel),COUNTIF(A$6:A1191,fiche_sel),"")</f>
        <v/>
      </c>
    </row>
    <row r="1192">
      <c r="A1192" s="60" t="n"/>
      <c r="B1192" s="60" t="n"/>
      <c r="C1192" s="71" t="str">
        <f>IF(B1192="","",IFERROR(INDEX(mat_des,MATCH(B1192,mat_ref,0))&amp;"","Matière inconnue"))</f>
        <v/>
      </c>
      <c r="D1192" s="69" t="str">
        <f>IF(B1192="","",IFERROR(INDEX(mat_unit,MATCH(B1192,mat_ref,0))&amp;"",""))</f>
        <v/>
      </c>
      <c r="E1192" s="72" t="n"/>
      <c r="F1192" s="65" t="n"/>
      <c r="G1192" s="68" t="str">
        <f>IF(J1192&lt;&gt;"OK","",IF(F1192="",N(INDEX(mat_loss,MATCH(B1192,mat_ref,0))),F1192))</f>
        <v/>
      </c>
      <c r="H1192" s="66" t="str">
        <f>IF(J1192&lt;&gt;"OK","",INDEX(mat_price,MATCH(B1192,mat_ref,0)))</f>
        <v/>
      </c>
      <c r="I1192" s="66" t="str">
        <f>IF(J1192&lt;&gt;"OK","",E1192*(1+G1192)*H1192)</f>
        <v/>
      </c>
      <c r="J1192" s="69" t="str">
        <f>IF(AND(A1192="",B1192=""),"",IF(A1192="","Produit manquant",IF(COUNTIF(prod_ref,A1192)=0,"Produit inconnu",IF(B1192="","Matière manquante",IF(ISNA(MATCH(B1192,mat_ref,0)),"Matière inconnue",IF(INDEX(mat_check,MATCH(B1192,mat_ref,0))&lt;&gt;"OK","Matière à corriger",IF(OR(NOT(ISNUMBER(E1192)),N(E1192)&lt;=0),"Quantité invalide",IF(AND(F1192&lt;&gt;"",OR(NOT(ISNUMBER(F1192)),N(F1192)&lt;0,N(F1192)&gt;=1)),"Perte entre 0 et 99 %",IF(COUNTIFS(bom_prod,A1192,bom_mat,B1192)&gt;1,"Matière en double","OK")))))))))</f>
        <v/>
      </c>
      <c r="K1192" s="71" t="str">
        <f>IF(AND(fiche_sel&lt;&gt;"",A1192=fiche_sel),COUNTIF(A$6:A1192,fiche_sel),"")</f>
        <v/>
      </c>
    </row>
    <row r="1193">
      <c r="A1193" s="60" t="n"/>
      <c r="B1193" s="60" t="n"/>
      <c r="C1193" s="71" t="str">
        <f>IF(B1193="","",IFERROR(INDEX(mat_des,MATCH(B1193,mat_ref,0))&amp;"","Matière inconnue"))</f>
        <v/>
      </c>
      <c r="D1193" s="69" t="str">
        <f>IF(B1193="","",IFERROR(INDEX(mat_unit,MATCH(B1193,mat_ref,0))&amp;"",""))</f>
        <v/>
      </c>
      <c r="E1193" s="72" t="n"/>
      <c r="F1193" s="65" t="n"/>
      <c r="G1193" s="68" t="str">
        <f>IF(J1193&lt;&gt;"OK","",IF(F1193="",N(INDEX(mat_loss,MATCH(B1193,mat_ref,0))),F1193))</f>
        <v/>
      </c>
      <c r="H1193" s="66" t="str">
        <f>IF(J1193&lt;&gt;"OK","",INDEX(mat_price,MATCH(B1193,mat_ref,0)))</f>
        <v/>
      </c>
      <c r="I1193" s="66" t="str">
        <f>IF(J1193&lt;&gt;"OK","",E1193*(1+G1193)*H1193)</f>
        <v/>
      </c>
      <c r="J1193" s="69" t="str">
        <f>IF(AND(A1193="",B1193=""),"",IF(A1193="","Produit manquant",IF(COUNTIF(prod_ref,A1193)=0,"Produit inconnu",IF(B1193="","Matière manquante",IF(ISNA(MATCH(B1193,mat_ref,0)),"Matière inconnue",IF(INDEX(mat_check,MATCH(B1193,mat_ref,0))&lt;&gt;"OK","Matière à corriger",IF(OR(NOT(ISNUMBER(E1193)),N(E1193)&lt;=0),"Quantité invalide",IF(AND(F1193&lt;&gt;"",OR(NOT(ISNUMBER(F1193)),N(F1193)&lt;0,N(F1193)&gt;=1)),"Perte entre 0 et 99 %",IF(COUNTIFS(bom_prod,A1193,bom_mat,B1193)&gt;1,"Matière en double","OK")))))))))</f>
        <v/>
      </c>
      <c r="K1193" s="71" t="str">
        <f>IF(AND(fiche_sel&lt;&gt;"",A1193=fiche_sel),COUNTIF(A$6:A1193,fiche_sel),"")</f>
        <v/>
      </c>
    </row>
    <row r="1194">
      <c r="A1194" s="60" t="n"/>
      <c r="B1194" s="60" t="n"/>
      <c r="C1194" s="71" t="str">
        <f>IF(B1194="","",IFERROR(INDEX(mat_des,MATCH(B1194,mat_ref,0))&amp;"","Matière inconnue"))</f>
        <v/>
      </c>
      <c r="D1194" s="69" t="str">
        <f>IF(B1194="","",IFERROR(INDEX(mat_unit,MATCH(B1194,mat_ref,0))&amp;"",""))</f>
        <v/>
      </c>
      <c r="E1194" s="72" t="n"/>
      <c r="F1194" s="65" t="n"/>
      <c r="G1194" s="68" t="str">
        <f>IF(J1194&lt;&gt;"OK","",IF(F1194="",N(INDEX(mat_loss,MATCH(B1194,mat_ref,0))),F1194))</f>
        <v/>
      </c>
      <c r="H1194" s="66" t="str">
        <f>IF(J1194&lt;&gt;"OK","",INDEX(mat_price,MATCH(B1194,mat_ref,0)))</f>
        <v/>
      </c>
      <c r="I1194" s="66" t="str">
        <f>IF(J1194&lt;&gt;"OK","",E1194*(1+G1194)*H1194)</f>
        <v/>
      </c>
      <c r="J1194" s="69" t="str">
        <f>IF(AND(A1194="",B1194=""),"",IF(A1194="","Produit manquant",IF(COUNTIF(prod_ref,A1194)=0,"Produit inconnu",IF(B1194="","Matière manquante",IF(ISNA(MATCH(B1194,mat_ref,0)),"Matière inconnue",IF(INDEX(mat_check,MATCH(B1194,mat_ref,0))&lt;&gt;"OK","Matière à corriger",IF(OR(NOT(ISNUMBER(E1194)),N(E1194)&lt;=0),"Quantité invalide",IF(AND(F1194&lt;&gt;"",OR(NOT(ISNUMBER(F1194)),N(F1194)&lt;0,N(F1194)&gt;=1)),"Perte entre 0 et 99 %",IF(COUNTIFS(bom_prod,A1194,bom_mat,B1194)&gt;1,"Matière en double","OK")))))))))</f>
        <v/>
      </c>
      <c r="K1194" s="71" t="str">
        <f>IF(AND(fiche_sel&lt;&gt;"",A1194=fiche_sel),COUNTIF(A$6:A1194,fiche_sel),"")</f>
        <v/>
      </c>
    </row>
    <row r="1195">
      <c r="A1195" s="60" t="n"/>
      <c r="B1195" s="60" t="n"/>
      <c r="C1195" s="71" t="str">
        <f>IF(B1195="","",IFERROR(INDEX(mat_des,MATCH(B1195,mat_ref,0))&amp;"","Matière inconnue"))</f>
        <v/>
      </c>
      <c r="D1195" s="69" t="str">
        <f>IF(B1195="","",IFERROR(INDEX(mat_unit,MATCH(B1195,mat_ref,0))&amp;"",""))</f>
        <v/>
      </c>
      <c r="E1195" s="72" t="n"/>
      <c r="F1195" s="65" t="n"/>
      <c r="G1195" s="68" t="str">
        <f>IF(J1195&lt;&gt;"OK","",IF(F1195="",N(INDEX(mat_loss,MATCH(B1195,mat_ref,0))),F1195))</f>
        <v/>
      </c>
      <c r="H1195" s="66" t="str">
        <f>IF(J1195&lt;&gt;"OK","",INDEX(mat_price,MATCH(B1195,mat_ref,0)))</f>
        <v/>
      </c>
      <c r="I1195" s="66" t="str">
        <f>IF(J1195&lt;&gt;"OK","",E1195*(1+G1195)*H1195)</f>
        <v/>
      </c>
      <c r="J1195" s="69" t="str">
        <f>IF(AND(A1195="",B1195=""),"",IF(A1195="","Produit manquant",IF(COUNTIF(prod_ref,A1195)=0,"Produit inconnu",IF(B1195="","Matière manquante",IF(ISNA(MATCH(B1195,mat_ref,0)),"Matière inconnue",IF(INDEX(mat_check,MATCH(B1195,mat_ref,0))&lt;&gt;"OK","Matière à corriger",IF(OR(NOT(ISNUMBER(E1195)),N(E1195)&lt;=0),"Quantité invalide",IF(AND(F1195&lt;&gt;"",OR(NOT(ISNUMBER(F1195)),N(F1195)&lt;0,N(F1195)&gt;=1)),"Perte entre 0 et 99 %",IF(COUNTIFS(bom_prod,A1195,bom_mat,B1195)&gt;1,"Matière en double","OK")))))))))</f>
        <v/>
      </c>
      <c r="K1195" s="71" t="str">
        <f>IF(AND(fiche_sel&lt;&gt;"",A1195=fiche_sel),COUNTIF(A$6:A1195,fiche_sel),"")</f>
        <v/>
      </c>
    </row>
    <row r="1196">
      <c r="A1196" s="60" t="n"/>
      <c r="B1196" s="60" t="n"/>
      <c r="C1196" s="71" t="str">
        <f>IF(B1196="","",IFERROR(INDEX(mat_des,MATCH(B1196,mat_ref,0))&amp;"","Matière inconnue"))</f>
        <v/>
      </c>
      <c r="D1196" s="69" t="str">
        <f>IF(B1196="","",IFERROR(INDEX(mat_unit,MATCH(B1196,mat_ref,0))&amp;"",""))</f>
        <v/>
      </c>
      <c r="E1196" s="72" t="n"/>
      <c r="F1196" s="65" t="n"/>
      <c r="G1196" s="68" t="str">
        <f>IF(J1196&lt;&gt;"OK","",IF(F1196="",N(INDEX(mat_loss,MATCH(B1196,mat_ref,0))),F1196))</f>
        <v/>
      </c>
      <c r="H1196" s="66" t="str">
        <f>IF(J1196&lt;&gt;"OK","",INDEX(mat_price,MATCH(B1196,mat_ref,0)))</f>
        <v/>
      </c>
      <c r="I1196" s="66" t="str">
        <f>IF(J1196&lt;&gt;"OK","",E1196*(1+G1196)*H1196)</f>
        <v/>
      </c>
      <c r="J1196" s="69" t="str">
        <f>IF(AND(A1196="",B1196=""),"",IF(A1196="","Produit manquant",IF(COUNTIF(prod_ref,A1196)=0,"Produit inconnu",IF(B1196="","Matière manquante",IF(ISNA(MATCH(B1196,mat_ref,0)),"Matière inconnue",IF(INDEX(mat_check,MATCH(B1196,mat_ref,0))&lt;&gt;"OK","Matière à corriger",IF(OR(NOT(ISNUMBER(E1196)),N(E1196)&lt;=0),"Quantité invalide",IF(AND(F1196&lt;&gt;"",OR(NOT(ISNUMBER(F1196)),N(F1196)&lt;0,N(F1196)&gt;=1)),"Perte entre 0 et 99 %",IF(COUNTIFS(bom_prod,A1196,bom_mat,B1196)&gt;1,"Matière en double","OK")))))))))</f>
        <v/>
      </c>
      <c r="K1196" s="71" t="str">
        <f>IF(AND(fiche_sel&lt;&gt;"",A1196=fiche_sel),COUNTIF(A$6:A1196,fiche_sel),"")</f>
        <v/>
      </c>
    </row>
    <row r="1197">
      <c r="A1197" s="60" t="n"/>
      <c r="B1197" s="60" t="n"/>
      <c r="C1197" s="71" t="str">
        <f>IF(B1197="","",IFERROR(INDEX(mat_des,MATCH(B1197,mat_ref,0))&amp;"","Matière inconnue"))</f>
        <v/>
      </c>
      <c r="D1197" s="69" t="str">
        <f>IF(B1197="","",IFERROR(INDEX(mat_unit,MATCH(B1197,mat_ref,0))&amp;"",""))</f>
        <v/>
      </c>
      <c r="E1197" s="72" t="n"/>
      <c r="F1197" s="65" t="n"/>
      <c r="G1197" s="68" t="str">
        <f>IF(J1197&lt;&gt;"OK","",IF(F1197="",N(INDEX(mat_loss,MATCH(B1197,mat_ref,0))),F1197))</f>
        <v/>
      </c>
      <c r="H1197" s="66" t="str">
        <f>IF(J1197&lt;&gt;"OK","",INDEX(mat_price,MATCH(B1197,mat_ref,0)))</f>
        <v/>
      </c>
      <c r="I1197" s="66" t="str">
        <f>IF(J1197&lt;&gt;"OK","",E1197*(1+G1197)*H1197)</f>
        <v/>
      </c>
      <c r="J1197" s="69" t="str">
        <f>IF(AND(A1197="",B1197=""),"",IF(A1197="","Produit manquant",IF(COUNTIF(prod_ref,A1197)=0,"Produit inconnu",IF(B1197="","Matière manquante",IF(ISNA(MATCH(B1197,mat_ref,0)),"Matière inconnue",IF(INDEX(mat_check,MATCH(B1197,mat_ref,0))&lt;&gt;"OK","Matière à corriger",IF(OR(NOT(ISNUMBER(E1197)),N(E1197)&lt;=0),"Quantité invalide",IF(AND(F1197&lt;&gt;"",OR(NOT(ISNUMBER(F1197)),N(F1197)&lt;0,N(F1197)&gt;=1)),"Perte entre 0 et 99 %",IF(COUNTIFS(bom_prod,A1197,bom_mat,B1197)&gt;1,"Matière en double","OK")))))))))</f>
        <v/>
      </c>
      <c r="K1197" s="71" t="str">
        <f>IF(AND(fiche_sel&lt;&gt;"",A1197=fiche_sel),COUNTIF(A$6:A1197,fiche_sel),"")</f>
        <v/>
      </c>
    </row>
    <row r="1198">
      <c r="A1198" s="60" t="n"/>
      <c r="B1198" s="60" t="n"/>
      <c r="C1198" s="71" t="str">
        <f>IF(B1198="","",IFERROR(INDEX(mat_des,MATCH(B1198,mat_ref,0))&amp;"","Matière inconnue"))</f>
        <v/>
      </c>
      <c r="D1198" s="69" t="str">
        <f>IF(B1198="","",IFERROR(INDEX(mat_unit,MATCH(B1198,mat_ref,0))&amp;"",""))</f>
        <v/>
      </c>
      <c r="E1198" s="72" t="n"/>
      <c r="F1198" s="65" t="n"/>
      <c r="G1198" s="68" t="str">
        <f>IF(J1198&lt;&gt;"OK","",IF(F1198="",N(INDEX(mat_loss,MATCH(B1198,mat_ref,0))),F1198))</f>
        <v/>
      </c>
      <c r="H1198" s="66" t="str">
        <f>IF(J1198&lt;&gt;"OK","",INDEX(mat_price,MATCH(B1198,mat_ref,0)))</f>
        <v/>
      </c>
      <c r="I1198" s="66" t="str">
        <f>IF(J1198&lt;&gt;"OK","",E1198*(1+G1198)*H1198)</f>
        <v/>
      </c>
      <c r="J1198" s="69" t="str">
        <f>IF(AND(A1198="",B1198=""),"",IF(A1198="","Produit manquant",IF(COUNTIF(prod_ref,A1198)=0,"Produit inconnu",IF(B1198="","Matière manquante",IF(ISNA(MATCH(B1198,mat_ref,0)),"Matière inconnue",IF(INDEX(mat_check,MATCH(B1198,mat_ref,0))&lt;&gt;"OK","Matière à corriger",IF(OR(NOT(ISNUMBER(E1198)),N(E1198)&lt;=0),"Quantité invalide",IF(AND(F1198&lt;&gt;"",OR(NOT(ISNUMBER(F1198)),N(F1198)&lt;0,N(F1198)&gt;=1)),"Perte entre 0 et 99 %",IF(COUNTIFS(bom_prod,A1198,bom_mat,B1198)&gt;1,"Matière en double","OK")))))))))</f>
        <v/>
      </c>
      <c r="K1198" s="71" t="str">
        <f>IF(AND(fiche_sel&lt;&gt;"",A1198=fiche_sel),COUNTIF(A$6:A1198,fiche_sel),"")</f>
        <v/>
      </c>
    </row>
    <row r="1199">
      <c r="A1199" s="60" t="n"/>
      <c r="B1199" s="60" t="n"/>
      <c r="C1199" s="71" t="str">
        <f>IF(B1199="","",IFERROR(INDEX(mat_des,MATCH(B1199,mat_ref,0))&amp;"","Matière inconnue"))</f>
        <v/>
      </c>
      <c r="D1199" s="69" t="str">
        <f>IF(B1199="","",IFERROR(INDEX(mat_unit,MATCH(B1199,mat_ref,0))&amp;"",""))</f>
        <v/>
      </c>
      <c r="E1199" s="72" t="n"/>
      <c r="F1199" s="65" t="n"/>
      <c r="G1199" s="68" t="str">
        <f>IF(J1199&lt;&gt;"OK","",IF(F1199="",N(INDEX(mat_loss,MATCH(B1199,mat_ref,0))),F1199))</f>
        <v/>
      </c>
      <c r="H1199" s="66" t="str">
        <f>IF(J1199&lt;&gt;"OK","",INDEX(mat_price,MATCH(B1199,mat_ref,0)))</f>
        <v/>
      </c>
      <c r="I1199" s="66" t="str">
        <f>IF(J1199&lt;&gt;"OK","",E1199*(1+G1199)*H1199)</f>
        <v/>
      </c>
      <c r="J1199" s="69" t="str">
        <f>IF(AND(A1199="",B1199=""),"",IF(A1199="","Produit manquant",IF(COUNTIF(prod_ref,A1199)=0,"Produit inconnu",IF(B1199="","Matière manquante",IF(ISNA(MATCH(B1199,mat_ref,0)),"Matière inconnue",IF(INDEX(mat_check,MATCH(B1199,mat_ref,0))&lt;&gt;"OK","Matière à corriger",IF(OR(NOT(ISNUMBER(E1199)),N(E1199)&lt;=0),"Quantité invalide",IF(AND(F1199&lt;&gt;"",OR(NOT(ISNUMBER(F1199)),N(F1199)&lt;0,N(F1199)&gt;=1)),"Perte entre 0 et 99 %",IF(COUNTIFS(bom_prod,A1199,bom_mat,B1199)&gt;1,"Matière en double","OK")))))))))</f>
        <v/>
      </c>
      <c r="K1199" s="71" t="str">
        <f>IF(AND(fiche_sel&lt;&gt;"",A1199=fiche_sel),COUNTIF(A$6:A1199,fiche_sel),"")</f>
        <v/>
      </c>
    </row>
    <row r="1200">
      <c r="A1200" s="60" t="n"/>
      <c r="B1200" s="60" t="n"/>
      <c r="C1200" s="71" t="str">
        <f>IF(B1200="","",IFERROR(INDEX(mat_des,MATCH(B1200,mat_ref,0))&amp;"","Matière inconnue"))</f>
        <v/>
      </c>
      <c r="D1200" s="69" t="str">
        <f>IF(B1200="","",IFERROR(INDEX(mat_unit,MATCH(B1200,mat_ref,0))&amp;"",""))</f>
        <v/>
      </c>
      <c r="E1200" s="72" t="n"/>
      <c r="F1200" s="65" t="n"/>
      <c r="G1200" s="68" t="str">
        <f>IF(J1200&lt;&gt;"OK","",IF(F1200="",N(INDEX(mat_loss,MATCH(B1200,mat_ref,0))),F1200))</f>
        <v/>
      </c>
      <c r="H1200" s="66" t="str">
        <f>IF(J1200&lt;&gt;"OK","",INDEX(mat_price,MATCH(B1200,mat_ref,0)))</f>
        <v/>
      </c>
      <c r="I1200" s="66" t="str">
        <f>IF(J1200&lt;&gt;"OK","",E1200*(1+G1200)*H1200)</f>
        <v/>
      </c>
      <c r="J1200" s="69" t="str">
        <f>IF(AND(A1200="",B1200=""),"",IF(A1200="","Produit manquant",IF(COUNTIF(prod_ref,A1200)=0,"Produit inconnu",IF(B1200="","Matière manquante",IF(ISNA(MATCH(B1200,mat_ref,0)),"Matière inconnue",IF(INDEX(mat_check,MATCH(B1200,mat_ref,0))&lt;&gt;"OK","Matière à corriger",IF(OR(NOT(ISNUMBER(E1200)),N(E1200)&lt;=0),"Quantité invalide",IF(AND(F1200&lt;&gt;"",OR(NOT(ISNUMBER(F1200)),N(F1200)&lt;0,N(F1200)&gt;=1)),"Perte entre 0 et 99 %",IF(COUNTIFS(bom_prod,A1200,bom_mat,B1200)&gt;1,"Matière en double","OK")))))))))</f>
        <v/>
      </c>
      <c r="K1200" s="71" t="str">
        <f>IF(AND(fiche_sel&lt;&gt;"",A1200=fiche_sel),COUNTIF(A$6:A1200,fiche_sel),"")</f>
        <v/>
      </c>
    </row>
    <row r="1201">
      <c r="A1201" s="60" t="n"/>
      <c r="B1201" s="60" t="n"/>
      <c r="C1201" s="71" t="str">
        <f>IF(B1201="","",IFERROR(INDEX(mat_des,MATCH(B1201,mat_ref,0))&amp;"","Matière inconnue"))</f>
        <v/>
      </c>
      <c r="D1201" s="69" t="str">
        <f>IF(B1201="","",IFERROR(INDEX(mat_unit,MATCH(B1201,mat_ref,0))&amp;"",""))</f>
        <v/>
      </c>
      <c r="E1201" s="72" t="n"/>
      <c r="F1201" s="65" t="n"/>
      <c r="G1201" s="68" t="str">
        <f>IF(J1201&lt;&gt;"OK","",IF(F1201="",N(INDEX(mat_loss,MATCH(B1201,mat_ref,0))),F1201))</f>
        <v/>
      </c>
      <c r="H1201" s="66" t="str">
        <f>IF(J1201&lt;&gt;"OK","",INDEX(mat_price,MATCH(B1201,mat_ref,0)))</f>
        <v/>
      </c>
      <c r="I1201" s="66" t="str">
        <f>IF(J1201&lt;&gt;"OK","",E1201*(1+G1201)*H1201)</f>
        <v/>
      </c>
      <c r="J1201" s="69" t="str">
        <f>IF(AND(A1201="",B1201=""),"",IF(A1201="","Produit manquant",IF(COUNTIF(prod_ref,A1201)=0,"Produit inconnu",IF(B1201="","Matière manquante",IF(ISNA(MATCH(B1201,mat_ref,0)),"Matière inconnue",IF(INDEX(mat_check,MATCH(B1201,mat_ref,0))&lt;&gt;"OK","Matière à corriger",IF(OR(NOT(ISNUMBER(E1201)),N(E1201)&lt;=0),"Quantité invalide",IF(AND(F1201&lt;&gt;"",OR(NOT(ISNUMBER(F1201)),N(F1201)&lt;0,N(F1201)&gt;=1)),"Perte entre 0 et 99 %",IF(COUNTIFS(bom_prod,A1201,bom_mat,B1201)&gt;1,"Matière en double","OK")))))))))</f>
        <v/>
      </c>
      <c r="K1201" s="71" t="str">
        <f>IF(AND(fiche_sel&lt;&gt;"",A1201=fiche_sel),COUNTIF(A$6:A1201,fiche_sel),"")</f>
        <v/>
      </c>
    </row>
    <row r="1202">
      <c r="A1202" s="60" t="n"/>
      <c r="B1202" s="60" t="n"/>
      <c r="C1202" s="71" t="str">
        <f>IF(B1202="","",IFERROR(INDEX(mat_des,MATCH(B1202,mat_ref,0))&amp;"","Matière inconnue"))</f>
        <v/>
      </c>
      <c r="D1202" s="69" t="str">
        <f>IF(B1202="","",IFERROR(INDEX(mat_unit,MATCH(B1202,mat_ref,0))&amp;"",""))</f>
        <v/>
      </c>
      <c r="E1202" s="72" t="n"/>
      <c r="F1202" s="65" t="n"/>
      <c r="G1202" s="68" t="str">
        <f>IF(J1202&lt;&gt;"OK","",IF(F1202="",N(INDEX(mat_loss,MATCH(B1202,mat_ref,0))),F1202))</f>
        <v/>
      </c>
      <c r="H1202" s="66" t="str">
        <f>IF(J1202&lt;&gt;"OK","",INDEX(mat_price,MATCH(B1202,mat_ref,0)))</f>
        <v/>
      </c>
      <c r="I1202" s="66" t="str">
        <f>IF(J1202&lt;&gt;"OK","",E1202*(1+G1202)*H1202)</f>
        <v/>
      </c>
      <c r="J1202" s="69" t="str">
        <f>IF(AND(A1202="",B1202=""),"",IF(A1202="","Produit manquant",IF(COUNTIF(prod_ref,A1202)=0,"Produit inconnu",IF(B1202="","Matière manquante",IF(ISNA(MATCH(B1202,mat_ref,0)),"Matière inconnue",IF(INDEX(mat_check,MATCH(B1202,mat_ref,0))&lt;&gt;"OK","Matière à corriger",IF(OR(NOT(ISNUMBER(E1202)),N(E1202)&lt;=0),"Quantité invalide",IF(AND(F1202&lt;&gt;"",OR(NOT(ISNUMBER(F1202)),N(F1202)&lt;0,N(F1202)&gt;=1)),"Perte entre 0 et 99 %",IF(COUNTIFS(bom_prod,A1202,bom_mat,B1202)&gt;1,"Matière en double","OK")))))))))</f>
        <v/>
      </c>
      <c r="K1202" s="71" t="str">
        <f>IF(AND(fiche_sel&lt;&gt;"",A1202=fiche_sel),COUNTIF(A$6:A1202,fiche_sel),"")</f>
        <v/>
      </c>
    </row>
    <row r="1203">
      <c r="A1203" s="60" t="n"/>
      <c r="B1203" s="60" t="n"/>
      <c r="C1203" s="71" t="str">
        <f>IF(B1203="","",IFERROR(INDEX(mat_des,MATCH(B1203,mat_ref,0))&amp;"","Matière inconnue"))</f>
        <v/>
      </c>
      <c r="D1203" s="69" t="str">
        <f>IF(B1203="","",IFERROR(INDEX(mat_unit,MATCH(B1203,mat_ref,0))&amp;"",""))</f>
        <v/>
      </c>
      <c r="E1203" s="72" t="n"/>
      <c r="F1203" s="65" t="n"/>
      <c r="G1203" s="68" t="str">
        <f>IF(J1203&lt;&gt;"OK","",IF(F1203="",N(INDEX(mat_loss,MATCH(B1203,mat_ref,0))),F1203))</f>
        <v/>
      </c>
      <c r="H1203" s="66" t="str">
        <f>IF(J1203&lt;&gt;"OK","",INDEX(mat_price,MATCH(B1203,mat_ref,0)))</f>
        <v/>
      </c>
      <c r="I1203" s="66" t="str">
        <f>IF(J1203&lt;&gt;"OK","",E1203*(1+G1203)*H1203)</f>
        <v/>
      </c>
      <c r="J1203" s="69" t="str">
        <f>IF(AND(A1203="",B1203=""),"",IF(A1203="","Produit manquant",IF(COUNTIF(prod_ref,A1203)=0,"Produit inconnu",IF(B1203="","Matière manquante",IF(ISNA(MATCH(B1203,mat_ref,0)),"Matière inconnue",IF(INDEX(mat_check,MATCH(B1203,mat_ref,0))&lt;&gt;"OK","Matière à corriger",IF(OR(NOT(ISNUMBER(E1203)),N(E1203)&lt;=0),"Quantité invalide",IF(AND(F1203&lt;&gt;"",OR(NOT(ISNUMBER(F1203)),N(F1203)&lt;0,N(F1203)&gt;=1)),"Perte entre 0 et 99 %",IF(COUNTIFS(bom_prod,A1203,bom_mat,B1203)&gt;1,"Matière en double","OK")))))))))</f>
        <v/>
      </c>
      <c r="K1203" s="71" t="str">
        <f>IF(AND(fiche_sel&lt;&gt;"",A1203=fiche_sel),COUNTIF(A$6:A1203,fiche_sel),"")</f>
        <v/>
      </c>
    </row>
    <row r="1204">
      <c r="A1204" s="60" t="n"/>
      <c r="B1204" s="60" t="n"/>
      <c r="C1204" s="71" t="str">
        <f>IF(B1204="","",IFERROR(INDEX(mat_des,MATCH(B1204,mat_ref,0))&amp;"","Matière inconnue"))</f>
        <v/>
      </c>
      <c r="D1204" s="69" t="str">
        <f>IF(B1204="","",IFERROR(INDEX(mat_unit,MATCH(B1204,mat_ref,0))&amp;"",""))</f>
        <v/>
      </c>
      <c r="E1204" s="72" t="n"/>
      <c r="F1204" s="65" t="n"/>
      <c r="G1204" s="68" t="str">
        <f>IF(J1204&lt;&gt;"OK","",IF(F1204="",N(INDEX(mat_loss,MATCH(B1204,mat_ref,0))),F1204))</f>
        <v/>
      </c>
      <c r="H1204" s="66" t="str">
        <f>IF(J1204&lt;&gt;"OK","",INDEX(mat_price,MATCH(B1204,mat_ref,0)))</f>
        <v/>
      </c>
      <c r="I1204" s="66" t="str">
        <f>IF(J1204&lt;&gt;"OK","",E1204*(1+G1204)*H1204)</f>
        <v/>
      </c>
      <c r="J1204" s="69" t="str">
        <f>IF(AND(A1204="",B1204=""),"",IF(A1204="","Produit manquant",IF(COUNTIF(prod_ref,A1204)=0,"Produit inconnu",IF(B1204="","Matière manquante",IF(ISNA(MATCH(B1204,mat_ref,0)),"Matière inconnue",IF(INDEX(mat_check,MATCH(B1204,mat_ref,0))&lt;&gt;"OK","Matière à corriger",IF(OR(NOT(ISNUMBER(E1204)),N(E1204)&lt;=0),"Quantité invalide",IF(AND(F1204&lt;&gt;"",OR(NOT(ISNUMBER(F1204)),N(F1204)&lt;0,N(F1204)&gt;=1)),"Perte entre 0 et 99 %",IF(COUNTIFS(bom_prod,A1204,bom_mat,B1204)&gt;1,"Matière en double","OK")))))))))</f>
        <v/>
      </c>
      <c r="K1204" s="71" t="str">
        <f>IF(AND(fiche_sel&lt;&gt;"",A1204=fiche_sel),COUNTIF(A$6:A1204,fiche_sel),"")</f>
        <v/>
      </c>
    </row>
    <row r="1205">
      <c r="A1205" s="60" t="n"/>
      <c r="B1205" s="60" t="n"/>
      <c r="C1205" s="71" t="str">
        <f>IF(B1205="","",IFERROR(INDEX(mat_des,MATCH(B1205,mat_ref,0))&amp;"","Matière inconnue"))</f>
        <v/>
      </c>
      <c r="D1205" s="69" t="str">
        <f>IF(B1205="","",IFERROR(INDEX(mat_unit,MATCH(B1205,mat_ref,0))&amp;"",""))</f>
        <v/>
      </c>
      <c r="E1205" s="72" t="n"/>
      <c r="F1205" s="65" t="n"/>
      <c r="G1205" s="68" t="str">
        <f>IF(J1205&lt;&gt;"OK","",IF(F1205="",N(INDEX(mat_loss,MATCH(B1205,mat_ref,0))),F1205))</f>
        <v/>
      </c>
      <c r="H1205" s="66" t="str">
        <f>IF(J1205&lt;&gt;"OK","",INDEX(mat_price,MATCH(B1205,mat_ref,0)))</f>
        <v/>
      </c>
      <c r="I1205" s="66" t="str">
        <f>IF(J1205&lt;&gt;"OK","",E1205*(1+G1205)*H1205)</f>
        <v/>
      </c>
      <c r="J1205" s="69" t="str">
        <f>IF(AND(A1205="",B1205=""),"",IF(A1205="","Produit manquant",IF(COUNTIF(prod_ref,A1205)=0,"Produit inconnu",IF(B1205="","Matière manquante",IF(ISNA(MATCH(B1205,mat_ref,0)),"Matière inconnue",IF(INDEX(mat_check,MATCH(B1205,mat_ref,0))&lt;&gt;"OK","Matière à corriger",IF(OR(NOT(ISNUMBER(E1205)),N(E1205)&lt;=0),"Quantité invalide",IF(AND(F1205&lt;&gt;"",OR(NOT(ISNUMBER(F1205)),N(F1205)&lt;0,N(F1205)&gt;=1)),"Perte entre 0 et 99 %",IF(COUNTIFS(bom_prod,A1205,bom_mat,B1205)&gt;1,"Matière en double","OK")))))))))</f>
        <v/>
      </c>
      <c r="K1205" s="71" t="str">
        <f>IF(AND(fiche_sel&lt;&gt;"",A1205=fiche_sel),COUNTIF(A$6:A1205,fiche_sel),"")</f>
        <v/>
      </c>
    </row>
    <row r="1206">
      <c r="A1206" s="60" t="n"/>
      <c r="B1206" s="60" t="n"/>
      <c r="C1206" s="71" t="str">
        <f>IF(B1206="","",IFERROR(INDEX(mat_des,MATCH(B1206,mat_ref,0))&amp;"","Matière inconnue"))</f>
        <v/>
      </c>
      <c r="D1206" s="69" t="str">
        <f>IF(B1206="","",IFERROR(INDEX(mat_unit,MATCH(B1206,mat_ref,0))&amp;"",""))</f>
        <v/>
      </c>
      <c r="E1206" s="72" t="n"/>
      <c r="F1206" s="65" t="n"/>
      <c r="G1206" s="68" t="str">
        <f>IF(J1206&lt;&gt;"OK","",IF(F1206="",N(INDEX(mat_loss,MATCH(B1206,mat_ref,0))),F1206))</f>
        <v/>
      </c>
      <c r="H1206" s="66" t="str">
        <f>IF(J1206&lt;&gt;"OK","",INDEX(mat_price,MATCH(B1206,mat_ref,0)))</f>
        <v/>
      </c>
      <c r="I1206" s="66" t="str">
        <f>IF(J1206&lt;&gt;"OK","",E1206*(1+G1206)*H1206)</f>
        <v/>
      </c>
      <c r="J1206" s="69" t="str">
        <f>IF(AND(A1206="",B1206=""),"",IF(A1206="","Produit manquant",IF(COUNTIF(prod_ref,A1206)=0,"Produit inconnu",IF(B1206="","Matière manquante",IF(ISNA(MATCH(B1206,mat_ref,0)),"Matière inconnue",IF(INDEX(mat_check,MATCH(B1206,mat_ref,0))&lt;&gt;"OK","Matière à corriger",IF(OR(NOT(ISNUMBER(E1206)),N(E1206)&lt;=0),"Quantité invalide",IF(AND(F1206&lt;&gt;"",OR(NOT(ISNUMBER(F1206)),N(F1206)&lt;0,N(F1206)&gt;=1)),"Perte entre 0 et 99 %",IF(COUNTIFS(bom_prod,A1206,bom_mat,B1206)&gt;1,"Matière en double","OK")))))))))</f>
        <v/>
      </c>
      <c r="K1206" s="71" t="str">
        <f>IF(AND(fiche_sel&lt;&gt;"",A1206=fiche_sel),COUNTIF(A$6:A1206,fiche_sel),"")</f>
        <v/>
      </c>
    </row>
    <row r="1207">
      <c r="A1207" s="60" t="n"/>
      <c r="B1207" s="60" t="n"/>
      <c r="C1207" s="71" t="str">
        <f>IF(B1207="","",IFERROR(INDEX(mat_des,MATCH(B1207,mat_ref,0))&amp;"","Matière inconnue"))</f>
        <v/>
      </c>
      <c r="D1207" s="69" t="str">
        <f>IF(B1207="","",IFERROR(INDEX(mat_unit,MATCH(B1207,mat_ref,0))&amp;"",""))</f>
        <v/>
      </c>
      <c r="E1207" s="72" t="n"/>
      <c r="F1207" s="65" t="n"/>
      <c r="G1207" s="68" t="str">
        <f>IF(J1207&lt;&gt;"OK","",IF(F1207="",N(INDEX(mat_loss,MATCH(B1207,mat_ref,0))),F1207))</f>
        <v/>
      </c>
      <c r="H1207" s="66" t="str">
        <f>IF(J1207&lt;&gt;"OK","",INDEX(mat_price,MATCH(B1207,mat_ref,0)))</f>
        <v/>
      </c>
      <c r="I1207" s="66" t="str">
        <f>IF(J1207&lt;&gt;"OK","",E1207*(1+G1207)*H1207)</f>
        <v/>
      </c>
      <c r="J1207" s="69" t="str">
        <f>IF(AND(A1207="",B1207=""),"",IF(A1207="","Produit manquant",IF(COUNTIF(prod_ref,A1207)=0,"Produit inconnu",IF(B1207="","Matière manquante",IF(ISNA(MATCH(B1207,mat_ref,0)),"Matière inconnue",IF(INDEX(mat_check,MATCH(B1207,mat_ref,0))&lt;&gt;"OK","Matière à corriger",IF(OR(NOT(ISNUMBER(E1207)),N(E1207)&lt;=0),"Quantité invalide",IF(AND(F1207&lt;&gt;"",OR(NOT(ISNUMBER(F1207)),N(F1207)&lt;0,N(F1207)&gt;=1)),"Perte entre 0 et 99 %",IF(COUNTIFS(bom_prod,A1207,bom_mat,B1207)&gt;1,"Matière en double","OK")))))))))</f>
        <v/>
      </c>
      <c r="K1207" s="71" t="str">
        <f>IF(AND(fiche_sel&lt;&gt;"",A1207=fiche_sel),COUNTIF(A$6:A1207,fiche_sel),"")</f>
        <v/>
      </c>
    </row>
    <row r="1208">
      <c r="A1208" s="60" t="n"/>
      <c r="B1208" s="60" t="n"/>
      <c r="C1208" s="71" t="str">
        <f>IF(B1208="","",IFERROR(INDEX(mat_des,MATCH(B1208,mat_ref,0))&amp;"","Matière inconnue"))</f>
        <v/>
      </c>
      <c r="D1208" s="69" t="str">
        <f>IF(B1208="","",IFERROR(INDEX(mat_unit,MATCH(B1208,mat_ref,0))&amp;"",""))</f>
        <v/>
      </c>
      <c r="E1208" s="72" t="n"/>
      <c r="F1208" s="65" t="n"/>
      <c r="G1208" s="68" t="str">
        <f>IF(J1208&lt;&gt;"OK","",IF(F1208="",N(INDEX(mat_loss,MATCH(B1208,mat_ref,0))),F1208))</f>
        <v/>
      </c>
      <c r="H1208" s="66" t="str">
        <f>IF(J1208&lt;&gt;"OK","",INDEX(mat_price,MATCH(B1208,mat_ref,0)))</f>
        <v/>
      </c>
      <c r="I1208" s="66" t="str">
        <f>IF(J1208&lt;&gt;"OK","",E1208*(1+G1208)*H1208)</f>
        <v/>
      </c>
      <c r="J1208" s="69" t="str">
        <f>IF(AND(A1208="",B1208=""),"",IF(A1208="","Produit manquant",IF(COUNTIF(prod_ref,A1208)=0,"Produit inconnu",IF(B1208="","Matière manquante",IF(ISNA(MATCH(B1208,mat_ref,0)),"Matière inconnue",IF(INDEX(mat_check,MATCH(B1208,mat_ref,0))&lt;&gt;"OK","Matière à corriger",IF(OR(NOT(ISNUMBER(E1208)),N(E1208)&lt;=0),"Quantité invalide",IF(AND(F1208&lt;&gt;"",OR(NOT(ISNUMBER(F1208)),N(F1208)&lt;0,N(F1208)&gt;=1)),"Perte entre 0 et 99 %",IF(COUNTIFS(bom_prod,A1208,bom_mat,B1208)&gt;1,"Matière en double","OK")))))))))</f>
        <v/>
      </c>
      <c r="K1208" s="71" t="str">
        <f>IF(AND(fiche_sel&lt;&gt;"",A1208=fiche_sel),COUNTIF(A$6:A1208,fiche_sel),"")</f>
        <v/>
      </c>
    </row>
    <row r="1209">
      <c r="A1209" s="60" t="n"/>
      <c r="B1209" s="60" t="n"/>
      <c r="C1209" s="71" t="str">
        <f>IF(B1209="","",IFERROR(INDEX(mat_des,MATCH(B1209,mat_ref,0))&amp;"","Matière inconnue"))</f>
        <v/>
      </c>
      <c r="D1209" s="69" t="str">
        <f>IF(B1209="","",IFERROR(INDEX(mat_unit,MATCH(B1209,mat_ref,0))&amp;"",""))</f>
        <v/>
      </c>
      <c r="E1209" s="72" t="n"/>
      <c r="F1209" s="65" t="n"/>
      <c r="G1209" s="68" t="str">
        <f>IF(J1209&lt;&gt;"OK","",IF(F1209="",N(INDEX(mat_loss,MATCH(B1209,mat_ref,0))),F1209))</f>
        <v/>
      </c>
      <c r="H1209" s="66" t="str">
        <f>IF(J1209&lt;&gt;"OK","",INDEX(mat_price,MATCH(B1209,mat_ref,0)))</f>
        <v/>
      </c>
      <c r="I1209" s="66" t="str">
        <f>IF(J1209&lt;&gt;"OK","",E1209*(1+G1209)*H1209)</f>
        <v/>
      </c>
      <c r="J1209" s="69" t="str">
        <f>IF(AND(A1209="",B1209=""),"",IF(A1209="","Produit manquant",IF(COUNTIF(prod_ref,A1209)=0,"Produit inconnu",IF(B1209="","Matière manquante",IF(ISNA(MATCH(B1209,mat_ref,0)),"Matière inconnue",IF(INDEX(mat_check,MATCH(B1209,mat_ref,0))&lt;&gt;"OK","Matière à corriger",IF(OR(NOT(ISNUMBER(E1209)),N(E1209)&lt;=0),"Quantité invalide",IF(AND(F1209&lt;&gt;"",OR(NOT(ISNUMBER(F1209)),N(F1209)&lt;0,N(F1209)&gt;=1)),"Perte entre 0 et 99 %",IF(COUNTIFS(bom_prod,A1209,bom_mat,B1209)&gt;1,"Matière en double","OK")))))))))</f>
        <v/>
      </c>
      <c r="K1209" s="71" t="str">
        <f>IF(AND(fiche_sel&lt;&gt;"",A1209=fiche_sel),COUNTIF(A$6:A1209,fiche_sel),"")</f>
        <v/>
      </c>
    </row>
    <row r="1210">
      <c r="A1210" s="60" t="n"/>
      <c r="B1210" s="60" t="n"/>
      <c r="C1210" s="71" t="str">
        <f>IF(B1210="","",IFERROR(INDEX(mat_des,MATCH(B1210,mat_ref,0))&amp;"","Matière inconnue"))</f>
        <v/>
      </c>
      <c r="D1210" s="69" t="str">
        <f>IF(B1210="","",IFERROR(INDEX(mat_unit,MATCH(B1210,mat_ref,0))&amp;"",""))</f>
        <v/>
      </c>
      <c r="E1210" s="72" t="n"/>
      <c r="F1210" s="65" t="n"/>
      <c r="G1210" s="68" t="str">
        <f>IF(J1210&lt;&gt;"OK","",IF(F1210="",N(INDEX(mat_loss,MATCH(B1210,mat_ref,0))),F1210))</f>
        <v/>
      </c>
      <c r="H1210" s="66" t="str">
        <f>IF(J1210&lt;&gt;"OK","",INDEX(mat_price,MATCH(B1210,mat_ref,0)))</f>
        <v/>
      </c>
      <c r="I1210" s="66" t="str">
        <f>IF(J1210&lt;&gt;"OK","",E1210*(1+G1210)*H1210)</f>
        <v/>
      </c>
      <c r="J1210" s="69" t="str">
        <f>IF(AND(A1210="",B1210=""),"",IF(A1210="","Produit manquant",IF(COUNTIF(prod_ref,A1210)=0,"Produit inconnu",IF(B1210="","Matière manquante",IF(ISNA(MATCH(B1210,mat_ref,0)),"Matière inconnue",IF(INDEX(mat_check,MATCH(B1210,mat_ref,0))&lt;&gt;"OK","Matière à corriger",IF(OR(NOT(ISNUMBER(E1210)),N(E1210)&lt;=0),"Quantité invalide",IF(AND(F1210&lt;&gt;"",OR(NOT(ISNUMBER(F1210)),N(F1210)&lt;0,N(F1210)&gt;=1)),"Perte entre 0 et 99 %",IF(COUNTIFS(bom_prod,A1210,bom_mat,B1210)&gt;1,"Matière en double","OK")))))))))</f>
        <v/>
      </c>
      <c r="K1210" s="71" t="str">
        <f>IF(AND(fiche_sel&lt;&gt;"",A1210=fiche_sel),COUNTIF(A$6:A1210,fiche_sel),"")</f>
        <v/>
      </c>
    </row>
    <row r="1211">
      <c r="A1211" s="60" t="n"/>
      <c r="B1211" s="60" t="n"/>
      <c r="C1211" s="71" t="str">
        <f>IF(B1211="","",IFERROR(INDEX(mat_des,MATCH(B1211,mat_ref,0))&amp;"","Matière inconnue"))</f>
        <v/>
      </c>
      <c r="D1211" s="69" t="str">
        <f>IF(B1211="","",IFERROR(INDEX(mat_unit,MATCH(B1211,mat_ref,0))&amp;"",""))</f>
        <v/>
      </c>
      <c r="E1211" s="72" t="n"/>
      <c r="F1211" s="65" t="n"/>
      <c r="G1211" s="68" t="str">
        <f>IF(J1211&lt;&gt;"OK","",IF(F1211="",N(INDEX(mat_loss,MATCH(B1211,mat_ref,0))),F1211))</f>
        <v/>
      </c>
      <c r="H1211" s="66" t="str">
        <f>IF(J1211&lt;&gt;"OK","",INDEX(mat_price,MATCH(B1211,mat_ref,0)))</f>
        <v/>
      </c>
      <c r="I1211" s="66" t="str">
        <f>IF(J1211&lt;&gt;"OK","",E1211*(1+G1211)*H1211)</f>
        <v/>
      </c>
      <c r="J1211" s="69" t="str">
        <f>IF(AND(A1211="",B1211=""),"",IF(A1211="","Produit manquant",IF(COUNTIF(prod_ref,A1211)=0,"Produit inconnu",IF(B1211="","Matière manquante",IF(ISNA(MATCH(B1211,mat_ref,0)),"Matière inconnue",IF(INDEX(mat_check,MATCH(B1211,mat_ref,0))&lt;&gt;"OK","Matière à corriger",IF(OR(NOT(ISNUMBER(E1211)),N(E1211)&lt;=0),"Quantité invalide",IF(AND(F1211&lt;&gt;"",OR(NOT(ISNUMBER(F1211)),N(F1211)&lt;0,N(F1211)&gt;=1)),"Perte entre 0 et 99 %",IF(COUNTIFS(bom_prod,A1211,bom_mat,B1211)&gt;1,"Matière en double","OK")))))))))</f>
        <v/>
      </c>
      <c r="K1211" s="71" t="str">
        <f>IF(AND(fiche_sel&lt;&gt;"",A1211=fiche_sel),COUNTIF(A$6:A1211,fiche_sel),"")</f>
        <v/>
      </c>
    </row>
    <row r="1212">
      <c r="A1212" s="60" t="n"/>
      <c r="B1212" s="60" t="n"/>
      <c r="C1212" s="71" t="str">
        <f>IF(B1212="","",IFERROR(INDEX(mat_des,MATCH(B1212,mat_ref,0))&amp;"","Matière inconnue"))</f>
        <v/>
      </c>
      <c r="D1212" s="69" t="str">
        <f>IF(B1212="","",IFERROR(INDEX(mat_unit,MATCH(B1212,mat_ref,0))&amp;"",""))</f>
        <v/>
      </c>
      <c r="E1212" s="72" t="n"/>
      <c r="F1212" s="65" t="n"/>
      <c r="G1212" s="68" t="str">
        <f>IF(J1212&lt;&gt;"OK","",IF(F1212="",N(INDEX(mat_loss,MATCH(B1212,mat_ref,0))),F1212))</f>
        <v/>
      </c>
      <c r="H1212" s="66" t="str">
        <f>IF(J1212&lt;&gt;"OK","",INDEX(mat_price,MATCH(B1212,mat_ref,0)))</f>
        <v/>
      </c>
      <c r="I1212" s="66" t="str">
        <f>IF(J1212&lt;&gt;"OK","",E1212*(1+G1212)*H1212)</f>
        <v/>
      </c>
      <c r="J1212" s="69" t="str">
        <f>IF(AND(A1212="",B1212=""),"",IF(A1212="","Produit manquant",IF(COUNTIF(prod_ref,A1212)=0,"Produit inconnu",IF(B1212="","Matière manquante",IF(ISNA(MATCH(B1212,mat_ref,0)),"Matière inconnue",IF(INDEX(mat_check,MATCH(B1212,mat_ref,0))&lt;&gt;"OK","Matière à corriger",IF(OR(NOT(ISNUMBER(E1212)),N(E1212)&lt;=0),"Quantité invalide",IF(AND(F1212&lt;&gt;"",OR(NOT(ISNUMBER(F1212)),N(F1212)&lt;0,N(F1212)&gt;=1)),"Perte entre 0 et 99 %",IF(COUNTIFS(bom_prod,A1212,bom_mat,B1212)&gt;1,"Matière en double","OK")))))))))</f>
        <v/>
      </c>
      <c r="K1212" s="71" t="str">
        <f>IF(AND(fiche_sel&lt;&gt;"",A1212=fiche_sel),COUNTIF(A$6:A1212,fiche_sel),"")</f>
        <v/>
      </c>
    </row>
    <row r="1213">
      <c r="A1213" s="60" t="n"/>
      <c r="B1213" s="60" t="n"/>
      <c r="C1213" s="71" t="str">
        <f>IF(B1213="","",IFERROR(INDEX(mat_des,MATCH(B1213,mat_ref,0))&amp;"","Matière inconnue"))</f>
        <v/>
      </c>
      <c r="D1213" s="69" t="str">
        <f>IF(B1213="","",IFERROR(INDEX(mat_unit,MATCH(B1213,mat_ref,0))&amp;"",""))</f>
        <v/>
      </c>
      <c r="E1213" s="72" t="n"/>
      <c r="F1213" s="65" t="n"/>
      <c r="G1213" s="68" t="str">
        <f>IF(J1213&lt;&gt;"OK","",IF(F1213="",N(INDEX(mat_loss,MATCH(B1213,mat_ref,0))),F1213))</f>
        <v/>
      </c>
      <c r="H1213" s="66" t="str">
        <f>IF(J1213&lt;&gt;"OK","",INDEX(mat_price,MATCH(B1213,mat_ref,0)))</f>
        <v/>
      </c>
      <c r="I1213" s="66" t="str">
        <f>IF(J1213&lt;&gt;"OK","",E1213*(1+G1213)*H1213)</f>
        <v/>
      </c>
      <c r="J1213" s="69" t="str">
        <f>IF(AND(A1213="",B1213=""),"",IF(A1213="","Produit manquant",IF(COUNTIF(prod_ref,A1213)=0,"Produit inconnu",IF(B1213="","Matière manquante",IF(ISNA(MATCH(B1213,mat_ref,0)),"Matière inconnue",IF(INDEX(mat_check,MATCH(B1213,mat_ref,0))&lt;&gt;"OK","Matière à corriger",IF(OR(NOT(ISNUMBER(E1213)),N(E1213)&lt;=0),"Quantité invalide",IF(AND(F1213&lt;&gt;"",OR(NOT(ISNUMBER(F1213)),N(F1213)&lt;0,N(F1213)&gt;=1)),"Perte entre 0 et 99 %",IF(COUNTIFS(bom_prod,A1213,bom_mat,B1213)&gt;1,"Matière en double","OK")))))))))</f>
        <v/>
      </c>
      <c r="K1213" s="71" t="str">
        <f>IF(AND(fiche_sel&lt;&gt;"",A1213=fiche_sel),COUNTIF(A$6:A1213,fiche_sel),"")</f>
        <v/>
      </c>
    </row>
    <row r="1214">
      <c r="A1214" s="60" t="n"/>
      <c r="B1214" s="60" t="n"/>
      <c r="C1214" s="71" t="str">
        <f>IF(B1214="","",IFERROR(INDEX(mat_des,MATCH(B1214,mat_ref,0))&amp;"","Matière inconnue"))</f>
        <v/>
      </c>
      <c r="D1214" s="69" t="str">
        <f>IF(B1214="","",IFERROR(INDEX(mat_unit,MATCH(B1214,mat_ref,0))&amp;"",""))</f>
        <v/>
      </c>
      <c r="E1214" s="72" t="n"/>
      <c r="F1214" s="65" t="n"/>
      <c r="G1214" s="68" t="str">
        <f>IF(J1214&lt;&gt;"OK","",IF(F1214="",N(INDEX(mat_loss,MATCH(B1214,mat_ref,0))),F1214))</f>
        <v/>
      </c>
      <c r="H1214" s="66" t="str">
        <f>IF(J1214&lt;&gt;"OK","",INDEX(mat_price,MATCH(B1214,mat_ref,0)))</f>
        <v/>
      </c>
      <c r="I1214" s="66" t="str">
        <f>IF(J1214&lt;&gt;"OK","",E1214*(1+G1214)*H1214)</f>
        <v/>
      </c>
      <c r="J1214" s="69" t="str">
        <f>IF(AND(A1214="",B1214=""),"",IF(A1214="","Produit manquant",IF(COUNTIF(prod_ref,A1214)=0,"Produit inconnu",IF(B1214="","Matière manquante",IF(ISNA(MATCH(B1214,mat_ref,0)),"Matière inconnue",IF(INDEX(mat_check,MATCH(B1214,mat_ref,0))&lt;&gt;"OK","Matière à corriger",IF(OR(NOT(ISNUMBER(E1214)),N(E1214)&lt;=0),"Quantité invalide",IF(AND(F1214&lt;&gt;"",OR(NOT(ISNUMBER(F1214)),N(F1214)&lt;0,N(F1214)&gt;=1)),"Perte entre 0 et 99 %",IF(COUNTIFS(bom_prod,A1214,bom_mat,B1214)&gt;1,"Matière en double","OK")))))))))</f>
        <v/>
      </c>
      <c r="K1214" s="71" t="str">
        <f>IF(AND(fiche_sel&lt;&gt;"",A1214=fiche_sel),COUNTIF(A$6:A1214,fiche_sel),"")</f>
        <v/>
      </c>
    </row>
    <row r="1215">
      <c r="A1215" s="60" t="n"/>
      <c r="B1215" s="60" t="n"/>
      <c r="C1215" s="71" t="str">
        <f>IF(B1215="","",IFERROR(INDEX(mat_des,MATCH(B1215,mat_ref,0))&amp;"","Matière inconnue"))</f>
        <v/>
      </c>
      <c r="D1215" s="69" t="str">
        <f>IF(B1215="","",IFERROR(INDEX(mat_unit,MATCH(B1215,mat_ref,0))&amp;"",""))</f>
        <v/>
      </c>
      <c r="E1215" s="72" t="n"/>
      <c r="F1215" s="65" t="n"/>
      <c r="G1215" s="68" t="str">
        <f>IF(J1215&lt;&gt;"OK","",IF(F1215="",N(INDEX(mat_loss,MATCH(B1215,mat_ref,0))),F1215))</f>
        <v/>
      </c>
      <c r="H1215" s="66" t="str">
        <f>IF(J1215&lt;&gt;"OK","",INDEX(mat_price,MATCH(B1215,mat_ref,0)))</f>
        <v/>
      </c>
      <c r="I1215" s="66" t="str">
        <f>IF(J1215&lt;&gt;"OK","",E1215*(1+G1215)*H1215)</f>
        <v/>
      </c>
      <c r="J1215" s="69" t="str">
        <f>IF(AND(A1215="",B1215=""),"",IF(A1215="","Produit manquant",IF(COUNTIF(prod_ref,A1215)=0,"Produit inconnu",IF(B1215="","Matière manquante",IF(ISNA(MATCH(B1215,mat_ref,0)),"Matière inconnue",IF(INDEX(mat_check,MATCH(B1215,mat_ref,0))&lt;&gt;"OK","Matière à corriger",IF(OR(NOT(ISNUMBER(E1215)),N(E1215)&lt;=0),"Quantité invalide",IF(AND(F1215&lt;&gt;"",OR(NOT(ISNUMBER(F1215)),N(F1215)&lt;0,N(F1215)&gt;=1)),"Perte entre 0 et 99 %",IF(COUNTIFS(bom_prod,A1215,bom_mat,B1215)&gt;1,"Matière en double","OK")))))))))</f>
        <v/>
      </c>
      <c r="K1215" s="71" t="str">
        <f>IF(AND(fiche_sel&lt;&gt;"",A1215=fiche_sel),COUNTIF(A$6:A1215,fiche_sel),"")</f>
        <v/>
      </c>
    </row>
    <row r="1216">
      <c r="A1216" s="60" t="n"/>
      <c r="B1216" s="60" t="n"/>
      <c r="C1216" s="71" t="str">
        <f>IF(B1216="","",IFERROR(INDEX(mat_des,MATCH(B1216,mat_ref,0))&amp;"","Matière inconnue"))</f>
        <v/>
      </c>
      <c r="D1216" s="69" t="str">
        <f>IF(B1216="","",IFERROR(INDEX(mat_unit,MATCH(B1216,mat_ref,0))&amp;"",""))</f>
        <v/>
      </c>
      <c r="E1216" s="72" t="n"/>
      <c r="F1216" s="65" t="n"/>
      <c r="G1216" s="68" t="str">
        <f>IF(J1216&lt;&gt;"OK","",IF(F1216="",N(INDEX(mat_loss,MATCH(B1216,mat_ref,0))),F1216))</f>
        <v/>
      </c>
      <c r="H1216" s="66" t="str">
        <f>IF(J1216&lt;&gt;"OK","",INDEX(mat_price,MATCH(B1216,mat_ref,0)))</f>
        <v/>
      </c>
      <c r="I1216" s="66" t="str">
        <f>IF(J1216&lt;&gt;"OK","",E1216*(1+G1216)*H1216)</f>
        <v/>
      </c>
      <c r="J1216" s="69" t="str">
        <f>IF(AND(A1216="",B1216=""),"",IF(A1216="","Produit manquant",IF(COUNTIF(prod_ref,A1216)=0,"Produit inconnu",IF(B1216="","Matière manquante",IF(ISNA(MATCH(B1216,mat_ref,0)),"Matière inconnue",IF(INDEX(mat_check,MATCH(B1216,mat_ref,0))&lt;&gt;"OK","Matière à corriger",IF(OR(NOT(ISNUMBER(E1216)),N(E1216)&lt;=0),"Quantité invalide",IF(AND(F1216&lt;&gt;"",OR(NOT(ISNUMBER(F1216)),N(F1216)&lt;0,N(F1216)&gt;=1)),"Perte entre 0 et 99 %",IF(COUNTIFS(bom_prod,A1216,bom_mat,B1216)&gt;1,"Matière en double","OK")))))))))</f>
        <v/>
      </c>
      <c r="K1216" s="71" t="str">
        <f>IF(AND(fiche_sel&lt;&gt;"",A1216=fiche_sel),COUNTIF(A$6:A1216,fiche_sel),"")</f>
        <v/>
      </c>
    </row>
    <row r="1217">
      <c r="A1217" s="60" t="n"/>
      <c r="B1217" s="60" t="n"/>
      <c r="C1217" s="71" t="str">
        <f>IF(B1217="","",IFERROR(INDEX(mat_des,MATCH(B1217,mat_ref,0))&amp;"","Matière inconnue"))</f>
        <v/>
      </c>
      <c r="D1217" s="69" t="str">
        <f>IF(B1217="","",IFERROR(INDEX(mat_unit,MATCH(B1217,mat_ref,0))&amp;"",""))</f>
        <v/>
      </c>
      <c r="E1217" s="72" t="n"/>
      <c r="F1217" s="65" t="n"/>
      <c r="G1217" s="68" t="str">
        <f>IF(J1217&lt;&gt;"OK","",IF(F1217="",N(INDEX(mat_loss,MATCH(B1217,mat_ref,0))),F1217))</f>
        <v/>
      </c>
      <c r="H1217" s="66" t="str">
        <f>IF(J1217&lt;&gt;"OK","",INDEX(mat_price,MATCH(B1217,mat_ref,0)))</f>
        <v/>
      </c>
      <c r="I1217" s="66" t="str">
        <f>IF(J1217&lt;&gt;"OK","",E1217*(1+G1217)*H1217)</f>
        <v/>
      </c>
      <c r="J1217" s="69" t="str">
        <f>IF(AND(A1217="",B1217=""),"",IF(A1217="","Produit manquant",IF(COUNTIF(prod_ref,A1217)=0,"Produit inconnu",IF(B1217="","Matière manquante",IF(ISNA(MATCH(B1217,mat_ref,0)),"Matière inconnue",IF(INDEX(mat_check,MATCH(B1217,mat_ref,0))&lt;&gt;"OK","Matière à corriger",IF(OR(NOT(ISNUMBER(E1217)),N(E1217)&lt;=0),"Quantité invalide",IF(AND(F1217&lt;&gt;"",OR(NOT(ISNUMBER(F1217)),N(F1217)&lt;0,N(F1217)&gt;=1)),"Perte entre 0 et 99 %",IF(COUNTIFS(bom_prod,A1217,bom_mat,B1217)&gt;1,"Matière en double","OK")))))))))</f>
        <v/>
      </c>
      <c r="K1217" s="71" t="str">
        <f>IF(AND(fiche_sel&lt;&gt;"",A1217=fiche_sel),COUNTIF(A$6:A1217,fiche_sel),"")</f>
        <v/>
      </c>
    </row>
    <row r="1218">
      <c r="A1218" s="60" t="n"/>
      <c r="B1218" s="60" t="n"/>
      <c r="C1218" s="71" t="str">
        <f>IF(B1218="","",IFERROR(INDEX(mat_des,MATCH(B1218,mat_ref,0))&amp;"","Matière inconnue"))</f>
        <v/>
      </c>
      <c r="D1218" s="69" t="str">
        <f>IF(B1218="","",IFERROR(INDEX(mat_unit,MATCH(B1218,mat_ref,0))&amp;"",""))</f>
        <v/>
      </c>
      <c r="E1218" s="72" t="n"/>
      <c r="F1218" s="65" t="n"/>
      <c r="G1218" s="68" t="str">
        <f>IF(J1218&lt;&gt;"OK","",IF(F1218="",N(INDEX(mat_loss,MATCH(B1218,mat_ref,0))),F1218))</f>
        <v/>
      </c>
      <c r="H1218" s="66" t="str">
        <f>IF(J1218&lt;&gt;"OK","",INDEX(mat_price,MATCH(B1218,mat_ref,0)))</f>
        <v/>
      </c>
      <c r="I1218" s="66" t="str">
        <f>IF(J1218&lt;&gt;"OK","",E1218*(1+G1218)*H1218)</f>
        <v/>
      </c>
      <c r="J1218" s="69" t="str">
        <f>IF(AND(A1218="",B1218=""),"",IF(A1218="","Produit manquant",IF(COUNTIF(prod_ref,A1218)=0,"Produit inconnu",IF(B1218="","Matière manquante",IF(ISNA(MATCH(B1218,mat_ref,0)),"Matière inconnue",IF(INDEX(mat_check,MATCH(B1218,mat_ref,0))&lt;&gt;"OK","Matière à corriger",IF(OR(NOT(ISNUMBER(E1218)),N(E1218)&lt;=0),"Quantité invalide",IF(AND(F1218&lt;&gt;"",OR(NOT(ISNUMBER(F1218)),N(F1218)&lt;0,N(F1218)&gt;=1)),"Perte entre 0 et 99 %",IF(COUNTIFS(bom_prod,A1218,bom_mat,B1218)&gt;1,"Matière en double","OK")))))))))</f>
        <v/>
      </c>
      <c r="K1218" s="71" t="str">
        <f>IF(AND(fiche_sel&lt;&gt;"",A1218=fiche_sel),COUNTIF(A$6:A1218,fiche_sel),"")</f>
        <v/>
      </c>
    </row>
    <row r="1219">
      <c r="A1219" s="60" t="n"/>
      <c r="B1219" s="60" t="n"/>
      <c r="C1219" s="71" t="str">
        <f>IF(B1219="","",IFERROR(INDEX(mat_des,MATCH(B1219,mat_ref,0))&amp;"","Matière inconnue"))</f>
        <v/>
      </c>
      <c r="D1219" s="69" t="str">
        <f>IF(B1219="","",IFERROR(INDEX(mat_unit,MATCH(B1219,mat_ref,0))&amp;"",""))</f>
        <v/>
      </c>
      <c r="E1219" s="72" t="n"/>
      <c r="F1219" s="65" t="n"/>
      <c r="G1219" s="68" t="str">
        <f>IF(J1219&lt;&gt;"OK","",IF(F1219="",N(INDEX(mat_loss,MATCH(B1219,mat_ref,0))),F1219))</f>
        <v/>
      </c>
      <c r="H1219" s="66" t="str">
        <f>IF(J1219&lt;&gt;"OK","",INDEX(mat_price,MATCH(B1219,mat_ref,0)))</f>
        <v/>
      </c>
      <c r="I1219" s="66" t="str">
        <f>IF(J1219&lt;&gt;"OK","",E1219*(1+G1219)*H1219)</f>
        <v/>
      </c>
      <c r="J1219" s="69" t="str">
        <f>IF(AND(A1219="",B1219=""),"",IF(A1219="","Produit manquant",IF(COUNTIF(prod_ref,A1219)=0,"Produit inconnu",IF(B1219="","Matière manquante",IF(ISNA(MATCH(B1219,mat_ref,0)),"Matière inconnue",IF(INDEX(mat_check,MATCH(B1219,mat_ref,0))&lt;&gt;"OK","Matière à corriger",IF(OR(NOT(ISNUMBER(E1219)),N(E1219)&lt;=0),"Quantité invalide",IF(AND(F1219&lt;&gt;"",OR(NOT(ISNUMBER(F1219)),N(F1219)&lt;0,N(F1219)&gt;=1)),"Perte entre 0 et 99 %",IF(COUNTIFS(bom_prod,A1219,bom_mat,B1219)&gt;1,"Matière en double","OK")))))))))</f>
        <v/>
      </c>
      <c r="K1219" s="71" t="str">
        <f>IF(AND(fiche_sel&lt;&gt;"",A1219=fiche_sel),COUNTIF(A$6:A1219,fiche_sel),"")</f>
        <v/>
      </c>
    </row>
    <row r="1220">
      <c r="A1220" s="60" t="n"/>
      <c r="B1220" s="60" t="n"/>
      <c r="C1220" s="71" t="str">
        <f>IF(B1220="","",IFERROR(INDEX(mat_des,MATCH(B1220,mat_ref,0))&amp;"","Matière inconnue"))</f>
        <v/>
      </c>
      <c r="D1220" s="69" t="str">
        <f>IF(B1220="","",IFERROR(INDEX(mat_unit,MATCH(B1220,mat_ref,0))&amp;"",""))</f>
        <v/>
      </c>
      <c r="E1220" s="72" t="n"/>
      <c r="F1220" s="65" t="n"/>
      <c r="G1220" s="68" t="str">
        <f>IF(J1220&lt;&gt;"OK","",IF(F1220="",N(INDEX(mat_loss,MATCH(B1220,mat_ref,0))),F1220))</f>
        <v/>
      </c>
      <c r="H1220" s="66" t="str">
        <f>IF(J1220&lt;&gt;"OK","",INDEX(mat_price,MATCH(B1220,mat_ref,0)))</f>
        <v/>
      </c>
      <c r="I1220" s="66" t="str">
        <f>IF(J1220&lt;&gt;"OK","",E1220*(1+G1220)*H1220)</f>
        <v/>
      </c>
      <c r="J1220" s="69" t="str">
        <f>IF(AND(A1220="",B1220=""),"",IF(A1220="","Produit manquant",IF(COUNTIF(prod_ref,A1220)=0,"Produit inconnu",IF(B1220="","Matière manquante",IF(ISNA(MATCH(B1220,mat_ref,0)),"Matière inconnue",IF(INDEX(mat_check,MATCH(B1220,mat_ref,0))&lt;&gt;"OK","Matière à corriger",IF(OR(NOT(ISNUMBER(E1220)),N(E1220)&lt;=0),"Quantité invalide",IF(AND(F1220&lt;&gt;"",OR(NOT(ISNUMBER(F1220)),N(F1220)&lt;0,N(F1220)&gt;=1)),"Perte entre 0 et 99 %",IF(COUNTIFS(bom_prod,A1220,bom_mat,B1220)&gt;1,"Matière en double","OK")))))))))</f>
        <v/>
      </c>
      <c r="K1220" s="71" t="str">
        <f>IF(AND(fiche_sel&lt;&gt;"",A1220=fiche_sel),COUNTIF(A$6:A1220,fiche_sel),"")</f>
        <v/>
      </c>
    </row>
    <row r="1221">
      <c r="A1221" s="60" t="n"/>
      <c r="B1221" s="60" t="n"/>
      <c r="C1221" s="71" t="str">
        <f>IF(B1221="","",IFERROR(INDEX(mat_des,MATCH(B1221,mat_ref,0))&amp;"","Matière inconnue"))</f>
        <v/>
      </c>
      <c r="D1221" s="69" t="str">
        <f>IF(B1221="","",IFERROR(INDEX(mat_unit,MATCH(B1221,mat_ref,0))&amp;"",""))</f>
        <v/>
      </c>
      <c r="E1221" s="72" t="n"/>
      <c r="F1221" s="65" t="n"/>
      <c r="G1221" s="68" t="str">
        <f>IF(J1221&lt;&gt;"OK","",IF(F1221="",N(INDEX(mat_loss,MATCH(B1221,mat_ref,0))),F1221))</f>
        <v/>
      </c>
      <c r="H1221" s="66" t="str">
        <f>IF(J1221&lt;&gt;"OK","",INDEX(mat_price,MATCH(B1221,mat_ref,0)))</f>
        <v/>
      </c>
      <c r="I1221" s="66" t="str">
        <f>IF(J1221&lt;&gt;"OK","",E1221*(1+G1221)*H1221)</f>
        <v/>
      </c>
      <c r="J1221" s="69" t="str">
        <f>IF(AND(A1221="",B1221=""),"",IF(A1221="","Produit manquant",IF(COUNTIF(prod_ref,A1221)=0,"Produit inconnu",IF(B1221="","Matière manquante",IF(ISNA(MATCH(B1221,mat_ref,0)),"Matière inconnue",IF(INDEX(mat_check,MATCH(B1221,mat_ref,0))&lt;&gt;"OK","Matière à corriger",IF(OR(NOT(ISNUMBER(E1221)),N(E1221)&lt;=0),"Quantité invalide",IF(AND(F1221&lt;&gt;"",OR(NOT(ISNUMBER(F1221)),N(F1221)&lt;0,N(F1221)&gt;=1)),"Perte entre 0 et 99 %",IF(COUNTIFS(bom_prod,A1221,bom_mat,B1221)&gt;1,"Matière en double","OK")))))))))</f>
        <v/>
      </c>
      <c r="K1221" s="71" t="str">
        <f>IF(AND(fiche_sel&lt;&gt;"",A1221=fiche_sel),COUNTIF(A$6:A1221,fiche_sel),"")</f>
        <v/>
      </c>
    </row>
    <row r="1222">
      <c r="A1222" s="60" t="n"/>
      <c r="B1222" s="60" t="n"/>
      <c r="C1222" s="71" t="str">
        <f>IF(B1222="","",IFERROR(INDEX(mat_des,MATCH(B1222,mat_ref,0))&amp;"","Matière inconnue"))</f>
        <v/>
      </c>
      <c r="D1222" s="69" t="str">
        <f>IF(B1222="","",IFERROR(INDEX(mat_unit,MATCH(B1222,mat_ref,0))&amp;"",""))</f>
        <v/>
      </c>
      <c r="E1222" s="72" t="n"/>
      <c r="F1222" s="65" t="n"/>
      <c r="G1222" s="68" t="str">
        <f>IF(J1222&lt;&gt;"OK","",IF(F1222="",N(INDEX(mat_loss,MATCH(B1222,mat_ref,0))),F1222))</f>
        <v/>
      </c>
      <c r="H1222" s="66" t="str">
        <f>IF(J1222&lt;&gt;"OK","",INDEX(mat_price,MATCH(B1222,mat_ref,0)))</f>
        <v/>
      </c>
      <c r="I1222" s="66" t="str">
        <f>IF(J1222&lt;&gt;"OK","",E1222*(1+G1222)*H1222)</f>
        <v/>
      </c>
      <c r="J1222" s="69" t="str">
        <f>IF(AND(A1222="",B1222=""),"",IF(A1222="","Produit manquant",IF(COUNTIF(prod_ref,A1222)=0,"Produit inconnu",IF(B1222="","Matière manquante",IF(ISNA(MATCH(B1222,mat_ref,0)),"Matière inconnue",IF(INDEX(mat_check,MATCH(B1222,mat_ref,0))&lt;&gt;"OK","Matière à corriger",IF(OR(NOT(ISNUMBER(E1222)),N(E1222)&lt;=0),"Quantité invalide",IF(AND(F1222&lt;&gt;"",OR(NOT(ISNUMBER(F1222)),N(F1222)&lt;0,N(F1222)&gt;=1)),"Perte entre 0 et 99 %",IF(COUNTIFS(bom_prod,A1222,bom_mat,B1222)&gt;1,"Matière en double","OK")))))))))</f>
        <v/>
      </c>
      <c r="K1222" s="71" t="str">
        <f>IF(AND(fiche_sel&lt;&gt;"",A1222=fiche_sel),COUNTIF(A$6:A1222,fiche_sel),"")</f>
        <v/>
      </c>
    </row>
    <row r="1223">
      <c r="A1223" s="60" t="n"/>
      <c r="B1223" s="60" t="n"/>
      <c r="C1223" s="71" t="str">
        <f>IF(B1223="","",IFERROR(INDEX(mat_des,MATCH(B1223,mat_ref,0))&amp;"","Matière inconnue"))</f>
        <v/>
      </c>
      <c r="D1223" s="69" t="str">
        <f>IF(B1223="","",IFERROR(INDEX(mat_unit,MATCH(B1223,mat_ref,0))&amp;"",""))</f>
        <v/>
      </c>
      <c r="E1223" s="72" t="n"/>
      <c r="F1223" s="65" t="n"/>
      <c r="G1223" s="68" t="str">
        <f>IF(J1223&lt;&gt;"OK","",IF(F1223="",N(INDEX(mat_loss,MATCH(B1223,mat_ref,0))),F1223))</f>
        <v/>
      </c>
      <c r="H1223" s="66" t="str">
        <f>IF(J1223&lt;&gt;"OK","",INDEX(mat_price,MATCH(B1223,mat_ref,0)))</f>
        <v/>
      </c>
      <c r="I1223" s="66" t="str">
        <f>IF(J1223&lt;&gt;"OK","",E1223*(1+G1223)*H1223)</f>
        <v/>
      </c>
      <c r="J1223" s="69" t="str">
        <f>IF(AND(A1223="",B1223=""),"",IF(A1223="","Produit manquant",IF(COUNTIF(prod_ref,A1223)=0,"Produit inconnu",IF(B1223="","Matière manquante",IF(ISNA(MATCH(B1223,mat_ref,0)),"Matière inconnue",IF(INDEX(mat_check,MATCH(B1223,mat_ref,0))&lt;&gt;"OK","Matière à corriger",IF(OR(NOT(ISNUMBER(E1223)),N(E1223)&lt;=0),"Quantité invalide",IF(AND(F1223&lt;&gt;"",OR(NOT(ISNUMBER(F1223)),N(F1223)&lt;0,N(F1223)&gt;=1)),"Perte entre 0 et 99 %",IF(COUNTIFS(bom_prod,A1223,bom_mat,B1223)&gt;1,"Matière en double","OK")))))))))</f>
        <v/>
      </c>
      <c r="K1223" s="71" t="str">
        <f>IF(AND(fiche_sel&lt;&gt;"",A1223=fiche_sel),COUNTIF(A$6:A1223,fiche_sel),"")</f>
        <v/>
      </c>
    </row>
    <row r="1224">
      <c r="A1224" s="60" t="n"/>
      <c r="B1224" s="60" t="n"/>
      <c r="C1224" s="71" t="str">
        <f>IF(B1224="","",IFERROR(INDEX(mat_des,MATCH(B1224,mat_ref,0))&amp;"","Matière inconnue"))</f>
        <v/>
      </c>
      <c r="D1224" s="69" t="str">
        <f>IF(B1224="","",IFERROR(INDEX(mat_unit,MATCH(B1224,mat_ref,0))&amp;"",""))</f>
        <v/>
      </c>
      <c r="E1224" s="72" t="n"/>
      <c r="F1224" s="65" t="n"/>
      <c r="G1224" s="68" t="str">
        <f>IF(J1224&lt;&gt;"OK","",IF(F1224="",N(INDEX(mat_loss,MATCH(B1224,mat_ref,0))),F1224))</f>
        <v/>
      </c>
      <c r="H1224" s="66" t="str">
        <f>IF(J1224&lt;&gt;"OK","",INDEX(mat_price,MATCH(B1224,mat_ref,0)))</f>
        <v/>
      </c>
      <c r="I1224" s="66" t="str">
        <f>IF(J1224&lt;&gt;"OK","",E1224*(1+G1224)*H1224)</f>
        <v/>
      </c>
      <c r="J1224" s="69" t="str">
        <f>IF(AND(A1224="",B1224=""),"",IF(A1224="","Produit manquant",IF(COUNTIF(prod_ref,A1224)=0,"Produit inconnu",IF(B1224="","Matière manquante",IF(ISNA(MATCH(B1224,mat_ref,0)),"Matière inconnue",IF(INDEX(mat_check,MATCH(B1224,mat_ref,0))&lt;&gt;"OK","Matière à corriger",IF(OR(NOT(ISNUMBER(E1224)),N(E1224)&lt;=0),"Quantité invalide",IF(AND(F1224&lt;&gt;"",OR(NOT(ISNUMBER(F1224)),N(F1224)&lt;0,N(F1224)&gt;=1)),"Perte entre 0 et 99 %",IF(COUNTIFS(bom_prod,A1224,bom_mat,B1224)&gt;1,"Matière en double","OK")))))))))</f>
        <v/>
      </c>
      <c r="K1224" s="71" t="str">
        <f>IF(AND(fiche_sel&lt;&gt;"",A1224=fiche_sel),COUNTIF(A$6:A1224,fiche_sel),"")</f>
        <v/>
      </c>
    </row>
    <row r="1225">
      <c r="A1225" s="60" t="n"/>
      <c r="B1225" s="60" t="n"/>
      <c r="C1225" s="71" t="str">
        <f>IF(B1225="","",IFERROR(INDEX(mat_des,MATCH(B1225,mat_ref,0))&amp;"","Matière inconnue"))</f>
        <v/>
      </c>
      <c r="D1225" s="69" t="str">
        <f>IF(B1225="","",IFERROR(INDEX(mat_unit,MATCH(B1225,mat_ref,0))&amp;"",""))</f>
        <v/>
      </c>
      <c r="E1225" s="72" t="n"/>
      <c r="F1225" s="65" t="n"/>
      <c r="G1225" s="68" t="str">
        <f>IF(J1225&lt;&gt;"OK","",IF(F1225="",N(INDEX(mat_loss,MATCH(B1225,mat_ref,0))),F1225))</f>
        <v/>
      </c>
      <c r="H1225" s="66" t="str">
        <f>IF(J1225&lt;&gt;"OK","",INDEX(mat_price,MATCH(B1225,mat_ref,0)))</f>
        <v/>
      </c>
      <c r="I1225" s="66" t="str">
        <f>IF(J1225&lt;&gt;"OK","",E1225*(1+G1225)*H1225)</f>
        <v/>
      </c>
      <c r="J1225" s="69" t="str">
        <f>IF(AND(A1225="",B1225=""),"",IF(A1225="","Produit manquant",IF(COUNTIF(prod_ref,A1225)=0,"Produit inconnu",IF(B1225="","Matière manquante",IF(ISNA(MATCH(B1225,mat_ref,0)),"Matière inconnue",IF(INDEX(mat_check,MATCH(B1225,mat_ref,0))&lt;&gt;"OK","Matière à corriger",IF(OR(NOT(ISNUMBER(E1225)),N(E1225)&lt;=0),"Quantité invalide",IF(AND(F1225&lt;&gt;"",OR(NOT(ISNUMBER(F1225)),N(F1225)&lt;0,N(F1225)&gt;=1)),"Perte entre 0 et 99 %",IF(COUNTIFS(bom_prod,A1225,bom_mat,B1225)&gt;1,"Matière en double","OK")))))))))</f>
        <v/>
      </c>
      <c r="K1225" s="71" t="str">
        <f>IF(AND(fiche_sel&lt;&gt;"",A1225=fiche_sel),COUNTIF(A$6:A1225,fiche_sel),"")</f>
        <v/>
      </c>
    </row>
    <row r="1226">
      <c r="A1226" s="60" t="n"/>
      <c r="B1226" s="60" t="n"/>
      <c r="C1226" s="71" t="str">
        <f>IF(B1226="","",IFERROR(INDEX(mat_des,MATCH(B1226,mat_ref,0))&amp;"","Matière inconnue"))</f>
        <v/>
      </c>
      <c r="D1226" s="69" t="str">
        <f>IF(B1226="","",IFERROR(INDEX(mat_unit,MATCH(B1226,mat_ref,0))&amp;"",""))</f>
        <v/>
      </c>
      <c r="E1226" s="72" t="n"/>
      <c r="F1226" s="65" t="n"/>
      <c r="G1226" s="68" t="str">
        <f>IF(J1226&lt;&gt;"OK","",IF(F1226="",N(INDEX(mat_loss,MATCH(B1226,mat_ref,0))),F1226))</f>
        <v/>
      </c>
      <c r="H1226" s="66" t="str">
        <f>IF(J1226&lt;&gt;"OK","",INDEX(mat_price,MATCH(B1226,mat_ref,0)))</f>
        <v/>
      </c>
      <c r="I1226" s="66" t="str">
        <f>IF(J1226&lt;&gt;"OK","",E1226*(1+G1226)*H1226)</f>
        <v/>
      </c>
      <c r="J1226" s="69" t="str">
        <f>IF(AND(A1226="",B1226=""),"",IF(A1226="","Produit manquant",IF(COUNTIF(prod_ref,A1226)=0,"Produit inconnu",IF(B1226="","Matière manquante",IF(ISNA(MATCH(B1226,mat_ref,0)),"Matière inconnue",IF(INDEX(mat_check,MATCH(B1226,mat_ref,0))&lt;&gt;"OK","Matière à corriger",IF(OR(NOT(ISNUMBER(E1226)),N(E1226)&lt;=0),"Quantité invalide",IF(AND(F1226&lt;&gt;"",OR(NOT(ISNUMBER(F1226)),N(F1226)&lt;0,N(F1226)&gt;=1)),"Perte entre 0 et 99 %",IF(COUNTIFS(bom_prod,A1226,bom_mat,B1226)&gt;1,"Matière en double","OK")))))))))</f>
        <v/>
      </c>
      <c r="K1226" s="71" t="str">
        <f>IF(AND(fiche_sel&lt;&gt;"",A1226=fiche_sel),COUNTIF(A$6:A1226,fiche_sel),"")</f>
        <v/>
      </c>
    </row>
    <row r="1227">
      <c r="A1227" s="60" t="n"/>
      <c r="B1227" s="60" t="n"/>
      <c r="C1227" s="71" t="str">
        <f>IF(B1227="","",IFERROR(INDEX(mat_des,MATCH(B1227,mat_ref,0))&amp;"","Matière inconnue"))</f>
        <v/>
      </c>
      <c r="D1227" s="69" t="str">
        <f>IF(B1227="","",IFERROR(INDEX(mat_unit,MATCH(B1227,mat_ref,0))&amp;"",""))</f>
        <v/>
      </c>
      <c r="E1227" s="72" t="n"/>
      <c r="F1227" s="65" t="n"/>
      <c r="G1227" s="68" t="str">
        <f>IF(J1227&lt;&gt;"OK","",IF(F1227="",N(INDEX(mat_loss,MATCH(B1227,mat_ref,0))),F1227))</f>
        <v/>
      </c>
      <c r="H1227" s="66" t="str">
        <f>IF(J1227&lt;&gt;"OK","",INDEX(mat_price,MATCH(B1227,mat_ref,0)))</f>
        <v/>
      </c>
      <c r="I1227" s="66" t="str">
        <f>IF(J1227&lt;&gt;"OK","",E1227*(1+G1227)*H1227)</f>
        <v/>
      </c>
      <c r="J1227" s="69" t="str">
        <f>IF(AND(A1227="",B1227=""),"",IF(A1227="","Produit manquant",IF(COUNTIF(prod_ref,A1227)=0,"Produit inconnu",IF(B1227="","Matière manquante",IF(ISNA(MATCH(B1227,mat_ref,0)),"Matière inconnue",IF(INDEX(mat_check,MATCH(B1227,mat_ref,0))&lt;&gt;"OK","Matière à corriger",IF(OR(NOT(ISNUMBER(E1227)),N(E1227)&lt;=0),"Quantité invalide",IF(AND(F1227&lt;&gt;"",OR(NOT(ISNUMBER(F1227)),N(F1227)&lt;0,N(F1227)&gt;=1)),"Perte entre 0 et 99 %",IF(COUNTIFS(bom_prod,A1227,bom_mat,B1227)&gt;1,"Matière en double","OK")))))))))</f>
        <v/>
      </c>
      <c r="K1227" s="71" t="str">
        <f>IF(AND(fiche_sel&lt;&gt;"",A1227=fiche_sel),COUNTIF(A$6:A1227,fiche_sel),"")</f>
        <v/>
      </c>
    </row>
    <row r="1228">
      <c r="A1228" s="60" t="n"/>
      <c r="B1228" s="60" t="n"/>
      <c r="C1228" s="71" t="str">
        <f>IF(B1228="","",IFERROR(INDEX(mat_des,MATCH(B1228,mat_ref,0))&amp;"","Matière inconnue"))</f>
        <v/>
      </c>
      <c r="D1228" s="69" t="str">
        <f>IF(B1228="","",IFERROR(INDEX(mat_unit,MATCH(B1228,mat_ref,0))&amp;"",""))</f>
        <v/>
      </c>
      <c r="E1228" s="72" t="n"/>
      <c r="F1228" s="65" t="n"/>
      <c r="G1228" s="68" t="str">
        <f>IF(J1228&lt;&gt;"OK","",IF(F1228="",N(INDEX(mat_loss,MATCH(B1228,mat_ref,0))),F1228))</f>
        <v/>
      </c>
      <c r="H1228" s="66" t="str">
        <f>IF(J1228&lt;&gt;"OK","",INDEX(mat_price,MATCH(B1228,mat_ref,0)))</f>
        <v/>
      </c>
      <c r="I1228" s="66" t="str">
        <f>IF(J1228&lt;&gt;"OK","",E1228*(1+G1228)*H1228)</f>
        <v/>
      </c>
      <c r="J1228" s="69" t="str">
        <f>IF(AND(A1228="",B1228=""),"",IF(A1228="","Produit manquant",IF(COUNTIF(prod_ref,A1228)=0,"Produit inconnu",IF(B1228="","Matière manquante",IF(ISNA(MATCH(B1228,mat_ref,0)),"Matière inconnue",IF(INDEX(mat_check,MATCH(B1228,mat_ref,0))&lt;&gt;"OK","Matière à corriger",IF(OR(NOT(ISNUMBER(E1228)),N(E1228)&lt;=0),"Quantité invalide",IF(AND(F1228&lt;&gt;"",OR(NOT(ISNUMBER(F1228)),N(F1228)&lt;0,N(F1228)&gt;=1)),"Perte entre 0 et 99 %",IF(COUNTIFS(bom_prod,A1228,bom_mat,B1228)&gt;1,"Matière en double","OK")))))))))</f>
        <v/>
      </c>
      <c r="K1228" s="71" t="str">
        <f>IF(AND(fiche_sel&lt;&gt;"",A1228=fiche_sel),COUNTIF(A$6:A1228,fiche_sel),"")</f>
        <v/>
      </c>
    </row>
    <row r="1229">
      <c r="A1229" s="60" t="n"/>
      <c r="B1229" s="60" t="n"/>
      <c r="C1229" s="71" t="str">
        <f>IF(B1229="","",IFERROR(INDEX(mat_des,MATCH(B1229,mat_ref,0))&amp;"","Matière inconnue"))</f>
        <v/>
      </c>
      <c r="D1229" s="69" t="str">
        <f>IF(B1229="","",IFERROR(INDEX(mat_unit,MATCH(B1229,mat_ref,0))&amp;"",""))</f>
        <v/>
      </c>
      <c r="E1229" s="72" t="n"/>
      <c r="F1229" s="65" t="n"/>
      <c r="G1229" s="68" t="str">
        <f>IF(J1229&lt;&gt;"OK","",IF(F1229="",N(INDEX(mat_loss,MATCH(B1229,mat_ref,0))),F1229))</f>
        <v/>
      </c>
      <c r="H1229" s="66" t="str">
        <f>IF(J1229&lt;&gt;"OK","",INDEX(mat_price,MATCH(B1229,mat_ref,0)))</f>
        <v/>
      </c>
      <c r="I1229" s="66" t="str">
        <f>IF(J1229&lt;&gt;"OK","",E1229*(1+G1229)*H1229)</f>
        <v/>
      </c>
      <c r="J1229" s="69" t="str">
        <f>IF(AND(A1229="",B1229=""),"",IF(A1229="","Produit manquant",IF(COUNTIF(prod_ref,A1229)=0,"Produit inconnu",IF(B1229="","Matière manquante",IF(ISNA(MATCH(B1229,mat_ref,0)),"Matière inconnue",IF(INDEX(mat_check,MATCH(B1229,mat_ref,0))&lt;&gt;"OK","Matière à corriger",IF(OR(NOT(ISNUMBER(E1229)),N(E1229)&lt;=0),"Quantité invalide",IF(AND(F1229&lt;&gt;"",OR(NOT(ISNUMBER(F1229)),N(F1229)&lt;0,N(F1229)&gt;=1)),"Perte entre 0 et 99 %",IF(COUNTIFS(bom_prod,A1229,bom_mat,B1229)&gt;1,"Matière en double","OK")))))))))</f>
        <v/>
      </c>
      <c r="K1229" s="71" t="str">
        <f>IF(AND(fiche_sel&lt;&gt;"",A1229=fiche_sel),COUNTIF(A$6:A1229,fiche_sel),"")</f>
        <v/>
      </c>
    </row>
    <row r="1230">
      <c r="A1230" s="60" t="n"/>
      <c r="B1230" s="60" t="n"/>
      <c r="C1230" s="71" t="str">
        <f>IF(B1230="","",IFERROR(INDEX(mat_des,MATCH(B1230,mat_ref,0))&amp;"","Matière inconnue"))</f>
        <v/>
      </c>
      <c r="D1230" s="69" t="str">
        <f>IF(B1230="","",IFERROR(INDEX(mat_unit,MATCH(B1230,mat_ref,0))&amp;"",""))</f>
        <v/>
      </c>
      <c r="E1230" s="72" t="n"/>
      <c r="F1230" s="65" t="n"/>
      <c r="G1230" s="68" t="str">
        <f>IF(J1230&lt;&gt;"OK","",IF(F1230="",N(INDEX(mat_loss,MATCH(B1230,mat_ref,0))),F1230))</f>
        <v/>
      </c>
      <c r="H1230" s="66" t="str">
        <f>IF(J1230&lt;&gt;"OK","",INDEX(mat_price,MATCH(B1230,mat_ref,0)))</f>
        <v/>
      </c>
      <c r="I1230" s="66" t="str">
        <f>IF(J1230&lt;&gt;"OK","",E1230*(1+G1230)*H1230)</f>
        <v/>
      </c>
      <c r="J1230" s="69" t="str">
        <f>IF(AND(A1230="",B1230=""),"",IF(A1230="","Produit manquant",IF(COUNTIF(prod_ref,A1230)=0,"Produit inconnu",IF(B1230="","Matière manquante",IF(ISNA(MATCH(B1230,mat_ref,0)),"Matière inconnue",IF(INDEX(mat_check,MATCH(B1230,mat_ref,0))&lt;&gt;"OK","Matière à corriger",IF(OR(NOT(ISNUMBER(E1230)),N(E1230)&lt;=0),"Quantité invalide",IF(AND(F1230&lt;&gt;"",OR(NOT(ISNUMBER(F1230)),N(F1230)&lt;0,N(F1230)&gt;=1)),"Perte entre 0 et 99 %",IF(COUNTIFS(bom_prod,A1230,bom_mat,B1230)&gt;1,"Matière en double","OK")))))))))</f>
        <v/>
      </c>
      <c r="K1230" s="71" t="str">
        <f>IF(AND(fiche_sel&lt;&gt;"",A1230=fiche_sel),COUNTIF(A$6:A1230,fiche_sel),"")</f>
        <v/>
      </c>
    </row>
    <row r="1231">
      <c r="A1231" s="60" t="n"/>
      <c r="B1231" s="60" t="n"/>
      <c r="C1231" s="71" t="str">
        <f>IF(B1231="","",IFERROR(INDEX(mat_des,MATCH(B1231,mat_ref,0))&amp;"","Matière inconnue"))</f>
        <v/>
      </c>
      <c r="D1231" s="69" t="str">
        <f>IF(B1231="","",IFERROR(INDEX(mat_unit,MATCH(B1231,mat_ref,0))&amp;"",""))</f>
        <v/>
      </c>
      <c r="E1231" s="72" t="n"/>
      <c r="F1231" s="65" t="n"/>
      <c r="G1231" s="68" t="str">
        <f>IF(J1231&lt;&gt;"OK","",IF(F1231="",N(INDEX(mat_loss,MATCH(B1231,mat_ref,0))),F1231))</f>
        <v/>
      </c>
      <c r="H1231" s="66" t="str">
        <f>IF(J1231&lt;&gt;"OK","",INDEX(mat_price,MATCH(B1231,mat_ref,0)))</f>
        <v/>
      </c>
      <c r="I1231" s="66" t="str">
        <f>IF(J1231&lt;&gt;"OK","",E1231*(1+G1231)*H1231)</f>
        <v/>
      </c>
      <c r="J1231" s="69" t="str">
        <f>IF(AND(A1231="",B1231=""),"",IF(A1231="","Produit manquant",IF(COUNTIF(prod_ref,A1231)=0,"Produit inconnu",IF(B1231="","Matière manquante",IF(ISNA(MATCH(B1231,mat_ref,0)),"Matière inconnue",IF(INDEX(mat_check,MATCH(B1231,mat_ref,0))&lt;&gt;"OK","Matière à corriger",IF(OR(NOT(ISNUMBER(E1231)),N(E1231)&lt;=0),"Quantité invalide",IF(AND(F1231&lt;&gt;"",OR(NOT(ISNUMBER(F1231)),N(F1231)&lt;0,N(F1231)&gt;=1)),"Perte entre 0 et 99 %",IF(COUNTIFS(bom_prod,A1231,bom_mat,B1231)&gt;1,"Matière en double","OK")))))))))</f>
        <v/>
      </c>
      <c r="K1231" s="71" t="str">
        <f>IF(AND(fiche_sel&lt;&gt;"",A1231=fiche_sel),COUNTIF(A$6:A1231,fiche_sel),"")</f>
        <v/>
      </c>
    </row>
    <row r="1232">
      <c r="A1232" s="60" t="n"/>
      <c r="B1232" s="60" t="n"/>
      <c r="C1232" s="71" t="str">
        <f>IF(B1232="","",IFERROR(INDEX(mat_des,MATCH(B1232,mat_ref,0))&amp;"","Matière inconnue"))</f>
        <v/>
      </c>
      <c r="D1232" s="69" t="str">
        <f>IF(B1232="","",IFERROR(INDEX(mat_unit,MATCH(B1232,mat_ref,0))&amp;"",""))</f>
        <v/>
      </c>
      <c r="E1232" s="72" t="n"/>
      <c r="F1232" s="65" t="n"/>
      <c r="G1232" s="68" t="str">
        <f>IF(J1232&lt;&gt;"OK","",IF(F1232="",N(INDEX(mat_loss,MATCH(B1232,mat_ref,0))),F1232))</f>
        <v/>
      </c>
      <c r="H1232" s="66" t="str">
        <f>IF(J1232&lt;&gt;"OK","",INDEX(mat_price,MATCH(B1232,mat_ref,0)))</f>
        <v/>
      </c>
      <c r="I1232" s="66" t="str">
        <f>IF(J1232&lt;&gt;"OK","",E1232*(1+G1232)*H1232)</f>
        <v/>
      </c>
      <c r="J1232" s="69" t="str">
        <f>IF(AND(A1232="",B1232=""),"",IF(A1232="","Produit manquant",IF(COUNTIF(prod_ref,A1232)=0,"Produit inconnu",IF(B1232="","Matière manquante",IF(ISNA(MATCH(B1232,mat_ref,0)),"Matière inconnue",IF(INDEX(mat_check,MATCH(B1232,mat_ref,0))&lt;&gt;"OK","Matière à corriger",IF(OR(NOT(ISNUMBER(E1232)),N(E1232)&lt;=0),"Quantité invalide",IF(AND(F1232&lt;&gt;"",OR(NOT(ISNUMBER(F1232)),N(F1232)&lt;0,N(F1232)&gt;=1)),"Perte entre 0 et 99 %",IF(COUNTIFS(bom_prod,A1232,bom_mat,B1232)&gt;1,"Matière en double","OK")))))))))</f>
        <v/>
      </c>
      <c r="K1232" s="71" t="str">
        <f>IF(AND(fiche_sel&lt;&gt;"",A1232=fiche_sel),COUNTIF(A$6:A1232,fiche_sel),"")</f>
        <v/>
      </c>
    </row>
    <row r="1233">
      <c r="A1233" s="60" t="n"/>
      <c r="B1233" s="60" t="n"/>
      <c r="C1233" s="71" t="str">
        <f>IF(B1233="","",IFERROR(INDEX(mat_des,MATCH(B1233,mat_ref,0))&amp;"","Matière inconnue"))</f>
        <v/>
      </c>
      <c r="D1233" s="69" t="str">
        <f>IF(B1233="","",IFERROR(INDEX(mat_unit,MATCH(B1233,mat_ref,0))&amp;"",""))</f>
        <v/>
      </c>
      <c r="E1233" s="72" t="n"/>
      <c r="F1233" s="65" t="n"/>
      <c r="G1233" s="68" t="str">
        <f>IF(J1233&lt;&gt;"OK","",IF(F1233="",N(INDEX(mat_loss,MATCH(B1233,mat_ref,0))),F1233))</f>
        <v/>
      </c>
      <c r="H1233" s="66" t="str">
        <f>IF(J1233&lt;&gt;"OK","",INDEX(mat_price,MATCH(B1233,mat_ref,0)))</f>
        <v/>
      </c>
      <c r="I1233" s="66" t="str">
        <f>IF(J1233&lt;&gt;"OK","",E1233*(1+G1233)*H1233)</f>
        <v/>
      </c>
      <c r="J1233" s="69" t="str">
        <f>IF(AND(A1233="",B1233=""),"",IF(A1233="","Produit manquant",IF(COUNTIF(prod_ref,A1233)=0,"Produit inconnu",IF(B1233="","Matière manquante",IF(ISNA(MATCH(B1233,mat_ref,0)),"Matière inconnue",IF(INDEX(mat_check,MATCH(B1233,mat_ref,0))&lt;&gt;"OK","Matière à corriger",IF(OR(NOT(ISNUMBER(E1233)),N(E1233)&lt;=0),"Quantité invalide",IF(AND(F1233&lt;&gt;"",OR(NOT(ISNUMBER(F1233)),N(F1233)&lt;0,N(F1233)&gt;=1)),"Perte entre 0 et 99 %",IF(COUNTIFS(bom_prod,A1233,bom_mat,B1233)&gt;1,"Matière en double","OK")))))))))</f>
        <v/>
      </c>
      <c r="K1233" s="71" t="str">
        <f>IF(AND(fiche_sel&lt;&gt;"",A1233=fiche_sel),COUNTIF(A$6:A1233,fiche_sel),"")</f>
        <v/>
      </c>
    </row>
    <row r="1234">
      <c r="A1234" s="60" t="n"/>
      <c r="B1234" s="60" t="n"/>
      <c r="C1234" s="71" t="str">
        <f>IF(B1234="","",IFERROR(INDEX(mat_des,MATCH(B1234,mat_ref,0))&amp;"","Matière inconnue"))</f>
        <v/>
      </c>
      <c r="D1234" s="69" t="str">
        <f>IF(B1234="","",IFERROR(INDEX(mat_unit,MATCH(B1234,mat_ref,0))&amp;"",""))</f>
        <v/>
      </c>
      <c r="E1234" s="72" t="n"/>
      <c r="F1234" s="65" t="n"/>
      <c r="G1234" s="68" t="str">
        <f>IF(J1234&lt;&gt;"OK","",IF(F1234="",N(INDEX(mat_loss,MATCH(B1234,mat_ref,0))),F1234))</f>
        <v/>
      </c>
      <c r="H1234" s="66" t="str">
        <f>IF(J1234&lt;&gt;"OK","",INDEX(mat_price,MATCH(B1234,mat_ref,0)))</f>
        <v/>
      </c>
      <c r="I1234" s="66" t="str">
        <f>IF(J1234&lt;&gt;"OK","",E1234*(1+G1234)*H1234)</f>
        <v/>
      </c>
      <c r="J1234" s="69" t="str">
        <f>IF(AND(A1234="",B1234=""),"",IF(A1234="","Produit manquant",IF(COUNTIF(prod_ref,A1234)=0,"Produit inconnu",IF(B1234="","Matière manquante",IF(ISNA(MATCH(B1234,mat_ref,0)),"Matière inconnue",IF(INDEX(mat_check,MATCH(B1234,mat_ref,0))&lt;&gt;"OK","Matière à corriger",IF(OR(NOT(ISNUMBER(E1234)),N(E1234)&lt;=0),"Quantité invalide",IF(AND(F1234&lt;&gt;"",OR(NOT(ISNUMBER(F1234)),N(F1234)&lt;0,N(F1234)&gt;=1)),"Perte entre 0 et 99 %",IF(COUNTIFS(bom_prod,A1234,bom_mat,B1234)&gt;1,"Matière en double","OK")))))))))</f>
        <v/>
      </c>
      <c r="K1234" s="71" t="str">
        <f>IF(AND(fiche_sel&lt;&gt;"",A1234=fiche_sel),COUNTIF(A$6:A1234,fiche_sel),"")</f>
        <v/>
      </c>
    </row>
    <row r="1235">
      <c r="A1235" s="60" t="n"/>
      <c r="B1235" s="60" t="n"/>
      <c r="C1235" s="71" t="str">
        <f>IF(B1235="","",IFERROR(INDEX(mat_des,MATCH(B1235,mat_ref,0))&amp;"","Matière inconnue"))</f>
        <v/>
      </c>
      <c r="D1235" s="69" t="str">
        <f>IF(B1235="","",IFERROR(INDEX(mat_unit,MATCH(B1235,mat_ref,0))&amp;"",""))</f>
        <v/>
      </c>
      <c r="E1235" s="72" t="n"/>
      <c r="F1235" s="65" t="n"/>
      <c r="G1235" s="68" t="str">
        <f>IF(J1235&lt;&gt;"OK","",IF(F1235="",N(INDEX(mat_loss,MATCH(B1235,mat_ref,0))),F1235))</f>
        <v/>
      </c>
      <c r="H1235" s="66" t="str">
        <f>IF(J1235&lt;&gt;"OK","",INDEX(mat_price,MATCH(B1235,mat_ref,0)))</f>
        <v/>
      </c>
      <c r="I1235" s="66" t="str">
        <f>IF(J1235&lt;&gt;"OK","",E1235*(1+G1235)*H1235)</f>
        <v/>
      </c>
      <c r="J1235" s="69" t="str">
        <f>IF(AND(A1235="",B1235=""),"",IF(A1235="","Produit manquant",IF(COUNTIF(prod_ref,A1235)=0,"Produit inconnu",IF(B1235="","Matière manquante",IF(ISNA(MATCH(B1235,mat_ref,0)),"Matière inconnue",IF(INDEX(mat_check,MATCH(B1235,mat_ref,0))&lt;&gt;"OK","Matière à corriger",IF(OR(NOT(ISNUMBER(E1235)),N(E1235)&lt;=0),"Quantité invalide",IF(AND(F1235&lt;&gt;"",OR(NOT(ISNUMBER(F1235)),N(F1235)&lt;0,N(F1235)&gt;=1)),"Perte entre 0 et 99 %",IF(COUNTIFS(bom_prod,A1235,bom_mat,B1235)&gt;1,"Matière en double","OK")))))))))</f>
        <v/>
      </c>
      <c r="K1235" s="71" t="str">
        <f>IF(AND(fiche_sel&lt;&gt;"",A1235=fiche_sel),COUNTIF(A$6:A1235,fiche_sel),"")</f>
        <v/>
      </c>
    </row>
    <row r="1236">
      <c r="A1236" s="60" t="n"/>
      <c r="B1236" s="60" t="n"/>
      <c r="C1236" s="71" t="str">
        <f>IF(B1236="","",IFERROR(INDEX(mat_des,MATCH(B1236,mat_ref,0))&amp;"","Matière inconnue"))</f>
        <v/>
      </c>
      <c r="D1236" s="69" t="str">
        <f>IF(B1236="","",IFERROR(INDEX(mat_unit,MATCH(B1236,mat_ref,0))&amp;"",""))</f>
        <v/>
      </c>
      <c r="E1236" s="72" t="n"/>
      <c r="F1236" s="65" t="n"/>
      <c r="G1236" s="68" t="str">
        <f>IF(J1236&lt;&gt;"OK","",IF(F1236="",N(INDEX(mat_loss,MATCH(B1236,mat_ref,0))),F1236))</f>
        <v/>
      </c>
      <c r="H1236" s="66" t="str">
        <f>IF(J1236&lt;&gt;"OK","",INDEX(mat_price,MATCH(B1236,mat_ref,0)))</f>
        <v/>
      </c>
      <c r="I1236" s="66" t="str">
        <f>IF(J1236&lt;&gt;"OK","",E1236*(1+G1236)*H1236)</f>
        <v/>
      </c>
      <c r="J1236" s="69" t="str">
        <f>IF(AND(A1236="",B1236=""),"",IF(A1236="","Produit manquant",IF(COUNTIF(prod_ref,A1236)=0,"Produit inconnu",IF(B1236="","Matière manquante",IF(ISNA(MATCH(B1236,mat_ref,0)),"Matière inconnue",IF(INDEX(mat_check,MATCH(B1236,mat_ref,0))&lt;&gt;"OK","Matière à corriger",IF(OR(NOT(ISNUMBER(E1236)),N(E1236)&lt;=0),"Quantité invalide",IF(AND(F1236&lt;&gt;"",OR(NOT(ISNUMBER(F1236)),N(F1236)&lt;0,N(F1236)&gt;=1)),"Perte entre 0 et 99 %",IF(COUNTIFS(bom_prod,A1236,bom_mat,B1236)&gt;1,"Matière en double","OK")))))))))</f>
        <v/>
      </c>
      <c r="K1236" s="71" t="str">
        <f>IF(AND(fiche_sel&lt;&gt;"",A1236=fiche_sel),COUNTIF(A$6:A1236,fiche_sel),"")</f>
        <v/>
      </c>
    </row>
    <row r="1237">
      <c r="A1237" s="60" t="n"/>
      <c r="B1237" s="60" t="n"/>
      <c r="C1237" s="71" t="str">
        <f>IF(B1237="","",IFERROR(INDEX(mat_des,MATCH(B1237,mat_ref,0))&amp;"","Matière inconnue"))</f>
        <v/>
      </c>
      <c r="D1237" s="69" t="str">
        <f>IF(B1237="","",IFERROR(INDEX(mat_unit,MATCH(B1237,mat_ref,0))&amp;"",""))</f>
        <v/>
      </c>
      <c r="E1237" s="72" t="n"/>
      <c r="F1237" s="65" t="n"/>
      <c r="G1237" s="68" t="str">
        <f>IF(J1237&lt;&gt;"OK","",IF(F1237="",N(INDEX(mat_loss,MATCH(B1237,mat_ref,0))),F1237))</f>
        <v/>
      </c>
      <c r="H1237" s="66" t="str">
        <f>IF(J1237&lt;&gt;"OK","",INDEX(mat_price,MATCH(B1237,mat_ref,0)))</f>
        <v/>
      </c>
      <c r="I1237" s="66" t="str">
        <f>IF(J1237&lt;&gt;"OK","",E1237*(1+G1237)*H1237)</f>
        <v/>
      </c>
      <c r="J1237" s="69" t="str">
        <f>IF(AND(A1237="",B1237=""),"",IF(A1237="","Produit manquant",IF(COUNTIF(prod_ref,A1237)=0,"Produit inconnu",IF(B1237="","Matière manquante",IF(ISNA(MATCH(B1237,mat_ref,0)),"Matière inconnue",IF(INDEX(mat_check,MATCH(B1237,mat_ref,0))&lt;&gt;"OK","Matière à corriger",IF(OR(NOT(ISNUMBER(E1237)),N(E1237)&lt;=0),"Quantité invalide",IF(AND(F1237&lt;&gt;"",OR(NOT(ISNUMBER(F1237)),N(F1237)&lt;0,N(F1237)&gt;=1)),"Perte entre 0 et 99 %",IF(COUNTIFS(bom_prod,A1237,bom_mat,B1237)&gt;1,"Matière en double","OK")))))))))</f>
        <v/>
      </c>
      <c r="K1237" s="71" t="str">
        <f>IF(AND(fiche_sel&lt;&gt;"",A1237=fiche_sel),COUNTIF(A$6:A1237,fiche_sel),"")</f>
        <v/>
      </c>
    </row>
    <row r="1238">
      <c r="A1238" s="60" t="n"/>
      <c r="B1238" s="60" t="n"/>
      <c r="C1238" s="71" t="str">
        <f>IF(B1238="","",IFERROR(INDEX(mat_des,MATCH(B1238,mat_ref,0))&amp;"","Matière inconnue"))</f>
        <v/>
      </c>
      <c r="D1238" s="69" t="str">
        <f>IF(B1238="","",IFERROR(INDEX(mat_unit,MATCH(B1238,mat_ref,0))&amp;"",""))</f>
        <v/>
      </c>
      <c r="E1238" s="72" t="n"/>
      <c r="F1238" s="65" t="n"/>
      <c r="G1238" s="68" t="str">
        <f>IF(J1238&lt;&gt;"OK","",IF(F1238="",N(INDEX(mat_loss,MATCH(B1238,mat_ref,0))),F1238))</f>
        <v/>
      </c>
      <c r="H1238" s="66" t="str">
        <f>IF(J1238&lt;&gt;"OK","",INDEX(mat_price,MATCH(B1238,mat_ref,0)))</f>
        <v/>
      </c>
      <c r="I1238" s="66" t="str">
        <f>IF(J1238&lt;&gt;"OK","",E1238*(1+G1238)*H1238)</f>
        <v/>
      </c>
      <c r="J1238" s="69" t="str">
        <f>IF(AND(A1238="",B1238=""),"",IF(A1238="","Produit manquant",IF(COUNTIF(prod_ref,A1238)=0,"Produit inconnu",IF(B1238="","Matière manquante",IF(ISNA(MATCH(B1238,mat_ref,0)),"Matière inconnue",IF(INDEX(mat_check,MATCH(B1238,mat_ref,0))&lt;&gt;"OK","Matière à corriger",IF(OR(NOT(ISNUMBER(E1238)),N(E1238)&lt;=0),"Quantité invalide",IF(AND(F1238&lt;&gt;"",OR(NOT(ISNUMBER(F1238)),N(F1238)&lt;0,N(F1238)&gt;=1)),"Perte entre 0 et 99 %",IF(COUNTIFS(bom_prod,A1238,bom_mat,B1238)&gt;1,"Matière en double","OK")))))))))</f>
        <v/>
      </c>
      <c r="K1238" s="71" t="str">
        <f>IF(AND(fiche_sel&lt;&gt;"",A1238=fiche_sel),COUNTIF(A$6:A1238,fiche_sel),"")</f>
        <v/>
      </c>
    </row>
    <row r="1239">
      <c r="A1239" s="60" t="n"/>
      <c r="B1239" s="60" t="n"/>
      <c r="C1239" s="71" t="str">
        <f>IF(B1239="","",IFERROR(INDEX(mat_des,MATCH(B1239,mat_ref,0))&amp;"","Matière inconnue"))</f>
        <v/>
      </c>
      <c r="D1239" s="69" t="str">
        <f>IF(B1239="","",IFERROR(INDEX(mat_unit,MATCH(B1239,mat_ref,0))&amp;"",""))</f>
        <v/>
      </c>
      <c r="E1239" s="72" t="n"/>
      <c r="F1239" s="65" t="n"/>
      <c r="G1239" s="68" t="str">
        <f>IF(J1239&lt;&gt;"OK","",IF(F1239="",N(INDEX(mat_loss,MATCH(B1239,mat_ref,0))),F1239))</f>
        <v/>
      </c>
      <c r="H1239" s="66" t="str">
        <f>IF(J1239&lt;&gt;"OK","",INDEX(mat_price,MATCH(B1239,mat_ref,0)))</f>
        <v/>
      </c>
      <c r="I1239" s="66" t="str">
        <f>IF(J1239&lt;&gt;"OK","",E1239*(1+G1239)*H1239)</f>
        <v/>
      </c>
      <c r="J1239" s="69" t="str">
        <f>IF(AND(A1239="",B1239=""),"",IF(A1239="","Produit manquant",IF(COUNTIF(prod_ref,A1239)=0,"Produit inconnu",IF(B1239="","Matière manquante",IF(ISNA(MATCH(B1239,mat_ref,0)),"Matière inconnue",IF(INDEX(mat_check,MATCH(B1239,mat_ref,0))&lt;&gt;"OK","Matière à corriger",IF(OR(NOT(ISNUMBER(E1239)),N(E1239)&lt;=0),"Quantité invalide",IF(AND(F1239&lt;&gt;"",OR(NOT(ISNUMBER(F1239)),N(F1239)&lt;0,N(F1239)&gt;=1)),"Perte entre 0 et 99 %",IF(COUNTIFS(bom_prod,A1239,bom_mat,B1239)&gt;1,"Matière en double","OK")))))))))</f>
        <v/>
      </c>
      <c r="K1239" s="71" t="str">
        <f>IF(AND(fiche_sel&lt;&gt;"",A1239=fiche_sel),COUNTIF(A$6:A1239,fiche_sel),"")</f>
        <v/>
      </c>
    </row>
    <row r="1240">
      <c r="A1240" s="60" t="n"/>
      <c r="B1240" s="60" t="n"/>
      <c r="C1240" s="71" t="str">
        <f>IF(B1240="","",IFERROR(INDEX(mat_des,MATCH(B1240,mat_ref,0))&amp;"","Matière inconnue"))</f>
        <v/>
      </c>
      <c r="D1240" s="69" t="str">
        <f>IF(B1240="","",IFERROR(INDEX(mat_unit,MATCH(B1240,mat_ref,0))&amp;"",""))</f>
        <v/>
      </c>
      <c r="E1240" s="72" t="n"/>
      <c r="F1240" s="65" t="n"/>
      <c r="G1240" s="68" t="str">
        <f>IF(J1240&lt;&gt;"OK","",IF(F1240="",N(INDEX(mat_loss,MATCH(B1240,mat_ref,0))),F1240))</f>
        <v/>
      </c>
      <c r="H1240" s="66" t="str">
        <f>IF(J1240&lt;&gt;"OK","",INDEX(mat_price,MATCH(B1240,mat_ref,0)))</f>
        <v/>
      </c>
      <c r="I1240" s="66" t="str">
        <f>IF(J1240&lt;&gt;"OK","",E1240*(1+G1240)*H1240)</f>
        <v/>
      </c>
      <c r="J1240" s="69" t="str">
        <f>IF(AND(A1240="",B1240=""),"",IF(A1240="","Produit manquant",IF(COUNTIF(prod_ref,A1240)=0,"Produit inconnu",IF(B1240="","Matière manquante",IF(ISNA(MATCH(B1240,mat_ref,0)),"Matière inconnue",IF(INDEX(mat_check,MATCH(B1240,mat_ref,0))&lt;&gt;"OK","Matière à corriger",IF(OR(NOT(ISNUMBER(E1240)),N(E1240)&lt;=0),"Quantité invalide",IF(AND(F1240&lt;&gt;"",OR(NOT(ISNUMBER(F1240)),N(F1240)&lt;0,N(F1240)&gt;=1)),"Perte entre 0 et 99 %",IF(COUNTIFS(bom_prod,A1240,bom_mat,B1240)&gt;1,"Matière en double","OK")))))))))</f>
        <v/>
      </c>
      <c r="K1240" s="71" t="str">
        <f>IF(AND(fiche_sel&lt;&gt;"",A1240=fiche_sel),COUNTIF(A$6:A1240,fiche_sel),"")</f>
        <v/>
      </c>
    </row>
    <row r="1241">
      <c r="A1241" s="60" t="n"/>
      <c r="B1241" s="60" t="n"/>
      <c r="C1241" s="71" t="str">
        <f>IF(B1241="","",IFERROR(INDEX(mat_des,MATCH(B1241,mat_ref,0))&amp;"","Matière inconnue"))</f>
        <v/>
      </c>
      <c r="D1241" s="69" t="str">
        <f>IF(B1241="","",IFERROR(INDEX(mat_unit,MATCH(B1241,mat_ref,0))&amp;"",""))</f>
        <v/>
      </c>
      <c r="E1241" s="72" t="n"/>
      <c r="F1241" s="65" t="n"/>
      <c r="G1241" s="68" t="str">
        <f>IF(J1241&lt;&gt;"OK","",IF(F1241="",N(INDEX(mat_loss,MATCH(B1241,mat_ref,0))),F1241))</f>
        <v/>
      </c>
      <c r="H1241" s="66" t="str">
        <f>IF(J1241&lt;&gt;"OK","",INDEX(mat_price,MATCH(B1241,mat_ref,0)))</f>
        <v/>
      </c>
      <c r="I1241" s="66" t="str">
        <f>IF(J1241&lt;&gt;"OK","",E1241*(1+G1241)*H1241)</f>
        <v/>
      </c>
      <c r="J1241" s="69" t="str">
        <f>IF(AND(A1241="",B1241=""),"",IF(A1241="","Produit manquant",IF(COUNTIF(prod_ref,A1241)=0,"Produit inconnu",IF(B1241="","Matière manquante",IF(ISNA(MATCH(B1241,mat_ref,0)),"Matière inconnue",IF(INDEX(mat_check,MATCH(B1241,mat_ref,0))&lt;&gt;"OK","Matière à corriger",IF(OR(NOT(ISNUMBER(E1241)),N(E1241)&lt;=0),"Quantité invalide",IF(AND(F1241&lt;&gt;"",OR(NOT(ISNUMBER(F1241)),N(F1241)&lt;0,N(F1241)&gt;=1)),"Perte entre 0 et 99 %",IF(COUNTIFS(bom_prod,A1241,bom_mat,B1241)&gt;1,"Matière en double","OK")))))))))</f>
        <v/>
      </c>
      <c r="K1241" s="71" t="str">
        <f>IF(AND(fiche_sel&lt;&gt;"",A1241=fiche_sel),COUNTIF(A$6:A1241,fiche_sel),"")</f>
        <v/>
      </c>
    </row>
    <row r="1242">
      <c r="A1242" s="60" t="n"/>
      <c r="B1242" s="60" t="n"/>
      <c r="C1242" s="71" t="str">
        <f>IF(B1242="","",IFERROR(INDEX(mat_des,MATCH(B1242,mat_ref,0))&amp;"","Matière inconnue"))</f>
        <v/>
      </c>
      <c r="D1242" s="69" t="str">
        <f>IF(B1242="","",IFERROR(INDEX(mat_unit,MATCH(B1242,mat_ref,0))&amp;"",""))</f>
        <v/>
      </c>
      <c r="E1242" s="72" t="n"/>
      <c r="F1242" s="65" t="n"/>
      <c r="G1242" s="68" t="str">
        <f>IF(J1242&lt;&gt;"OK","",IF(F1242="",N(INDEX(mat_loss,MATCH(B1242,mat_ref,0))),F1242))</f>
        <v/>
      </c>
      <c r="H1242" s="66" t="str">
        <f>IF(J1242&lt;&gt;"OK","",INDEX(mat_price,MATCH(B1242,mat_ref,0)))</f>
        <v/>
      </c>
      <c r="I1242" s="66" t="str">
        <f>IF(J1242&lt;&gt;"OK","",E1242*(1+G1242)*H1242)</f>
        <v/>
      </c>
      <c r="J1242" s="69" t="str">
        <f>IF(AND(A1242="",B1242=""),"",IF(A1242="","Produit manquant",IF(COUNTIF(prod_ref,A1242)=0,"Produit inconnu",IF(B1242="","Matière manquante",IF(ISNA(MATCH(B1242,mat_ref,0)),"Matière inconnue",IF(INDEX(mat_check,MATCH(B1242,mat_ref,0))&lt;&gt;"OK","Matière à corriger",IF(OR(NOT(ISNUMBER(E1242)),N(E1242)&lt;=0),"Quantité invalide",IF(AND(F1242&lt;&gt;"",OR(NOT(ISNUMBER(F1242)),N(F1242)&lt;0,N(F1242)&gt;=1)),"Perte entre 0 et 99 %",IF(COUNTIFS(bom_prod,A1242,bom_mat,B1242)&gt;1,"Matière en double","OK")))))))))</f>
        <v/>
      </c>
      <c r="K1242" s="71" t="str">
        <f>IF(AND(fiche_sel&lt;&gt;"",A1242=fiche_sel),COUNTIF(A$6:A1242,fiche_sel),"")</f>
        <v/>
      </c>
    </row>
    <row r="1243">
      <c r="A1243" s="60" t="n"/>
      <c r="B1243" s="60" t="n"/>
      <c r="C1243" s="71" t="str">
        <f>IF(B1243="","",IFERROR(INDEX(mat_des,MATCH(B1243,mat_ref,0))&amp;"","Matière inconnue"))</f>
        <v/>
      </c>
      <c r="D1243" s="69" t="str">
        <f>IF(B1243="","",IFERROR(INDEX(mat_unit,MATCH(B1243,mat_ref,0))&amp;"",""))</f>
        <v/>
      </c>
      <c r="E1243" s="72" t="n"/>
      <c r="F1243" s="65" t="n"/>
      <c r="G1243" s="68" t="str">
        <f>IF(J1243&lt;&gt;"OK","",IF(F1243="",N(INDEX(mat_loss,MATCH(B1243,mat_ref,0))),F1243))</f>
        <v/>
      </c>
      <c r="H1243" s="66" t="str">
        <f>IF(J1243&lt;&gt;"OK","",INDEX(mat_price,MATCH(B1243,mat_ref,0)))</f>
        <v/>
      </c>
      <c r="I1243" s="66" t="str">
        <f>IF(J1243&lt;&gt;"OK","",E1243*(1+G1243)*H1243)</f>
        <v/>
      </c>
      <c r="J1243" s="69" t="str">
        <f>IF(AND(A1243="",B1243=""),"",IF(A1243="","Produit manquant",IF(COUNTIF(prod_ref,A1243)=0,"Produit inconnu",IF(B1243="","Matière manquante",IF(ISNA(MATCH(B1243,mat_ref,0)),"Matière inconnue",IF(INDEX(mat_check,MATCH(B1243,mat_ref,0))&lt;&gt;"OK","Matière à corriger",IF(OR(NOT(ISNUMBER(E1243)),N(E1243)&lt;=0),"Quantité invalide",IF(AND(F1243&lt;&gt;"",OR(NOT(ISNUMBER(F1243)),N(F1243)&lt;0,N(F1243)&gt;=1)),"Perte entre 0 et 99 %",IF(COUNTIFS(bom_prod,A1243,bom_mat,B1243)&gt;1,"Matière en double","OK")))))))))</f>
        <v/>
      </c>
      <c r="K1243" s="71" t="str">
        <f>IF(AND(fiche_sel&lt;&gt;"",A1243=fiche_sel),COUNTIF(A$6:A1243,fiche_sel),"")</f>
        <v/>
      </c>
    </row>
    <row r="1244">
      <c r="A1244" s="60" t="n"/>
      <c r="B1244" s="60" t="n"/>
      <c r="C1244" s="71" t="str">
        <f>IF(B1244="","",IFERROR(INDEX(mat_des,MATCH(B1244,mat_ref,0))&amp;"","Matière inconnue"))</f>
        <v/>
      </c>
      <c r="D1244" s="69" t="str">
        <f>IF(B1244="","",IFERROR(INDEX(mat_unit,MATCH(B1244,mat_ref,0))&amp;"",""))</f>
        <v/>
      </c>
      <c r="E1244" s="72" t="n"/>
      <c r="F1244" s="65" t="n"/>
      <c r="G1244" s="68" t="str">
        <f>IF(J1244&lt;&gt;"OK","",IF(F1244="",N(INDEX(mat_loss,MATCH(B1244,mat_ref,0))),F1244))</f>
        <v/>
      </c>
      <c r="H1244" s="66" t="str">
        <f>IF(J1244&lt;&gt;"OK","",INDEX(mat_price,MATCH(B1244,mat_ref,0)))</f>
        <v/>
      </c>
      <c r="I1244" s="66" t="str">
        <f>IF(J1244&lt;&gt;"OK","",E1244*(1+G1244)*H1244)</f>
        <v/>
      </c>
      <c r="J1244" s="69" t="str">
        <f>IF(AND(A1244="",B1244=""),"",IF(A1244="","Produit manquant",IF(COUNTIF(prod_ref,A1244)=0,"Produit inconnu",IF(B1244="","Matière manquante",IF(ISNA(MATCH(B1244,mat_ref,0)),"Matière inconnue",IF(INDEX(mat_check,MATCH(B1244,mat_ref,0))&lt;&gt;"OK","Matière à corriger",IF(OR(NOT(ISNUMBER(E1244)),N(E1244)&lt;=0),"Quantité invalide",IF(AND(F1244&lt;&gt;"",OR(NOT(ISNUMBER(F1244)),N(F1244)&lt;0,N(F1244)&gt;=1)),"Perte entre 0 et 99 %",IF(COUNTIFS(bom_prod,A1244,bom_mat,B1244)&gt;1,"Matière en double","OK")))))))))</f>
        <v/>
      </c>
      <c r="K1244" s="71" t="str">
        <f>IF(AND(fiche_sel&lt;&gt;"",A1244=fiche_sel),COUNTIF(A$6:A1244,fiche_sel),"")</f>
        <v/>
      </c>
    </row>
    <row r="1245">
      <c r="A1245" s="60" t="n"/>
      <c r="B1245" s="60" t="n"/>
      <c r="C1245" s="71" t="str">
        <f>IF(B1245="","",IFERROR(INDEX(mat_des,MATCH(B1245,mat_ref,0))&amp;"","Matière inconnue"))</f>
        <v/>
      </c>
      <c r="D1245" s="69" t="str">
        <f>IF(B1245="","",IFERROR(INDEX(mat_unit,MATCH(B1245,mat_ref,0))&amp;"",""))</f>
        <v/>
      </c>
      <c r="E1245" s="72" t="n"/>
      <c r="F1245" s="65" t="n"/>
      <c r="G1245" s="68" t="str">
        <f>IF(J1245&lt;&gt;"OK","",IF(F1245="",N(INDEX(mat_loss,MATCH(B1245,mat_ref,0))),F1245))</f>
        <v/>
      </c>
      <c r="H1245" s="66" t="str">
        <f>IF(J1245&lt;&gt;"OK","",INDEX(mat_price,MATCH(B1245,mat_ref,0)))</f>
        <v/>
      </c>
      <c r="I1245" s="66" t="str">
        <f>IF(J1245&lt;&gt;"OK","",E1245*(1+G1245)*H1245)</f>
        <v/>
      </c>
      <c r="J1245" s="69" t="str">
        <f>IF(AND(A1245="",B1245=""),"",IF(A1245="","Produit manquant",IF(COUNTIF(prod_ref,A1245)=0,"Produit inconnu",IF(B1245="","Matière manquante",IF(ISNA(MATCH(B1245,mat_ref,0)),"Matière inconnue",IF(INDEX(mat_check,MATCH(B1245,mat_ref,0))&lt;&gt;"OK","Matière à corriger",IF(OR(NOT(ISNUMBER(E1245)),N(E1245)&lt;=0),"Quantité invalide",IF(AND(F1245&lt;&gt;"",OR(NOT(ISNUMBER(F1245)),N(F1245)&lt;0,N(F1245)&gt;=1)),"Perte entre 0 et 99 %",IF(COUNTIFS(bom_prod,A1245,bom_mat,B1245)&gt;1,"Matière en double","OK")))))))))</f>
        <v/>
      </c>
      <c r="K1245" s="71" t="str">
        <f>IF(AND(fiche_sel&lt;&gt;"",A1245=fiche_sel),COUNTIF(A$6:A1245,fiche_sel),"")</f>
        <v/>
      </c>
    </row>
    <row r="1246">
      <c r="A1246" s="60" t="n"/>
      <c r="B1246" s="60" t="n"/>
      <c r="C1246" s="71" t="str">
        <f>IF(B1246="","",IFERROR(INDEX(mat_des,MATCH(B1246,mat_ref,0))&amp;"","Matière inconnue"))</f>
        <v/>
      </c>
      <c r="D1246" s="69" t="str">
        <f>IF(B1246="","",IFERROR(INDEX(mat_unit,MATCH(B1246,mat_ref,0))&amp;"",""))</f>
        <v/>
      </c>
      <c r="E1246" s="72" t="n"/>
      <c r="F1246" s="65" t="n"/>
      <c r="G1246" s="68" t="str">
        <f>IF(J1246&lt;&gt;"OK","",IF(F1246="",N(INDEX(mat_loss,MATCH(B1246,mat_ref,0))),F1246))</f>
        <v/>
      </c>
      <c r="H1246" s="66" t="str">
        <f>IF(J1246&lt;&gt;"OK","",INDEX(mat_price,MATCH(B1246,mat_ref,0)))</f>
        <v/>
      </c>
      <c r="I1246" s="66" t="str">
        <f>IF(J1246&lt;&gt;"OK","",E1246*(1+G1246)*H1246)</f>
        <v/>
      </c>
      <c r="J1246" s="69" t="str">
        <f>IF(AND(A1246="",B1246=""),"",IF(A1246="","Produit manquant",IF(COUNTIF(prod_ref,A1246)=0,"Produit inconnu",IF(B1246="","Matière manquante",IF(ISNA(MATCH(B1246,mat_ref,0)),"Matière inconnue",IF(INDEX(mat_check,MATCH(B1246,mat_ref,0))&lt;&gt;"OK","Matière à corriger",IF(OR(NOT(ISNUMBER(E1246)),N(E1246)&lt;=0),"Quantité invalide",IF(AND(F1246&lt;&gt;"",OR(NOT(ISNUMBER(F1246)),N(F1246)&lt;0,N(F1246)&gt;=1)),"Perte entre 0 et 99 %",IF(COUNTIFS(bom_prod,A1246,bom_mat,B1246)&gt;1,"Matière en double","OK")))))))))</f>
        <v/>
      </c>
      <c r="K1246" s="71" t="str">
        <f>IF(AND(fiche_sel&lt;&gt;"",A1246=fiche_sel),COUNTIF(A$6:A1246,fiche_sel),"")</f>
        <v/>
      </c>
    </row>
    <row r="1247">
      <c r="A1247" s="60" t="n"/>
      <c r="B1247" s="60" t="n"/>
      <c r="C1247" s="71" t="str">
        <f>IF(B1247="","",IFERROR(INDEX(mat_des,MATCH(B1247,mat_ref,0))&amp;"","Matière inconnue"))</f>
        <v/>
      </c>
      <c r="D1247" s="69" t="str">
        <f>IF(B1247="","",IFERROR(INDEX(mat_unit,MATCH(B1247,mat_ref,0))&amp;"",""))</f>
        <v/>
      </c>
      <c r="E1247" s="72" t="n"/>
      <c r="F1247" s="65" t="n"/>
      <c r="G1247" s="68" t="str">
        <f>IF(J1247&lt;&gt;"OK","",IF(F1247="",N(INDEX(mat_loss,MATCH(B1247,mat_ref,0))),F1247))</f>
        <v/>
      </c>
      <c r="H1247" s="66" t="str">
        <f>IF(J1247&lt;&gt;"OK","",INDEX(mat_price,MATCH(B1247,mat_ref,0)))</f>
        <v/>
      </c>
      <c r="I1247" s="66" t="str">
        <f>IF(J1247&lt;&gt;"OK","",E1247*(1+G1247)*H1247)</f>
        <v/>
      </c>
      <c r="J1247" s="69" t="str">
        <f>IF(AND(A1247="",B1247=""),"",IF(A1247="","Produit manquant",IF(COUNTIF(prod_ref,A1247)=0,"Produit inconnu",IF(B1247="","Matière manquante",IF(ISNA(MATCH(B1247,mat_ref,0)),"Matière inconnue",IF(INDEX(mat_check,MATCH(B1247,mat_ref,0))&lt;&gt;"OK","Matière à corriger",IF(OR(NOT(ISNUMBER(E1247)),N(E1247)&lt;=0),"Quantité invalide",IF(AND(F1247&lt;&gt;"",OR(NOT(ISNUMBER(F1247)),N(F1247)&lt;0,N(F1247)&gt;=1)),"Perte entre 0 et 99 %",IF(COUNTIFS(bom_prod,A1247,bom_mat,B1247)&gt;1,"Matière en double","OK")))))))))</f>
        <v/>
      </c>
      <c r="K1247" s="71" t="str">
        <f>IF(AND(fiche_sel&lt;&gt;"",A1247=fiche_sel),COUNTIF(A$6:A1247,fiche_sel),"")</f>
        <v/>
      </c>
    </row>
    <row r="1248">
      <c r="A1248" s="60" t="n"/>
      <c r="B1248" s="60" t="n"/>
      <c r="C1248" s="71" t="str">
        <f>IF(B1248="","",IFERROR(INDEX(mat_des,MATCH(B1248,mat_ref,0))&amp;"","Matière inconnue"))</f>
        <v/>
      </c>
      <c r="D1248" s="69" t="str">
        <f>IF(B1248="","",IFERROR(INDEX(mat_unit,MATCH(B1248,mat_ref,0))&amp;"",""))</f>
        <v/>
      </c>
      <c r="E1248" s="72" t="n"/>
      <c r="F1248" s="65" t="n"/>
      <c r="G1248" s="68" t="str">
        <f>IF(J1248&lt;&gt;"OK","",IF(F1248="",N(INDEX(mat_loss,MATCH(B1248,mat_ref,0))),F1248))</f>
        <v/>
      </c>
      <c r="H1248" s="66" t="str">
        <f>IF(J1248&lt;&gt;"OK","",INDEX(mat_price,MATCH(B1248,mat_ref,0)))</f>
        <v/>
      </c>
      <c r="I1248" s="66" t="str">
        <f>IF(J1248&lt;&gt;"OK","",E1248*(1+G1248)*H1248)</f>
        <v/>
      </c>
      <c r="J1248" s="69" t="str">
        <f>IF(AND(A1248="",B1248=""),"",IF(A1248="","Produit manquant",IF(COUNTIF(prod_ref,A1248)=0,"Produit inconnu",IF(B1248="","Matière manquante",IF(ISNA(MATCH(B1248,mat_ref,0)),"Matière inconnue",IF(INDEX(mat_check,MATCH(B1248,mat_ref,0))&lt;&gt;"OK","Matière à corriger",IF(OR(NOT(ISNUMBER(E1248)),N(E1248)&lt;=0),"Quantité invalide",IF(AND(F1248&lt;&gt;"",OR(NOT(ISNUMBER(F1248)),N(F1248)&lt;0,N(F1248)&gt;=1)),"Perte entre 0 et 99 %",IF(COUNTIFS(bom_prod,A1248,bom_mat,B1248)&gt;1,"Matière en double","OK")))))))))</f>
        <v/>
      </c>
      <c r="K1248" s="71" t="str">
        <f>IF(AND(fiche_sel&lt;&gt;"",A1248=fiche_sel),COUNTIF(A$6:A1248,fiche_sel),"")</f>
        <v/>
      </c>
    </row>
    <row r="1249">
      <c r="A1249" s="60" t="n"/>
      <c r="B1249" s="60" t="n"/>
      <c r="C1249" s="71" t="str">
        <f>IF(B1249="","",IFERROR(INDEX(mat_des,MATCH(B1249,mat_ref,0))&amp;"","Matière inconnue"))</f>
        <v/>
      </c>
      <c r="D1249" s="69" t="str">
        <f>IF(B1249="","",IFERROR(INDEX(mat_unit,MATCH(B1249,mat_ref,0))&amp;"",""))</f>
        <v/>
      </c>
      <c r="E1249" s="72" t="n"/>
      <c r="F1249" s="65" t="n"/>
      <c r="G1249" s="68" t="str">
        <f>IF(J1249&lt;&gt;"OK","",IF(F1249="",N(INDEX(mat_loss,MATCH(B1249,mat_ref,0))),F1249))</f>
        <v/>
      </c>
      <c r="H1249" s="66" t="str">
        <f>IF(J1249&lt;&gt;"OK","",INDEX(mat_price,MATCH(B1249,mat_ref,0)))</f>
        <v/>
      </c>
      <c r="I1249" s="66" t="str">
        <f>IF(J1249&lt;&gt;"OK","",E1249*(1+G1249)*H1249)</f>
        <v/>
      </c>
      <c r="J1249" s="69" t="str">
        <f>IF(AND(A1249="",B1249=""),"",IF(A1249="","Produit manquant",IF(COUNTIF(prod_ref,A1249)=0,"Produit inconnu",IF(B1249="","Matière manquante",IF(ISNA(MATCH(B1249,mat_ref,0)),"Matière inconnue",IF(INDEX(mat_check,MATCH(B1249,mat_ref,0))&lt;&gt;"OK","Matière à corriger",IF(OR(NOT(ISNUMBER(E1249)),N(E1249)&lt;=0),"Quantité invalide",IF(AND(F1249&lt;&gt;"",OR(NOT(ISNUMBER(F1249)),N(F1249)&lt;0,N(F1249)&gt;=1)),"Perte entre 0 et 99 %",IF(COUNTIFS(bom_prod,A1249,bom_mat,B1249)&gt;1,"Matière en double","OK")))))))))</f>
        <v/>
      </c>
      <c r="K1249" s="71" t="str">
        <f>IF(AND(fiche_sel&lt;&gt;"",A1249=fiche_sel),COUNTIF(A$6:A1249,fiche_sel),"")</f>
        <v/>
      </c>
    </row>
    <row r="1250">
      <c r="A1250" s="60" t="n"/>
      <c r="B1250" s="60" t="n"/>
      <c r="C1250" s="71" t="str">
        <f>IF(B1250="","",IFERROR(INDEX(mat_des,MATCH(B1250,mat_ref,0))&amp;"","Matière inconnue"))</f>
        <v/>
      </c>
      <c r="D1250" s="69" t="str">
        <f>IF(B1250="","",IFERROR(INDEX(mat_unit,MATCH(B1250,mat_ref,0))&amp;"",""))</f>
        <v/>
      </c>
      <c r="E1250" s="72" t="n"/>
      <c r="F1250" s="65" t="n"/>
      <c r="G1250" s="68" t="str">
        <f>IF(J1250&lt;&gt;"OK","",IF(F1250="",N(INDEX(mat_loss,MATCH(B1250,mat_ref,0))),F1250))</f>
        <v/>
      </c>
      <c r="H1250" s="66" t="str">
        <f>IF(J1250&lt;&gt;"OK","",INDEX(mat_price,MATCH(B1250,mat_ref,0)))</f>
        <v/>
      </c>
      <c r="I1250" s="66" t="str">
        <f>IF(J1250&lt;&gt;"OK","",E1250*(1+G1250)*H1250)</f>
        <v/>
      </c>
      <c r="J1250" s="69" t="str">
        <f>IF(AND(A1250="",B1250=""),"",IF(A1250="","Produit manquant",IF(COUNTIF(prod_ref,A1250)=0,"Produit inconnu",IF(B1250="","Matière manquante",IF(ISNA(MATCH(B1250,mat_ref,0)),"Matière inconnue",IF(INDEX(mat_check,MATCH(B1250,mat_ref,0))&lt;&gt;"OK","Matière à corriger",IF(OR(NOT(ISNUMBER(E1250)),N(E1250)&lt;=0),"Quantité invalide",IF(AND(F1250&lt;&gt;"",OR(NOT(ISNUMBER(F1250)),N(F1250)&lt;0,N(F1250)&gt;=1)),"Perte entre 0 et 99 %",IF(COUNTIFS(bom_prod,A1250,bom_mat,B1250)&gt;1,"Matière en double","OK")))))))))</f>
        <v/>
      </c>
      <c r="K1250" s="71" t="str">
        <f>IF(AND(fiche_sel&lt;&gt;"",A1250=fiche_sel),COUNTIF(A$6:A1250,fiche_sel),"")</f>
        <v/>
      </c>
    </row>
    <row r="1251">
      <c r="A1251" s="60" t="n"/>
      <c r="B1251" s="60" t="n"/>
      <c r="C1251" s="71" t="str">
        <f>IF(B1251="","",IFERROR(INDEX(mat_des,MATCH(B1251,mat_ref,0))&amp;"","Matière inconnue"))</f>
        <v/>
      </c>
      <c r="D1251" s="69" t="str">
        <f>IF(B1251="","",IFERROR(INDEX(mat_unit,MATCH(B1251,mat_ref,0))&amp;"",""))</f>
        <v/>
      </c>
      <c r="E1251" s="72" t="n"/>
      <c r="F1251" s="65" t="n"/>
      <c r="G1251" s="68" t="str">
        <f>IF(J1251&lt;&gt;"OK","",IF(F1251="",N(INDEX(mat_loss,MATCH(B1251,mat_ref,0))),F1251))</f>
        <v/>
      </c>
      <c r="H1251" s="66" t="str">
        <f>IF(J1251&lt;&gt;"OK","",INDEX(mat_price,MATCH(B1251,mat_ref,0)))</f>
        <v/>
      </c>
      <c r="I1251" s="66" t="str">
        <f>IF(J1251&lt;&gt;"OK","",E1251*(1+G1251)*H1251)</f>
        <v/>
      </c>
      <c r="J1251" s="69" t="str">
        <f>IF(AND(A1251="",B1251=""),"",IF(A1251="","Produit manquant",IF(COUNTIF(prod_ref,A1251)=0,"Produit inconnu",IF(B1251="","Matière manquante",IF(ISNA(MATCH(B1251,mat_ref,0)),"Matière inconnue",IF(INDEX(mat_check,MATCH(B1251,mat_ref,0))&lt;&gt;"OK","Matière à corriger",IF(OR(NOT(ISNUMBER(E1251)),N(E1251)&lt;=0),"Quantité invalide",IF(AND(F1251&lt;&gt;"",OR(NOT(ISNUMBER(F1251)),N(F1251)&lt;0,N(F1251)&gt;=1)),"Perte entre 0 et 99 %",IF(COUNTIFS(bom_prod,A1251,bom_mat,B1251)&gt;1,"Matière en double","OK")))))))))</f>
        <v/>
      </c>
      <c r="K1251" s="71" t="str">
        <f>IF(AND(fiche_sel&lt;&gt;"",A1251=fiche_sel),COUNTIF(A$6:A1251,fiche_sel),"")</f>
        <v/>
      </c>
    </row>
    <row r="1252">
      <c r="A1252" s="60" t="n"/>
      <c r="B1252" s="60" t="n"/>
      <c r="C1252" s="71" t="str">
        <f>IF(B1252="","",IFERROR(INDEX(mat_des,MATCH(B1252,mat_ref,0))&amp;"","Matière inconnue"))</f>
        <v/>
      </c>
      <c r="D1252" s="69" t="str">
        <f>IF(B1252="","",IFERROR(INDEX(mat_unit,MATCH(B1252,mat_ref,0))&amp;"",""))</f>
        <v/>
      </c>
      <c r="E1252" s="72" t="n"/>
      <c r="F1252" s="65" t="n"/>
      <c r="G1252" s="68" t="str">
        <f>IF(J1252&lt;&gt;"OK","",IF(F1252="",N(INDEX(mat_loss,MATCH(B1252,mat_ref,0))),F1252))</f>
        <v/>
      </c>
      <c r="H1252" s="66" t="str">
        <f>IF(J1252&lt;&gt;"OK","",INDEX(mat_price,MATCH(B1252,mat_ref,0)))</f>
        <v/>
      </c>
      <c r="I1252" s="66" t="str">
        <f>IF(J1252&lt;&gt;"OK","",E1252*(1+G1252)*H1252)</f>
        <v/>
      </c>
      <c r="J1252" s="69" t="str">
        <f>IF(AND(A1252="",B1252=""),"",IF(A1252="","Produit manquant",IF(COUNTIF(prod_ref,A1252)=0,"Produit inconnu",IF(B1252="","Matière manquante",IF(ISNA(MATCH(B1252,mat_ref,0)),"Matière inconnue",IF(INDEX(mat_check,MATCH(B1252,mat_ref,0))&lt;&gt;"OK","Matière à corriger",IF(OR(NOT(ISNUMBER(E1252)),N(E1252)&lt;=0),"Quantité invalide",IF(AND(F1252&lt;&gt;"",OR(NOT(ISNUMBER(F1252)),N(F1252)&lt;0,N(F1252)&gt;=1)),"Perte entre 0 et 99 %",IF(COUNTIFS(bom_prod,A1252,bom_mat,B1252)&gt;1,"Matière en double","OK")))))))))</f>
        <v/>
      </c>
      <c r="K1252" s="71" t="str">
        <f>IF(AND(fiche_sel&lt;&gt;"",A1252=fiche_sel),COUNTIF(A$6:A1252,fiche_sel),"")</f>
        <v/>
      </c>
    </row>
    <row r="1253">
      <c r="A1253" s="60" t="n"/>
      <c r="B1253" s="60" t="n"/>
      <c r="C1253" s="71" t="str">
        <f>IF(B1253="","",IFERROR(INDEX(mat_des,MATCH(B1253,mat_ref,0))&amp;"","Matière inconnue"))</f>
        <v/>
      </c>
      <c r="D1253" s="69" t="str">
        <f>IF(B1253="","",IFERROR(INDEX(mat_unit,MATCH(B1253,mat_ref,0))&amp;"",""))</f>
        <v/>
      </c>
      <c r="E1253" s="72" t="n"/>
      <c r="F1253" s="65" t="n"/>
      <c r="G1253" s="68" t="str">
        <f>IF(J1253&lt;&gt;"OK","",IF(F1253="",N(INDEX(mat_loss,MATCH(B1253,mat_ref,0))),F1253))</f>
        <v/>
      </c>
      <c r="H1253" s="66" t="str">
        <f>IF(J1253&lt;&gt;"OK","",INDEX(mat_price,MATCH(B1253,mat_ref,0)))</f>
        <v/>
      </c>
      <c r="I1253" s="66" t="str">
        <f>IF(J1253&lt;&gt;"OK","",E1253*(1+G1253)*H1253)</f>
        <v/>
      </c>
      <c r="J1253" s="69" t="str">
        <f>IF(AND(A1253="",B1253=""),"",IF(A1253="","Produit manquant",IF(COUNTIF(prod_ref,A1253)=0,"Produit inconnu",IF(B1253="","Matière manquante",IF(ISNA(MATCH(B1253,mat_ref,0)),"Matière inconnue",IF(INDEX(mat_check,MATCH(B1253,mat_ref,0))&lt;&gt;"OK","Matière à corriger",IF(OR(NOT(ISNUMBER(E1253)),N(E1253)&lt;=0),"Quantité invalide",IF(AND(F1253&lt;&gt;"",OR(NOT(ISNUMBER(F1253)),N(F1253)&lt;0,N(F1253)&gt;=1)),"Perte entre 0 et 99 %",IF(COUNTIFS(bom_prod,A1253,bom_mat,B1253)&gt;1,"Matière en double","OK")))))))))</f>
        <v/>
      </c>
      <c r="K1253" s="71" t="str">
        <f>IF(AND(fiche_sel&lt;&gt;"",A1253=fiche_sel),COUNTIF(A$6:A1253,fiche_sel),"")</f>
        <v/>
      </c>
    </row>
    <row r="1254">
      <c r="A1254" s="60" t="n"/>
      <c r="B1254" s="60" t="n"/>
      <c r="C1254" s="71" t="str">
        <f>IF(B1254="","",IFERROR(INDEX(mat_des,MATCH(B1254,mat_ref,0))&amp;"","Matière inconnue"))</f>
        <v/>
      </c>
      <c r="D1254" s="69" t="str">
        <f>IF(B1254="","",IFERROR(INDEX(mat_unit,MATCH(B1254,mat_ref,0))&amp;"",""))</f>
        <v/>
      </c>
      <c r="E1254" s="72" t="n"/>
      <c r="F1254" s="65" t="n"/>
      <c r="G1254" s="68" t="str">
        <f>IF(J1254&lt;&gt;"OK","",IF(F1254="",N(INDEX(mat_loss,MATCH(B1254,mat_ref,0))),F1254))</f>
        <v/>
      </c>
      <c r="H1254" s="66" t="str">
        <f>IF(J1254&lt;&gt;"OK","",INDEX(mat_price,MATCH(B1254,mat_ref,0)))</f>
        <v/>
      </c>
      <c r="I1254" s="66" t="str">
        <f>IF(J1254&lt;&gt;"OK","",E1254*(1+G1254)*H1254)</f>
        <v/>
      </c>
      <c r="J1254" s="69" t="str">
        <f>IF(AND(A1254="",B1254=""),"",IF(A1254="","Produit manquant",IF(COUNTIF(prod_ref,A1254)=0,"Produit inconnu",IF(B1254="","Matière manquante",IF(ISNA(MATCH(B1254,mat_ref,0)),"Matière inconnue",IF(INDEX(mat_check,MATCH(B1254,mat_ref,0))&lt;&gt;"OK","Matière à corriger",IF(OR(NOT(ISNUMBER(E1254)),N(E1254)&lt;=0),"Quantité invalide",IF(AND(F1254&lt;&gt;"",OR(NOT(ISNUMBER(F1254)),N(F1254)&lt;0,N(F1254)&gt;=1)),"Perte entre 0 et 99 %",IF(COUNTIFS(bom_prod,A1254,bom_mat,B1254)&gt;1,"Matière en double","OK")))))))))</f>
        <v/>
      </c>
      <c r="K1254" s="71" t="str">
        <f>IF(AND(fiche_sel&lt;&gt;"",A1254=fiche_sel),COUNTIF(A$6:A1254,fiche_sel),"")</f>
        <v/>
      </c>
    </row>
    <row r="1255">
      <c r="A1255" s="60" t="n"/>
      <c r="B1255" s="60" t="n"/>
      <c r="C1255" s="71" t="str">
        <f>IF(B1255="","",IFERROR(INDEX(mat_des,MATCH(B1255,mat_ref,0))&amp;"","Matière inconnue"))</f>
        <v/>
      </c>
      <c r="D1255" s="69" t="str">
        <f>IF(B1255="","",IFERROR(INDEX(mat_unit,MATCH(B1255,mat_ref,0))&amp;"",""))</f>
        <v/>
      </c>
      <c r="E1255" s="72" t="n"/>
      <c r="F1255" s="65" t="n"/>
      <c r="G1255" s="68" t="str">
        <f>IF(J1255&lt;&gt;"OK","",IF(F1255="",N(INDEX(mat_loss,MATCH(B1255,mat_ref,0))),F1255))</f>
        <v/>
      </c>
      <c r="H1255" s="66" t="str">
        <f>IF(J1255&lt;&gt;"OK","",INDEX(mat_price,MATCH(B1255,mat_ref,0)))</f>
        <v/>
      </c>
      <c r="I1255" s="66" t="str">
        <f>IF(J1255&lt;&gt;"OK","",E1255*(1+G1255)*H1255)</f>
        <v/>
      </c>
      <c r="J1255" s="69" t="str">
        <f>IF(AND(A1255="",B1255=""),"",IF(A1255="","Produit manquant",IF(COUNTIF(prod_ref,A1255)=0,"Produit inconnu",IF(B1255="","Matière manquante",IF(ISNA(MATCH(B1255,mat_ref,0)),"Matière inconnue",IF(INDEX(mat_check,MATCH(B1255,mat_ref,0))&lt;&gt;"OK","Matière à corriger",IF(OR(NOT(ISNUMBER(E1255)),N(E1255)&lt;=0),"Quantité invalide",IF(AND(F1255&lt;&gt;"",OR(NOT(ISNUMBER(F1255)),N(F1255)&lt;0,N(F1255)&gt;=1)),"Perte entre 0 et 99 %",IF(COUNTIFS(bom_prod,A1255,bom_mat,B1255)&gt;1,"Matière en double","OK")))))))))</f>
        <v/>
      </c>
      <c r="K1255" s="71" t="str">
        <f>IF(AND(fiche_sel&lt;&gt;"",A1255=fiche_sel),COUNTIF(A$6:A1255,fiche_sel),"")</f>
        <v/>
      </c>
    </row>
    <row r="1256">
      <c r="A1256" s="60" t="n"/>
      <c r="B1256" s="60" t="n"/>
      <c r="C1256" s="71" t="str">
        <f>IF(B1256="","",IFERROR(INDEX(mat_des,MATCH(B1256,mat_ref,0))&amp;"","Matière inconnue"))</f>
        <v/>
      </c>
      <c r="D1256" s="69" t="str">
        <f>IF(B1256="","",IFERROR(INDEX(mat_unit,MATCH(B1256,mat_ref,0))&amp;"",""))</f>
        <v/>
      </c>
      <c r="E1256" s="72" t="n"/>
      <c r="F1256" s="65" t="n"/>
      <c r="G1256" s="68" t="str">
        <f>IF(J1256&lt;&gt;"OK","",IF(F1256="",N(INDEX(mat_loss,MATCH(B1256,mat_ref,0))),F1256))</f>
        <v/>
      </c>
      <c r="H1256" s="66" t="str">
        <f>IF(J1256&lt;&gt;"OK","",INDEX(mat_price,MATCH(B1256,mat_ref,0)))</f>
        <v/>
      </c>
      <c r="I1256" s="66" t="str">
        <f>IF(J1256&lt;&gt;"OK","",E1256*(1+G1256)*H1256)</f>
        <v/>
      </c>
      <c r="J1256" s="69" t="str">
        <f>IF(AND(A1256="",B1256=""),"",IF(A1256="","Produit manquant",IF(COUNTIF(prod_ref,A1256)=0,"Produit inconnu",IF(B1256="","Matière manquante",IF(ISNA(MATCH(B1256,mat_ref,0)),"Matière inconnue",IF(INDEX(mat_check,MATCH(B1256,mat_ref,0))&lt;&gt;"OK","Matière à corriger",IF(OR(NOT(ISNUMBER(E1256)),N(E1256)&lt;=0),"Quantité invalide",IF(AND(F1256&lt;&gt;"",OR(NOT(ISNUMBER(F1256)),N(F1256)&lt;0,N(F1256)&gt;=1)),"Perte entre 0 et 99 %",IF(COUNTIFS(bom_prod,A1256,bom_mat,B1256)&gt;1,"Matière en double","OK")))))))))</f>
        <v/>
      </c>
      <c r="K1256" s="71" t="str">
        <f>IF(AND(fiche_sel&lt;&gt;"",A1256=fiche_sel),COUNTIF(A$6:A1256,fiche_sel),"")</f>
        <v/>
      </c>
    </row>
    <row r="1257">
      <c r="A1257" s="60" t="n"/>
      <c r="B1257" s="60" t="n"/>
      <c r="C1257" s="71" t="str">
        <f>IF(B1257="","",IFERROR(INDEX(mat_des,MATCH(B1257,mat_ref,0))&amp;"","Matière inconnue"))</f>
        <v/>
      </c>
      <c r="D1257" s="69" t="str">
        <f>IF(B1257="","",IFERROR(INDEX(mat_unit,MATCH(B1257,mat_ref,0))&amp;"",""))</f>
        <v/>
      </c>
      <c r="E1257" s="72" t="n"/>
      <c r="F1257" s="65" t="n"/>
      <c r="G1257" s="68" t="str">
        <f>IF(J1257&lt;&gt;"OK","",IF(F1257="",N(INDEX(mat_loss,MATCH(B1257,mat_ref,0))),F1257))</f>
        <v/>
      </c>
      <c r="H1257" s="66" t="str">
        <f>IF(J1257&lt;&gt;"OK","",INDEX(mat_price,MATCH(B1257,mat_ref,0)))</f>
        <v/>
      </c>
      <c r="I1257" s="66" t="str">
        <f>IF(J1257&lt;&gt;"OK","",E1257*(1+G1257)*H1257)</f>
        <v/>
      </c>
      <c r="J1257" s="69" t="str">
        <f>IF(AND(A1257="",B1257=""),"",IF(A1257="","Produit manquant",IF(COUNTIF(prod_ref,A1257)=0,"Produit inconnu",IF(B1257="","Matière manquante",IF(ISNA(MATCH(B1257,mat_ref,0)),"Matière inconnue",IF(INDEX(mat_check,MATCH(B1257,mat_ref,0))&lt;&gt;"OK","Matière à corriger",IF(OR(NOT(ISNUMBER(E1257)),N(E1257)&lt;=0),"Quantité invalide",IF(AND(F1257&lt;&gt;"",OR(NOT(ISNUMBER(F1257)),N(F1257)&lt;0,N(F1257)&gt;=1)),"Perte entre 0 et 99 %",IF(COUNTIFS(bom_prod,A1257,bom_mat,B1257)&gt;1,"Matière en double","OK")))))))))</f>
        <v/>
      </c>
      <c r="K1257" s="71" t="str">
        <f>IF(AND(fiche_sel&lt;&gt;"",A1257=fiche_sel),COUNTIF(A$6:A1257,fiche_sel),"")</f>
        <v/>
      </c>
    </row>
    <row r="1258">
      <c r="A1258" s="60" t="n"/>
      <c r="B1258" s="60" t="n"/>
      <c r="C1258" s="71" t="str">
        <f>IF(B1258="","",IFERROR(INDEX(mat_des,MATCH(B1258,mat_ref,0))&amp;"","Matière inconnue"))</f>
        <v/>
      </c>
      <c r="D1258" s="69" t="str">
        <f>IF(B1258="","",IFERROR(INDEX(mat_unit,MATCH(B1258,mat_ref,0))&amp;"",""))</f>
        <v/>
      </c>
      <c r="E1258" s="72" t="n"/>
      <c r="F1258" s="65" t="n"/>
      <c r="G1258" s="68" t="str">
        <f>IF(J1258&lt;&gt;"OK","",IF(F1258="",N(INDEX(mat_loss,MATCH(B1258,mat_ref,0))),F1258))</f>
        <v/>
      </c>
      <c r="H1258" s="66" t="str">
        <f>IF(J1258&lt;&gt;"OK","",INDEX(mat_price,MATCH(B1258,mat_ref,0)))</f>
        <v/>
      </c>
      <c r="I1258" s="66" t="str">
        <f>IF(J1258&lt;&gt;"OK","",E1258*(1+G1258)*H1258)</f>
        <v/>
      </c>
      <c r="J1258" s="69" t="str">
        <f>IF(AND(A1258="",B1258=""),"",IF(A1258="","Produit manquant",IF(COUNTIF(prod_ref,A1258)=0,"Produit inconnu",IF(B1258="","Matière manquante",IF(ISNA(MATCH(B1258,mat_ref,0)),"Matière inconnue",IF(INDEX(mat_check,MATCH(B1258,mat_ref,0))&lt;&gt;"OK","Matière à corriger",IF(OR(NOT(ISNUMBER(E1258)),N(E1258)&lt;=0),"Quantité invalide",IF(AND(F1258&lt;&gt;"",OR(NOT(ISNUMBER(F1258)),N(F1258)&lt;0,N(F1258)&gt;=1)),"Perte entre 0 et 99 %",IF(COUNTIFS(bom_prod,A1258,bom_mat,B1258)&gt;1,"Matière en double","OK")))))))))</f>
        <v/>
      </c>
      <c r="K1258" s="71" t="str">
        <f>IF(AND(fiche_sel&lt;&gt;"",A1258=fiche_sel),COUNTIF(A$6:A1258,fiche_sel),"")</f>
        <v/>
      </c>
    </row>
    <row r="1259">
      <c r="A1259" s="60" t="n"/>
      <c r="B1259" s="60" t="n"/>
      <c r="C1259" s="71" t="str">
        <f>IF(B1259="","",IFERROR(INDEX(mat_des,MATCH(B1259,mat_ref,0))&amp;"","Matière inconnue"))</f>
        <v/>
      </c>
      <c r="D1259" s="69" t="str">
        <f>IF(B1259="","",IFERROR(INDEX(mat_unit,MATCH(B1259,mat_ref,0))&amp;"",""))</f>
        <v/>
      </c>
      <c r="E1259" s="72" t="n"/>
      <c r="F1259" s="65" t="n"/>
      <c r="G1259" s="68" t="str">
        <f>IF(J1259&lt;&gt;"OK","",IF(F1259="",N(INDEX(mat_loss,MATCH(B1259,mat_ref,0))),F1259))</f>
        <v/>
      </c>
      <c r="H1259" s="66" t="str">
        <f>IF(J1259&lt;&gt;"OK","",INDEX(mat_price,MATCH(B1259,mat_ref,0)))</f>
        <v/>
      </c>
      <c r="I1259" s="66" t="str">
        <f>IF(J1259&lt;&gt;"OK","",E1259*(1+G1259)*H1259)</f>
        <v/>
      </c>
      <c r="J1259" s="69" t="str">
        <f>IF(AND(A1259="",B1259=""),"",IF(A1259="","Produit manquant",IF(COUNTIF(prod_ref,A1259)=0,"Produit inconnu",IF(B1259="","Matière manquante",IF(ISNA(MATCH(B1259,mat_ref,0)),"Matière inconnue",IF(INDEX(mat_check,MATCH(B1259,mat_ref,0))&lt;&gt;"OK","Matière à corriger",IF(OR(NOT(ISNUMBER(E1259)),N(E1259)&lt;=0),"Quantité invalide",IF(AND(F1259&lt;&gt;"",OR(NOT(ISNUMBER(F1259)),N(F1259)&lt;0,N(F1259)&gt;=1)),"Perte entre 0 et 99 %",IF(COUNTIFS(bom_prod,A1259,bom_mat,B1259)&gt;1,"Matière en double","OK")))))))))</f>
        <v/>
      </c>
      <c r="K1259" s="71" t="str">
        <f>IF(AND(fiche_sel&lt;&gt;"",A1259=fiche_sel),COUNTIF(A$6:A1259,fiche_sel),"")</f>
        <v/>
      </c>
    </row>
    <row r="1260">
      <c r="A1260" s="60" t="n"/>
      <c r="B1260" s="60" t="n"/>
      <c r="C1260" s="71" t="str">
        <f>IF(B1260="","",IFERROR(INDEX(mat_des,MATCH(B1260,mat_ref,0))&amp;"","Matière inconnue"))</f>
        <v/>
      </c>
      <c r="D1260" s="69" t="str">
        <f>IF(B1260="","",IFERROR(INDEX(mat_unit,MATCH(B1260,mat_ref,0))&amp;"",""))</f>
        <v/>
      </c>
      <c r="E1260" s="72" t="n"/>
      <c r="F1260" s="65" t="n"/>
      <c r="G1260" s="68" t="str">
        <f>IF(J1260&lt;&gt;"OK","",IF(F1260="",N(INDEX(mat_loss,MATCH(B1260,mat_ref,0))),F1260))</f>
        <v/>
      </c>
      <c r="H1260" s="66" t="str">
        <f>IF(J1260&lt;&gt;"OK","",INDEX(mat_price,MATCH(B1260,mat_ref,0)))</f>
        <v/>
      </c>
      <c r="I1260" s="66" t="str">
        <f>IF(J1260&lt;&gt;"OK","",E1260*(1+G1260)*H1260)</f>
        <v/>
      </c>
      <c r="J1260" s="69" t="str">
        <f>IF(AND(A1260="",B1260=""),"",IF(A1260="","Produit manquant",IF(COUNTIF(prod_ref,A1260)=0,"Produit inconnu",IF(B1260="","Matière manquante",IF(ISNA(MATCH(B1260,mat_ref,0)),"Matière inconnue",IF(INDEX(mat_check,MATCH(B1260,mat_ref,0))&lt;&gt;"OK","Matière à corriger",IF(OR(NOT(ISNUMBER(E1260)),N(E1260)&lt;=0),"Quantité invalide",IF(AND(F1260&lt;&gt;"",OR(NOT(ISNUMBER(F1260)),N(F1260)&lt;0,N(F1260)&gt;=1)),"Perte entre 0 et 99 %",IF(COUNTIFS(bom_prod,A1260,bom_mat,B1260)&gt;1,"Matière en double","OK")))))))))</f>
        <v/>
      </c>
      <c r="K1260" s="71" t="str">
        <f>IF(AND(fiche_sel&lt;&gt;"",A1260=fiche_sel),COUNTIF(A$6:A1260,fiche_sel),"")</f>
        <v/>
      </c>
    </row>
    <row r="1261">
      <c r="A1261" s="60" t="n"/>
      <c r="B1261" s="60" t="n"/>
      <c r="C1261" s="71" t="str">
        <f>IF(B1261="","",IFERROR(INDEX(mat_des,MATCH(B1261,mat_ref,0))&amp;"","Matière inconnue"))</f>
        <v/>
      </c>
      <c r="D1261" s="69" t="str">
        <f>IF(B1261="","",IFERROR(INDEX(mat_unit,MATCH(B1261,mat_ref,0))&amp;"",""))</f>
        <v/>
      </c>
      <c r="E1261" s="72" t="n"/>
      <c r="F1261" s="65" t="n"/>
      <c r="G1261" s="68" t="str">
        <f>IF(J1261&lt;&gt;"OK","",IF(F1261="",N(INDEX(mat_loss,MATCH(B1261,mat_ref,0))),F1261))</f>
        <v/>
      </c>
      <c r="H1261" s="66" t="str">
        <f>IF(J1261&lt;&gt;"OK","",INDEX(mat_price,MATCH(B1261,mat_ref,0)))</f>
        <v/>
      </c>
      <c r="I1261" s="66" t="str">
        <f>IF(J1261&lt;&gt;"OK","",E1261*(1+G1261)*H1261)</f>
        <v/>
      </c>
      <c r="J1261" s="69" t="str">
        <f>IF(AND(A1261="",B1261=""),"",IF(A1261="","Produit manquant",IF(COUNTIF(prod_ref,A1261)=0,"Produit inconnu",IF(B1261="","Matière manquante",IF(ISNA(MATCH(B1261,mat_ref,0)),"Matière inconnue",IF(INDEX(mat_check,MATCH(B1261,mat_ref,0))&lt;&gt;"OK","Matière à corriger",IF(OR(NOT(ISNUMBER(E1261)),N(E1261)&lt;=0),"Quantité invalide",IF(AND(F1261&lt;&gt;"",OR(NOT(ISNUMBER(F1261)),N(F1261)&lt;0,N(F1261)&gt;=1)),"Perte entre 0 et 99 %",IF(COUNTIFS(bom_prod,A1261,bom_mat,B1261)&gt;1,"Matière en double","OK")))))))))</f>
        <v/>
      </c>
      <c r="K1261" s="71" t="str">
        <f>IF(AND(fiche_sel&lt;&gt;"",A1261=fiche_sel),COUNTIF(A$6:A1261,fiche_sel),"")</f>
        <v/>
      </c>
    </row>
    <row r="1262">
      <c r="A1262" s="60" t="n"/>
      <c r="B1262" s="60" t="n"/>
      <c r="C1262" s="71" t="str">
        <f>IF(B1262="","",IFERROR(INDEX(mat_des,MATCH(B1262,mat_ref,0))&amp;"","Matière inconnue"))</f>
        <v/>
      </c>
      <c r="D1262" s="69" t="str">
        <f>IF(B1262="","",IFERROR(INDEX(mat_unit,MATCH(B1262,mat_ref,0))&amp;"",""))</f>
        <v/>
      </c>
      <c r="E1262" s="72" t="n"/>
      <c r="F1262" s="65" t="n"/>
      <c r="G1262" s="68" t="str">
        <f>IF(J1262&lt;&gt;"OK","",IF(F1262="",N(INDEX(mat_loss,MATCH(B1262,mat_ref,0))),F1262))</f>
        <v/>
      </c>
      <c r="H1262" s="66" t="str">
        <f>IF(J1262&lt;&gt;"OK","",INDEX(mat_price,MATCH(B1262,mat_ref,0)))</f>
        <v/>
      </c>
      <c r="I1262" s="66" t="str">
        <f>IF(J1262&lt;&gt;"OK","",E1262*(1+G1262)*H1262)</f>
        <v/>
      </c>
      <c r="J1262" s="69" t="str">
        <f>IF(AND(A1262="",B1262=""),"",IF(A1262="","Produit manquant",IF(COUNTIF(prod_ref,A1262)=0,"Produit inconnu",IF(B1262="","Matière manquante",IF(ISNA(MATCH(B1262,mat_ref,0)),"Matière inconnue",IF(INDEX(mat_check,MATCH(B1262,mat_ref,0))&lt;&gt;"OK","Matière à corriger",IF(OR(NOT(ISNUMBER(E1262)),N(E1262)&lt;=0),"Quantité invalide",IF(AND(F1262&lt;&gt;"",OR(NOT(ISNUMBER(F1262)),N(F1262)&lt;0,N(F1262)&gt;=1)),"Perte entre 0 et 99 %",IF(COUNTIFS(bom_prod,A1262,bom_mat,B1262)&gt;1,"Matière en double","OK")))))))))</f>
        <v/>
      </c>
      <c r="K1262" s="71" t="str">
        <f>IF(AND(fiche_sel&lt;&gt;"",A1262=fiche_sel),COUNTIF(A$6:A1262,fiche_sel),"")</f>
        <v/>
      </c>
    </row>
    <row r="1263">
      <c r="A1263" s="60" t="n"/>
      <c r="B1263" s="60" t="n"/>
      <c r="C1263" s="71" t="str">
        <f>IF(B1263="","",IFERROR(INDEX(mat_des,MATCH(B1263,mat_ref,0))&amp;"","Matière inconnue"))</f>
        <v/>
      </c>
      <c r="D1263" s="69" t="str">
        <f>IF(B1263="","",IFERROR(INDEX(mat_unit,MATCH(B1263,mat_ref,0))&amp;"",""))</f>
        <v/>
      </c>
      <c r="E1263" s="72" t="n"/>
      <c r="F1263" s="65" t="n"/>
      <c r="G1263" s="68" t="str">
        <f>IF(J1263&lt;&gt;"OK","",IF(F1263="",N(INDEX(mat_loss,MATCH(B1263,mat_ref,0))),F1263))</f>
        <v/>
      </c>
      <c r="H1263" s="66" t="str">
        <f>IF(J1263&lt;&gt;"OK","",INDEX(mat_price,MATCH(B1263,mat_ref,0)))</f>
        <v/>
      </c>
      <c r="I1263" s="66" t="str">
        <f>IF(J1263&lt;&gt;"OK","",E1263*(1+G1263)*H1263)</f>
        <v/>
      </c>
      <c r="J1263" s="69" t="str">
        <f>IF(AND(A1263="",B1263=""),"",IF(A1263="","Produit manquant",IF(COUNTIF(prod_ref,A1263)=0,"Produit inconnu",IF(B1263="","Matière manquante",IF(ISNA(MATCH(B1263,mat_ref,0)),"Matière inconnue",IF(INDEX(mat_check,MATCH(B1263,mat_ref,0))&lt;&gt;"OK","Matière à corriger",IF(OR(NOT(ISNUMBER(E1263)),N(E1263)&lt;=0),"Quantité invalide",IF(AND(F1263&lt;&gt;"",OR(NOT(ISNUMBER(F1263)),N(F1263)&lt;0,N(F1263)&gt;=1)),"Perte entre 0 et 99 %",IF(COUNTIFS(bom_prod,A1263,bom_mat,B1263)&gt;1,"Matière en double","OK")))))))))</f>
        <v/>
      </c>
      <c r="K1263" s="71" t="str">
        <f>IF(AND(fiche_sel&lt;&gt;"",A1263=fiche_sel),COUNTIF(A$6:A1263,fiche_sel),"")</f>
        <v/>
      </c>
    </row>
    <row r="1264">
      <c r="A1264" s="60" t="n"/>
      <c r="B1264" s="60" t="n"/>
      <c r="C1264" s="71" t="str">
        <f>IF(B1264="","",IFERROR(INDEX(mat_des,MATCH(B1264,mat_ref,0))&amp;"","Matière inconnue"))</f>
        <v/>
      </c>
      <c r="D1264" s="69" t="str">
        <f>IF(B1264="","",IFERROR(INDEX(mat_unit,MATCH(B1264,mat_ref,0))&amp;"",""))</f>
        <v/>
      </c>
      <c r="E1264" s="72" t="n"/>
      <c r="F1264" s="65" t="n"/>
      <c r="G1264" s="68" t="str">
        <f>IF(J1264&lt;&gt;"OK","",IF(F1264="",N(INDEX(mat_loss,MATCH(B1264,mat_ref,0))),F1264))</f>
        <v/>
      </c>
      <c r="H1264" s="66" t="str">
        <f>IF(J1264&lt;&gt;"OK","",INDEX(mat_price,MATCH(B1264,mat_ref,0)))</f>
        <v/>
      </c>
      <c r="I1264" s="66" t="str">
        <f>IF(J1264&lt;&gt;"OK","",E1264*(1+G1264)*H1264)</f>
        <v/>
      </c>
      <c r="J1264" s="69" t="str">
        <f>IF(AND(A1264="",B1264=""),"",IF(A1264="","Produit manquant",IF(COUNTIF(prod_ref,A1264)=0,"Produit inconnu",IF(B1264="","Matière manquante",IF(ISNA(MATCH(B1264,mat_ref,0)),"Matière inconnue",IF(INDEX(mat_check,MATCH(B1264,mat_ref,0))&lt;&gt;"OK","Matière à corriger",IF(OR(NOT(ISNUMBER(E1264)),N(E1264)&lt;=0),"Quantité invalide",IF(AND(F1264&lt;&gt;"",OR(NOT(ISNUMBER(F1264)),N(F1264)&lt;0,N(F1264)&gt;=1)),"Perte entre 0 et 99 %",IF(COUNTIFS(bom_prod,A1264,bom_mat,B1264)&gt;1,"Matière en double","OK")))))))))</f>
        <v/>
      </c>
      <c r="K1264" s="71" t="str">
        <f>IF(AND(fiche_sel&lt;&gt;"",A1264=fiche_sel),COUNTIF(A$6:A1264,fiche_sel),"")</f>
        <v/>
      </c>
    </row>
    <row r="1265">
      <c r="A1265" s="60" t="n"/>
      <c r="B1265" s="60" t="n"/>
      <c r="C1265" s="71" t="str">
        <f>IF(B1265="","",IFERROR(INDEX(mat_des,MATCH(B1265,mat_ref,0))&amp;"","Matière inconnue"))</f>
        <v/>
      </c>
      <c r="D1265" s="69" t="str">
        <f>IF(B1265="","",IFERROR(INDEX(mat_unit,MATCH(B1265,mat_ref,0))&amp;"",""))</f>
        <v/>
      </c>
      <c r="E1265" s="72" t="n"/>
      <c r="F1265" s="65" t="n"/>
      <c r="G1265" s="68" t="str">
        <f>IF(J1265&lt;&gt;"OK","",IF(F1265="",N(INDEX(mat_loss,MATCH(B1265,mat_ref,0))),F1265))</f>
        <v/>
      </c>
      <c r="H1265" s="66" t="str">
        <f>IF(J1265&lt;&gt;"OK","",INDEX(mat_price,MATCH(B1265,mat_ref,0)))</f>
        <v/>
      </c>
      <c r="I1265" s="66" t="str">
        <f>IF(J1265&lt;&gt;"OK","",E1265*(1+G1265)*H1265)</f>
        <v/>
      </c>
      <c r="J1265" s="69" t="str">
        <f>IF(AND(A1265="",B1265=""),"",IF(A1265="","Produit manquant",IF(COUNTIF(prod_ref,A1265)=0,"Produit inconnu",IF(B1265="","Matière manquante",IF(ISNA(MATCH(B1265,mat_ref,0)),"Matière inconnue",IF(INDEX(mat_check,MATCH(B1265,mat_ref,0))&lt;&gt;"OK","Matière à corriger",IF(OR(NOT(ISNUMBER(E1265)),N(E1265)&lt;=0),"Quantité invalide",IF(AND(F1265&lt;&gt;"",OR(NOT(ISNUMBER(F1265)),N(F1265)&lt;0,N(F1265)&gt;=1)),"Perte entre 0 et 99 %",IF(COUNTIFS(bom_prod,A1265,bom_mat,B1265)&gt;1,"Matière en double","OK")))))))))</f>
        <v/>
      </c>
      <c r="K1265" s="71" t="str">
        <f>IF(AND(fiche_sel&lt;&gt;"",A1265=fiche_sel),COUNTIF(A$6:A1265,fiche_sel),"")</f>
        <v/>
      </c>
    </row>
    <row r="1266">
      <c r="A1266" s="60" t="n"/>
      <c r="B1266" s="60" t="n"/>
      <c r="C1266" s="71" t="str">
        <f>IF(B1266="","",IFERROR(INDEX(mat_des,MATCH(B1266,mat_ref,0))&amp;"","Matière inconnue"))</f>
        <v/>
      </c>
      <c r="D1266" s="69" t="str">
        <f>IF(B1266="","",IFERROR(INDEX(mat_unit,MATCH(B1266,mat_ref,0))&amp;"",""))</f>
        <v/>
      </c>
      <c r="E1266" s="72" t="n"/>
      <c r="F1266" s="65" t="n"/>
      <c r="G1266" s="68" t="str">
        <f>IF(J1266&lt;&gt;"OK","",IF(F1266="",N(INDEX(mat_loss,MATCH(B1266,mat_ref,0))),F1266))</f>
        <v/>
      </c>
      <c r="H1266" s="66" t="str">
        <f>IF(J1266&lt;&gt;"OK","",INDEX(mat_price,MATCH(B1266,mat_ref,0)))</f>
        <v/>
      </c>
      <c r="I1266" s="66" t="str">
        <f>IF(J1266&lt;&gt;"OK","",E1266*(1+G1266)*H1266)</f>
        <v/>
      </c>
      <c r="J1266" s="69" t="str">
        <f>IF(AND(A1266="",B1266=""),"",IF(A1266="","Produit manquant",IF(COUNTIF(prod_ref,A1266)=0,"Produit inconnu",IF(B1266="","Matière manquante",IF(ISNA(MATCH(B1266,mat_ref,0)),"Matière inconnue",IF(INDEX(mat_check,MATCH(B1266,mat_ref,0))&lt;&gt;"OK","Matière à corriger",IF(OR(NOT(ISNUMBER(E1266)),N(E1266)&lt;=0),"Quantité invalide",IF(AND(F1266&lt;&gt;"",OR(NOT(ISNUMBER(F1266)),N(F1266)&lt;0,N(F1266)&gt;=1)),"Perte entre 0 et 99 %",IF(COUNTIFS(bom_prod,A1266,bom_mat,B1266)&gt;1,"Matière en double","OK")))))))))</f>
        <v/>
      </c>
      <c r="K1266" s="71" t="str">
        <f>IF(AND(fiche_sel&lt;&gt;"",A1266=fiche_sel),COUNTIF(A$6:A1266,fiche_sel),"")</f>
        <v/>
      </c>
    </row>
    <row r="1267">
      <c r="A1267" s="60" t="n"/>
      <c r="B1267" s="60" t="n"/>
      <c r="C1267" s="71" t="str">
        <f>IF(B1267="","",IFERROR(INDEX(mat_des,MATCH(B1267,mat_ref,0))&amp;"","Matière inconnue"))</f>
        <v/>
      </c>
      <c r="D1267" s="69" t="str">
        <f>IF(B1267="","",IFERROR(INDEX(mat_unit,MATCH(B1267,mat_ref,0))&amp;"",""))</f>
        <v/>
      </c>
      <c r="E1267" s="72" t="n"/>
      <c r="F1267" s="65" t="n"/>
      <c r="G1267" s="68" t="str">
        <f>IF(J1267&lt;&gt;"OK","",IF(F1267="",N(INDEX(mat_loss,MATCH(B1267,mat_ref,0))),F1267))</f>
        <v/>
      </c>
      <c r="H1267" s="66" t="str">
        <f>IF(J1267&lt;&gt;"OK","",INDEX(mat_price,MATCH(B1267,mat_ref,0)))</f>
        <v/>
      </c>
      <c r="I1267" s="66" t="str">
        <f>IF(J1267&lt;&gt;"OK","",E1267*(1+G1267)*H1267)</f>
        <v/>
      </c>
      <c r="J1267" s="69" t="str">
        <f>IF(AND(A1267="",B1267=""),"",IF(A1267="","Produit manquant",IF(COUNTIF(prod_ref,A1267)=0,"Produit inconnu",IF(B1267="","Matière manquante",IF(ISNA(MATCH(B1267,mat_ref,0)),"Matière inconnue",IF(INDEX(mat_check,MATCH(B1267,mat_ref,0))&lt;&gt;"OK","Matière à corriger",IF(OR(NOT(ISNUMBER(E1267)),N(E1267)&lt;=0),"Quantité invalide",IF(AND(F1267&lt;&gt;"",OR(NOT(ISNUMBER(F1267)),N(F1267)&lt;0,N(F1267)&gt;=1)),"Perte entre 0 et 99 %",IF(COUNTIFS(bom_prod,A1267,bom_mat,B1267)&gt;1,"Matière en double","OK")))))))))</f>
        <v/>
      </c>
      <c r="K1267" s="71" t="str">
        <f>IF(AND(fiche_sel&lt;&gt;"",A1267=fiche_sel),COUNTIF(A$6:A1267,fiche_sel),"")</f>
        <v/>
      </c>
    </row>
    <row r="1268">
      <c r="A1268" s="60" t="n"/>
      <c r="B1268" s="60" t="n"/>
      <c r="C1268" s="71" t="str">
        <f>IF(B1268="","",IFERROR(INDEX(mat_des,MATCH(B1268,mat_ref,0))&amp;"","Matière inconnue"))</f>
        <v/>
      </c>
      <c r="D1268" s="69" t="str">
        <f>IF(B1268="","",IFERROR(INDEX(mat_unit,MATCH(B1268,mat_ref,0))&amp;"",""))</f>
        <v/>
      </c>
      <c r="E1268" s="72" t="n"/>
      <c r="F1268" s="65" t="n"/>
      <c r="G1268" s="68" t="str">
        <f>IF(J1268&lt;&gt;"OK","",IF(F1268="",N(INDEX(mat_loss,MATCH(B1268,mat_ref,0))),F1268))</f>
        <v/>
      </c>
      <c r="H1268" s="66" t="str">
        <f>IF(J1268&lt;&gt;"OK","",INDEX(mat_price,MATCH(B1268,mat_ref,0)))</f>
        <v/>
      </c>
      <c r="I1268" s="66" t="str">
        <f>IF(J1268&lt;&gt;"OK","",E1268*(1+G1268)*H1268)</f>
        <v/>
      </c>
      <c r="J1268" s="69" t="str">
        <f>IF(AND(A1268="",B1268=""),"",IF(A1268="","Produit manquant",IF(COUNTIF(prod_ref,A1268)=0,"Produit inconnu",IF(B1268="","Matière manquante",IF(ISNA(MATCH(B1268,mat_ref,0)),"Matière inconnue",IF(INDEX(mat_check,MATCH(B1268,mat_ref,0))&lt;&gt;"OK","Matière à corriger",IF(OR(NOT(ISNUMBER(E1268)),N(E1268)&lt;=0),"Quantité invalide",IF(AND(F1268&lt;&gt;"",OR(NOT(ISNUMBER(F1268)),N(F1268)&lt;0,N(F1268)&gt;=1)),"Perte entre 0 et 99 %",IF(COUNTIFS(bom_prod,A1268,bom_mat,B1268)&gt;1,"Matière en double","OK")))))))))</f>
        <v/>
      </c>
      <c r="K1268" s="71" t="str">
        <f>IF(AND(fiche_sel&lt;&gt;"",A1268=fiche_sel),COUNTIF(A$6:A1268,fiche_sel),"")</f>
        <v/>
      </c>
    </row>
    <row r="1269">
      <c r="A1269" s="60" t="n"/>
      <c r="B1269" s="60" t="n"/>
      <c r="C1269" s="71" t="str">
        <f>IF(B1269="","",IFERROR(INDEX(mat_des,MATCH(B1269,mat_ref,0))&amp;"","Matière inconnue"))</f>
        <v/>
      </c>
      <c r="D1269" s="69" t="str">
        <f>IF(B1269="","",IFERROR(INDEX(mat_unit,MATCH(B1269,mat_ref,0))&amp;"",""))</f>
        <v/>
      </c>
      <c r="E1269" s="72" t="n"/>
      <c r="F1269" s="65" t="n"/>
      <c r="G1269" s="68" t="str">
        <f>IF(J1269&lt;&gt;"OK","",IF(F1269="",N(INDEX(mat_loss,MATCH(B1269,mat_ref,0))),F1269))</f>
        <v/>
      </c>
      <c r="H1269" s="66" t="str">
        <f>IF(J1269&lt;&gt;"OK","",INDEX(mat_price,MATCH(B1269,mat_ref,0)))</f>
        <v/>
      </c>
      <c r="I1269" s="66" t="str">
        <f>IF(J1269&lt;&gt;"OK","",E1269*(1+G1269)*H1269)</f>
        <v/>
      </c>
      <c r="J1269" s="69" t="str">
        <f>IF(AND(A1269="",B1269=""),"",IF(A1269="","Produit manquant",IF(COUNTIF(prod_ref,A1269)=0,"Produit inconnu",IF(B1269="","Matière manquante",IF(ISNA(MATCH(B1269,mat_ref,0)),"Matière inconnue",IF(INDEX(mat_check,MATCH(B1269,mat_ref,0))&lt;&gt;"OK","Matière à corriger",IF(OR(NOT(ISNUMBER(E1269)),N(E1269)&lt;=0),"Quantité invalide",IF(AND(F1269&lt;&gt;"",OR(NOT(ISNUMBER(F1269)),N(F1269)&lt;0,N(F1269)&gt;=1)),"Perte entre 0 et 99 %",IF(COUNTIFS(bom_prod,A1269,bom_mat,B1269)&gt;1,"Matière en double","OK")))))))))</f>
        <v/>
      </c>
      <c r="K1269" s="71" t="str">
        <f>IF(AND(fiche_sel&lt;&gt;"",A1269=fiche_sel),COUNTIF(A$6:A1269,fiche_sel),"")</f>
        <v/>
      </c>
    </row>
    <row r="1270">
      <c r="A1270" s="60" t="n"/>
      <c r="B1270" s="60" t="n"/>
      <c r="C1270" s="71" t="str">
        <f>IF(B1270="","",IFERROR(INDEX(mat_des,MATCH(B1270,mat_ref,0))&amp;"","Matière inconnue"))</f>
        <v/>
      </c>
      <c r="D1270" s="69" t="str">
        <f>IF(B1270="","",IFERROR(INDEX(mat_unit,MATCH(B1270,mat_ref,0))&amp;"",""))</f>
        <v/>
      </c>
      <c r="E1270" s="72" t="n"/>
      <c r="F1270" s="65" t="n"/>
      <c r="G1270" s="68" t="str">
        <f>IF(J1270&lt;&gt;"OK","",IF(F1270="",N(INDEX(mat_loss,MATCH(B1270,mat_ref,0))),F1270))</f>
        <v/>
      </c>
      <c r="H1270" s="66" t="str">
        <f>IF(J1270&lt;&gt;"OK","",INDEX(mat_price,MATCH(B1270,mat_ref,0)))</f>
        <v/>
      </c>
      <c r="I1270" s="66" t="str">
        <f>IF(J1270&lt;&gt;"OK","",E1270*(1+G1270)*H1270)</f>
        <v/>
      </c>
      <c r="J1270" s="69" t="str">
        <f>IF(AND(A1270="",B1270=""),"",IF(A1270="","Produit manquant",IF(COUNTIF(prod_ref,A1270)=0,"Produit inconnu",IF(B1270="","Matière manquante",IF(ISNA(MATCH(B1270,mat_ref,0)),"Matière inconnue",IF(INDEX(mat_check,MATCH(B1270,mat_ref,0))&lt;&gt;"OK","Matière à corriger",IF(OR(NOT(ISNUMBER(E1270)),N(E1270)&lt;=0),"Quantité invalide",IF(AND(F1270&lt;&gt;"",OR(NOT(ISNUMBER(F1270)),N(F1270)&lt;0,N(F1270)&gt;=1)),"Perte entre 0 et 99 %",IF(COUNTIFS(bom_prod,A1270,bom_mat,B1270)&gt;1,"Matière en double","OK")))))))))</f>
        <v/>
      </c>
      <c r="K1270" s="71" t="str">
        <f>IF(AND(fiche_sel&lt;&gt;"",A1270=fiche_sel),COUNTIF(A$6:A1270,fiche_sel),"")</f>
        <v/>
      </c>
    </row>
    <row r="1271">
      <c r="A1271" s="60" t="n"/>
      <c r="B1271" s="60" t="n"/>
      <c r="C1271" s="71" t="str">
        <f>IF(B1271="","",IFERROR(INDEX(mat_des,MATCH(B1271,mat_ref,0))&amp;"","Matière inconnue"))</f>
        <v/>
      </c>
      <c r="D1271" s="69" t="str">
        <f>IF(B1271="","",IFERROR(INDEX(mat_unit,MATCH(B1271,mat_ref,0))&amp;"",""))</f>
        <v/>
      </c>
      <c r="E1271" s="72" t="n"/>
      <c r="F1271" s="65" t="n"/>
      <c r="G1271" s="68" t="str">
        <f>IF(J1271&lt;&gt;"OK","",IF(F1271="",N(INDEX(mat_loss,MATCH(B1271,mat_ref,0))),F1271))</f>
        <v/>
      </c>
      <c r="H1271" s="66" t="str">
        <f>IF(J1271&lt;&gt;"OK","",INDEX(mat_price,MATCH(B1271,mat_ref,0)))</f>
        <v/>
      </c>
      <c r="I1271" s="66" t="str">
        <f>IF(J1271&lt;&gt;"OK","",E1271*(1+G1271)*H1271)</f>
        <v/>
      </c>
      <c r="J1271" s="69" t="str">
        <f>IF(AND(A1271="",B1271=""),"",IF(A1271="","Produit manquant",IF(COUNTIF(prod_ref,A1271)=0,"Produit inconnu",IF(B1271="","Matière manquante",IF(ISNA(MATCH(B1271,mat_ref,0)),"Matière inconnue",IF(INDEX(mat_check,MATCH(B1271,mat_ref,0))&lt;&gt;"OK","Matière à corriger",IF(OR(NOT(ISNUMBER(E1271)),N(E1271)&lt;=0),"Quantité invalide",IF(AND(F1271&lt;&gt;"",OR(NOT(ISNUMBER(F1271)),N(F1271)&lt;0,N(F1271)&gt;=1)),"Perte entre 0 et 99 %",IF(COUNTIFS(bom_prod,A1271,bom_mat,B1271)&gt;1,"Matière en double","OK")))))))))</f>
        <v/>
      </c>
      <c r="K1271" s="71" t="str">
        <f>IF(AND(fiche_sel&lt;&gt;"",A1271=fiche_sel),COUNTIF(A$6:A1271,fiche_sel),"")</f>
        <v/>
      </c>
    </row>
    <row r="1272">
      <c r="A1272" s="60" t="n"/>
      <c r="B1272" s="60" t="n"/>
      <c r="C1272" s="71" t="str">
        <f>IF(B1272="","",IFERROR(INDEX(mat_des,MATCH(B1272,mat_ref,0))&amp;"","Matière inconnue"))</f>
        <v/>
      </c>
      <c r="D1272" s="69" t="str">
        <f>IF(B1272="","",IFERROR(INDEX(mat_unit,MATCH(B1272,mat_ref,0))&amp;"",""))</f>
        <v/>
      </c>
      <c r="E1272" s="72" t="n"/>
      <c r="F1272" s="65" t="n"/>
      <c r="G1272" s="68" t="str">
        <f>IF(J1272&lt;&gt;"OK","",IF(F1272="",N(INDEX(mat_loss,MATCH(B1272,mat_ref,0))),F1272))</f>
        <v/>
      </c>
      <c r="H1272" s="66" t="str">
        <f>IF(J1272&lt;&gt;"OK","",INDEX(mat_price,MATCH(B1272,mat_ref,0)))</f>
        <v/>
      </c>
      <c r="I1272" s="66" t="str">
        <f>IF(J1272&lt;&gt;"OK","",E1272*(1+G1272)*H1272)</f>
        <v/>
      </c>
      <c r="J1272" s="69" t="str">
        <f>IF(AND(A1272="",B1272=""),"",IF(A1272="","Produit manquant",IF(COUNTIF(prod_ref,A1272)=0,"Produit inconnu",IF(B1272="","Matière manquante",IF(ISNA(MATCH(B1272,mat_ref,0)),"Matière inconnue",IF(INDEX(mat_check,MATCH(B1272,mat_ref,0))&lt;&gt;"OK","Matière à corriger",IF(OR(NOT(ISNUMBER(E1272)),N(E1272)&lt;=0),"Quantité invalide",IF(AND(F1272&lt;&gt;"",OR(NOT(ISNUMBER(F1272)),N(F1272)&lt;0,N(F1272)&gt;=1)),"Perte entre 0 et 99 %",IF(COUNTIFS(bom_prod,A1272,bom_mat,B1272)&gt;1,"Matière en double","OK")))))))))</f>
        <v/>
      </c>
      <c r="K1272" s="71" t="str">
        <f>IF(AND(fiche_sel&lt;&gt;"",A1272=fiche_sel),COUNTIF(A$6:A1272,fiche_sel),"")</f>
        <v/>
      </c>
    </row>
    <row r="1273">
      <c r="A1273" s="60" t="n"/>
      <c r="B1273" s="60" t="n"/>
      <c r="C1273" s="71" t="str">
        <f>IF(B1273="","",IFERROR(INDEX(mat_des,MATCH(B1273,mat_ref,0))&amp;"","Matière inconnue"))</f>
        <v/>
      </c>
      <c r="D1273" s="69" t="str">
        <f>IF(B1273="","",IFERROR(INDEX(mat_unit,MATCH(B1273,mat_ref,0))&amp;"",""))</f>
        <v/>
      </c>
      <c r="E1273" s="72" t="n"/>
      <c r="F1273" s="65" t="n"/>
      <c r="G1273" s="68" t="str">
        <f>IF(J1273&lt;&gt;"OK","",IF(F1273="",N(INDEX(mat_loss,MATCH(B1273,mat_ref,0))),F1273))</f>
        <v/>
      </c>
      <c r="H1273" s="66" t="str">
        <f>IF(J1273&lt;&gt;"OK","",INDEX(mat_price,MATCH(B1273,mat_ref,0)))</f>
        <v/>
      </c>
      <c r="I1273" s="66" t="str">
        <f>IF(J1273&lt;&gt;"OK","",E1273*(1+G1273)*H1273)</f>
        <v/>
      </c>
      <c r="J1273" s="69" t="str">
        <f>IF(AND(A1273="",B1273=""),"",IF(A1273="","Produit manquant",IF(COUNTIF(prod_ref,A1273)=0,"Produit inconnu",IF(B1273="","Matière manquante",IF(ISNA(MATCH(B1273,mat_ref,0)),"Matière inconnue",IF(INDEX(mat_check,MATCH(B1273,mat_ref,0))&lt;&gt;"OK","Matière à corriger",IF(OR(NOT(ISNUMBER(E1273)),N(E1273)&lt;=0),"Quantité invalide",IF(AND(F1273&lt;&gt;"",OR(NOT(ISNUMBER(F1273)),N(F1273)&lt;0,N(F1273)&gt;=1)),"Perte entre 0 et 99 %",IF(COUNTIFS(bom_prod,A1273,bom_mat,B1273)&gt;1,"Matière en double","OK")))))))))</f>
        <v/>
      </c>
      <c r="K1273" s="71" t="str">
        <f>IF(AND(fiche_sel&lt;&gt;"",A1273=fiche_sel),COUNTIF(A$6:A1273,fiche_sel),"")</f>
        <v/>
      </c>
    </row>
    <row r="1274">
      <c r="A1274" s="60" t="n"/>
      <c r="B1274" s="60" t="n"/>
      <c r="C1274" s="71" t="str">
        <f>IF(B1274="","",IFERROR(INDEX(mat_des,MATCH(B1274,mat_ref,0))&amp;"","Matière inconnue"))</f>
        <v/>
      </c>
      <c r="D1274" s="69" t="str">
        <f>IF(B1274="","",IFERROR(INDEX(mat_unit,MATCH(B1274,mat_ref,0))&amp;"",""))</f>
        <v/>
      </c>
      <c r="E1274" s="72" t="n"/>
      <c r="F1274" s="65" t="n"/>
      <c r="G1274" s="68" t="str">
        <f>IF(J1274&lt;&gt;"OK","",IF(F1274="",N(INDEX(mat_loss,MATCH(B1274,mat_ref,0))),F1274))</f>
        <v/>
      </c>
      <c r="H1274" s="66" t="str">
        <f>IF(J1274&lt;&gt;"OK","",INDEX(mat_price,MATCH(B1274,mat_ref,0)))</f>
        <v/>
      </c>
      <c r="I1274" s="66" t="str">
        <f>IF(J1274&lt;&gt;"OK","",E1274*(1+G1274)*H1274)</f>
        <v/>
      </c>
      <c r="J1274" s="69" t="str">
        <f>IF(AND(A1274="",B1274=""),"",IF(A1274="","Produit manquant",IF(COUNTIF(prod_ref,A1274)=0,"Produit inconnu",IF(B1274="","Matière manquante",IF(ISNA(MATCH(B1274,mat_ref,0)),"Matière inconnue",IF(INDEX(mat_check,MATCH(B1274,mat_ref,0))&lt;&gt;"OK","Matière à corriger",IF(OR(NOT(ISNUMBER(E1274)),N(E1274)&lt;=0),"Quantité invalide",IF(AND(F1274&lt;&gt;"",OR(NOT(ISNUMBER(F1274)),N(F1274)&lt;0,N(F1274)&gt;=1)),"Perte entre 0 et 99 %",IF(COUNTIFS(bom_prod,A1274,bom_mat,B1274)&gt;1,"Matière en double","OK")))))))))</f>
        <v/>
      </c>
      <c r="K1274" s="71" t="str">
        <f>IF(AND(fiche_sel&lt;&gt;"",A1274=fiche_sel),COUNTIF(A$6:A1274,fiche_sel),"")</f>
        <v/>
      </c>
    </row>
    <row r="1275">
      <c r="A1275" s="60" t="n"/>
      <c r="B1275" s="60" t="n"/>
      <c r="C1275" s="71" t="str">
        <f>IF(B1275="","",IFERROR(INDEX(mat_des,MATCH(B1275,mat_ref,0))&amp;"","Matière inconnue"))</f>
        <v/>
      </c>
      <c r="D1275" s="69" t="str">
        <f>IF(B1275="","",IFERROR(INDEX(mat_unit,MATCH(B1275,mat_ref,0))&amp;"",""))</f>
        <v/>
      </c>
      <c r="E1275" s="72" t="n"/>
      <c r="F1275" s="65" t="n"/>
      <c r="G1275" s="68" t="str">
        <f>IF(J1275&lt;&gt;"OK","",IF(F1275="",N(INDEX(mat_loss,MATCH(B1275,mat_ref,0))),F1275))</f>
        <v/>
      </c>
      <c r="H1275" s="66" t="str">
        <f>IF(J1275&lt;&gt;"OK","",INDEX(mat_price,MATCH(B1275,mat_ref,0)))</f>
        <v/>
      </c>
      <c r="I1275" s="66" t="str">
        <f>IF(J1275&lt;&gt;"OK","",E1275*(1+G1275)*H1275)</f>
        <v/>
      </c>
      <c r="J1275" s="69" t="str">
        <f>IF(AND(A1275="",B1275=""),"",IF(A1275="","Produit manquant",IF(COUNTIF(prod_ref,A1275)=0,"Produit inconnu",IF(B1275="","Matière manquante",IF(ISNA(MATCH(B1275,mat_ref,0)),"Matière inconnue",IF(INDEX(mat_check,MATCH(B1275,mat_ref,0))&lt;&gt;"OK","Matière à corriger",IF(OR(NOT(ISNUMBER(E1275)),N(E1275)&lt;=0),"Quantité invalide",IF(AND(F1275&lt;&gt;"",OR(NOT(ISNUMBER(F1275)),N(F1275)&lt;0,N(F1275)&gt;=1)),"Perte entre 0 et 99 %",IF(COUNTIFS(bom_prod,A1275,bom_mat,B1275)&gt;1,"Matière en double","OK")))))))))</f>
        <v/>
      </c>
      <c r="K1275" s="71" t="str">
        <f>IF(AND(fiche_sel&lt;&gt;"",A1275=fiche_sel),COUNTIF(A$6:A1275,fiche_sel),"")</f>
        <v/>
      </c>
    </row>
    <row r="1276">
      <c r="A1276" s="60" t="n"/>
      <c r="B1276" s="60" t="n"/>
      <c r="C1276" s="71" t="str">
        <f>IF(B1276="","",IFERROR(INDEX(mat_des,MATCH(B1276,mat_ref,0))&amp;"","Matière inconnue"))</f>
        <v/>
      </c>
      <c r="D1276" s="69" t="str">
        <f>IF(B1276="","",IFERROR(INDEX(mat_unit,MATCH(B1276,mat_ref,0))&amp;"",""))</f>
        <v/>
      </c>
      <c r="E1276" s="72" t="n"/>
      <c r="F1276" s="65" t="n"/>
      <c r="G1276" s="68" t="str">
        <f>IF(J1276&lt;&gt;"OK","",IF(F1276="",N(INDEX(mat_loss,MATCH(B1276,mat_ref,0))),F1276))</f>
        <v/>
      </c>
      <c r="H1276" s="66" t="str">
        <f>IF(J1276&lt;&gt;"OK","",INDEX(mat_price,MATCH(B1276,mat_ref,0)))</f>
        <v/>
      </c>
      <c r="I1276" s="66" t="str">
        <f>IF(J1276&lt;&gt;"OK","",E1276*(1+G1276)*H1276)</f>
        <v/>
      </c>
      <c r="J1276" s="69" t="str">
        <f>IF(AND(A1276="",B1276=""),"",IF(A1276="","Produit manquant",IF(COUNTIF(prod_ref,A1276)=0,"Produit inconnu",IF(B1276="","Matière manquante",IF(ISNA(MATCH(B1276,mat_ref,0)),"Matière inconnue",IF(INDEX(mat_check,MATCH(B1276,mat_ref,0))&lt;&gt;"OK","Matière à corriger",IF(OR(NOT(ISNUMBER(E1276)),N(E1276)&lt;=0),"Quantité invalide",IF(AND(F1276&lt;&gt;"",OR(NOT(ISNUMBER(F1276)),N(F1276)&lt;0,N(F1276)&gt;=1)),"Perte entre 0 et 99 %",IF(COUNTIFS(bom_prod,A1276,bom_mat,B1276)&gt;1,"Matière en double","OK")))))))))</f>
        <v/>
      </c>
      <c r="K1276" s="71" t="str">
        <f>IF(AND(fiche_sel&lt;&gt;"",A1276=fiche_sel),COUNTIF(A$6:A1276,fiche_sel),"")</f>
        <v/>
      </c>
    </row>
    <row r="1277">
      <c r="A1277" s="60" t="n"/>
      <c r="B1277" s="60" t="n"/>
      <c r="C1277" s="71" t="str">
        <f>IF(B1277="","",IFERROR(INDEX(mat_des,MATCH(B1277,mat_ref,0))&amp;"","Matière inconnue"))</f>
        <v/>
      </c>
      <c r="D1277" s="69" t="str">
        <f>IF(B1277="","",IFERROR(INDEX(mat_unit,MATCH(B1277,mat_ref,0))&amp;"",""))</f>
        <v/>
      </c>
      <c r="E1277" s="72" t="n"/>
      <c r="F1277" s="65" t="n"/>
      <c r="G1277" s="68" t="str">
        <f>IF(J1277&lt;&gt;"OK","",IF(F1277="",N(INDEX(mat_loss,MATCH(B1277,mat_ref,0))),F1277))</f>
        <v/>
      </c>
      <c r="H1277" s="66" t="str">
        <f>IF(J1277&lt;&gt;"OK","",INDEX(mat_price,MATCH(B1277,mat_ref,0)))</f>
        <v/>
      </c>
      <c r="I1277" s="66" t="str">
        <f>IF(J1277&lt;&gt;"OK","",E1277*(1+G1277)*H1277)</f>
        <v/>
      </c>
      <c r="J1277" s="69" t="str">
        <f>IF(AND(A1277="",B1277=""),"",IF(A1277="","Produit manquant",IF(COUNTIF(prod_ref,A1277)=0,"Produit inconnu",IF(B1277="","Matière manquante",IF(ISNA(MATCH(B1277,mat_ref,0)),"Matière inconnue",IF(INDEX(mat_check,MATCH(B1277,mat_ref,0))&lt;&gt;"OK","Matière à corriger",IF(OR(NOT(ISNUMBER(E1277)),N(E1277)&lt;=0),"Quantité invalide",IF(AND(F1277&lt;&gt;"",OR(NOT(ISNUMBER(F1277)),N(F1277)&lt;0,N(F1277)&gt;=1)),"Perte entre 0 et 99 %",IF(COUNTIFS(bom_prod,A1277,bom_mat,B1277)&gt;1,"Matière en double","OK")))))))))</f>
        <v/>
      </c>
      <c r="K1277" s="71" t="str">
        <f>IF(AND(fiche_sel&lt;&gt;"",A1277=fiche_sel),COUNTIF(A$6:A1277,fiche_sel),"")</f>
        <v/>
      </c>
    </row>
    <row r="1278">
      <c r="A1278" s="60" t="n"/>
      <c r="B1278" s="60" t="n"/>
      <c r="C1278" s="71" t="str">
        <f>IF(B1278="","",IFERROR(INDEX(mat_des,MATCH(B1278,mat_ref,0))&amp;"","Matière inconnue"))</f>
        <v/>
      </c>
      <c r="D1278" s="69" t="str">
        <f>IF(B1278="","",IFERROR(INDEX(mat_unit,MATCH(B1278,mat_ref,0))&amp;"",""))</f>
        <v/>
      </c>
      <c r="E1278" s="72" t="n"/>
      <c r="F1278" s="65" t="n"/>
      <c r="G1278" s="68" t="str">
        <f>IF(J1278&lt;&gt;"OK","",IF(F1278="",N(INDEX(mat_loss,MATCH(B1278,mat_ref,0))),F1278))</f>
        <v/>
      </c>
      <c r="H1278" s="66" t="str">
        <f>IF(J1278&lt;&gt;"OK","",INDEX(mat_price,MATCH(B1278,mat_ref,0)))</f>
        <v/>
      </c>
      <c r="I1278" s="66" t="str">
        <f>IF(J1278&lt;&gt;"OK","",E1278*(1+G1278)*H1278)</f>
        <v/>
      </c>
      <c r="J1278" s="69" t="str">
        <f>IF(AND(A1278="",B1278=""),"",IF(A1278="","Produit manquant",IF(COUNTIF(prod_ref,A1278)=0,"Produit inconnu",IF(B1278="","Matière manquante",IF(ISNA(MATCH(B1278,mat_ref,0)),"Matière inconnue",IF(INDEX(mat_check,MATCH(B1278,mat_ref,0))&lt;&gt;"OK","Matière à corriger",IF(OR(NOT(ISNUMBER(E1278)),N(E1278)&lt;=0),"Quantité invalide",IF(AND(F1278&lt;&gt;"",OR(NOT(ISNUMBER(F1278)),N(F1278)&lt;0,N(F1278)&gt;=1)),"Perte entre 0 et 99 %",IF(COUNTIFS(bom_prod,A1278,bom_mat,B1278)&gt;1,"Matière en double","OK")))))))))</f>
        <v/>
      </c>
      <c r="K1278" s="71" t="str">
        <f>IF(AND(fiche_sel&lt;&gt;"",A1278=fiche_sel),COUNTIF(A$6:A1278,fiche_sel),"")</f>
        <v/>
      </c>
    </row>
    <row r="1279">
      <c r="A1279" s="60" t="n"/>
      <c r="B1279" s="60" t="n"/>
      <c r="C1279" s="71" t="str">
        <f>IF(B1279="","",IFERROR(INDEX(mat_des,MATCH(B1279,mat_ref,0))&amp;"","Matière inconnue"))</f>
        <v/>
      </c>
      <c r="D1279" s="69" t="str">
        <f>IF(B1279="","",IFERROR(INDEX(mat_unit,MATCH(B1279,mat_ref,0))&amp;"",""))</f>
        <v/>
      </c>
      <c r="E1279" s="72" t="n"/>
      <c r="F1279" s="65" t="n"/>
      <c r="G1279" s="68" t="str">
        <f>IF(J1279&lt;&gt;"OK","",IF(F1279="",N(INDEX(mat_loss,MATCH(B1279,mat_ref,0))),F1279))</f>
        <v/>
      </c>
      <c r="H1279" s="66" t="str">
        <f>IF(J1279&lt;&gt;"OK","",INDEX(mat_price,MATCH(B1279,mat_ref,0)))</f>
        <v/>
      </c>
      <c r="I1279" s="66" t="str">
        <f>IF(J1279&lt;&gt;"OK","",E1279*(1+G1279)*H1279)</f>
        <v/>
      </c>
      <c r="J1279" s="69" t="str">
        <f>IF(AND(A1279="",B1279=""),"",IF(A1279="","Produit manquant",IF(COUNTIF(prod_ref,A1279)=0,"Produit inconnu",IF(B1279="","Matière manquante",IF(ISNA(MATCH(B1279,mat_ref,0)),"Matière inconnue",IF(INDEX(mat_check,MATCH(B1279,mat_ref,0))&lt;&gt;"OK","Matière à corriger",IF(OR(NOT(ISNUMBER(E1279)),N(E1279)&lt;=0),"Quantité invalide",IF(AND(F1279&lt;&gt;"",OR(NOT(ISNUMBER(F1279)),N(F1279)&lt;0,N(F1279)&gt;=1)),"Perte entre 0 et 99 %",IF(COUNTIFS(bom_prod,A1279,bom_mat,B1279)&gt;1,"Matière en double","OK")))))))))</f>
        <v/>
      </c>
      <c r="K1279" s="71" t="str">
        <f>IF(AND(fiche_sel&lt;&gt;"",A1279=fiche_sel),COUNTIF(A$6:A1279,fiche_sel),"")</f>
        <v/>
      </c>
    </row>
    <row r="1280">
      <c r="A1280" s="60" t="n"/>
      <c r="B1280" s="60" t="n"/>
      <c r="C1280" s="71" t="str">
        <f>IF(B1280="","",IFERROR(INDEX(mat_des,MATCH(B1280,mat_ref,0))&amp;"","Matière inconnue"))</f>
        <v/>
      </c>
      <c r="D1280" s="69" t="str">
        <f>IF(B1280="","",IFERROR(INDEX(mat_unit,MATCH(B1280,mat_ref,0))&amp;"",""))</f>
        <v/>
      </c>
      <c r="E1280" s="72" t="n"/>
      <c r="F1280" s="65" t="n"/>
      <c r="G1280" s="68" t="str">
        <f>IF(J1280&lt;&gt;"OK","",IF(F1280="",N(INDEX(mat_loss,MATCH(B1280,mat_ref,0))),F1280))</f>
        <v/>
      </c>
      <c r="H1280" s="66" t="str">
        <f>IF(J1280&lt;&gt;"OK","",INDEX(mat_price,MATCH(B1280,mat_ref,0)))</f>
        <v/>
      </c>
      <c r="I1280" s="66" t="str">
        <f>IF(J1280&lt;&gt;"OK","",E1280*(1+G1280)*H1280)</f>
        <v/>
      </c>
      <c r="J1280" s="69" t="str">
        <f>IF(AND(A1280="",B1280=""),"",IF(A1280="","Produit manquant",IF(COUNTIF(prod_ref,A1280)=0,"Produit inconnu",IF(B1280="","Matière manquante",IF(ISNA(MATCH(B1280,mat_ref,0)),"Matière inconnue",IF(INDEX(mat_check,MATCH(B1280,mat_ref,0))&lt;&gt;"OK","Matière à corriger",IF(OR(NOT(ISNUMBER(E1280)),N(E1280)&lt;=0),"Quantité invalide",IF(AND(F1280&lt;&gt;"",OR(NOT(ISNUMBER(F1280)),N(F1280)&lt;0,N(F1280)&gt;=1)),"Perte entre 0 et 99 %",IF(COUNTIFS(bom_prod,A1280,bom_mat,B1280)&gt;1,"Matière en double","OK")))))))))</f>
        <v/>
      </c>
      <c r="K1280" s="71" t="str">
        <f>IF(AND(fiche_sel&lt;&gt;"",A1280=fiche_sel),COUNTIF(A$6:A1280,fiche_sel),"")</f>
        <v/>
      </c>
    </row>
    <row r="1281">
      <c r="A1281" s="60" t="n"/>
      <c r="B1281" s="60" t="n"/>
      <c r="C1281" s="71" t="str">
        <f>IF(B1281="","",IFERROR(INDEX(mat_des,MATCH(B1281,mat_ref,0))&amp;"","Matière inconnue"))</f>
        <v/>
      </c>
      <c r="D1281" s="69" t="str">
        <f>IF(B1281="","",IFERROR(INDEX(mat_unit,MATCH(B1281,mat_ref,0))&amp;"",""))</f>
        <v/>
      </c>
      <c r="E1281" s="72" t="n"/>
      <c r="F1281" s="65" t="n"/>
      <c r="G1281" s="68" t="str">
        <f>IF(J1281&lt;&gt;"OK","",IF(F1281="",N(INDEX(mat_loss,MATCH(B1281,mat_ref,0))),F1281))</f>
        <v/>
      </c>
      <c r="H1281" s="66" t="str">
        <f>IF(J1281&lt;&gt;"OK","",INDEX(mat_price,MATCH(B1281,mat_ref,0)))</f>
        <v/>
      </c>
      <c r="I1281" s="66" t="str">
        <f>IF(J1281&lt;&gt;"OK","",E1281*(1+G1281)*H1281)</f>
        <v/>
      </c>
      <c r="J1281" s="69" t="str">
        <f>IF(AND(A1281="",B1281=""),"",IF(A1281="","Produit manquant",IF(COUNTIF(prod_ref,A1281)=0,"Produit inconnu",IF(B1281="","Matière manquante",IF(ISNA(MATCH(B1281,mat_ref,0)),"Matière inconnue",IF(INDEX(mat_check,MATCH(B1281,mat_ref,0))&lt;&gt;"OK","Matière à corriger",IF(OR(NOT(ISNUMBER(E1281)),N(E1281)&lt;=0),"Quantité invalide",IF(AND(F1281&lt;&gt;"",OR(NOT(ISNUMBER(F1281)),N(F1281)&lt;0,N(F1281)&gt;=1)),"Perte entre 0 et 99 %",IF(COUNTIFS(bom_prod,A1281,bom_mat,B1281)&gt;1,"Matière en double","OK")))))))))</f>
        <v/>
      </c>
      <c r="K1281" s="71" t="str">
        <f>IF(AND(fiche_sel&lt;&gt;"",A1281=fiche_sel),COUNTIF(A$6:A1281,fiche_sel),"")</f>
        <v/>
      </c>
    </row>
    <row r="1282">
      <c r="A1282" s="60" t="n"/>
      <c r="B1282" s="60" t="n"/>
      <c r="C1282" s="71" t="str">
        <f>IF(B1282="","",IFERROR(INDEX(mat_des,MATCH(B1282,mat_ref,0))&amp;"","Matière inconnue"))</f>
        <v/>
      </c>
      <c r="D1282" s="69" t="str">
        <f>IF(B1282="","",IFERROR(INDEX(mat_unit,MATCH(B1282,mat_ref,0))&amp;"",""))</f>
        <v/>
      </c>
      <c r="E1282" s="72" t="n"/>
      <c r="F1282" s="65" t="n"/>
      <c r="G1282" s="68" t="str">
        <f>IF(J1282&lt;&gt;"OK","",IF(F1282="",N(INDEX(mat_loss,MATCH(B1282,mat_ref,0))),F1282))</f>
        <v/>
      </c>
      <c r="H1282" s="66" t="str">
        <f>IF(J1282&lt;&gt;"OK","",INDEX(mat_price,MATCH(B1282,mat_ref,0)))</f>
        <v/>
      </c>
      <c r="I1282" s="66" t="str">
        <f>IF(J1282&lt;&gt;"OK","",E1282*(1+G1282)*H1282)</f>
        <v/>
      </c>
      <c r="J1282" s="69" t="str">
        <f>IF(AND(A1282="",B1282=""),"",IF(A1282="","Produit manquant",IF(COUNTIF(prod_ref,A1282)=0,"Produit inconnu",IF(B1282="","Matière manquante",IF(ISNA(MATCH(B1282,mat_ref,0)),"Matière inconnue",IF(INDEX(mat_check,MATCH(B1282,mat_ref,0))&lt;&gt;"OK","Matière à corriger",IF(OR(NOT(ISNUMBER(E1282)),N(E1282)&lt;=0),"Quantité invalide",IF(AND(F1282&lt;&gt;"",OR(NOT(ISNUMBER(F1282)),N(F1282)&lt;0,N(F1282)&gt;=1)),"Perte entre 0 et 99 %",IF(COUNTIFS(bom_prod,A1282,bom_mat,B1282)&gt;1,"Matière en double","OK")))))))))</f>
        <v/>
      </c>
      <c r="K1282" s="71" t="str">
        <f>IF(AND(fiche_sel&lt;&gt;"",A1282=fiche_sel),COUNTIF(A$6:A1282,fiche_sel),"")</f>
        <v/>
      </c>
    </row>
    <row r="1283">
      <c r="A1283" s="60" t="n"/>
      <c r="B1283" s="60" t="n"/>
      <c r="C1283" s="71" t="str">
        <f>IF(B1283="","",IFERROR(INDEX(mat_des,MATCH(B1283,mat_ref,0))&amp;"","Matière inconnue"))</f>
        <v/>
      </c>
      <c r="D1283" s="69" t="str">
        <f>IF(B1283="","",IFERROR(INDEX(mat_unit,MATCH(B1283,mat_ref,0))&amp;"",""))</f>
        <v/>
      </c>
      <c r="E1283" s="72" t="n"/>
      <c r="F1283" s="65" t="n"/>
      <c r="G1283" s="68" t="str">
        <f>IF(J1283&lt;&gt;"OK","",IF(F1283="",N(INDEX(mat_loss,MATCH(B1283,mat_ref,0))),F1283))</f>
        <v/>
      </c>
      <c r="H1283" s="66" t="str">
        <f>IF(J1283&lt;&gt;"OK","",INDEX(mat_price,MATCH(B1283,mat_ref,0)))</f>
        <v/>
      </c>
      <c r="I1283" s="66" t="str">
        <f>IF(J1283&lt;&gt;"OK","",E1283*(1+G1283)*H1283)</f>
        <v/>
      </c>
      <c r="J1283" s="69" t="str">
        <f>IF(AND(A1283="",B1283=""),"",IF(A1283="","Produit manquant",IF(COUNTIF(prod_ref,A1283)=0,"Produit inconnu",IF(B1283="","Matière manquante",IF(ISNA(MATCH(B1283,mat_ref,0)),"Matière inconnue",IF(INDEX(mat_check,MATCH(B1283,mat_ref,0))&lt;&gt;"OK","Matière à corriger",IF(OR(NOT(ISNUMBER(E1283)),N(E1283)&lt;=0),"Quantité invalide",IF(AND(F1283&lt;&gt;"",OR(NOT(ISNUMBER(F1283)),N(F1283)&lt;0,N(F1283)&gt;=1)),"Perte entre 0 et 99 %",IF(COUNTIFS(bom_prod,A1283,bom_mat,B1283)&gt;1,"Matière en double","OK")))))))))</f>
        <v/>
      </c>
      <c r="K1283" s="71" t="str">
        <f>IF(AND(fiche_sel&lt;&gt;"",A1283=fiche_sel),COUNTIF(A$6:A1283,fiche_sel),"")</f>
        <v/>
      </c>
    </row>
    <row r="1284">
      <c r="A1284" s="60" t="n"/>
      <c r="B1284" s="60" t="n"/>
      <c r="C1284" s="71" t="str">
        <f>IF(B1284="","",IFERROR(INDEX(mat_des,MATCH(B1284,mat_ref,0))&amp;"","Matière inconnue"))</f>
        <v/>
      </c>
      <c r="D1284" s="69" t="str">
        <f>IF(B1284="","",IFERROR(INDEX(mat_unit,MATCH(B1284,mat_ref,0))&amp;"",""))</f>
        <v/>
      </c>
      <c r="E1284" s="72" t="n"/>
      <c r="F1284" s="65" t="n"/>
      <c r="G1284" s="68" t="str">
        <f>IF(J1284&lt;&gt;"OK","",IF(F1284="",N(INDEX(mat_loss,MATCH(B1284,mat_ref,0))),F1284))</f>
        <v/>
      </c>
      <c r="H1284" s="66" t="str">
        <f>IF(J1284&lt;&gt;"OK","",INDEX(mat_price,MATCH(B1284,mat_ref,0)))</f>
        <v/>
      </c>
      <c r="I1284" s="66" t="str">
        <f>IF(J1284&lt;&gt;"OK","",E1284*(1+G1284)*H1284)</f>
        <v/>
      </c>
      <c r="J1284" s="69" t="str">
        <f>IF(AND(A1284="",B1284=""),"",IF(A1284="","Produit manquant",IF(COUNTIF(prod_ref,A1284)=0,"Produit inconnu",IF(B1284="","Matière manquante",IF(ISNA(MATCH(B1284,mat_ref,0)),"Matière inconnue",IF(INDEX(mat_check,MATCH(B1284,mat_ref,0))&lt;&gt;"OK","Matière à corriger",IF(OR(NOT(ISNUMBER(E1284)),N(E1284)&lt;=0),"Quantité invalide",IF(AND(F1284&lt;&gt;"",OR(NOT(ISNUMBER(F1284)),N(F1284)&lt;0,N(F1284)&gt;=1)),"Perte entre 0 et 99 %",IF(COUNTIFS(bom_prod,A1284,bom_mat,B1284)&gt;1,"Matière en double","OK")))))))))</f>
        <v/>
      </c>
      <c r="K1284" s="71" t="str">
        <f>IF(AND(fiche_sel&lt;&gt;"",A1284=fiche_sel),COUNTIF(A$6:A1284,fiche_sel),"")</f>
        <v/>
      </c>
    </row>
    <row r="1285">
      <c r="A1285" s="60" t="n"/>
      <c r="B1285" s="60" t="n"/>
      <c r="C1285" s="71" t="str">
        <f>IF(B1285="","",IFERROR(INDEX(mat_des,MATCH(B1285,mat_ref,0))&amp;"","Matière inconnue"))</f>
        <v/>
      </c>
      <c r="D1285" s="69" t="str">
        <f>IF(B1285="","",IFERROR(INDEX(mat_unit,MATCH(B1285,mat_ref,0))&amp;"",""))</f>
        <v/>
      </c>
      <c r="E1285" s="72" t="n"/>
      <c r="F1285" s="65" t="n"/>
      <c r="G1285" s="68" t="str">
        <f>IF(J1285&lt;&gt;"OK","",IF(F1285="",N(INDEX(mat_loss,MATCH(B1285,mat_ref,0))),F1285))</f>
        <v/>
      </c>
      <c r="H1285" s="66" t="str">
        <f>IF(J1285&lt;&gt;"OK","",INDEX(mat_price,MATCH(B1285,mat_ref,0)))</f>
        <v/>
      </c>
      <c r="I1285" s="66" t="str">
        <f>IF(J1285&lt;&gt;"OK","",E1285*(1+G1285)*H1285)</f>
        <v/>
      </c>
      <c r="J1285" s="69" t="str">
        <f>IF(AND(A1285="",B1285=""),"",IF(A1285="","Produit manquant",IF(COUNTIF(prod_ref,A1285)=0,"Produit inconnu",IF(B1285="","Matière manquante",IF(ISNA(MATCH(B1285,mat_ref,0)),"Matière inconnue",IF(INDEX(mat_check,MATCH(B1285,mat_ref,0))&lt;&gt;"OK","Matière à corriger",IF(OR(NOT(ISNUMBER(E1285)),N(E1285)&lt;=0),"Quantité invalide",IF(AND(F1285&lt;&gt;"",OR(NOT(ISNUMBER(F1285)),N(F1285)&lt;0,N(F1285)&gt;=1)),"Perte entre 0 et 99 %",IF(COUNTIFS(bom_prod,A1285,bom_mat,B1285)&gt;1,"Matière en double","OK")))))))))</f>
        <v/>
      </c>
      <c r="K1285" s="71" t="str">
        <f>IF(AND(fiche_sel&lt;&gt;"",A1285=fiche_sel),COUNTIF(A$6:A1285,fiche_sel),"")</f>
        <v/>
      </c>
    </row>
    <row r="1286">
      <c r="A1286" s="60" t="n"/>
      <c r="B1286" s="60" t="n"/>
      <c r="C1286" s="71" t="str">
        <f>IF(B1286="","",IFERROR(INDEX(mat_des,MATCH(B1286,mat_ref,0))&amp;"","Matière inconnue"))</f>
        <v/>
      </c>
      <c r="D1286" s="69" t="str">
        <f>IF(B1286="","",IFERROR(INDEX(mat_unit,MATCH(B1286,mat_ref,0))&amp;"",""))</f>
        <v/>
      </c>
      <c r="E1286" s="72" t="n"/>
      <c r="F1286" s="65" t="n"/>
      <c r="G1286" s="68" t="str">
        <f>IF(J1286&lt;&gt;"OK","",IF(F1286="",N(INDEX(mat_loss,MATCH(B1286,mat_ref,0))),F1286))</f>
        <v/>
      </c>
      <c r="H1286" s="66" t="str">
        <f>IF(J1286&lt;&gt;"OK","",INDEX(mat_price,MATCH(B1286,mat_ref,0)))</f>
        <v/>
      </c>
      <c r="I1286" s="66" t="str">
        <f>IF(J1286&lt;&gt;"OK","",E1286*(1+G1286)*H1286)</f>
        <v/>
      </c>
      <c r="J1286" s="69" t="str">
        <f>IF(AND(A1286="",B1286=""),"",IF(A1286="","Produit manquant",IF(COUNTIF(prod_ref,A1286)=0,"Produit inconnu",IF(B1286="","Matière manquante",IF(ISNA(MATCH(B1286,mat_ref,0)),"Matière inconnue",IF(INDEX(mat_check,MATCH(B1286,mat_ref,0))&lt;&gt;"OK","Matière à corriger",IF(OR(NOT(ISNUMBER(E1286)),N(E1286)&lt;=0),"Quantité invalide",IF(AND(F1286&lt;&gt;"",OR(NOT(ISNUMBER(F1286)),N(F1286)&lt;0,N(F1286)&gt;=1)),"Perte entre 0 et 99 %",IF(COUNTIFS(bom_prod,A1286,bom_mat,B1286)&gt;1,"Matière en double","OK")))))))))</f>
        <v/>
      </c>
      <c r="K1286" s="71" t="str">
        <f>IF(AND(fiche_sel&lt;&gt;"",A1286=fiche_sel),COUNTIF(A$6:A1286,fiche_sel),"")</f>
        <v/>
      </c>
    </row>
    <row r="1287">
      <c r="A1287" s="60" t="n"/>
      <c r="B1287" s="60" t="n"/>
      <c r="C1287" s="71" t="str">
        <f>IF(B1287="","",IFERROR(INDEX(mat_des,MATCH(B1287,mat_ref,0))&amp;"","Matière inconnue"))</f>
        <v/>
      </c>
      <c r="D1287" s="69" t="str">
        <f>IF(B1287="","",IFERROR(INDEX(mat_unit,MATCH(B1287,mat_ref,0))&amp;"",""))</f>
        <v/>
      </c>
      <c r="E1287" s="72" t="n"/>
      <c r="F1287" s="65" t="n"/>
      <c r="G1287" s="68" t="str">
        <f>IF(J1287&lt;&gt;"OK","",IF(F1287="",N(INDEX(mat_loss,MATCH(B1287,mat_ref,0))),F1287))</f>
        <v/>
      </c>
      <c r="H1287" s="66" t="str">
        <f>IF(J1287&lt;&gt;"OK","",INDEX(mat_price,MATCH(B1287,mat_ref,0)))</f>
        <v/>
      </c>
      <c r="I1287" s="66" t="str">
        <f>IF(J1287&lt;&gt;"OK","",E1287*(1+G1287)*H1287)</f>
        <v/>
      </c>
      <c r="J1287" s="69" t="str">
        <f>IF(AND(A1287="",B1287=""),"",IF(A1287="","Produit manquant",IF(COUNTIF(prod_ref,A1287)=0,"Produit inconnu",IF(B1287="","Matière manquante",IF(ISNA(MATCH(B1287,mat_ref,0)),"Matière inconnue",IF(INDEX(mat_check,MATCH(B1287,mat_ref,0))&lt;&gt;"OK","Matière à corriger",IF(OR(NOT(ISNUMBER(E1287)),N(E1287)&lt;=0),"Quantité invalide",IF(AND(F1287&lt;&gt;"",OR(NOT(ISNUMBER(F1287)),N(F1287)&lt;0,N(F1287)&gt;=1)),"Perte entre 0 et 99 %",IF(COUNTIFS(bom_prod,A1287,bom_mat,B1287)&gt;1,"Matière en double","OK")))))))))</f>
        <v/>
      </c>
      <c r="K1287" s="71" t="str">
        <f>IF(AND(fiche_sel&lt;&gt;"",A1287=fiche_sel),COUNTIF(A$6:A1287,fiche_sel),"")</f>
        <v/>
      </c>
    </row>
    <row r="1288">
      <c r="A1288" s="60" t="n"/>
      <c r="B1288" s="60" t="n"/>
      <c r="C1288" s="71" t="str">
        <f>IF(B1288="","",IFERROR(INDEX(mat_des,MATCH(B1288,mat_ref,0))&amp;"","Matière inconnue"))</f>
        <v/>
      </c>
      <c r="D1288" s="69" t="str">
        <f>IF(B1288="","",IFERROR(INDEX(mat_unit,MATCH(B1288,mat_ref,0))&amp;"",""))</f>
        <v/>
      </c>
      <c r="E1288" s="72" t="n"/>
      <c r="F1288" s="65" t="n"/>
      <c r="G1288" s="68" t="str">
        <f>IF(J1288&lt;&gt;"OK","",IF(F1288="",N(INDEX(mat_loss,MATCH(B1288,mat_ref,0))),F1288))</f>
        <v/>
      </c>
      <c r="H1288" s="66" t="str">
        <f>IF(J1288&lt;&gt;"OK","",INDEX(mat_price,MATCH(B1288,mat_ref,0)))</f>
        <v/>
      </c>
      <c r="I1288" s="66" t="str">
        <f>IF(J1288&lt;&gt;"OK","",E1288*(1+G1288)*H1288)</f>
        <v/>
      </c>
      <c r="J1288" s="69" t="str">
        <f>IF(AND(A1288="",B1288=""),"",IF(A1288="","Produit manquant",IF(COUNTIF(prod_ref,A1288)=0,"Produit inconnu",IF(B1288="","Matière manquante",IF(ISNA(MATCH(B1288,mat_ref,0)),"Matière inconnue",IF(INDEX(mat_check,MATCH(B1288,mat_ref,0))&lt;&gt;"OK","Matière à corriger",IF(OR(NOT(ISNUMBER(E1288)),N(E1288)&lt;=0),"Quantité invalide",IF(AND(F1288&lt;&gt;"",OR(NOT(ISNUMBER(F1288)),N(F1288)&lt;0,N(F1288)&gt;=1)),"Perte entre 0 et 99 %",IF(COUNTIFS(bom_prod,A1288,bom_mat,B1288)&gt;1,"Matière en double","OK")))))))))</f>
        <v/>
      </c>
      <c r="K1288" s="71" t="str">
        <f>IF(AND(fiche_sel&lt;&gt;"",A1288=fiche_sel),COUNTIF(A$6:A1288,fiche_sel),"")</f>
        <v/>
      </c>
    </row>
    <row r="1289">
      <c r="A1289" s="60" t="n"/>
      <c r="B1289" s="60" t="n"/>
      <c r="C1289" s="71" t="str">
        <f>IF(B1289="","",IFERROR(INDEX(mat_des,MATCH(B1289,mat_ref,0))&amp;"","Matière inconnue"))</f>
        <v/>
      </c>
      <c r="D1289" s="69" t="str">
        <f>IF(B1289="","",IFERROR(INDEX(mat_unit,MATCH(B1289,mat_ref,0))&amp;"",""))</f>
        <v/>
      </c>
      <c r="E1289" s="72" t="n"/>
      <c r="F1289" s="65" t="n"/>
      <c r="G1289" s="68" t="str">
        <f>IF(J1289&lt;&gt;"OK","",IF(F1289="",N(INDEX(mat_loss,MATCH(B1289,mat_ref,0))),F1289))</f>
        <v/>
      </c>
      <c r="H1289" s="66" t="str">
        <f>IF(J1289&lt;&gt;"OK","",INDEX(mat_price,MATCH(B1289,mat_ref,0)))</f>
        <v/>
      </c>
      <c r="I1289" s="66" t="str">
        <f>IF(J1289&lt;&gt;"OK","",E1289*(1+G1289)*H1289)</f>
        <v/>
      </c>
      <c r="J1289" s="69" t="str">
        <f>IF(AND(A1289="",B1289=""),"",IF(A1289="","Produit manquant",IF(COUNTIF(prod_ref,A1289)=0,"Produit inconnu",IF(B1289="","Matière manquante",IF(ISNA(MATCH(B1289,mat_ref,0)),"Matière inconnue",IF(INDEX(mat_check,MATCH(B1289,mat_ref,0))&lt;&gt;"OK","Matière à corriger",IF(OR(NOT(ISNUMBER(E1289)),N(E1289)&lt;=0),"Quantité invalide",IF(AND(F1289&lt;&gt;"",OR(NOT(ISNUMBER(F1289)),N(F1289)&lt;0,N(F1289)&gt;=1)),"Perte entre 0 et 99 %",IF(COUNTIFS(bom_prod,A1289,bom_mat,B1289)&gt;1,"Matière en double","OK")))))))))</f>
        <v/>
      </c>
      <c r="K1289" s="71" t="str">
        <f>IF(AND(fiche_sel&lt;&gt;"",A1289=fiche_sel),COUNTIF(A$6:A1289,fiche_sel),"")</f>
        <v/>
      </c>
    </row>
    <row r="1290">
      <c r="A1290" s="60" t="n"/>
      <c r="B1290" s="60" t="n"/>
      <c r="C1290" s="71" t="str">
        <f>IF(B1290="","",IFERROR(INDEX(mat_des,MATCH(B1290,mat_ref,0))&amp;"","Matière inconnue"))</f>
        <v/>
      </c>
      <c r="D1290" s="69" t="str">
        <f>IF(B1290="","",IFERROR(INDEX(mat_unit,MATCH(B1290,mat_ref,0))&amp;"",""))</f>
        <v/>
      </c>
      <c r="E1290" s="72" t="n"/>
      <c r="F1290" s="65" t="n"/>
      <c r="G1290" s="68" t="str">
        <f>IF(J1290&lt;&gt;"OK","",IF(F1290="",N(INDEX(mat_loss,MATCH(B1290,mat_ref,0))),F1290))</f>
        <v/>
      </c>
      <c r="H1290" s="66" t="str">
        <f>IF(J1290&lt;&gt;"OK","",INDEX(mat_price,MATCH(B1290,mat_ref,0)))</f>
        <v/>
      </c>
      <c r="I1290" s="66" t="str">
        <f>IF(J1290&lt;&gt;"OK","",E1290*(1+G1290)*H1290)</f>
        <v/>
      </c>
      <c r="J1290" s="69" t="str">
        <f>IF(AND(A1290="",B1290=""),"",IF(A1290="","Produit manquant",IF(COUNTIF(prod_ref,A1290)=0,"Produit inconnu",IF(B1290="","Matière manquante",IF(ISNA(MATCH(B1290,mat_ref,0)),"Matière inconnue",IF(INDEX(mat_check,MATCH(B1290,mat_ref,0))&lt;&gt;"OK","Matière à corriger",IF(OR(NOT(ISNUMBER(E1290)),N(E1290)&lt;=0),"Quantité invalide",IF(AND(F1290&lt;&gt;"",OR(NOT(ISNUMBER(F1290)),N(F1290)&lt;0,N(F1290)&gt;=1)),"Perte entre 0 et 99 %",IF(COUNTIFS(bom_prod,A1290,bom_mat,B1290)&gt;1,"Matière en double","OK")))))))))</f>
        <v/>
      </c>
      <c r="K1290" s="71" t="str">
        <f>IF(AND(fiche_sel&lt;&gt;"",A1290=fiche_sel),COUNTIF(A$6:A1290,fiche_sel),"")</f>
        <v/>
      </c>
    </row>
    <row r="1291">
      <c r="A1291" s="60" t="n"/>
      <c r="B1291" s="60" t="n"/>
      <c r="C1291" s="71" t="str">
        <f>IF(B1291="","",IFERROR(INDEX(mat_des,MATCH(B1291,mat_ref,0))&amp;"","Matière inconnue"))</f>
        <v/>
      </c>
      <c r="D1291" s="69" t="str">
        <f>IF(B1291="","",IFERROR(INDEX(mat_unit,MATCH(B1291,mat_ref,0))&amp;"",""))</f>
        <v/>
      </c>
      <c r="E1291" s="72" t="n"/>
      <c r="F1291" s="65" t="n"/>
      <c r="G1291" s="68" t="str">
        <f>IF(J1291&lt;&gt;"OK","",IF(F1291="",N(INDEX(mat_loss,MATCH(B1291,mat_ref,0))),F1291))</f>
        <v/>
      </c>
      <c r="H1291" s="66" t="str">
        <f>IF(J1291&lt;&gt;"OK","",INDEX(mat_price,MATCH(B1291,mat_ref,0)))</f>
        <v/>
      </c>
      <c r="I1291" s="66" t="str">
        <f>IF(J1291&lt;&gt;"OK","",E1291*(1+G1291)*H1291)</f>
        <v/>
      </c>
      <c r="J1291" s="69" t="str">
        <f>IF(AND(A1291="",B1291=""),"",IF(A1291="","Produit manquant",IF(COUNTIF(prod_ref,A1291)=0,"Produit inconnu",IF(B1291="","Matière manquante",IF(ISNA(MATCH(B1291,mat_ref,0)),"Matière inconnue",IF(INDEX(mat_check,MATCH(B1291,mat_ref,0))&lt;&gt;"OK","Matière à corriger",IF(OR(NOT(ISNUMBER(E1291)),N(E1291)&lt;=0),"Quantité invalide",IF(AND(F1291&lt;&gt;"",OR(NOT(ISNUMBER(F1291)),N(F1291)&lt;0,N(F1291)&gt;=1)),"Perte entre 0 et 99 %",IF(COUNTIFS(bom_prod,A1291,bom_mat,B1291)&gt;1,"Matière en double","OK")))))))))</f>
        <v/>
      </c>
      <c r="K1291" s="71" t="str">
        <f>IF(AND(fiche_sel&lt;&gt;"",A1291=fiche_sel),COUNTIF(A$6:A1291,fiche_sel),"")</f>
        <v/>
      </c>
    </row>
    <row r="1292">
      <c r="A1292" s="60" t="n"/>
      <c r="B1292" s="60" t="n"/>
      <c r="C1292" s="71" t="str">
        <f>IF(B1292="","",IFERROR(INDEX(mat_des,MATCH(B1292,mat_ref,0))&amp;"","Matière inconnue"))</f>
        <v/>
      </c>
      <c r="D1292" s="69" t="str">
        <f>IF(B1292="","",IFERROR(INDEX(mat_unit,MATCH(B1292,mat_ref,0))&amp;"",""))</f>
        <v/>
      </c>
      <c r="E1292" s="72" t="n"/>
      <c r="F1292" s="65" t="n"/>
      <c r="G1292" s="68" t="str">
        <f>IF(J1292&lt;&gt;"OK","",IF(F1292="",N(INDEX(mat_loss,MATCH(B1292,mat_ref,0))),F1292))</f>
        <v/>
      </c>
      <c r="H1292" s="66" t="str">
        <f>IF(J1292&lt;&gt;"OK","",INDEX(mat_price,MATCH(B1292,mat_ref,0)))</f>
        <v/>
      </c>
      <c r="I1292" s="66" t="str">
        <f>IF(J1292&lt;&gt;"OK","",E1292*(1+G1292)*H1292)</f>
        <v/>
      </c>
      <c r="J1292" s="69" t="str">
        <f>IF(AND(A1292="",B1292=""),"",IF(A1292="","Produit manquant",IF(COUNTIF(prod_ref,A1292)=0,"Produit inconnu",IF(B1292="","Matière manquante",IF(ISNA(MATCH(B1292,mat_ref,0)),"Matière inconnue",IF(INDEX(mat_check,MATCH(B1292,mat_ref,0))&lt;&gt;"OK","Matière à corriger",IF(OR(NOT(ISNUMBER(E1292)),N(E1292)&lt;=0),"Quantité invalide",IF(AND(F1292&lt;&gt;"",OR(NOT(ISNUMBER(F1292)),N(F1292)&lt;0,N(F1292)&gt;=1)),"Perte entre 0 et 99 %",IF(COUNTIFS(bom_prod,A1292,bom_mat,B1292)&gt;1,"Matière en double","OK")))))))))</f>
        <v/>
      </c>
      <c r="K1292" s="71" t="str">
        <f>IF(AND(fiche_sel&lt;&gt;"",A1292=fiche_sel),COUNTIF(A$6:A1292,fiche_sel),"")</f>
        <v/>
      </c>
    </row>
    <row r="1293">
      <c r="A1293" s="60" t="n"/>
      <c r="B1293" s="60" t="n"/>
      <c r="C1293" s="71" t="str">
        <f>IF(B1293="","",IFERROR(INDEX(mat_des,MATCH(B1293,mat_ref,0))&amp;"","Matière inconnue"))</f>
        <v/>
      </c>
      <c r="D1293" s="69" t="str">
        <f>IF(B1293="","",IFERROR(INDEX(mat_unit,MATCH(B1293,mat_ref,0))&amp;"",""))</f>
        <v/>
      </c>
      <c r="E1293" s="72" t="n"/>
      <c r="F1293" s="65" t="n"/>
      <c r="G1293" s="68" t="str">
        <f>IF(J1293&lt;&gt;"OK","",IF(F1293="",N(INDEX(mat_loss,MATCH(B1293,mat_ref,0))),F1293))</f>
        <v/>
      </c>
      <c r="H1293" s="66" t="str">
        <f>IF(J1293&lt;&gt;"OK","",INDEX(mat_price,MATCH(B1293,mat_ref,0)))</f>
        <v/>
      </c>
      <c r="I1293" s="66" t="str">
        <f>IF(J1293&lt;&gt;"OK","",E1293*(1+G1293)*H1293)</f>
        <v/>
      </c>
      <c r="J1293" s="69" t="str">
        <f>IF(AND(A1293="",B1293=""),"",IF(A1293="","Produit manquant",IF(COUNTIF(prod_ref,A1293)=0,"Produit inconnu",IF(B1293="","Matière manquante",IF(ISNA(MATCH(B1293,mat_ref,0)),"Matière inconnue",IF(INDEX(mat_check,MATCH(B1293,mat_ref,0))&lt;&gt;"OK","Matière à corriger",IF(OR(NOT(ISNUMBER(E1293)),N(E1293)&lt;=0),"Quantité invalide",IF(AND(F1293&lt;&gt;"",OR(NOT(ISNUMBER(F1293)),N(F1293)&lt;0,N(F1293)&gt;=1)),"Perte entre 0 et 99 %",IF(COUNTIFS(bom_prod,A1293,bom_mat,B1293)&gt;1,"Matière en double","OK")))))))))</f>
        <v/>
      </c>
      <c r="K1293" s="71" t="str">
        <f>IF(AND(fiche_sel&lt;&gt;"",A1293=fiche_sel),COUNTIF(A$6:A1293,fiche_sel),"")</f>
        <v/>
      </c>
    </row>
    <row r="1294">
      <c r="A1294" s="60" t="n"/>
      <c r="B1294" s="60" t="n"/>
      <c r="C1294" s="71" t="str">
        <f>IF(B1294="","",IFERROR(INDEX(mat_des,MATCH(B1294,mat_ref,0))&amp;"","Matière inconnue"))</f>
        <v/>
      </c>
      <c r="D1294" s="69" t="str">
        <f>IF(B1294="","",IFERROR(INDEX(mat_unit,MATCH(B1294,mat_ref,0))&amp;"",""))</f>
        <v/>
      </c>
      <c r="E1294" s="72" t="n"/>
      <c r="F1294" s="65" t="n"/>
      <c r="G1294" s="68" t="str">
        <f>IF(J1294&lt;&gt;"OK","",IF(F1294="",N(INDEX(mat_loss,MATCH(B1294,mat_ref,0))),F1294))</f>
        <v/>
      </c>
      <c r="H1294" s="66" t="str">
        <f>IF(J1294&lt;&gt;"OK","",INDEX(mat_price,MATCH(B1294,mat_ref,0)))</f>
        <v/>
      </c>
      <c r="I1294" s="66" t="str">
        <f>IF(J1294&lt;&gt;"OK","",E1294*(1+G1294)*H1294)</f>
        <v/>
      </c>
      <c r="J1294" s="69" t="str">
        <f>IF(AND(A1294="",B1294=""),"",IF(A1294="","Produit manquant",IF(COUNTIF(prod_ref,A1294)=0,"Produit inconnu",IF(B1294="","Matière manquante",IF(ISNA(MATCH(B1294,mat_ref,0)),"Matière inconnue",IF(INDEX(mat_check,MATCH(B1294,mat_ref,0))&lt;&gt;"OK","Matière à corriger",IF(OR(NOT(ISNUMBER(E1294)),N(E1294)&lt;=0),"Quantité invalide",IF(AND(F1294&lt;&gt;"",OR(NOT(ISNUMBER(F1294)),N(F1294)&lt;0,N(F1294)&gt;=1)),"Perte entre 0 et 99 %",IF(COUNTIFS(bom_prod,A1294,bom_mat,B1294)&gt;1,"Matière en double","OK")))))))))</f>
        <v/>
      </c>
      <c r="K1294" s="71" t="str">
        <f>IF(AND(fiche_sel&lt;&gt;"",A1294=fiche_sel),COUNTIF(A$6:A1294,fiche_sel),"")</f>
        <v/>
      </c>
    </row>
    <row r="1295">
      <c r="A1295" s="60" t="n"/>
      <c r="B1295" s="60" t="n"/>
      <c r="C1295" s="71" t="str">
        <f>IF(B1295="","",IFERROR(INDEX(mat_des,MATCH(B1295,mat_ref,0))&amp;"","Matière inconnue"))</f>
        <v/>
      </c>
      <c r="D1295" s="69" t="str">
        <f>IF(B1295="","",IFERROR(INDEX(mat_unit,MATCH(B1295,mat_ref,0))&amp;"",""))</f>
        <v/>
      </c>
      <c r="E1295" s="72" t="n"/>
      <c r="F1295" s="65" t="n"/>
      <c r="G1295" s="68" t="str">
        <f>IF(J1295&lt;&gt;"OK","",IF(F1295="",N(INDEX(mat_loss,MATCH(B1295,mat_ref,0))),F1295))</f>
        <v/>
      </c>
      <c r="H1295" s="66" t="str">
        <f>IF(J1295&lt;&gt;"OK","",INDEX(mat_price,MATCH(B1295,mat_ref,0)))</f>
        <v/>
      </c>
      <c r="I1295" s="66" t="str">
        <f>IF(J1295&lt;&gt;"OK","",E1295*(1+G1295)*H1295)</f>
        <v/>
      </c>
      <c r="J1295" s="69" t="str">
        <f>IF(AND(A1295="",B1295=""),"",IF(A1295="","Produit manquant",IF(COUNTIF(prod_ref,A1295)=0,"Produit inconnu",IF(B1295="","Matière manquante",IF(ISNA(MATCH(B1295,mat_ref,0)),"Matière inconnue",IF(INDEX(mat_check,MATCH(B1295,mat_ref,0))&lt;&gt;"OK","Matière à corriger",IF(OR(NOT(ISNUMBER(E1295)),N(E1295)&lt;=0),"Quantité invalide",IF(AND(F1295&lt;&gt;"",OR(NOT(ISNUMBER(F1295)),N(F1295)&lt;0,N(F1295)&gt;=1)),"Perte entre 0 et 99 %",IF(COUNTIFS(bom_prod,A1295,bom_mat,B1295)&gt;1,"Matière en double","OK")))))))))</f>
        <v/>
      </c>
      <c r="K1295" s="71" t="str">
        <f>IF(AND(fiche_sel&lt;&gt;"",A1295=fiche_sel),COUNTIF(A$6:A1295,fiche_sel),"")</f>
        <v/>
      </c>
    </row>
    <row r="1296">
      <c r="A1296" s="60" t="n"/>
      <c r="B1296" s="60" t="n"/>
      <c r="C1296" s="71" t="str">
        <f>IF(B1296="","",IFERROR(INDEX(mat_des,MATCH(B1296,mat_ref,0))&amp;"","Matière inconnue"))</f>
        <v/>
      </c>
      <c r="D1296" s="69" t="str">
        <f>IF(B1296="","",IFERROR(INDEX(mat_unit,MATCH(B1296,mat_ref,0))&amp;"",""))</f>
        <v/>
      </c>
      <c r="E1296" s="72" t="n"/>
      <c r="F1296" s="65" t="n"/>
      <c r="G1296" s="68" t="str">
        <f>IF(J1296&lt;&gt;"OK","",IF(F1296="",N(INDEX(mat_loss,MATCH(B1296,mat_ref,0))),F1296))</f>
        <v/>
      </c>
      <c r="H1296" s="66" t="str">
        <f>IF(J1296&lt;&gt;"OK","",INDEX(mat_price,MATCH(B1296,mat_ref,0)))</f>
        <v/>
      </c>
      <c r="I1296" s="66" t="str">
        <f>IF(J1296&lt;&gt;"OK","",E1296*(1+G1296)*H1296)</f>
        <v/>
      </c>
      <c r="J1296" s="69" t="str">
        <f>IF(AND(A1296="",B1296=""),"",IF(A1296="","Produit manquant",IF(COUNTIF(prod_ref,A1296)=0,"Produit inconnu",IF(B1296="","Matière manquante",IF(ISNA(MATCH(B1296,mat_ref,0)),"Matière inconnue",IF(INDEX(mat_check,MATCH(B1296,mat_ref,0))&lt;&gt;"OK","Matière à corriger",IF(OR(NOT(ISNUMBER(E1296)),N(E1296)&lt;=0),"Quantité invalide",IF(AND(F1296&lt;&gt;"",OR(NOT(ISNUMBER(F1296)),N(F1296)&lt;0,N(F1296)&gt;=1)),"Perte entre 0 et 99 %",IF(COUNTIFS(bom_prod,A1296,bom_mat,B1296)&gt;1,"Matière en double","OK")))))))))</f>
        <v/>
      </c>
      <c r="K1296" s="71" t="str">
        <f>IF(AND(fiche_sel&lt;&gt;"",A1296=fiche_sel),COUNTIF(A$6:A1296,fiche_sel),"")</f>
        <v/>
      </c>
    </row>
    <row r="1297">
      <c r="A1297" s="60" t="n"/>
      <c r="B1297" s="60" t="n"/>
      <c r="C1297" s="71" t="str">
        <f>IF(B1297="","",IFERROR(INDEX(mat_des,MATCH(B1297,mat_ref,0))&amp;"","Matière inconnue"))</f>
        <v/>
      </c>
      <c r="D1297" s="69" t="str">
        <f>IF(B1297="","",IFERROR(INDEX(mat_unit,MATCH(B1297,mat_ref,0))&amp;"",""))</f>
        <v/>
      </c>
      <c r="E1297" s="72" t="n"/>
      <c r="F1297" s="65" t="n"/>
      <c r="G1297" s="68" t="str">
        <f>IF(J1297&lt;&gt;"OK","",IF(F1297="",N(INDEX(mat_loss,MATCH(B1297,mat_ref,0))),F1297))</f>
        <v/>
      </c>
      <c r="H1297" s="66" t="str">
        <f>IF(J1297&lt;&gt;"OK","",INDEX(mat_price,MATCH(B1297,mat_ref,0)))</f>
        <v/>
      </c>
      <c r="I1297" s="66" t="str">
        <f>IF(J1297&lt;&gt;"OK","",E1297*(1+G1297)*H1297)</f>
        <v/>
      </c>
      <c r="J1297" s="69" t="str">
        <f>IF(AND(A1297="",B1297=""),"",IF(A1297="","Produit manquant",IF(COUNTIF(prod_ref,A1297)=0,"Produit inconnu",IF(B1297="","Matière manquante",IF(ISNA(MATCH(B1297,mat_ref,0)),"Matière inconnue",IF(INDEX(mat_check,MATCH(B1297,mat_ref,0))&lt;&gt;"OK","Matière à corriger",IF(OR(NOT(ISNUMBER(E1297)),N(E1297)&lt;=0),"Quantité invalide",IF(AND(F1297&lt;&gt;"",OR(NOT(ISNUMBER(F1297)),N(F1297)&lt;0,N(F1297)&gt;=1)),"Perte entre 0 et 99 %",IF(COUNTIFS(bom_prod,A1297,bom_mat,B1297)&gt;1,"Matière en double","OK")))))))))</f>
        <v/>
      </c>
      <c r="K1297" s="71" t="str">
        <f>IF(AND(fiche_sel&lt;&gt;"",A1297=fiche_sel),COUNTIF(A$6:A1297,fiche_sel),"")</f>
        <v/>
      </c>
    </row>
    <row r="1298">
      <c r="A1298" s="60" t="n"/>
      <c r="B1298" s="60" t="n"/>
      <c r="C1298" s="71" t="str">
        <f>IF(B1298="","",IFERROR(INDEX(mat_des,MATCH(B1298,mat_ref,0))&amp;"","Matière inconnue"))</f>
        <v/>
      </c>
      <c r="D1298" s="69" t="str">
        <f>IF(B1298="","",IFERROR(INDEX(mat_unit,MATCH(B1298,mat_ref,0))&amp;"",""))</f>
        <v/>
      </c>
      <c r="E1298" s="72" t="n"/>
      <c r="F1298" s="65" t="n"/>
      <c r="G1298" s="68" t="str">
        <f>IF(J1298&lt;&gt;"OK","",IF(F1298="",N(INDEX(mat_loss,MATCH(B1298,mat_ref,0))),F1298))</f>
        <v/>
      </c>
      <c r="H1298" s="66" t="str">
        <f>IF(J1298&lt;&gt;"OK","",INDEX(mat_price,MATCH(B1298,mat_ref,0)))</f>
        <v/>
      </c>
      <c r="I1298" s="66" t="str">
        <f>IF(J1298&lt;&gt;"OK","",E1298*(1+G1298)*H1298)</f>
        <v/>
      </c>
      <c r="J1298" s="69" t="str">
        <f>IF(AND(A1298="",B1298=""),"",IF(A1298="","Produit manquant",IF(COUNTIF(prod_ref,A1298)=0,"Produit inconnu",IF(B1298="","Matière manquante",IF(ISNA(MATCH(B1298,mat_ref,0)),"Matière inconnue",IF(INDEX(mat_check,MATCH(B1298,mat_ref,0))&lt;&gt;"OK","Matière à corriger",IF(OR(NOT(ISNUMBER(E1298)),N(E1298)&lt;=0),"Quantité invalide",IF(AND(F1298&lt;&gt;"",OR(NOT(ISNUMBER(F1298)),N(F1298)&lt;0,N(F1298)&gt;=1)),"Perte entre 0 et 99 %",IF(COUNTIFS(bom_prod,A1298,bom_mat,B1298)&gt;1,"Matière en double","OK")))))))))</f>
        <v/>
      </c>
      <c r="K1298" s="71" t="str">
        <f>IF(AND(fiche_sel&lt;&gt;"",A1298=fiche_sel),COUNTIF(A$6:A1298,fiche_sel),"")</f>
        <v/>
      </c>
    </row>
    <row r="1299">
      <c r="A1299" s="60" t="n"/>
      <c r="B1299" s="60" t="n"/>
      <c r="C1299" s="71" t="str">
        <f>IF(B1299="","",IFERROR(INDEX(mat_des,MATCH(B1299,mat_ref,0))&amp;"","Matière inconnue"))</f>
        <v/>
      </c>
      <c r="D1299" s="69" t="str">
        <f>IF(B1299="","",IFERROR(INDEX(mat_unit,MATCH(B1299,mat_ref,0))&amp;"",""))</f>
        <v/>
      </c>
      <c r="E1299" s="72" t="n"/>
      <c r="F1299" s="65" t="n"/>
      <c r="G1299" s="68" t="str">
        <f>IF(J1299&lt;&gt;"OK","",IF(F1299="",N(INDEX(mat_loss,MATCH(B1299,mat_ref,0))),F1299))</f>
        <v/>
      </c>
      <c r="H1299" s="66" t="str">
        <f>IF(J1299&lt;&gt;"OK","",INDEX(mat_price,MATCH(B1299,mat_ref,0)))</f>
        <v/>
      </c>
      <c r="I1299" s="66" t="str">
        <f>IF(J1299&lt;&gt;"OK","",E1299*(1+G1299)*H1299)</f>
        <v/>
      </c>
      <c r="J1299" s="69" t="str">
        <f>IF(AND(A1299="",B1299=""),"",IF(A1299="","Produit manquant",IF(COUNTIF(prod_ref,A1299)=0,"Produit inconnu",IF(B1299="","Matière manquante",IF(ISNA(MATCH(B1299,mat_ref,0)),"Matière inconnue",IF(INDEX(mat_check,MATCH(B1299,mat_ref,0))&lt;&gt;"OK","Matière à corriger",IF(OR(NOT(ISNUMBER(E1299)),N(E1299)&lt;=0),"Quantité invalide",IF(AND(F1299&lt;&gt;"",OR(NOT(ISNUMBER(F1299)),N(F1299)&lt;0,N(F1299)&gt;=1)),"Perte entre 0 et 99 %",IF(COUNTIFS(bom_prod,A1299,bom_mat,B1299)&gt;1,"Matière en double","OK")))))))))</f>
        <v/>
      </c>
      <c r="K1299" s="71" t="str">
        <f>IF(AND(fiche_sel&lt;&gt;"",A1299=fiche_sel),COUNTIF(A$6:A1299,fiche_sel),"")</f>
        <v/>
      </c>
    </row>
    <row r="1300">
      <c r="A1300" s="60" t="n"/>
      <c r="B1300" s="60" t="n"/>
      <c r="C1300" s="71" t="str">
        <f>IF(B1300="","",IFERROR(INDEX(mat_des,MATCH(B1300,mat_ref,0))&amp;"","Matière inconnue"))</f>
        <v/>
      </c>
      <c r="D1300" s="69" t="str">
        <f>IF(B1300="","",IFERROR(INDEX(mat_unit,MATCH(B1300,mat_ref,0))&amp;"",""))</f>
        <v/>
      </c>
      <c r="E1300" s="72" t="n"/>
      <c r="F1300" s="65" t="n"/>
      <c r="G1300" s="68" t="str">
        <f>IF(J1300&lt;&gt;"OK","",IF(F1300="",N(INDEX(mat_loss,MATCH(B1300,mat_ref,0))),F1300))</f>
        <v/>
      </c>
      <c r="H1300" s="66" t="str">
        <f>IF(J1300&lt;&gt;"OK","",INDEX(mat_price,MATCH(B1300,mat_ref,0)))</f>
        <v/>
      </c>
      <c r="I1300" s="66" t="str">
        <f>IF(J1300&lt;&gt;"OK","",E1300*(1+G1300)*H1300)</f>
        <v/>
      </c>
      <c r="J1300" s="69" t="str">
        <f>IF(AND(A1300="",B1300=""),"",IF(A1300="","Produit manquant",IF(COUNTIF(prod_ref,A1300)=0,"Produit inconnu",IF(B1300="","Matière manquante",IF(ISNA(MATCH(B1300,mat_ref,0)),"Matière inconnue",IF(INDEX(mat_check,MATCH(B1300,mat_ref,0))&lt;&gt;"OK","Matière à corriger",IF(OR(NOT(ISNUMBER(E1300)),N(E1300)&lt;=0),"Quantité invalide",IF(AND(F1300&lt;&gt;"",OR(NOT(ISNUMBER(F1300)),N(F1300)&lt;0,N(F1300)&gt;=1)),"Perte entre 0 et 99 %",IF(COUNTIFS(bom_prod,A1300,bom_mat,B1300)&gt;1,"Matière en double","OK")))))))))</f>
        <v/>
      </c>
      <c r="K1300" s="71" t="str">
        <f>IF(AND(fiche_sel&lt;&gt;"",A1300=fiche_sel),COUNTIF(A$6:A1300,fiche_sel),"")</f>
        <v/>
      </c>
    </row>
    <row r="1301">
      <c r="A1301" s="60" t="n"/>
      <c r="B1301" s="60" t="n"/>
      <c r="C1301" s="71" t="str">
        <f>IF(B1301="","",IFERROR(INDEX(mat_des,MATCH(B1301,mat_ref,0))&amp;"","Matière inconnue"))</f>
        <v/>
      </c>
      <c r="D1301" s="69" t="str">
        <f>IF(B1301="","",IFERROR(INDEX(mat_unit,MATCH(B1301,mat_ref,0))&amp;"",""))</f>
        <v/>
      </c>
      <c r="E1301" s="72" t="n"/>
      <c r="F1301" s="65" t="n"/>
      <c r="G1301" s="68" t="str">
        <f>IF(J1301&lt;&gt;"OK","",IF(F1301="",N(INDEX(mat_loss,MATCH(B1301,mat_ref,0))),F1301))</f>
        <v/>
      </c>
      <c r="H1301" s="66" t="str">
        <f>IF(J1301&lt;&gt;"OK","",INDEX(mat_price,MATCH(B1301,mat_ref,0)))</f>
        <v/>
      </c>
      <c r="I1301" s="66" t="str">
        <f>IF(J1301&lt;&gt;"OK","",E1301*(1+G1301)*H1301)</f>
        <v/>
      </c>
      <c r="J1301" s="69" t="str">
        <f>IF(AND(A1301="",B1301=""),"",IF(A1301="","Produit manquant",IF(COUNTIF(prod_ref,A1301)=0,"Produit inconnu",IF(B1301="","Matière manquante",IF(ISNA(MATCH(B1301,mat_ref,0)),"Matière inconnue",IF(INDEX(mat_check,MATCH(B1301,mat_ref,0))&lt;&gt;"OK","Matière à corriger",IF(OR(NOT(ISNUMBER(E1301)),N(E1301)&lt;=0),"Quantité invalide",IF(AND(F1301&lt;&gt;"",OR(NOT(ISNUMBER(F1301)),N(F1301)&lt;0,N(F1301)&gt;=1)),"Perte entre 0 et 99 %",IF(COUNTIFS(bom_prod,A1301,bom_mat,B1301)&gt;1,"Matière en double","OK")))))))))</f>
        <v/>
      </c>
      <c r="K1301" s="71" t="str">
        <f>IF(AND(fiche_sel&lt;&gt;"",A1301=fiche_sel),COUNTIF(A$6:A1301,fiche_sel),"")</f>
        <v/>
      </c>
    </row>
    <row r="1302">
      <c r="A1302" s="60" t="n"/>
      <c r="B1302" s="60" t="n"/>
      <c r="C1302" s="71" t="str">
        <f>IF(B1302="","",IFERROR(INDEX(mat_des,MATCH(B1302,mat_ref,0))&amp;"","Matière inconnue"))</f>
        <v/>
      </c>
      <c r="D1302" s="69" t="str">
        <f>IF(B1302="","",IFERROR(INDEX(mat_unit,MATCH(B1302,mat_ref,0))&amp;"",""))</f>
        <v/>
      </c>
      <c r="E1302" s="72" t="n"/>
      <c r="F1302" s="65" t="n"/>
      <c r="G1302" s="68" t="str">
        <f>IF(J1302&lt;&gt;"OK","",IF(F1302="",N(INDEX(mat_loss,MATCH(B1302,mat_ref,0))),F1302))</f>
        <v/>
      </c>
      <c r="H1302" s="66" t="str">
        <f>IF(J1302&lt;&gt;"OK","",INDEX(mat_price,MATCH(B1302,mat_ref,0)))</f>
        <v/>
      </c>
      <c r="I1302" s="66" t="str">
        <f>IF(J1302&lt;&gt;"OK","",E1302*(1+G1302)*H1302)</f>
        <v/>
      </c>
      <c r="J1302" s="69" t="str">
        <f>IF(AND(A1302="",B1302=""),"",IF(A1302="","Produit manquant",IF(COUNTIF(prod_ref,A1302)=0,"Produit inconnu",IF(B1302="","Matière manquante",IF(ISNA(MATCH(B1302,mat_ref,0)),"Matière inconnue",IF(INDEX(mat_check,MATCH(B1302,mat_ref,0))&lt;&gt;"OK","Matière à corriger",IF(OR(NOT(ISNUMBER(E1302)),N(E1302)&lt;=0),"Quantité invalide",IF(AND(F1302&lt;&gt;"",OR(NOT(ISNUMBER(F1302)),N(F1302)&lt;0,N(F1302)&gt;=1)),"Perte entre 0 et 99 %",IF(COUNTIFS(bom_prod,A1302,bom_mat,B1302)&gt;1,"Matière en double","OK")))))))))</f>
        <v/>
      </c>
      <c r="K1302" s="71" t="str">
        <f>IF(AND(fiche_sel&lt;&gt;"",A1302=fiche_sel),COUNTIF(A$6:A1302,fiche_sel),"")</f>
        <v/>
      </c>
    </row>
    <row r="1303">
      <c r="A1303" s="60" t="n"/>
      <c r="B1303" s="60" t="n"/>
      <c r="C1303" s="71" t="str">
        <f>IF(B1303="","",IFERROR(INDEX(mat_des,MATCH(B1303,mat_ref,0))&amp;"","Matière inconnue"))</f>
        <v/>
      </c>
      <c r="D1303" s="69" t="str">
        <f>IF(B1303="","",IFERROR(INDEX(mat_unit,MATCH(B1303,mat_ref,0))&amp;"",""))</f>
        <v/>
      </c>
      <c r="E1303" s="72" t="n"/>
      <c r="F1303" s="65" t="n"/>
      <c r="G1303" s="68" t="str">
        <f>IF(J1303&lt;&gt;"OK","",IF(F1303="",N(INDEX(mat_loss,MATCH(B1303,mat_ref,0))),F1303))</f>
        <v/>
      </c>
      <c r="H1303" s="66" t="str">
        <f>IF(J1303&lt;&gt;"OK","",INDEX(mat_price,MATCH(B1303,mat_ref,0)))</f>
        <v/>
      </c>
      <c r="I1303" s="66" t="str">
        <f>IF(J1303&lt;&gt;"OK","",E1303*(1+G1303)*H1303)</f>
        <v/>
      </c>
      <c r="J1303" s="69" t="str">
        <f>IF(AND(A1303="",B1303=""),"",IF(A1303="","Produit manquant",IF(COUNTIF(prod_ref,A1303)=0,"Produit inconnu",IF(B1303="","Matière manquante",IF(ISNA(MATCH(B1303,mat_ref,0)),"Matière inconnue",IF(INDEX(mat_check,MATCH(B1303,mat_ref,0))&lt;&gt;"OK","Matière à corriger",IF(OR(NOT(ISNUMBER(E1303)),N(E1303)&lt;=0),"Quantité invalide",IF(AND(F1303&lt;&gt;"",OR(NOT(ISNUMBER(F1303)),N(F1303)&lt;0,N(F1303)&gt;=1)),"Perte entre 0 et 99 %",IF(COUNTIFS(bom_prod,A1303,bom_mat,B1303)&gt;1,"Matière en double","OK")))))))))</f>
        <v/>
      </c>
      <c r="K1303" s="71" t="str">
        <f>IF(AND(fiche_sel&lt;&gt;"",A1303=fiche_sel),COUNTIF(A$6:A1303,fiche_sel),"")</f>
        <v/>
      </c>
    </row>
    <row r="1304">
      <c r="A1304" s="60" t="n"/>
      <c r="B1304" s="60" t="n"/>
      <c r="C1304" s="71" t="str">
        <f>IF(B1304="","",IFERROR(INDEX(mat_des,MATCH(B1304,mat_ref,0))&amp;"","Matière inconnue"))</f>
        <v/>
      </c>
      <c r="D1304" s="69" t="str">
        <f>IF(B1304="","",IFERROR(INDEX(mat_unit,MATCH(B1304,mat_ref,0))&amp;"",""))</f>
        <v/>
      </c>
      <c r="E1304" s="72" t="n"/>
      <c r="F1304" s="65" t="n"/>
      <c r="G1304" s="68" t="str">
        <f>IF(J1304&lt;&gt;"OK","",IF(F1304="",N(INDEX(mat_loss,MATCH(B1304,mat_ref,0))),F1304))</f>
        <v/>
      </c>
      <c r="H1304" s="66" t="str">
        <f>IF(J1304&lt;&gt;"OK","",INDEX(mat_price,MATCH(B1304,mat_ref,0)))</f>
        <v/>
      </c>
      <c r="I1304" s="66" t="str">
        <f>IF(J1304&lt;&gt;"OK","",E1304*(1+G1304)*H1304)</f>
        <v/>
      </c>
      <c r="J1304" s="69" t="str">
        <f>IF(AND(A1304="",B1304=""),"",IF(A1304="","Produit manquant",IF(COUNTIF(prod_ref,A1304)=0,"Produit inconnu",IF(B1304="","Matière manquante",IF(ISNA(MATCH(B1304,mat_ref,0)),"Matière inconnue",IF(INDEX(mat_check,MATCH(B1304,mat_ref,0))&lt;&gt;"OK","Matière à corriger",IF(OR(NOT(ISNUMBER(E1304)),N(E1304)&lt;=0),"Quantité invalide",IF(AND(F1304&lt;&gt;"",OR(NOT(ISNUMBER(F1304)),N(F1304)&lt;0,N(F1304)&gt;=1)),"Perte entre 0 et 99 %",IF(COUNTIFS(bom_prod,A1304,bom_mat,B1304)&gt;1,"Matière en double","OK")))))))))</f>
        <v/>
      </c>
      <c r="K1304" s="71" t="str">
        <f>IF(AND(fiche_sel&lt;&gt;"",A1304=fiche_sel),COUNTIF(A$6:A1304,fiche_sel),"")</f>
        <v/>
      </c>
    </row>
    <row r="1305">
      <c r="A1305" s="60" t="n"/>
      <c r="B1305" s="60" t="n"/>
      <c r="C1305" s="71" t="str">
        <f>IF(B1305="","",IFERROR(INDEX(mat_des,MATCH(B1305,mat_ref,0))&amp;"","Matière inconnue"))</f>
        <v/>
      </c>
      <c r="D1305" s="69" t="str">
        <f>IF(B1305="","",IFERROR(INDEX(mat_unit,MATCH(B1305,mat_ref,0))&amp;"",""))</f>
        <v/>
      </c>
      <c r="E1305" s="72" t="n"/>
      <c r="F1305" s="65" t="n"/>
      <c r="G1305" s="68" t="str">
        <f>IF(J1305&lt;&gt;"OK","",IF(F1305="",N(INDEX(mat_loss,MATCH(B1305,mat_ref,0))),F1305))</f>
        <v/>
      </c>
      <c r="H1305" s="66" t="str">
        <f>IF(J1305&lt;&gt;"OK","",INDEX(mat_price,MATCH(B1305,mat_ref,0)))</f>
        <v/>
      </c>
      <c r="I1305" s="66" t="str">
        <f>IF(J1305&lt;&gt;"OK","",E1305*(1+G1305)*H1305)</f>
        <v/>
      </c>
      <c r="J1305" s="69" t="str">
        <f>IF(AND(A1305="",B1305=""),"",IF(A1305="","Produit manquant",IF(COUNTIF(prod_ref,A1305)=0,"Produit inconnu",IF(B1305="","Matière manquante",IF(ISNA(MATCH(B1305,mat_ref,0)),"Matière inconnue",IF(INDEX(mat_check,MATCH(B1305,mat_ref,0))&lt;&gt;"OK","Matière à corriger",IF(OR(NOT(ISNUMBER(E1305)),N(E1305)&lt;=0),"Quantité invalide",IF(AND(F1305&lt;&gt;"",OR(NOT(ISNUMBER(F1305)),N(F1305)&lt;0,N(F1305)&gt;=1)),"Perte entre 0 et 99 %",IF(COUNTIFS(bom_prod,A1305,bom_mat,B1305)&gt;1,"Matière en double","OK")))))))))</f>
        <v/>
      </c>
      <c r="K1305" s="71" t="str">
        <f>IF(AND(fiche_sel&lt;&gt;"",A1305=fiche_sel),COUNTIF(A$6:A1305,fiche_sel),"")</f>
        <v/>
      </c>
    </row>
    <row r="1306">
      <c r="A1306" s="60" t="n"/>
      <c r="B1306" s="60" t="n"/>
      <c r="C1306" s="71" t="str">
        <f>IF(B1306="","",IFERROR(INDEX(mat_des,MATCH(B1306,mat_ref,0))&amp;"","Matière inconnue"))</f>
        <v/>
      </c>
      <c r="D1306" s="69" t="str">
        <f>IF(B1306="","",IFERROR(INDEX(mat_unit,MATCH(B1306,mat_ref,0))&amp;"",""))</f>
        <v/>
      </c>
      <c r="E1306" s="72" t="n"/>
      <c r="F1306" s="65" t="n"/>
      <c r="G1306" s="68" t="str">
        <f>IF(J1306&lt;&gt;"OK","",IF(F1306="",N(INDEX(mat_loss,MATCH(B1306,mat_ref,0))),F1306))</f>
        <v/>
      </c>
      <c r="H1306" s="66" t="str">
        <f>IF(J1306&lt;&gt;"OK","",INDEX(mat_price,MATCH(B1306,mat_ref,0)))</f>
        <v/>
      </c>
      <c r="I1306" s="66" t="str">
        <f>IF(J1306&lt;&gt;"OK","",E1306*(1+G1306)*H1306)</f>
        <v/>
      </c>
      <c r="J1306" s="69" t="str">
        <f>IF(AND(A1306="",B1306=""),"",IF(A1306="","Produit manquant",IF(COUNTIF(prod_ref,A1306)=0,"Produit inconnu",IF(B1306="","Matière manquante",IF(ISNA(MATCH(B1306,mat_ref,0)),"Matière inconnue",IF(INDEX(mat_check,MATCH(B1306,mat_ref,0))&lt;&gt;"OK","Matière à corriger",IF(OR(NOT(ISNUMBER(E1306)),N(E1306)&lt;=0),"Quantité invalide",IF(AND(F1306&lt;&gt;"",OR(NOT(ISNUMBER(F1306)),N(F1306)&lt;0,N(F1306)&gt;=1)),"Perte entre 0 et 99 %",IF(COUNTIFS(bom_prod,A1306,bom_mat,B1306)&gt;1,"Matière en double","OK")))))))))</f>
        <v/>
      </c>
      <c r="K1306" s="71" t="str">
        <f>IF(AND(fiche_sel&lt;&gt;"",A1306=fiche_sel),COUNTIF(A$6:A1306,fiche_sel),"")</f>
        <v/>
      </c>
    </row>
    <row r="1307">
      <c r="A1307" s="60" t="n"/>
      <c r="B1307" s="60" t="n"/>
      <c r="C1307" s="71" t="str">
        <f>IF(B1307="","",IFERROR(INDEX(mat_des,MATCH(B1307,mat_ref,0))&amp;"","Matière inconnue"))</f>
        <v/>
      </c>
      <c r="D1307" s="69" t="str">
        <f>IF(B1307="","",IFERROR(INDEX(mat_unit,MATCH(B1307,mat_ref,0))&amp;"",""))</f>
        <v/>
      </c>
      <c r="E1307" s="72" t="n"/>
      <c r="F1307" s="65" t="n"/>
      <c r="G1307" s="68" t="str">
        <f>IF(J1307&lt;&gt;"OK","",IF(F1307="",N(INDEX(mat_loss,MATCH(B1307,mat_ref,0))),F1307))</f>
        <v/>
      </c>
      <c r="H1307" s="66" t="str">
        <f>IF(J1307&lt;&gt;"OK","",INDEX(mat_price,MATCH(B1307,mat_ref,0)))</f>
        <v/>
      </c>
      <c r="I1307" s="66" t="str">
        <f>IF(J1307&lt;&gt;"OK","",E1307*(1+G1307)*H1307)</f>
        <v/>
      </c>
      <c r="J1307" s="69" t="str">
        <f>IF(AND(A1307="",B1307=""),"",IF(A1307="","Produit manquant",IF(COUNTIF(prod_ref,A1307)=0,"Produit inconnu",IF(B1307="","Matière manquante",IF(ISNA(MATCH(B1307,mat_ref,0)),"Matière inconnue",IF(INDEX(mat_check,MATCH(B1307,mat_ref,0))&lt;&gt;"OK","Matière à corriger",IF(OR(NOT(ISNUMBER(E1307)),N(E1307)&lt;=0),"Quantité invalide",IF(AND(F1307&lt;&gt;"",OR(NOT(ISNUMBER(F1307)),N(F1307)&lt;0,N(F1307)&gt;=1)),"Perte entre 0 et 99 %",IF(COUNTIFS(bom_prod,A1307,bom_mat,B1307)&gt;1,"Matière en double","OK")))))))))</f>
        <v/>
      </c>
      <c r="K1307" s="71" t="str">
        <f>IF(AND(fiche_sel&lt;&gt;"",A1307=fiche_sel),COUNTIF(A$6:A1307,fiche_sel),"")</f>
        <v/>
      </c>
    </row>
    <row r="1308">
      <c r="A1308" s="60" t="n"/>
      <c r="B1308" s="60" t="n"/>
      <c r="C1308" s="71" t="str">
        <f>IF(B1308="","",IFERROR(INDEX(mat_des,MATCH(B1308,mat_ref,0))&amp;"","Matière inconnue"))</f>
        <v/>
      </c>
      <c r="D1308" s="69" t="str">
        <f>IF(B1308="","",IFERROR(INDEX(mat_unit,MATCH(B1308,mat_ref,0))&amp;"",""))</f>
        <v/>
      </c>
      <c r="E1308" s="72" t="n"/>
      <c r="F1308" s="65" t="n"/>
      <c r="G1308" s="68" t="str">
        <f>IF(J1308&lt;&gt;"OK","",IF(F1308="",N(INDEX(mat_loss,MATCH(B1308,mat_ref,0))),F1308))</f>
        <v/>
      </c>
      <c r="H1308" s="66" t="str">
        <f>IF(J1308&lt;&gt;"OK","",INDEX(mat_price,MATCH(B1308,mat_ref,0)))</f>
        <v/>
      </c>
      <c r="I1308" s="66" t="str">
        <f>IF(J1308&lt;&gt;"OK","",E1308*(1+G1308)*H1308)</f>
        <v/>
      </c>
      <c r="J1308" s="69" t="str">
        <f>IF(AND(A1308="",B1308=""),"",IF(A1308="","Produit manquant",IF(COUNTIF(prod_ref,A1308)=0,"Produit inconnu",IF(B1308="","Matière manquante",IF(ISNA(MATCH(B1308,mat_ref,0)),"Matière inconnue",IF(INDEX(mat_check,MATCH(B1308,mat_ref,0))&lt;&gt;"OK","Matière à corriger",IF(OR(NOT(ISNUMBER(E1308)),N(E1308)&lt;=0),"Quantité invalide",IF(AND(F1308&lt;&gt;"",OR(NOT(ISNUMBER(F1308)),N(F1308)&lt;0,N(F1308)&gt;=1)),"Perte entre 0 et 99 %",IF(COUNTIFS(bom_prod,A1308,bom_mat,B1308)&gt;1,"Matière en double","OK")))))))))</f>
        <v/>
      </c>
      <c r="K1308" s="71" t="str">
        <f>IF(AND(fiche_sel&lt;&gt;"",A1308=fiche_sel),COUNTIF(A$6:A1308,fiche_sel),"")</f>
        <v/>
      </c>
    </row>
    <row r="1309">
      <c r="A1309" s="60" t="n"/>
      <c r="B1309" s="60" t="n"/>
      <c r="C1309" s="71" t="str">
        <f>IF(B1309="","",IFERROR(INDEX(mat_des,MATCH(B1309,mat_ref,0))&amp;"","Matière inconnue"))</f>
        <v/>
      </c>
      <c r="D1309" s="69" t="str">
        <f>IF(B1309="","",IFERROR(INDEX(mat_unit,MATCH(B1309,mat_ref,0))&amp;"",""))</f>
        <v/>
      </c>
      <c r="E1309" s="72" t="n"/>
      <c r="F1309" s="65" t="n"/>
      <c r="G1309" s="68" t="str">
        <f>IF(J1309&lt;&gt;"OK","",IF(F1309="",N(INDEX(mat_loss,MATCH(B1309,mat_ref,0))),F1309))</f>
        <v/>
      </c>
      <c r="H1309" s="66" t="str">
        <f>IF(J1309&lt;&gt;"OK","",INDEX(mat_price,MATCH(B1309,mat_ref,0)))</f>
        <v/>
      </c>
      <c r="I1309" s="66" t="str">
        <f>IF(J1309&lt;&gt;"OK","",E1309*(1+G1309)*H1309)</f>
        <v/>
      </c>
      <c r="J1309" s="69" t="str">
        <f>IF(AND(A1309="",B1309=""),"",IF(A1309="","Produit manquant",IF(COUNTIF(prod_ref,A1309)=0,"Produit inconnu",IF(B1309="","Matière manquante",IF(ISNA(MATCH(B1309,mat_ref,0)),"Matière inconnue",IF(INDEX(mat_check,MATCH(B1309,mat_ref,0))&lt;&gt;"OK","Matière à corriger",IF(OR(NOT(ISNUMBER(E1309)),N(E1309)&lt;=0),"Quantité invalide",IF(AND(F1309&lt;&gt;"",OR(NOT(ISNUMBER(F1309)),N(F1309)&lt;0,N(F1309)&gt;=1)),"Perte entre 0 et 99 %",IF(COUNTIFS(bom_prod,A1309,bom_mat,B1309)&gt;1,"Matière en double","OK")))))))))</f>
        <v/>
      </c>
      <c r="K1309" s="71" t="str">
        <f>IF(AND(fiche_sel&lt;&gt;"",A1309=fiche_sel),COUNTIF(A$6:A1309,fiche_sel),"")</f>
        <v/>
      </c>
    </row>
    <row r="1310">
      <c r="A1310" s="60" t="n"/>
      <c r="B1310" s="60" t="n"/>
      <c r="C1310" s="71" t="str">
        <f>IF(B1310="","",IFERROR(INDEX(mat_des,MATCH(B1310,mat_ref,0))&amp;"","Matière inconnue"))</f>
        <v/>
      </c>
      <c r="D1310" s="69" t="str">
        <f>IF(B1310="","",IFERROR(INDEX(mat_unit,MATCH(B1310,mat_ref,0))&amp;"",""))</f>
        <v/>
      </c>
      <c r="E1310" s="72" t="n"/>
      <c r="F1310" s="65" t="n"/>
      <c r="G1310" s="68" t="str">
        <f>IF(J1310&lt;&gt;"OK","",IF(F1310="",N(INDEX(mat_loss,MATCH(B1310,mat_ref,0))),F1310))</f>
        <v/>
      </c>
      <c r="H1310" s="66" t="str">
        <f>IF(J1310&lt;&gt;"OK","",INDEX(mat_price,MATCH(B1310,mat_ref,0)))</f>
        <v/>
      </c>
      <c r="I1310" s="66" t="str">
        <f>IF(J1310&lt;&gt;"OK","",E1310*(1+G1310)*H1310)</f>
        <v/>
      </c>
      <c r="J1310" s="69" t="str">
        <f>IF(AND(A1310="",B1310=""),"",IF(A1310="","Produit manquant",IF(COUNTIF(prod_ref,A1310)=0,"Produit inconnu",IF(B1310="","Matière manquante",IF(ISNA(MATCH(B1310,mat_ref,0)),"Matière inconnue",IF(INDEX(mat_check,MATCH(B1310,mat_ref,0))&lt;&gt;"OK","Matière à corriger",IF(OR(NOT(ISNUMBER(E1310)),N(E1310)&lt;=0),"Quantité invalide",IF(AND(F1310&lt;&gt;"",OR(NOT(ISNUMBER(F1310)),N(F1310)&lt;0,N(F1310)&gt;=1)),"Perte entre 0 et 99 %",IF(COUNTIFS(bom_prod,A1310,bom_mat,B1310)&gt;1,"Matière en double","OK")))))))))</f>
        <v/>
      </c>
      <c r="K1310" s="71" t="str">
        <f>IF(AND(fiche_sel&lt;&gt;"",A1310=fiche_sel),COUNTIF(A$6:A1310,fiche_sel),"")</f>
        <v/>
      </c>
    </row>
    <row r="1311">
      <c r="A1311" s="60" t="n"/>
      <c r="B1311" s="60" t="n"/>
      <c r="C1311" s="71" t="str">
        <f>IF(B1311="","",IFERROR(INDEX(mat_des,MATCH(B1311,mat_ref,0))&amp;"","Matière inconnue"))</f>
        <v/>
      </c>
      <c r="D1311" s="69" t="str">
        <f>IF(B1311="","",IFERROR(INDEX(mat_unit,MATCH(B1311,mat_ref,0))&amp;"",""))</f>
        <v/>
      </c>
      <c r="E1311" s="72" t="n"/>
      <c r="F1311" s="65" t="n"/>
      <c r="G1311" s="68" t="str">
        <f>IF(J1311&lt;&gt;"OK","",IF(F1311="",N(INDEX(mat_loss,MATCH(B1311,mat_ref,0))),F1311))</f>
        <v/>
      </c>
      <c r="H1311" s="66" t="str">
        <f>IF(J1311&lt;&gt;"OK","",INDEX(mat_price,MATCH(B1311,mat_ref,0)))</f>
        <v/>
      </c>
      <c r="I1311" s="66" t="str">
        <f>IF(J1311&lt;&gt;"OK","",E1311*(1+G1311)*H1311)</f>
        <v/>
      </c>
      <c r="J1311" s="69" t="str">
        <f>IF(AND(A1311="",B1311=""),"",IF(A1311="","Produit manquant",IF(COUNTIF(prod_ref,A1311)=0,"Produit inconnu",IF(B1311="","Matière manquante",IF(ISNA(MATCH(B1311,mat_ref,0)),"Matière inconnue",IF(INDEX(mat_check,MATCH(B1311,mat_ref,0))&lt;&gt;"OK","Matière à corriger",IF(OR(NOT(ISNUMBER(E1311)),N(E1311)&lt;=0),"Quantité invalide",IF(AND(F1311&lt;&gt;"",OR(NOT(ISNUMBER(F1311)),N(F1311)&lt;0,N(F1311)&gt;=1)),"Perte entre 0 et 99 %",IF(COUNTIFS(bom_prod,A1311,bom_mat,B1311)&gt;1,"Matière en double","OK")))))))))</f>
        <v/>
      </c>
      <c r="K1311" s="71" t="str">
        <f>IF(AND(fiche_sel&lt;&gt;"",A1311=fiche_sel),COUNTIF(A$6:A1311,fiche_sel),"")</f>
        <v/>
      </c>
    </row>
    <row r="1312">
      <c r="A1312" s="60" t="n"/>
      <c r="B1312" s="60" t="n"/>
      <c r="C1312" s="71" t="str">
        <f>IF(B1312="","",IFERROR(INDEX(mat_des,MATCH(B1312,mat_ref,0))&amp;"","Matière inconnue"))</f>
        <v/>
      </c>
      <c r="D1312" s="69" t="str">
        <f>IF(B1312="","",IFERROR(INDEX(mat_unit,MATCH(B1312,mat_ref,0))&amp;"",""))</f>
        <v/>
      </c>
      <c r="E1312" s="72" t="n"/>
      <c r="F1312" s="65" t="n"/>
      <c r="G1312" s="68" t="str">
        <f>IF(J1312&lt;&gt;"OK","",IF(F1312="",N(INDEX(mat_loss,MATCH(B1312,mat_ref,0))),F1312))</f>
        <v/>
      </c>
      <c r="H1312" s="66" t="str">
        <f>IF(J1312&lt;&gt;"OK","",INDEX(mat_price,MATCH(B1312,mat_ref,0)))</f>
        <v/>
      </c>
      <c r="I1312" s="66" t="str">
        <f>IF(J1312&lt;&gt;"OK","",E1312*(1+G1312)*H1312)</f>
        <v/>
      </c>
      <c r="J1312" s="69" t="str">
        <f>IF(AND(A1312="",B1312=""),"",IF(A1312="","Produit manquant",IF(COUNTIF(prod_ref,A1312)=0,"Produit inconnu",IF(B1312="","Matière manquante",IF(ISNA(MATCH(B1312,mat_ref,0)),"Matière inconnue",IF(INDEX(mat_check,MATCH(B1312,mat_ref,0))&lt;&gt;"OK","Matière à corriger",IF(OR(NOT(ISNUMBER(E1312)),N(E1312)&lt;=0),"Quantité invalide",IF(AND(F1312&lt;&gt;"",OR(NOT(ISNUMBER(F1312)),N(F1312)&lt;0,N(F1312)&gt;=1)),"Perte entre 0 et 99 %",IF(COUNTIFS(bom_prod,A1312,bom_mat,B1312)&gt;1,"Matière en double","OK")))))))))</f>
        <v/>
      </c>
      <c r="K1312" s="71" t="str">
        <f>IF(AND(fiche_sel&lt;&gt;"",A1312=fiche_sel),COUNTIF(A$6:A1312,fiche_sel),"")</f>
        <v/>
      </c>
    </row>
    <row r="1313">
      <c r="A1313" s="60" t="n"/>
      <c r="B1313" s="60" t="n"/>
      <c r="C1313" s="71" t="str">
        <f>IF(B1313="","",IFERROR(INDEX(mat_des,MATCH(B1313,mat_ref,0))&amp;"","Matière inconnue"))</f>
        <v/>
      </c>
      <c r="D1313" s="69" t="str">
        <f>IF(B1313="","",IFERROR(INDEX(mat_unit,MATCH(B1313,mat_ref,0))&amp;"",""))</f>
        <v/>
      </c>
      <c r="E1313" s="72" t="n"/>
      <c r="F1313" s="65" t="n"/>
      <c r="G1313" s="68" t="str">
        <f>IF(J1313&lt;&gt;"OK","",IF(F1313="",N(INDEX(mat_loss,MATCH(B1313,mat_ref,0))),F1313))</f>
        <v/>
      </c>
      <c r="H1313" s="66" t="str">
        <f>IF(J1313&lt;&gt;"OK","",INDEX(mat_price,MATCH(B1313,mat_ref,0)))</f>
        <v/>
      </c>
      <c r="I1313" s="66" t="str">
        <f>IF(J1313&lt;&gt;"OK","",E1313*(1+G1313)*H1313)</f>
        <v/>
      </c>
      <c r="J1313" s="69" t="str">
        <f>IF(AND(A1313="",B1313=""),"",IF(A1313="","Produit manquant",IF(COUNTIF(prod_ref,A1313)=0,"Produit inconnu",IF(B1313="","Matière manquante",IF(ISNA(MATCH(B1313,mat_ref,0)),"Matière inconnue",IF(INDEX(mat_check,MATCH(B1313,mat_ref,0))&lt;&gt;"OK","Matière à corriger",IF(OR(NOT(ISNUMBER(E1313)),N(E1313)&lt;=0),"Quantité invalide",IF(AND(F1313&lt;&gt;"",OR(NOT(ISNUMBER(F1313)),N(F1313)&lt;0,N(F1313)&gt;=1)),"Perte entre 0 et 99 %",IF(COUNTIFS(bom_prod,A1313,bom_mat,B1313)&gt;1,"Matière en double","OK")))))))))</f>
        <v/>
      </c>
      <c r="K1313" s="71" t="str">
        <f>IF(AND(fiche_sel&lt;&gt;"",A1313=fiche_sel),COUNTIF(A$6:A1313,fiche_sel),"")</f>
        <v/>
      </c>
    </row>
    <row r="1314">
      <c r="A1314" s="60" t="n"/>
      <c r="B1314" s="60" t="n"/>
      <c r="C1314" s="71" t="str">
        <f>IF(B1314="","",IFERROR(INDEX(mat_des,MATCH(B1314,mat_ref,0))&amp;"","Matière inconnue"))</f>
        <v/>
      </c>
      <c r="D1314" s="69" t="str">
        <f>IF(B1314="","",IFERROR(INDEX(mat_unit,MATCH(B1314,mat_ref,0))&amp;"",""))</f>
        <v/>
      </c>
      <c r="E1314" s="72" t="n"/>
      <c r="F1314" s="65" t="n"/>
      <c r="G1314" s="68" t="str">
        <f>IF(J1314&lt;&gt;"OK","",IF(F1314="",N(INDEX(mat_loss,MATCH(B1314,mat_ref,0))),F1314))</f>
        <v/>
      </c>
      <c r="H1314" s="66" t="str">
        <f>IF(J1314&lt;&gt;"OK","",INDEX(mat_price,MATCH(B1314,mat_ref,0)))</f>
        <v/>
      </c>
      <c r="I1314" s="66" t="str">
        <f>IF(J1314&lt;&gt;"OK","",E1314*(1+G1314)*H1314)</f>
        <v/>
      </c>
      <c r="J1314" s="69" t="str">
        <f>IF(AND(A1314="",B1314=""),"",IF(A1314="","Produit manquant",IF(COUNTIF(prod_ref,A1314)=0,"Produit inconnu",IF(B1314="","Matière manquante",IF(ISNA(MATCH(B1314,mat_ref,0)),"Matière inconnue",IF(INDEX(mat_check,MATCH(B1314,mat_ref,0))&lt;&gt;"OK","Matière à corriger",IF(OR(NOT(ISNUMBER(E1314)),N(E1314)&lt;=0),"Quantité invalide",IF(AND(F1314&lt;&gt;"",OR(NOT(ISNUMBER(F1314)),N(F1314)&lt;0,N(F1314)&gt;=1)),"Perte entre 0 et 99 %",IF(COUNTIFS(bom_prod,A1314,bom_mat,B1314)&gt;1,"Matière en double","OK")))))))))</f>
        <v/>
      </c>
      <c r="K1314" s="71" t="str">
        <f>IF(AND(fiche_sel&lt;&gt;"",A1314=fiche_sel),COUNTIF(A$6:A1314,fiche_sel),"")</f>
        <v/>
      </c>
    </row>
    <row r="1315">
      <c r="A1315" s="60" t="n"/>
      <c r="B1315" s="60" t="n"/>
      <c r="C1315" s="71" t="str">
        <f>IF(B1315="","",IFERROR(INDEX(mat_des,MATCH(B1315,mat_ref,0))&amp;"","Matière inconnue"))</f>
        <v/>
      </c>
      <c r="D1315" s="69" t="str">
        <f>IF(B1315="","",IFERROR(INDEX(mat_unit,MATCH(B1315,mat_ref,0))&amp;"",""))</f>
        <v/>
      </c>
      <c r="E1315" s="72" t="n"/>
      <c r="F1315" s="65" t="n"/>
      <c r="G1315" s="68" t="str">
        <f>IF(J1315&lt;&gt;"OK","",IF(F1315="",N(INDEX(mat_loss,MATCH(B1315,mat_ref,0))),F1315))</f>
        <v/>
      </c>
      <c r="H1315" s="66" t="str">
        <f>IF(J1315&lt;&gt;"OK","",INDEX(mat_price,MATCH(B1315,mat_ref,0)))</f>
        <v/>
      </c>
      <c r="I1315" s="66" t="str">
        <f>IF(J1315&lt;&gt;"OK","",E1315*(1+G1315)*H1315)</f>
        <v/>
      </c>
      <c r="J1315" s="69" t="str">
        <f>IF(AND(A1315="",B1315=""),"",IF(A1315="","Produit manquant",IF(COUNTIF(prod_ref,A1315)=0,"Produit inconnu",IF(B1315="","Matière manquante",IF(ISNA(MATCH(B1315,mat_ref,0)),"Matière inconnue",IF(INDEX(mat_check,MATCH(B1315,mat_ref,0))&lt;&gt;"OK","Matière à corriger",IF(OR(NOT(ISNUMBER(E1315)),N(E1315)&lt;=0),"Quantité invalide",IF(AND(F1315&lt;&gt;"",OR(NOT(ISNUMBER(F1315)),N(F1315)&lt;0,N(F1315)&gt;=1)),"Perte entre 0 et 99 %",IF(COUNTIFS(bom_prod,A1315,bom_mat,B1315)&gt;1,"Matière en double","OK")))))))))</f>
        <v/>
      </c>
      <c r="K1315" s="71" t="str">
        <f>IF(AND(fiche_sel&lt;&gt;"",A1315=fiche_sel),COUNTIF(A$6:A1315,fiche_sel),"")</f>
        <v/>
      </c>
    </row>
    <row r="1316">
      <c r="A1316" s="60" t="n"/>
      <c r="B1316" s="60" t="n"/>
      <c r="C1316" s="71" t="str">
        <f>IF(B1316="","",IFERROR(INDEX(mat_des,MATCH(B1316,mat_ref,0))&amp;"","Matière inconnue"))</f>
        <v/>
      </c>
      <c r="D1316" s="69" t="str">
        <f>IF(B1316="","",IFERROR(INDEX(mat_unit,MATCH(B1316,mat_ref,0))&amp;"",""))</f>
        <v/>
      </c>
      <c r="E1316" s="72" t="n"/>
      <c r="F1316" s="65" t="n"/>
      <c r="G1316" s="68" t="str">
        <f>IF(J1316&lt;&gt;"OK","",IF(F1316="",N(INDEX(mat_loss,MATCH(B1316,mat_ref,0))),F1316))</f>
        <v/>
      </c>
      <c r="H1316" s="66" t="str">
        <f>IF(J1316&lt;&gt;"OK","",INDEX(mat_price,MATCH(B1316,mat_ref,0)))</f>
        <v/>
      </c>
      <c r="I1316" s="66" t="str">
        <f>IF(J1316&lt;&gt;"OK","",E1316*(1+G1316)*H1316)</f>
        <v/>
      </c>
      <c r="J1316" s="69" t="str">
        <f>IF(AND(A1316="",B1316=""),"",IF(A1316="","Produit manquant",IF(COUNTIF(prod_ref,A1316)=0,"Produit inconnu",IF(B1316="","Matière manquante",IF(ISNA(MATCH(B1316,mat_ref,0)),"Matière inconnue",IF(INDEX(mat_check,MATCH(B1316,mat_ref,0))&lt;&gt;"OK","Matière à corriger",IF(OR(NOT(ISNUMBER(E1316)),N(E1316)&lt;=0),"Quantité invalide",IF(AND(F1316&lt;&gt;"",OR(NOT(ISNUMBER(F1316)),N(F1316)&lt;0,N(F1316)&gt;=1)),"Perte entre 0 et 99 %",IF(COUNTIFS(bom_prod,A1316,bom_mat,B1316)&gt;1,"Matière en double","OK")))))))))</f>
        <v/>
      </c>
      <c r="K1316" s="71" t="str">
        <f>IF(AND(fiche_sel&lt;&gt;"",A1316=fiche_sel),COUNTIF(A$6:A1316,fiche_sel),"")</f>
        <v/>
      </c>
    </row>
    <row r="1317">
      <c r="A1317" s="60" t="n"/>
      <c r="B1317" s="60" t="n"/>
      <c r="C1317" s="71" t="str">
        <f>IF(B1317="","",IFERROR(INDEX(mat_des,MATCH(B1317,mat_ref,0))&amp;"","Matière inconnue"))</f>
        <v/>
      </c>
      <c r="D1317" s="69" t="str">
        <f>IF(B1317="","",IFERROR(INDEX(mat_unit,MATCH(B1317,mat_ref,0))&amp;"",""))</f>
        <v/>
      </c>
      <c r="E1317" s="72" t="n"/>
      <c r="F1317" s="65" t="n"/>
      <c r="G1317" s="68" t="str">
        <f>IF(J1317&lt;&gt;"OK","",IF(F1317="",N(INDEX(mat_loss,MATCH(B1317,mat_ref,0))),F1317))</f>
        <v/>
      </c>
      <c r="H1317" s="66" t="str">
        <f>IF(J1317&lt;&gt;"OK","",INDEX(mat_price,MATCH(B1317,mat_ref,0)))</f>
        <v/>
      </c>
      <c r="I1317" s="66" t="str">
        <f>IF(J1317&lt;&gt;"OK","",E1317*(1+G1317)*H1317)</f>
        <v/>
      </c>
      <c r="J1317" s="69" t="str">
        <f>IF(AND(A1317="",B1317=""),"",IF(A1317="","Produit manquant",IF(COUNTIF(prod_ref,A1317)=0,"Produit inconnu",IF(B1317="","Matière manquante",IF(ISNA(MATCH(B1317,mat_ref,0)),"Matière inconnue",IF(INDEX(mat_check,MATCH(B1317,mat_ref,0))&lt;&gt;"OK","Matière à corriger",IF(OR(NOT(ISNUMBER(E1317)),N(E1317)&lt;=0),"Quantité invalide",IF(AND(F1317&lt;&gt;"",OR(NOT(ISNUMBER(F1317)),N(F1317)&lt;0,N(F1317)&gt;=1)),"Perte entre 0 et 99 %",IF(COUNTIFS(bom_prod,A1317,bom_mat,B1317)&gt;1,"Matière en double","OK")))))))))</f>
        <v/>
      </c>
      <c r="K1317" s="71" t="str">
        <f>IF(AND(fiche_sel&lt;&gt;"",A1317=fiche_sel),COUNTIF(A$6:A1317,fiche_sel),"")</f>
        <v/>
      </c>
    </row>
    <row r="1318">
      <c r="A1318" s="60" t="n"/>
      <c r="B1318" s="60" t="n"/>
      <c r="C1318" s="71" t="str">
        <f>IF(B1318="","",IFERROR(INDEX(mat_des,MATCH(B1318,mat_ref,0))&amp;"","Matière inconnue"))</f>
        <v/>
      </c>
      <c r="D1318" s="69" t="str">
        <f>IF(B1318="","",IFERROR(INDEX(mat_unit,MATCH(B1318,mat_ref,0))&amp;"",""))</f>
        <v/>
      </c>
      <c r="E1318" s="72" t="n"/>
      <c r="F1318" s="65" t="n"/>
      <c r="G1318" s="68" t="str">
        <f>IF(J1318&lt;&gt;"OK","",IF(F1318="",N(INDEX(mat_loss,MATCH(B1318,mat_ref,0))),F1318))</f>
        <v/>
      </c>
      <c r="H1318" s="66" t="str">
        <f>IF(J1318&lt;&gt;"OK","",INDEX(mat_price,MATCH(B1318,mat_ref,0)))</f>
        <v/>
      </c>
      <c r="I1318" s="66" t="str">
        <f>IF(J1318&lt;&gt;"OK","",E1318*(1+G1318)*H1318)</f>
        <v/>
      </c>
      <c r="J1318" s="69" t="str">
        <f>IF(AND(A1318="",B1318=""),"",IF(A1318="","Produit manquant",IF(COUNTIF(prod_ref,A1318)=0,"Produit inconnu",IF(B1318="","Matière manquante",IF(ISNA(MATCH(B1318,mat_ref,0)),"Matière inconnue",IF(INDEX(mat_check,MATCH(B1318,mat_ref,0))&lt;&gt;"OK","Matière à corriger",IF(OR(NOT(ISNUMBER(E1318)),N(E1318)&lt;=0),"Quantité invalide",IF(AND(F1318&lt;&gt;"",OR(NOT(ISNUMBER(F1318)),N(F1318)&lt;0,N(F1318)&gt;=1)),"Perte entre 0 et 99 %",IF(COUNTIFS(bom_prod,A1318,bom_mat,B1318)&gt;1,"Matière en double","OK")))))))))</f>
        <v/>
      </c>
      <c r="K1318" s="71" t="str">
        <f>IF(AND(fiche_sel&lt;&gt;"",A1318=fiche_sel),COUNTIF(A$6:A1318,fiche_sel),"")</f>
        <v/>
      </c>
    </row>
    <row r="1319">
      <c r="A1319" s="60" t="n"/>
      <c r="B1319" s="60" t="n"/>
      <c r="C1319" s="71" t="str">
        <f>IF(B1319="","",IFERROR(INDEX(mat_des,MATCH(B1319,mat_ref,0))&amp;"","Matière inconnue"))</f>
        <v/>
      </c>
      <c r="D1319" s="69" t="str">
        <f>IF(B1319="","",IFERROR(INDEX(mat_unit,MATCH(B1319,mat_ref,0))&amp;"",""))</f>
        <v/>
      </c>
      <c r="E1319" s="72" t="n"/>
      <c r="F1319" s="65" t="n"/>
      <c r="G1319" s="68" t="str">
        <f>IF(J1319&lt;&gt;"OK","",IF(F1319="",N(INDEX(mat_loss,MATCH(B1319,mat_ref,0))),F1319))</f>
        <v/>
      </c>
      <c r="H1319" s="66" t="str">
        <f>IF(J1319&lt;&gt;"OK","",INDEX(mat_price,MATCH(B1319,mat_ref,0)))</f>
        <v/>
      </c>
      <c r="I1319" s="66" t="str">
        <f>IF(J1319&lt;&gt;"OK","",E1319*(1+G1319)*H1319)</f>
        <v/>
      </c>
      <c r="J1319" s="69" t="str">
        <f>IF(AND(A1319="",B1319=""),"",IF(A1319="","Produit manquant",IF(COUNTIF(prod_ref,A1319)=0,"Produit inconnu",IF(B1319="","Matière manquante",IF(ISNA(MATCH(B1319,mat_ref,0)),"Matière inconnue",IF(INDEX(mat_check,MATCH(B1319,mat_ref,0))&lt;&gt;"OK","Matière à corriger",IF(OR(NOT(ISNUMBER(E1319)),N(E1319)&lt;=0),"Quantité invalide",IF(AND(F1319&lt;&gt;"",OR(NOT(ISNUMBER(F1319)),N(F1319)&lt;0,N(F1319)&gt;=1)),"Perte entre 0 et 99 %",IF(COUNTIFS(bom_prod,A1319,bom_mat,B1319)&gt;1,"Matière en double","OK")))))))))</f>
        <v/>
      </c>
      <c r="K1319" s="71" t="str">
        <f>IF(AND(fiche_sel&lt;&gt;"",A1319=fiche_sel),COUNTIF(A$6:A1319,fiche_sel),"")</f>
        <v/>
      </c>
    </row>
    <row r="1320">
      <c r="A1320" s="60" t="n"/>
      <c r="B1320" s="60" t="n"/>
      <c r="C1320" s="71" t="str">
        <f>IF(B1320="","",IFERROR(INDEX(mat_des,MATCH(B1320,mat_ref,0))&amp;"","Matière inconnue"))</f>
        <v/>
      </c>
      <c r="D1320" s="69" t="str">
        <f>IF(B1320="","",IFERROR(INDEX(mat_unit,MATCH(B1320,mat_ref,0))&amp;"",""))</f>
        <v/>
      </c>
      <c r="E1320" s="72" t="n"/>
      <c r="F1320" s="65" t="n"/>
      <c r="G1320" s="68" t="str">
        <f>IF(J1320&lt;&gt;"OK","",IF(F1320="",N(INDEX(mat_loss,MATCH(B1320,mat_ref,0))),F1320))</f>
        <v/>
      </c>
      <c r="H1320" s="66" t="str">
        <f>IF(J1320&lt;&gt;"OK","",INDEX(mat_price,MATCH(B1320,mat_ref,0)))</f>
        <v/>
      </c>
      <c r="I1320" s="66" t="str">
        <f>IF(J1320&lt;&gt;"OK","",E1320*(1+G1320)*H1320)</f>
        <v/>
      </c>
      <c r="J1320" s="69" t="str">
        <f>IF(AND(A1320="",B1320=""),"",IF(A1320="","Produit manquant",IF(COUNTIF(prod_ref,A1320)=0,"Produit inconnu",IF(B1320="","Matière manquante",IF(ISNA(MATCH(B1320,mat_ref,0)),"Matière inconnue",IF(INDEX(mat_check,MATCH(B1320,mat_ref,0))&lt;&gt;"OK","Matière à corriger",IF(OR(NOT(ISNUMBER(E1320)),N(E1320)&lt;=0),"Quantité invalide",IF(AND(F1320&lt;&gt;"",OR(NOT(ISNUMBER(F1320)),N(F1320)&lt;0,N(F1320)&gt;=1)),"Perte entre 0 et 99 %",IF(COUNTIFS(bom_prod,A1320,bom_mat,B1320)&gt;1,"Matière en double","OK")))))))))</f>
        <v/>
      </c>
      <c r="K1320" s="71" t="str">
        <f>IF(AND(fiche_sel&lt;&gt;"",A1320=fiche_sel),COUNTIF(A$6:A1320,fiche_sel),"")</f>
        <v/>
      </c>
    </row>
    <row r="1321">
      <c r="A1321" s="60" t="n"/>
      <c r="B1321" s="60" t="n"/>
      <c r="C1321" s="71" t="str">
        <f>IF(B1321="","",IFERROR(INDEX(mat_des,MATCH(B1321,mat_ref,0))&amp;"","Matière inconnue"))</f>
        <v/>
      </c>
      <c r="D1321" s="69" t="str">
        <f>IF(B1321="","",IFERROR(INDEX(mat_unit,MATCH(B1321,mat_ref,0))&amp;"",""))</f>
        <v/>
      </c>
      <c r="E1321" s="72" t="n"/>
      <c r="F1321" s="65" t="n"/>
      <c r="G1321" s="68" t="str">
        <f>IF(J1321&lt;&gt;"OK","",IF(F1321="",N(INDEX(mat_loss,MATCH(B1321,mat_ref,0))),F1321))</f>
        <v/>
      </c>
      <c r="H1321" s="66" t="str">
        <f>IF(J1321&lt;&gt;"OK","",INDEX(mat_price,MATCH(B1321,mat_ref,0)))</f>
        <v/>
      </c>
      <c r="I1321" s="66" t="str">
        <f>IF(J1321&lt;&gt;"OK","",E1321*(1+G1321)*H1321)</f>
        <v/>
      </c>
      <c r="J1321" s="69" t="str">
        <f>IF(AND(A1321="",B1321=""),"",IF(A1321="","Produit manquant",IF(COUNTIF(prod_ref,A1321)=0,"Produit inconnu",IF(B1321="","Matière manquante",IF(ISNA(MATCH(B1321,mat_ref,0)),"Matière inconnue",IF(INDEX(mat_check,MATCH(B1321,mat_ref,0))&lt;&gt;"OK","Matière à corriger",IF(OR(NOT(ISNUMBER(E1321)),N(E1321)&lt;=0),"Quantité invalide",IF(AND(F1321&lt;&gt;"",OR(NOT(ISNUMBER(F1321)),N(F1321)&lt;0,N(F1321)&gt;=1)),"Perte entre 0 et 99 %",IF(COUNTIFS(bom_prod,A1321,bom_mat,B1321)&gt;1,"Matière en double","OK")))))))))</f>
        <v/>
      </c>
      <c r="K1321" s="71" t="str">
        <f>IF(AND(fiche_sel&lt;&gt;"",A1321=fiche_sel),COUNTIF(A$6:A1321,fiche_sel),"")</f>
        <v/>
      </c>
    </row>
    <row r="1322">
      <c r="A1322" s="60" t="n"/>
      <c r="B1322" s="60" t="n"/>
      <c r="C1322" s="71" t="str">
        <f>IF(B1322="","",IFERROR(INDEX(mat_des,MATCH(B1322,mat_ref,0))&amp;"","Matière inconnue"))</f>
        <v/>
      </c>
      <c r="D1322" s="69" t="str">
        <f>IF(B1322="","",IFERROR(INDEX(mat_unit,MATCH(B1322,mat_ref,0))&amp;"",""))</f>
        <v/>
      </c>
      <c r="E1322" s="72" t="n"/>
      <c r="F1322" s="65" t="n"/>
      <c r="G1322" s="68" t="str">
        <f>IF(J1322&lt;&gt;"OK","",IF(F1322="",N(INDEX(mat_loss,MATCH(B1322,mat_ref,0))),F1322))</f>
        <v/>
      </c>
      <c r="H1322" s="66" t="str">
        <f>IF(J1322&lt;&gt;"OK","",INDEX(mat_price,MATCH(B1322,mat_ref,0)))</f>
        <v/>
      </c>
      <c r="I1322" s="66" t="str">
        <f>IF(J1322&lt;&gt;"OK","",E1322*(1+G1322)*H1322)</f>
        <v/>
      </c>
      <c r="J1322" s="69" t="str">
        <f>IF(AND(A1322="",B1322=""),"",IF(A1322="","Produit manquant",IF(COUNTIF(prod_ref,A1322)=0,"Produit inconnu",IF(B1322="","Matière manquante",IF(ISNA(MATCH(B1322,mat_ref,0)),"Matière inconnue",IF(INDEX(mat_check,MATCH(B1322,mat_ref,0))&lt;&gt;"OK","Matière à corriger",IF(OR(NOT(ISNUMBER(E1322)),N(E1322)&lt;=0),"Quantité invalide",IF(AND(F1322&lt;&gt;"",OR(NOT(ISNUMBER(F1322)),N(F1322)&lt;0,N(F1322)&gt;=1)),"Perte entre 0 et 99 %",IF(COUNTIFS(bom_prod,A1322,bom_mat,B1322)&gt;1,"Matière en double","OK")))))))))</f>
        <v/>
      </c>
      <c r="K1322" s="71" t="str">
        <f>IF(AND(fiche_sel&lt;&gt;"",A1322=fiche_sel),COUNTIF(A$6:A1322,fiche_sel),"")</f>
        <v/>
      </c>
    </row>
    <row r="1323">
      <c r="A1323" s="60" t="n"/>
      <c r="B1323" s="60" t="n"/>
      <c r="C1323" s="71" t="str">
        <f>IF(B1323="","",IFERROR(INDEX(mat_des,MATCH(B1323,mat_ref,0))&amp;"","Matière inconnue"))</f>
        <v/>
      </c>
      <c r="D1323" s="69" t="str">
        <f>IF(B1323="","",IFERROR(INDEX(mat_unit,MATCH(B1323,mat_ref,0))&amp;"",""))</f>
        <v/>
      </c>
      <c r="E1323" s="72" t="n"/>
      <c r="F1323" s="65" t="n"/>
      <c r="G1323" s="68" t="str">
        <f>IF(J1323&lt;&gt;"OK","",IF(F1323="",N(INDEX(mat_loss,MATCH(B1323,mat_ref,0))),F1323))</f>
        <v/>
      </c>
      <c r="H1323" s="66" t="str">
        <f>IF(J1323&lt;&gt;"OK","",INDEX(mat_price,MATCH(B1323,mat_ref,0)))</f>
        <v/>
      </c>
      <c r="I1323" s="66" t="str">
        <f>IF(J1323&lt;&gt;"OK","",E1323*(1+G1323)*H1323)</f>
        <v/>
      </c>
      <c r="J1323" s="69" t="str">
        <f>IF(AND(A1323="",B1323=""),"",IF(A1323="","Produit manquant",IF(COUNTIF(prod_ref,A1323)=0,"Produit inconnu",IF(B1323="","Matière manquante",IF(ISNA(MATCH(B1323,mat_ref,0)),"Matière inconnue",IF(INDEX(mat_check,MATCH(B1323,mat_ref,0))&lt;&gt;"OK","Matière à corriger",IF(OR(NOT(ISNUMBER(E1323)),N(E1323)&lt;=0),"Quantité invalide",IF(AND(F1323&lt;&gt;"",OR(NOT(ISNUMBER(F1323)),N(F1323)&lt;0,N(F1323)&gt;=1)),"Perte entre 0 et 99 %",IF(COUNTIFS(bom_prod,A1323,bom_mat,B1323)&gt;1,"Matière en double","OK")))))))))</f>
        <v/>
      </c>
      <c r="K1323" s="71" t="str">
        <f>IF(AND(fiche_sel&lt;&gt;"",A1323=fiche_sel),COUNTIF(A$6:A1323,fiche_sel),"")</f>
        <v/>
      </c>
    </row>
    <row r="1324">
      <c r="A1324" s="60" t="n"/>
      <c r="B1324" s="60" t="n"/>
      <c r="C1324" s="71" t="str">
        <f>IF(B1324="","",IFERROR(INDEX(mat_des,MATCH(B1324,mat_ref,0))&amp;"","Matière inconnue"))</f>
        <v/>
      </c>
      <c r="D1324" s="69" t="str">
        <f>IF(B1324="","",IFERROR(INDEX(mat_unit,MATCH(B1324,mat_ref,0))&amp;"",""))</f>
        <v/>
      </c>
      <c r="E1324" s="72" t="n"/>
      <c r="F1324" s="65" t="n"/>
      <c r="G1324" s="68" t="str">
        <f>IF(J1324&lt;&gt;"OK","",IF(F1324="",N(INDEX(mat_loss,MATCH(B1324,mat_ref,0))),F1324))</f>
        <v/>
      </c>
      <c r="H1324" s="66" t="str">
        <f>IF(J1324&lt;&gt;"OK","",INDEX(mat_price,MATCH(B1324,mat_ref,0)))</f>
        <v/>
      </c>
      <c r="I1324" s="66" t="str">
        <f>IF(J1324&lt;&gt;"OK","",E1324*(1+G1324)*H1324)</f>
        <v/>
      </c>
      <c r="J1324" s="69" t="str">
        <f>IF(AND(A1324="",B1324=""),"",IF(A1324="","Produit manquant",IF(COUNTIF(prod_ref,A1324)=0,"Produit inconnu",IF(B1324="","Matière manquante",IF(ISNA(MATCH(B1324,mat_ref,0)),"Matière inconnue",IF(INDEX(mat_check,MATCH(B1324,mat_ref,0))&lt;&gt;"OK","Matière à corriger",IF(OR(NOT(ISNUMBER(E1324)),N(E1324)&lt;=0),"Quantité invalide",IF(AND(F1324&lt;&gt;"",OR(NOT(ISNUMBER(F1324)),N(F1324)&lt;0,N(F1324)&gt;=1)),"Perte entre 0 et 99 %",IF(COUNTIFS(bom_prod,A1324,bom_mat,B1324)&gt;1,"Matière en double","OK")))))))))</f>
        <v/>
      </c>
      <c r="K1324" s="71" t="str">
        <f>IF(AND(fiche_sel&lt;&gt;"",A1324=fiche_sel),COUNTIF(A$6:A1324,fiche_sel),"")</f>
        <v/>
      </c>
    </row>
    <row r="1325">
      <c r="A1325" s="60" t="n"/>
      <c r="B1325" s="60" t="n"/>
      <c r="C1325" s="71" t="str">
        <f>IF(B1325="","",IFERROR(INDEX(mat_des,MATCH(B1325,mat_ref,0))&amp;"","Matière inconnue"))</f>
        <v/>
      </c>
      <c r="D1325" s="69" t="str">
        <f>IF(B1325="","",IFERROR(INDEX(mat_unit,MATCH(B1325,mat_ref,0))&amp;"",""))</f>
        <v/>
      </c>
      <c r="E1325" s="72" t="n"/>
      <c r="F1325" s="65" t="n"/>
      <c r="G1325" s="68" t="str">
        <f>IF(J1325&lt;&gt;"OK","",IF(F1325="",N(INDEX(mat_loss,MATCH(B1325,mat_ref,0))),F1325))</f>
        <v/>
      </c>
      <c r="H1325" s="66" t="str">
        <f>IF(J1325&lt;&gt;"OK","",INDEX(mat_price,MATCH(B1325,mat_ref,0)))</f>
        <v/>
      </c>
      <c r="I1325" s="66" t="str">
        <f>IF(J1325&lt;&gt;"OK","",E1325*(1+G1325)*H1325)</f>
        <v/>
      </c>
      <c r="J1325" s="69" t="str">
        <f>IF(AND(A1325="",B1325=""),"",IF(A1325="","Produit manquant",IF(COUNTIF(prod_ref,A1325)=0,"Produit inconnu",IF(B1325="","Matière manquante",IF(ISNA(MATCH(B1325,mat_ref,0)),"Matière inconnue",IF(INDEX(mat_check,MATCH(B1325,mat_ref,0))&lt;&gt;"OK","Matière à corriger",IF(OR(NOT(ISNUMBER(E1325)),N(E1325)&lt;=0),"Quantité invalide",IF(AND(F1325&lt;&gt;"",OR(NOT(ISNUMBER(F1325)),N(F1325)&lt;0,N(F1325)&gt;=1)),"Perte entre 0 et 99 %",IF(COUNTIFS(bom_prod,A1325,bom_mat,B1325)&gt;1,"Matière en double","OK")))))))))</f>
        <v/>
      </c>
      <c r="K1325" s="71" t="str">
        <f>IF(AND(fiche_sel&lt;&gt;"",A1325=fiche_sel),COUNTIF(A$6:A1325,fiche_sel),"")</f>
        <v/>
      </c>
    </row>
    <row r="1326">
      <c r="A1326" s="60" t="n"/>
      <c r="B1326" s="60" t="n"/>
      <c r="C1326" s="71" t="str">
        <f>IF(B1326="","",IFERROR(INDEX(mat_des,MATCH(B1326,mat_ref,0))&amp;"","Matière inconnue"))</f>
        <v/>
      </c>
      <c r="D1326" s="69" t="str">
        <f>IF(B1326="","",IFERROR(INDEX(mat_unit,MATCH(B1326,mat_ref,0))&amp;"",""))</f>
        <v/>
      </c>
      <c r="E1326" s="72" t="n"/>
      <c r="F1326" s="65" t="n"/>
      <c r="G1326" s="68" t="str">
        <f>IF(J1326&lt;&gt;"OK","",IF(F1326="",N(INDEX(mat_loss,MATCH(B1326,mat_ref,0))),F1326))</f>
        <v/>
      </c>
      <c r="H1326" s="66" t="str">
        <f>IF(J1326&lt;&gt;"OK","",INDEX(mat_price,MATCH(B1326,mat_ref,0)))</f>
        <v/>
      </c>
      <c r="I1326" s="66" t="str">
        <f>IF(J1326&lt;&gt;"OK","",E1326*(1+G1326)*H1326)</f>
        <v/>
      </c>
      <c r="J1326" s="69" t="str">
        <f>IF(AND(A1326="",B1326=""),"",IF(A1326="","Produit manquant",IF(COUNTIF(prod_ref,A1326)=0,"Produit inconnu",IF(B1326="","Matière manquante",IF(ISNA(MATCH(B1326,mat_ref,0)),"Matière inconnue",IF(INDEX(mat_check,MATCH(B1326,mat_ref,0))&lt;&gt;"OK","Matière à corriger",IF(OR(NOT(ISNUMBER(E1326)),N(E1326)&lt;=0),"Quantité invalide",IF(AND(F1326&lt;&gt;"",OR(NOT(ISNUMBER(F1326)),N(F1326)&lt;0,N(F1326)&gt;=1)),"Perte entre 0 et 99 %",IF(COUNTIFS(bom_prod,A1326,bom_mat,B1326)&gt;1,"Matière en double","OK")))))))))</f>
        <v/>
      </c>
      <c r="K1326" s="71" t="str">
        <f>IF(AND(fiche_sel&lt;&gt;"",A1326=fiche_sel),COUNTIF(A$6:A1326,fiche_sel),"")</f>
        <v/>
      </c>
    </row>
    <row r="1327">
      <c r="A1327" s="60" t="n"/>
      <c r="B1327" s="60" t="n"/>
      <c r="C1327" s="71" t="str">
        <f>IF(B1327="","",IFERROR(INDEX(mat_des,MATCH(B1327,mat_ref,0))&amp;"","Matière inconnue"))</f>
        <v/>
      </c>
      <c r="D1327" s="69" t="str">
        <f>IF(B1327="","",IFERROR(INDEX(mat_unit,MATCH(B1327,mat_ref,0))&amp;"",""))</f>
        <v/>
      </c>
      <c r="E1327" s="72" t="n"/>
      <c r="F1327" s="65" t="n"/>
      <c r="G1327" s="68" t="str">
        <f>IF(J1327&lt;&gt;"OK","",IF(F1327="",N(INDEX(mat_loss,MATCH(B1327,mat_ref,0))),F1327))</f>
        <v/>
      </c>
      <c r="H1327" s="66" t="str">
        <f>IF(J1327&lt;&gt;"OK","",INDEX(mat_price,MATCH(B1327,mat_ref,0)))</f>
        <v/>
      </c>
      <c r="I1327" s="66" t="str">
        <f>IF(J1327&lt;&gt;"OK","",E1327*(1+G1327)*H1327)</f>
        <v/>
      </c>
      <c r="J1327" s="69" t="str">
        <f>IF(AND(A1327="",B1327=""),"",IF(A1327="","Produit manquant",IF(COUNTIF(prod_ref,A1327)=0,"Produit inconnu",IF(B1327="","Matière manquante",IF(ISNA(MATCH(B1327,mat_ref,0)),"Matière inconnue",IF(INDEX(mat_check,MATCH(B1327,mat_ref,0))&lt;&gt;"OK","Matière à corriger",IF(OR(NOT(ISNUMBER(E1327)),N(E1327)&lt;=0),"Quantité invalide",IF(AND(F1327&lt;&gt;"",OR(NOT(ISNUMBER(F1327)),N(F1327)&lt;0,N(F1327)&gt;=1)),"Perte entre 0 et 99 %",IF(COUNTIFS(bom_prod,A1327,bom_mat,B1327)&gt;1,"Matière en double","OK")))))))))</f>
        <v/>
      </c>
      <c r="K1327" s="71" t="str">
        <f>IF(AND(fiche_sel&lt;&gt;"",A1327=fiche_sel),COUNTIF(A$6:A1327,fiche_sel),"")</f>
        <v/>
      </c>
    </row>
    <row r="1328">
      <c r="A1328" s="60" t="n"/>
      <c r="B1328" s="60" t="n"/>
      <c r="C1328" s="71" t="str">
        <f>IF(B1328="","",IFERROR(INDEX(mat_des,MATCH(B1328,mat_ref,0))&amp;"","Matière inconnue"))</f>
        <v/>
      </c>
      <c r="D1328" s="69" t="str">
        <f>IF(B1328="","",IFERROR(INDEX(mat_unit,MATCH(B1328,mat_ref,0))&amp;"",""))</f>
        <v/>
      </c>
      <c r="E1328" s="72" t="n"/>
      <c r="F1328" s="65" t="n"/>
      <c r="G1328" s="68" t="str">
        <f>IF(J1328&lt;&gt;"OK","",IF(F1328="",N(INDEX(mat_loss,MATCH(B1328,mat_ref,0))),F1328))</f>
        <v/>
      </c>
      <c r="H1328" s="66" t="str">
        <f>IF(J1328&lt;&gt;"OK","",INDEX(mat_price,MATCH(B1328,mat_ref,0)))</f>
        <v/>
      </c>
      <c r="I1328" s="66" t="str">
        <f>IF(J1328&lt;&gt;"OK","",E1328*(1+G1328)*H1328)</f>
        <v/>
      </c>
      <c r="J1328" s="69" t="str">
        <f>IF(AND(A1328="",B1328=""),"",IF(A1328="","Produit manquant",IF(COUNTIF(prod_ref,A1328)=0,"Produit inconnu",IF(B1328="","Matière manquante",IF(ISNA(MATCH(B1328,mat_ref,0)),"Matière inconnue",IF(INDEX(mat_check,MATCH(B1328,mat_ref,0))&lt;&gt;"OK","Matière à corriger",IF(OR(NOT(ISNUMBER(E1328)),N(E1328)&lt;=0),"Quantité invalide",IF(AND(F1328&lt;&gt;"",OR(NOT(ISNUMBER(F1328)),N(F1328)&lt;0,N(F1328)&gt;=1)),"Perte entre 0 et 99 %",IF(COUNTIFS(bom_prod,A1328,bom_mat,B1328)&gt;1,"Matière en double","OK")))))))))</f>
        <v/>
      </c>
      <c r="K1328" s="71" t="str">
        <f>IF(AND(fiche_sel&lt;&gt;"",A1328=fiche_sel),COUNTIF(A$6:A1328,fiche_sel),"")</f>
        <v/>
      </c>
    </row>
    <row r="1329">
      <c r="A1329" s="60" t="n"/>
      <c r="B1329" s="60" t="n"/>
      <c r="C1329" s="71" t="str">
        <f>IF(B1329="","",IFERROR(INDEX(mat_des,MATCH(B1329,mat_ref,0))&amp;"","Matière inconnue"))</f>
        <v/>
      </c>
      <c r="D1329" s="69" t="str">
        <f>IF(B1329="","",IFERROR(INDEX(mat_unit,MATCH(B1329,mat_ref,0))&amp;"",""))</f>
        <v/>
      </c>
      <c r="E1329" s="72" t="n"/>
      <c r="F1329" s="65" t="n"/>
      <c r="G1329" s="68" t="str">
        <f>IF(J1329&lt;&gt;"OK","",IF(F1329="",N(INDEX(mat_loss,MATCH(B1329,mat_ref,0))),F1329))</f>
        <v/>
      </c>
      <c r="H1329" s="66" t="str">
        <f>IF(J1329&lt;&gt;"OK","",INDEX(mat_price,MATCH(B1329,mat_ref,0)))</f>
        <v/>
      </c>
      <c r="I1329" s="66" t="str">
        <f>IF(J1329&lt;&gt;"OK","",E1329*(1+G1329)*H1329)</f>
        <v/>
      </c>
      <c r="J1329" s="69" t="str">
        <f>IF(AND(A1329="",B1329=""),"",IF(A1329="","Produit manquant",IF(COUNTIF(prod_ref,A1329)=0,"Produit inconnu",IF(B1329="","Matière manquante",IF(ISNA(MATCH(B1329,mat_ref,0)),"Matière inconnue",IF(INDEX(mat_check,MATCH(B1329,mat_ref,0))&lt;&gt;"OK","Matière à corriger",IF(OR(NOT(ISNUMBER(E1329)),N(E1329)&lt;=0),"Quantité invalide",IF(AND(F1329&lt;&gt;"",OR(NOT(ISNUMBER(F1329)),N(F1329)&lt;0,N(F1329)&gt;=1)),"Perte entre 0 et 99 %",IF(COUNTIFS(bom_prod,A1329,bom_mat,B1329)&gt;1,"Matière en double","OK")))))))))</f>
        <v/>
      </c>
      <c r="K1329" s="71" t="str">
        <f>IF(AND(fiche_sel&lt;&gt;"",A1329=fiche_sel),COUNTIF(A$6:A1329,fiche_sel),"")</f>
        <v/>
      </c>
    </row>
    <row r="1330">
      <c r="A1330" s="60" t="n"/>
      <c r="B1330" s="60" t="n"/>
      <c r="C1330" s="71" t="str">
        <f>IF(B1330="","",IFERROR(INDEX(mat_des,MATCH(B1330,mat_ref,0))&amp;"","Matière inconnue"))</f>
        <v/>
      </c>
      <c r="D1330" s="69" t="str">
        <f>IF(B1330="","",IFERROR(INDEX(mat_unit,MATCH(B1330,mat_ref,0))&amp;"",""))</f>
        <v/>
      </c>
      <c r="E1330" s="72" t="n"/>
      <c r="F1330" s="65" t="n"/>
      <c r="G1330" s="68" t="str">
        <f>IF(J1330&lt;&gt;"OK","",IF(F1330="",N(INDEX(mat_loss,MATCH(B1330,mat_ref,0))),F1330))</f>
        <v/>
      </c>
      <c r="H1330" s="66" t="str">
        <f>IF(J1330&lt;&gt;"OK","",INDEX(mat_price,MATCH(B1330,mat_ref,0)))</f>
        <v/>
      </c>
      <c r="I1330" s="66" t="str">
        <f>IF(J1330&lt;&gt;"OK","",E1330*(1+G1330)*H1330)</f>
        <v/>
      </c>
      <c r="J1330" s="69" t="str">
        <f>IF(AND(A1330="",B1330=""),"",IF(A1330="","Produit manquant",IF(COUNTIF(prod_ref,A1330)=0,"Produit inconnu",IF(B1330="","Matière manquante",IF(ISNA(MATCH(B1330,mat_ref,0)),"Matière inconnue",IF(INDEX(mat_check,MATCH(B1330,mat_ref,0))&lt;&gt;"OK","Matière à corriger",IF(OR(NOT(ISNUMBER(E1330)),N(E1330)&lt;=0),"Quantité invalide",IF(AND(F1330&lt;&gt;"",OR(NOT(ISNUMBER(F1330)),N(F1330)&lt;0,N(F1330)&gt;=1)),"Perte entre 0 et 99 %",IF(COUNTIFS(bom_prod,A1330,bom_mat,B1330)&gt;1,"Matière en double","OK")))))))))</f>
        <v/>
      </c>
      <c r="K1330" s="71" t="str">
        <f>IF(AND(fiche_sel&lt;&gt;"",A1330=fiche_sel),COUNTIF(A$6:A1330,fiche_sel),"")</f>
        <v/>
      </c>
    </row>
    <row r="1331">
      <c r="A1331" s="60" t="n"/>
      <c r="B1331" s="60" t="n"/>
      <c r="C1331" s="71" t="str">
        <f>IF(B1331="","",IFERROR(INDEX(mat_des,MATCH(B1331,mat_ref,0))&amp;"","Matière inconnue"))</f>
        <v/>
      </c>
      <c r="D1331" s="69" t="str">
        <f>IF(B1331="","",IFERROR(INDEX(mat_unit,MATCH(B1331,mat_ref,0))&amp;"",""))</f>
        <v/>
      </c>
      <c r="E1331" s="72" t="n"/>
      <c r="F1331" s="65" t="n"/>
      <c r="G1331" s="68" t="str">
        <f>IF(J1331&lt;&gt;"OK","",IF(F1331="",N(INDEX(mat_loss,MATCH(B1331,mat_ref,0))),F1331))</f>
        <v/>
      </c>
      <c r="H1331" s="66" t="str">
        <f>IF(J1331&lt;&gt;"OK","",INDEX(mat_price,MATCH(B1331,mat_ref,0)))</f>
        <v/>
      </c>
      <c r="I1331" s="66" t="str">
        <f>IF(J1331&lt;&gt;"OK","",E1331*(1+G1331)*H1331)</f>
        <v/>
      </c>
      <c r="J1331" s="69" t="str">
        <f>IF(AND(A1331="",B1331=""),"",IF(A1331="","Produit manquant",IF(COUNTIF(prod_ref,A1331)=0,"Produit inconnu",IF(B1331="","Matière manquante",IF(ISNA(MATCH(B1331,mat_ref,0)),"Matière inconnue",IF(INDEX(mat_check,MATCH(B1331,mat_ref,0))&lt;&gt;"OK","Matière à corriger",IF(OR(NOT(ISNUMBER(E1331)),N(E1331)&lt;=0),"Quantité invalide",IF(AND(F1331&lt;&gt;"",OR(NOT(ISNUMBER(F1331)),N(F1331)&lt;0,N(F1331)&gt;=1)),"Perte entre 0 et 99 %",IF(COUNTIFS(bom_prod,A1331,bom_mat,B1331)&gt;1,"Matière en double","OK")))))))))</f>
        <v/>
      </c>
      <c r="K1331" s="71" t="str">
        <f>IF(AND(fiche_sel&lt;&gt;"",A1331=fiche_sel),COUNTIF(A$6:A1331,fiche_sel),"")</f>
        <v/>
      </c>
    </row>
    <row r="1332">
      <c r="A1332" s="60" t="n"/>
      <c r="B1332" s="60" t="n"/>
      <c r="C1332" s="71" t="str">
        <f>IF(B1332="","",IFERROR(INDEX(mat_des,MATCH(B1332,mat_ref,0))&amp;"","Matière inconnue"))</f>
        <v/>
      </c>
      <c r="D1332" s="69" t="str">
        <f>IF(B1332="","",IFERROR(INDEX(mat_unit,MATCH(B1332,mat_ref,0))&amp;"",""))</f>
        <v/>
      </c>
      <c r="E1332" s="72" t="n"/>
      <c r="F1332" s="65" t="n"/>
      <c r="G1332" s="68" t="str">
        <f>IF(J1332&lt;&gt;"OK","",IF(F1332="",N(INDEX(mat_loss,MATCH(B1332,mat_ref,0))),F1332))</f>
        <v/>
      </c>
      <c r="H1332" s="66" t="str">
        <f>IF(J1332&lt;&gt;"OK","",INDEX(mat_price,MATCH(B1332,mat_ref,0)))</f>
        <v/>
      </c>
      <c r="I1332" s="66" t="str">
        <f>IF(J1332&lt;&gt;"OK","",E1332*(1+G1332)*H1332)</f>
        <v/>
      </c>
      <c r="J1332" s="69" t="str">
        <f>IF(AND(A1332="",B1332=""),"",IF(A1332="","Produit manquant",IF(COUNTIF(prod_ref,A1332)=0,"Produit inconnu",IF(B1332="","Matière manquante",IF(ISNA(MATCH(B1332,mat_ref,0)),"Matière inconnue",IF(INDEX(mat_check,MATCH(B1332,mat_ref,0))&lt;&gt;"OK","Matière à corriger",IF(OR(NOT(ISNUMBER(E1332)),N(E1332)&lt;=0),"Quantité invalide",IF(AND(F1332&lt;&gt;"",OR(NOT(ISNUMBER(F1332)),N(F1332)&lt;0,N(F1332)&gt;=1)),"Perte entre 0 et 99 %",IF(COUNTIFS(bom_prod,A1332,bom_mat,B1332)&gt;1,"Matière en double","OK")))))))))</f>
        <v/>
      </c>
      <c r="K1332" s="71" t="str">
        <f>IF(AND(fiche_sel&lt;&gt;"",A1332=fiche_sel),COUNTIF(A$6:A1332,fiche_sel),"")</f>
        <v/>
      </c>
    </row>
    <row r="1333">
      <c r="A1333" s="60" t="n"/>
      <c r="B1333" s="60" t="n"/>
      <c r="C1333" s="71" t="str">
        <f>IF(B1333="","",IFERROR(INDEX(mat_des,MATCH(B1333,mat_ref,0))&amp;"","Matière inconnue"))</f>
        <v/>
      </c>
      <c r="D1333" s="69" t="str">
        <f>IF(B1333="","",IFERROR(INDEX(mat_unit,MATCH(B1333,mat_ref,0))&amp;"",""))</f>
        <v/>
      </c>
      <c r="E1333" s="72" t="n"/>
      <c r="F1333" s="65" t="n"/>
      <c r="G1333" s="68" t="str">
        <f>IF(J1333&lt;&gt;"OK","",IF(F1333="",N(INDEX(mat_loss,MATCH(B1333,mat_ref,0))),F1333))</f>
        <v/>
      </c>
      <c r="H1333" s="66" t="str">
        <f>IF(J1333&lt;&gt;"OK","",INDEX(mat_price,MATCH(B1333,mat_ref,0)))</f>
        <v/>
      </c>
      <c r="I1333" s="66" t="str">
        <f>IF(J1333&lt;&gt;"OK","",E1333*(1+G1333)*H1333)</f>
        <v/>
      </c>
      <c r="J1333" s="69" t="str">
        <f>IF(AND(A1333="",B1333=""),"",IF(A1333="","Produit manquant",IF(COUNTIF(prod_ref,A1333)=0,"Produit inconnu",IF(B1333="","Matière manquante",IF(ISNA(MATCH(B1333,mat_ref,0)),"Matière inconnue",IF(INDEX(mat_check,MATCH(B1333,mat_ref,0))&lt;&gt;"OK","Matière à corriger",IF(OR(NOT(ISNUMBER(E1333)),N(E1333)&lt;=0),"Quantité invalide",IF(AND(F1333&lt;&gt;"",OR(NOT(ISNUMBER(F1333)),N(F1333)&lt;0,N(F1333)&gt;=1)),"Perte entre 0 et 99 %",IF(COUNTIFS(bom_prod,A1333,bom_mat,B1333)&gt;1,"Matière en double","OK")))))))))</f>
        <v/>
      </c>
      <c r="K1333" s="71" t="str">
        <f>IF(AND(fiche_sel&lt;&gt;"",A1333=fiche_sel),COUNTIF(A$6:A1333,fiche_sel),"")</f>
        <v/>
      </c>
    </row>
    <row r="1334">
      <c r="A1334" s="60" t="n"/>
      <c r="B1334" s="60" t="n"/>
      <c r="C1334" s="71" t="str">
        <f>IF(B1334="","",IFERROR(INDEX(mat_des,MATCH(B1334,mat_ref,0))&amp;"","Matière inconnue"))</f>
        <v/>
      </c>
      <c r="D1334" s="69" t="str">
        <f>IF(B1334="","",IFERROR(INDEX(mat_unit,MATCH(B1334,mat_ref,0))&amp;"",""))</f>
        <v/>
      </c>
      <c r="E1334" s="72" t="n"/>
      <c r="F1334" s="65" t="n"/>
      <c r="G1334" s="68" t="str">
        <f>IF(J1334&lt;&gt;"OK","",IF(F1334="",N(INDEX(mat_loss,MATCH(B1334,mat_ref,0))),F1334))</f>
        <v/>
      </c>
      <c r="H1334" s="66" t="str">
        <f>IF(J1334&lt;&gt;"OK","",INDEX(mat_price,MATCH(B1334,mat_ref,0)))</f>
        <v/>
      </c>
      <c r="I1334" s="66" t="str">
        <f>IF(J1334&lt;&gt;"OK","",E1334*(1+G1334)*H1334)</f>
        <v/>
      </c>
      <c r="J1334" s="69" t="str">
        <f>IF(AND(A1334="",B1334=""),"",IF(A1334="","Produit manquant",IF(COUNTIF(prod_ref,A1334)=0,"Produit inconnu",IF(B1334="","Matière manquante",IF(ISNA(MATCH(B1334,mat_ref,0)),"Matière inconnue",IF(INDEX(mat_check,MATCH(B1334,mat_ref,0))&lt;&gt;"OK","Matière à corriger",IF(OR(NOT(ISNUMBER(E1334)),N(E1334)&lt;=0),"Quantité invalide",IF(AND(F1334&lt;&gt;"",OR(NOT(ISNUMBER(F1334)),N(F1334)&lt;0,N(F1334)&gt;=1)),"Perte entre 0 et 99 %",IF(COUNTIFS(bom_prod,A1334,bom_mat,B1334)&gt;1,"Matière en double","OK")))))))))</f>
        <v/>
      </c>
      <c r="K1334" s="71" t="str">
        <f>IF(AND(fiche_sel&lt;&gt;"",A1334=fiche_sel),COUNTIF(A$6:A1334,fiche_sel),"")</f>
        <v/>
      </c>
    </row>
    <row r="1335">
      <c r="A1335" s="60" t="n"/>
      <c r="B1335" s="60" t="n"/>
      <c r="C1335" s="71" t="str">
        <f>IF(B1335="","",IFERROR(INDEX(mat_des,MATCH(B1335,mat_ref,0))&amp;"","Matière inconnue"))</f>
        <v/>
      </c>
      <c r="D1335" s="69" t="str">
        <f>IF(B1335="","",IFERROR(INDEX(mat_unit,MATCH(B1335,mat_ref,0))&amp;"",""))</f>
        <v/>
      </c>
      <c r="E1335" s="72" t="n"/>
      <c r="F1335" s="65" t="n"/>
      <c r="G1335" s="68" t="str">
        <f>IF(J1335&lt;&gt;"OK","",IF(F1335="",N(INDEX(mat_loss,MATCH(B1335,mat_ref,0))),F1335))</f>
        <v/>
      </c>
      <c r="H1335" s="66" t="str">
        <f>IF(J1335&lt;&gt;"OK","",INDEX(mat_price,MATCH(B1335,mat_ref,0)))</f>
        <v/>
      </c>
      <c r="I1335" s="66" t="str">
        <f>IF(J1335&lt;&gt;"OK","",E1335*(1+G1335)*H1335)</f>
        <v/>
      </c>
      <c r="J1335" s="69" t="str">
        <f>IF(AND(A1335="",B1335=""),"",IF(A1335="","Produit manquant",IF(COUNTIF(prod_ref,A1335)=0,"Produit inconnu",IF(B1335="","Matière manquante",IF(ISNA(MATCH(B1335,mat_ref,0)),"Matière inconnue",IF(INDEX(mat_check,MATCH(B1335,mat_ref,0))&lt;&gt;"OK","Matière à corriger",IF(OR(NOT(ISNUMBER(E1335)),N(E1335)&lt;=0),"Quantité invalide",IF(AND(F1335&lt;&gt;"",OR(NOT(ISNUMBER(F1335)),N(F1335)&lt;0,N(F1335)&gt;=1)),"Perte entre 0 et 99 %",IF(COUNTIFS(bom_prod,A1335,bom_mat,B1335)&gt;1,"Matière en double","OK")))))))))</f>
        <v/>
      </c>
      <c r="K1335" s="71" t="str">
        <f>IF(AND(fiche_sel&lt;&gt;"",A1335=fiche_sel),COUNTIF(A$6:A1335,fiche_sel),"")</f>
        <v/>
      </c>
    </row>
    <row r="1336">
      <c r="A1336" s="60" t="n"/>
      <c r="B1336" s="60" t="n"/>
      <c r="C1336" s="71" t="str">
        <f>IF(B1336="","",IFERROR(INDEX(mat_des,MATCH(B1336,mat_ref,0))&amp;"","Matière inconnue"))</f>
        <v/>
      </c>
      <c r="D1336" s="69" t="str">
        <f>IF(B1336="","",IFERROR(INDEX(mat_unit,MATCH(B1336,mat_ref,0))&amp;"",""))</f>
        <v/>
      </c>
      <c r="E1336" s="72" t="n"/>
      <c r="F1336" s="65" t="n"/>
      <c r="G1336" s="68" t="str">
        <f>IF(J1336&lt;&gt;"OK","",IF(F1336="",N(INDEX(mat_loss,MATCH(B1336,mat_ref,0))),F1336))</f>
        <v/>
      </c>
      <c r="H1336" s="66" t="str">
        <f>IF(J1336&lt;&gt;"OK","",INDEX(mat_price,MATCH(B1336,mat_ref,0)))</f>
        <v/>
      </c>
      <c r="I1336" s="66" t="str">
        <f>IF(J1336&lt;&gt;"OK","",E1336*(1+G1336)*H1336)</f>
        <v/>
      </c>
      <c r="J1336" s="69" t="str">
        <f>IF(AND(A1336="",B1336=""),"",IF(A1336="","Produit manquant",IF(COUNTIF(prod_ref,A1336)=0,"Produit inconnu",IF(B1336="","Matière manquante",IF(ISNA(MATCH(B1336,mat_ref,0)),"Matière inconnue",IF(INDEX(mat_check,MATCH(B1336,mat_ref,0))&lt;&gt;"OK","Matière à corriger",IF(OR(NOT(ISNUMBER(E1336)),N(E1336)&lt;=0),"Quantité invalide",IF(AND(F1336&lt;&gt;"",OR(NOT(ISNUMBER(F1336)),N(F1336)&lt;0,N(F1336)&gt;=1)),"Perte entre 0 et 99 %",IF(COUNTIFS(bom_prod,A1336,bom_mat,B1336)&gt;1,"Matière en double","OK")))))))))</f>
        <v/>
      </c>
      <c r="K1336" s="71" t="str">
        <f>IF(AND(fiche_sel&lt;&gt;"",A1336=fiche_sel),COUNTIF(A$6:A1336,fiche_sel),"")</f>
        <v/>
      </c>
    </row>
    <row r="1337">
      <c r="A1337" s="60" t="n"/>
      <c r="B1337" s="60" t="n"/>
      <c r="C1337" s="71" t="str">
        <f>IF(B1337="","",IFERROR(INDEX(mat_des,MATCH(B1337,mat_ref,0))&amp;"","Matière inconnue"))</f>
        <v/>
      </c>
      <c r="D1337" s="69" t="str">
        <f>IF(B1337="","",IFERROR(INDEX(mat_unit,MATCH(B1337,mat_ref,0))&amp;"",""))</f>
        <v/>
      </c>
      <c r="E1337" s="72" t="n"/>
      <c r="F1337" s="65" t="n"/>
      <c r="G1337" s="68" t="str">
        <f>IF(J1337&lt;&gt;"OK","",IF(F1337="",N(INDEX(mat_loss,MATCH(B1337,mat_ref,0))),F1337))</f>
        <v/>
      </c>
      <c r="H1337" s="66" t="str">
        <f>IF(J1337&lt;&gt;"OK","",INDEX(mat_price,MATCH(B1337,mat_ref,0)))</f>
        <v/>
      </c>
      <c r="I1337" s="66" t="str">
        <f>IF(J1337&lt;&gt;"OK","",E1337*(1+G1337)*H1337)</f>
        <v/>
      </c>
      <c r="J1337" s="69" t="str">
        <f>IF(AND(A1337="",B1337=""),"",IF(A1337="","Produit manquant",IF(COUNTIF(prod_ref,A1337)=0,"Produit inconnu",IF(B1337="","Matière manquante",IF(ISNA(MATCH(B1337,mat_ref,0)),"Matière inconnue",IF(INDEX(mat_check,MATCH(B1337,mat_ref,0))&lt;&gt;"OK","Matière à corriger",IF(OR(NOT(ISNUMBER(E1337)),N(E1337)&lt;=0),"Quantité invalide",IF(AND(F1337&lt;&gt;"",OR(NOT(ISNUMBER(F1337)),N(F1337)&lt;0,N(F1337)&gt;=1)),"Perte entre 0 et 99 %",IF(COUNTIFS(bom_prod,A1337,bom_mat,B1337)&gt;1,"Matière en double","OK")))))))))</f>
        <v/>
      </c>
      <c r="K1337" s="71" t="str">
        <f>IF(AND(fiche_sel&lt;&gt;"",A1337=fiche_sel),COUNTIF(A$6:A1337,fiche_sel),"")</f>
        <v/>
      </c>
    </row>
    <row r="1338">
      <c r="A1338" s="60" t="n"/>
      <c r="B1338" s="60" t="n"/>
      <c r="C1338" s="71" t="str">
        <f>IF(B1338="","",IFERROR(INDEX(mat_des,MATCH(B1338,mat_ref,0))&amp;"","Matière inconnue"))</f>
        <v/>
      </c>
      <c r="D1338" s="69" t="str">
        <f>IF(B1338="","",IFERROR(INDEX(mat_unit,MATCH(B1338,mat_ref,0))&amp;"",""))</f>
        <v/>
      </c>
      <c r="E1338" s="72" t="n"/>
      <c r="F1338" s="65" t="n"/>
      <c r="G1338" s="68" t="str">
        <f>IF(J1338&lt;&gt;"OK","",IF(F1338="",N(INDEX(mat_loss,MATCH(B1338,mat_ref,0))),F1338))</f>
        <v/>
      </c>
      <c r="H1338" s="66" t="str">
        <f>IF(J1338&lt;&gt;"OK","",INDEX(mat_price,MATCH(B1338,mat_ref,0)))</f>
        <v/>
      </c>
      <c r="I1338" s="66" t="str">
        <f>IF(J1338&lt;&gt;"OK","",E1338*(1+G1338)*H1338)</f>
        <v/>
      </c>
      <c r="J1338" s="69" t="str">
        <f>IF(AND(A1338="",B1338=""),"",IF(A1338="","Produit manquant",IF(COUNTIF(prod_ref,A1338)=0,"Produit inconnu",IF(B1338="","Matière manquante",IF(ISNA(MATCH(B1338,mat_ref,0)),"Matière inconnue",IF(INDEX(mat_check,MATCH(B1338,mat_ref,0))&lt;&gt;"OK","Matière à corriger",IF(OR(NOT(ISNUMBER(E1338)),N(E1338)&lt;=0),"Quantité invalide",IF(AND(F1338&lt;&gt;"",OR(NOT(ISNUMBER(F1338)),N(F1338)&lt;0,N(F1338)&gt;=1)),"Perte entre 0 et 99 %",IF(COUNTIFS(bom_prod,A1338,bom_mat,B1338)&gt;1,"Matière en double","OK")))))))))</f>
        <v/>
      </c>
      <c r="K1338" s="71" t="str">
        <f>IF(AND(fiche_sel&lt;&gt;"",A1338=fiche_sel),COUNTIF(A$6:A1338,fiche_sel),"")</f>
        <v/>
      </c>
    </row>
    <row r="1339">
      <c r="A1339" s="60" t="n"/>
      <c r="B1339" s="60" t="n"/>
      <c r="C1339" s="71" t="str">
        <f>IF(B1339="","",IFERROR(INDEX(mat_des,MATCH(B1339,mat_ref,0))&amp;"","Matière inconnue"))</f>
        <v/>
      </c>
      <c r="D1339" s="69" t="str">
        <f>IF(B1339="","",IFERROR(INDEX(mat_unit,MATCH(B1339,mat_ref,0))&amp;"",""))</f>
        <v/>
      </c>
      <c r="E1339" s="72" t="n"/>
      <c r="F1339" s="65" t="n"/>
      <c r="G1339" s="68" t="str">
        <f>IF(J1339&lt;&gt;"OK","",IF(F1339="",N(INDEX(mat_loss,MATCH(B1339,mat_ref,0))),F1339))</f>
        <v/>
      </c>
      <c r="H1339" s="66" t="str">
        <f>IF(J1339&lt;&gt;"OK","",INDEX(mat_price,MATCH(B1339,mat_ref,0)))</f>
        <v/>
      </c>
      <c r="I1339" s="66" t="str">
        <f>IF(J1339&lt;&gt;"OK","",E1339*(1+G1339)*H1339)</f>
        <v/>
      </c>
      <c r="J1339" s="69" t="str">
        <f>IF(AND(A1339="",B1339=""),"",IF(A1339="","Produit manquant",IF(COUNTIF(prod_ref,A1339)=0,"Produit inconnu",IF(B1339="","Matière manquante",IF(ISNA(MATCH(B1339,mat_ref,0)),"Matière inconnue",IF(INDEX(mat_check,MATCH(B1339,mat_ref,0))&lt;&gt;"OK","Matière à corriger",IF(OR(NOT(ISNUMBER(E1339)),N(E1339)&lt;=0),"Quantité invalide",IF(AND(F1339&lt;&gt;"",OR(NOT(ISNUMBER(F1339)),N(F1339)&lt;0,N(F1339)&gt;=1)),"Perte entre 0 et 99 %",IF(COUNTIFS(bom_prod,A1339,bom_mat,B1339)&gt;1,"Matière en double","OK")))))))))</f>
        <v/>
      </c>
      <c r="K1339" s="71" t="str">
        <f>IF(AND(fiche_sel&lt;&gt;"",A1339=fiche_sel),COUNTIF(A$6:A1339,fiche_sel),"")</f>
        <v/>
      </c>
    </row>
    <row r="1340">
      <c r="A1340" s="60" t="n"/>
      <c r="B1340" s="60" t="n"/>
      <c r="C1340" s="71" t="str">
        <f>IF(B1340="","",IFERROR(INDEX(mat_des,MATCH(B1340,mat_ref,0))&amp;"","Matière inconnue"))</f>
        <v/>
      </c>
      <c r="D1340" s="69" t="str">
        <f>IF(B1340="","",IFERROR(INDEX(mat_unit,MATCH(B1340,mat_ref,0))&amp;"",""))</f>
        <v/>
      </c>
      <c r="E1340" s="72" t="n"/>
      <c r="F1340" s="65" t="n"/>
      <c r="G1340" s="68" t="str">
        <f>IF(J1340&lt;&gt;"OK","",IF(F1340="",N(INDEX(mat_loss,MATCH(B1340,mat_ref,0))),F1340))</f>
        <v/>
      </c>
      <c r="H1340" s="66" t="str">
        <f>IF(J1340&lt;&gt;"OK","",INDEX(mat_price,MATCH(B1340,mat_ref,0)))</f>
        <v/>
      </c>
      <c r="I1340" s="66" t="str">
        <f>IF(J1340&lt;&gt;"OK","",E1340*(1+G1340)*H1340)</f>
        <v/>
      </c>
      <c r="J1340" s="69" t="str">
        <f>IF(AND(A1340="",B1340=""),"",IF(A1340="","Produit manquant",IF(COUNTIF(prod_ref,A1340)=0,"Produit inconnu",IF(B1340="","Matière manquante",IF(ISNA(MATCH(B1340,mat_ref,0)),"Matière inconnue",IF(INDEX(mat_check,MATCH(B1340,mat_ref,0))&lt;&gt;"OK","Matière à corriger",IF(OR(NOT(ISNUMBER(E1340)),N(E1340)&lt;=0),"Quantité invalide",IF(AND(F1340&lt;&gt;"",OR(NOT(ISNUMBER(F1340)),N(F1340)&lt;0,N(F1340)&gt;=1)),"Perte entre 0 et 99 %",IF(COUNTIFS(bom_prod,A1340,bom_mat,B1340)&gt;1,"Matière en double","OK")))))))))</f>
        <v/>
      </c>
      <c r="K1340" s="71" t="str">
        <f>IF(AND(fiche_sel&lt;&gt;"",A1340=fiche_sel),COUNTIF(A$6:A1340,fiche_sel),"")</f>
        <v/>
      </c>
    </row>
    <row r="1341">
      <c r="A1341" s="60" t="n"/>
      <c r="B1341" s="60" t="n"/>
      <c r="C1341" s="71" t="str">
        <f>IF(B1341="","",IFERROR(INDEX(mat_des,MATCH(B1341,mat_ref,0))&amp;"","Matière inconnue"))</f>
        <v/>
      </c>
      <c r="D1341" s="69" t="str">
        <f>IF(B1341="","",IFERROR(INDEX(mat_unit,MATCH(B1341,mat_ref,0))&amp;"",""))</f>
        <v/>
      </c>
      <c r="E1341" s="72" t="n"/>
      <c r="F1341" s="65" t="n"/>
      <c r="G1341" s="68" t="str">
        <f>IF(J1341&lt;&gt;"OK","",IF(F1341="",N(INDEX(mat_loss,MATCH(B1341,mat_ref,0))),F1341))</f>
        <v/>
      </c>
      <c r="H1341" s="66" t="str">
        <f>IF(J1341&lt;&gt;"OK","",INDEX(mat_price,MATCH(B1341,mat_ref,0)))</f>
        <v/>
      </c>
      <c r="I1341" s="66" t="str">
        <f>IF(J1341&lt;&gt;"OK","",E1341*(1+G1341)*H1341)</f>
        <v/>
      </c>
      <c r="J1341" s="69" t="str">
        <f>IF(AND(A1341="",B1341=""),"",IF(A1341="","Produit manquant",IF(COUNTIF(prod_ref,A1341)=0,"Produit inconnu",IF(B1341="","Matière manquante",IF(ISNA(MATCH(B1341,mat_ref,0)),"Matière inconnue",IF(INDEX(mat_check,MATCH(B1341,mat_ref,0))&lt;&gt;"OK","Matière à corriger",IF(OR(NOT(ISNUMBER(E1341)),N(E1341)&lt;=0),"Quantité invalide",IF(AND(F1341&lt;&gt;"",OR(NOT(ISNUMBER(F1341)),N(F1341)&lt;0,N(F1341)&gt;=1)),"Perte entre 0 et 99 %",IF(COUNTIFS(bom_prod,A1341,bom_mat,B1341)&gt;1,"Matière en double","OK")))))))))</f>
        <v/>
      </c>
      <c r="K1341" s="71" t="str">
        <f>IF(AND(fiche_sel&lt;&gt;"",A1341=fiche_sel),COUNTIF(A$6:A1341,fiche_sel),"")</f>
        <v/>
      </c>
    </row>
    <row r="1342">
      <c r="A1342" s="60" t="n"/>
      <c r="B1342" s="60" t="n"/>
      <c r="C1342" s="71" t="str">
        <f>IF(B1342="","",IFERROR(INDEX(mat_des,MATCH(B1342,mat_ref,0))&amp;"","Matière inconnue"))</f>
        <v/>
      </c>
      <c r="D1342" s="69" t="str">
        <f>IF(B1342="","",IFERROR(INDEX(mat_unit,MATCH(B1342,mat_ref,0))&amp;"",""))</f>
        <v/>
      </c>
      <c r="E1342" s="72" t="n"/>
      <c r="F1342" s="65" t="n"/>
      <c r="G1342" s="68" t="str">
        <f>IF(J1342&lt;&gt;"OK","",IF(F1342="",N(INDEX(mat_loss,MATCH(B1342,mat_ref,0))),F1342))</f>
        <v/>
      </c>
      <c r="H1342" s="66" t="str">
        <f>IF(J1342&lt;&gt;"OK","",INDEX(mat_price,MATCH(B1342,mat_ref,0)))</f>
        <v/>
      </c>
      <c r="I1342" s="66" t="str">
        <f>IF(J1342&lt;&gt;"OK","",E1342*(1+G1342)*H1342)</f>
        <v/>
      </c>
      <c r="J1342" s="69" t="str">
        <f>IF(AND(A1342="",B1342=""),"",IF(A1342="","Produit manquant",IF(COUNTIF(prod_ref,A1342)=0,"Produit inconnu",IF(B1342="","Matière manquante",IF(ISNA(MATCH(B1342,mat_ref,0)),"Matière inconnue",IF(INDEX(mat_check,MATCH(B1342,mat_ref,0))&lt;&gt;"OK","Matière à corriger",IF(OR(NOT(ISNUMBER(E1342)),N(E1342)&lt;=0),"Quantité invalide",IF(AND(F1342&lt;&gt;"",OR(NOT(ISNUMBER(F1342)),N(F1342)&lt;0,N(F1342)&gt;=1)),"Perte entre 0 et 99 %",IF(COUNTIFS(bom_prod,A1342,bom_mat,B1342)&gt;1,"Matière en double","OK")))))))))</f>
        <v/>
      </c>
      <c r="K1342" s="71" t="str">
        <f>IF(AND(fiche_sel&lt;&gt;"",A1342=fiche_sel),COUNTIF(A$6:A1342,fiche_sel),"")</f>
        <v/>
      </c>
    </row>
    <row r="1343">
      <c r="A1343" s="60" t="n"/>
      <c r="B1343" s="60" t="n"/>
      <c r="C1343" s="71" t="str">
        <f>IF(B1343="","",IFERROR(INDEX(mat_des,MATCH(B1343,mat_ref,0))&amp;"","Matière inconnue"))</f>
        <v/>
      </c>
      <c r="D1343" s="69" t="str">
        <f>IF(B1343="","",IFERROR(INDEX(mat_unit,MATCH(B1343,mat_ref,0))&amp;"",""))</f>
        <v/>
      </c>
      <c r="E1343" s="72" t="n"/>
      <c r="F1343" s="65" t="n"/>
      <c r="G1343" s="68" t="str">
        <f>IF(J1343&lt;&gt;"OK","",IF(F1343="",N(INDEX(mat_loss,MATCH(B1343,mat_ref,0))),F1343))</f>
        <v/>
      </c>
      <c r="H1343" s="66" t="str">
        <f>IF(J1343&lt;&gt;"OK","",INDEX(mat_price,MATCH(B1343,mat_ref,0)))</f>
        <v/>
      </c>
      <c r="I1343" s="66" t="str">
        <f>IF(J1343&lt;&gt;"OK","",E1343*(1+G1343)*H1343)</f>
        <v/>
      </c>
      <c r="J1343" s="69" t="str">
        <f>IF(AND(A1343="",B1343=""),"",IF(A1343="","Produit manquant",IF(COUNTIF(prod_ref,A1343)=0,"Produit inconnu",IF(B1343="","Matière manquante",IF(ISNA(MATCH(B1343,mat_ref,0)),"Matière inconnue",IF(INDEX(mat_check,MATCH(B1343,mat_ref,0))&lt;&gt;"OK","Matière à corriger",IF(OR(NOT(ISNUMBER(E1343)),N(E1343)&lt;=0),"Quantité invalide",IF(AND(F1343&lt;&gt;"",OR(NOT(ISNUMBER(F1343)),N(F1343)&lt;0,N(F1343)&gt;=1)),"Perte entre 0 et 99 %",IF(COUNTIFS(bom_prod,A1343,bom_mat,B1343)&gt;1,"Matière en double","OK")))))))))</f>
        <v/>
      </c>
      <c r="K1343" s="71" t="str">
        <f>IF(AND(fiche_sel&lt;&gt;"",A1343=fiche_sel),COUNTIF(A$6:A1343,fiche_sel),"")</f>
        <v/>
      </c>
    </row>
    <row r="1344">
      <c r="A1344" s="60" t="n"/>
      <c r="B1344" s="60" t="n"/>
      <c r="C1344" s="71" t="str">
        <f>IF(B1344="","",IFERROR(INDEX(mat_des,MATCH(B1344,mat_ref,0))&amp;"","Matière inconnue"))</f>
        <v/>
      </c>
      <c r="D1344" s="69" t="str">
        <f>IF(B1344="","",IFERROR(INDEX(mat_unit,MATCH(B1344,mat_ref,0))&amp;"",""))</f>
        <v/>
      </c>
      <c r="E1344" s="72" t="n"/>
      <c r="F1344" s="65" t="n"/>
      <c r="G1344" s="68" t="str">
        <f>IF(J1344&lt;&gt;"OK","",IF(F1344="",N(INDEX(mat_loss,MATCH(B1344,mat_ref,0))),F1344))</f>
        <v/>
      </c>
      <c r="H1344" s="66" t="str">
        <f>IF(J1344&lt;&gt;"OK","",INDEX(mat_price,MATCH(B1344,mat_ref,0)))</f>
        <v/>
      </c>
      <c r="I1344" s="66" t="str">
        <f>IF(J1344&lt;&gt;"OK","",E1344*(1+G1344)*H1344)</f>
        <v/>
      </c>
      <c r="J1344" s="69" t="str">
        <f>IF(AND(A1344="",B1344=""),"",IF(A1344="","Produit manquant",IF(COUNTIF(prod_ref,A1344)=0,"Produit inconnu",IF(B1344="","Matière manquante",IF(ISNA(MATCH(B1344,mat_ref,0)),"Matière inconnue",IF(INDEX(mat_check,MATCH(B1344,mat_ref,0))&lt;&gt;"OK","Matière à corriger",IF(OR(NOT(ISNUMBER(E1344)),N(E1344)&lt;=0),"Quantité invalide",IF(AND(F1344&lt;&gt;"",OR(NOT(ISNUMBER(F1344)),N(F1344)&lt;0,N(F1344)&gt;=1)),"Perte entre 0 et 99 %",IF(COUNTIFS(bom_prod,A1344,bom_mat,B1344)&gt;1,"Matière en double","OK")))))))))</f>
        <v/>
      </c>
      <c r="K1344" s="71" t="str">
        <f>IF(AND(fiche_sel&lt;&gt;"",A1344=fiche_sel),COUNTIF(A$6:A1344,fiche_sel),"")</f>
        <v/>
      </c>
    </row>
    <row r="1345">
      <c r="A1345" s="60" t="n"/>
      <c r="B1345" s="60" t="n"/>
      <c r="C1345" s="71" t="str">
        <f>IF(B1345="","",IFERROR(INDEX(mat_des,MATCH(B1345,mat_ref,0))&amp;"","Matière inconnue"))</f>
        <v/>
      </c>
      <c r="D1345" s="69" t="str">
        <f>IF(B1345="","",IFERROR(INDEX(mat_unit,MATCH(B1345,mat_ref,0))&amp;"",""))</f>
        <v/>
      </c>
      <c r="E1345" s="72" t="n"/>
      <c r="F1345" s="65" t="n"/>
      <c r="G1345" s="68" t="str">
        <f>IF(J1345&lt;&gt;"OK","",IF(F1345="",N(INDEX(mat_loss,MATCH(B1345,mat_ref,0))),F1345))</f>
        <v/>
      </c>
      <c r="H1345" s="66" t="str">
        <f>IF(J1345&lt;&gt;"OK","",INDEX(mat_price,MATCH(B1345,mat_ref,0)))</f>
        <v/>
      </c>
      <c r="I1345" s="66" t="str">
        <f>IF(J1345&lt;&gt;"OK","",E1345*(1+G1345)*H1345)</f>
        <v/>
      </c>
      <c r="J1345" s="69" t="str">
        <f>IF(AND(A1345="",B1345=""),"",IF(A1345="","Produit manquant",IF(COUNTIF(prod_ref,A1345)=0,"Produit inconnu",IF(B1345="","Matière manquante",IF(ISNA(MATCH(B1345,mat_ref,0)),"Matière inconnue",IF(INDEX(mat_check,MATCH(B1345,mat_ref,0))&lt;&gt;"OK","Matière à corriger",IF(OR(NOT(ISNUMBER(E1345)),N(E1345)&lt;=0),"Quantité invalide",IF(AND(F1345&lt;&gt;"",OR(NOT(ISNUMBER(F1345)),N(F1345)&lt;0,N(F1345)&gt;=1)),"Perte entre 0 et 99 %",IF(COUNTIFS(bom_prod,A1345,bom_mat,B1345)&gt;1,"Matière en double","OK")))))))))</f>
        <v/>
      </c>
      <c r="K1345" s="71" t="str">
        <f>IF(AND(fiche_sel&lt;&gt;"",A1345=fiche_sel),COUNTIF(A$6:A1345,fiche_sel),"")</f>
        <v/>
      </c>
    </row>
    <row r="1346">
      <c r="A1346" s="60" t="n"/>
      <c r="B1346" s="60" t="n"/>
      <c r="C1346" s="71" t="str">
        <f>IF(B1346="","",IFERROR(INDEX(mat_des,MATCH(B1346,mat_ref,0))&amp;"","Matière inconnue"))</f>
        <v/>
      </c>
      <c r="D1346" s="69" t="str">
        <f>IF(B1346="","",IFERROR(INDEX(mat_unit,MATCH(B1346,mat_ref,0))&amp;"",""))</f>
        <v/>
      </c>
      <c r="E1346" s="72" t="n"/>
      <c r="F1346" s="65" t="n"/>
      <c r="G1346" s="68" t="str">
        <f>IF(J1346&lt;&gt;"OK","",IF(F1346="",N(INDEX(mat_loss,MATCH(B1346,mat_ref,0))),F1346))</f>
        <v/>
      </c>
      <c r="H1346" s="66" t="str">
        <f>IF(J1346&lt;&gt;"OK","",INDEX(mat_price,MATCH(B1346,mat_ref,0)))</f>
        <v/>
      </c>
      <c r="I1346" s="66" t="str">
        <f>IF(J1346&lt;&gt;"OK","",E1346*(1+G1346)*H1346)</f>
        <v/>
      </c>
      <c r="J1346" s="69" t="str">
        <f>IF(AND(A1346="",B1346=""),"",IF(A1346="","Produit manquant",IF(COUNTIF(prod_ref,A1346)=0,"Produit inconnu",IF(B1346="","Matière manquante",IF(ISNA(MATCH(B1346,mat_ref,0)),"Matière inconnue",IF(INDEX(mat_check,MATCH(B1346,mat_ref,0))&lt;&gt;"OK","Matière à corriger",IF(OR(NOT(ISNUMBER(E1346)),N(E1346)&lt;=0),"Quantité invalide",IF(AND(F1346&lt;&gt;"",OR(NOT(ISNUMBER(F1346)),N(F1346)&lt;0,N(F1346)&gt;=1)),"Perte entre 0 et 99 %",IF(COUNTIFS(bom_prod,A1346,bom_mat,B1346)&gt;1,"Matière en double","OK")))))))))</f>
        <v/>
      </c>
      <c r="K1346" s="71" t="str">
        <f>IF(AND(fiche_sel&lt;&gt;"",A1346=fiche_sel),COUNTIF(A$6:A1346,fiche_sel),"")</f>
        <v/>
      </c>
    </row>
    <row r="1347">
      <c r="A1347" s="60" t="n"/>
      <c r="B1347" s="60" t="n"/>
      <c r="C1347" s="71" t="str">
        <f>IF(B1347="","",IFERROR(INDEX(mat_des,MATCH(B1347,mat_ref,0))&amp;"","Matière inconnue"))</f>
        <v/>
      </c>
      <c r="D1347" s="69" t="str">
        <f>IF(B1347="","",IFERROR(INDEX(mat_unit,MATCH(B1347,mat_ref,0))&amp;"",""))</f>
        <v/>
      </c>
      <c r="E1347" s="72" t="n"/>
      <c r="F1347" s="65" t="n"/>
      <c r="G1347" s="68" t="str">
        <f>IF(J1347&lt;&gt;"OK","",IF(F1347="",N(INDEX(mat_loss,MATCH(B1347,mat_ref,0))),F1347))</f>
        <v/>
      </c>
      <c r="H1347" s="66" t="str">
        <f>IF(J1347&lt;&gt;"OK","",INDEX(mat_price,MATCH(B1347,mat_ref,0)))</f>
        <v/>
      </c>
      <c r="I1347" s="66" t="str">
        <f>IF(J1347&lt;&gt;"OK","",E1347*(1+G1347)*H1347)</f>
        <v/>
      </c>
      <c r="J1347" s="69" t="str">
        <f>IF(AND(A1347="",B1347=""),"",IF(A1347="","Produit manquant",IF(COUNTIF(prod_ref,A1347)=0,"Produit inconnu",IF(B1347="","Matière manquante",IF(ISNA(MATCH(B1347,mat_ref,0)),"Matière inconnue",IF(INDEX(mat_check,MATCH(B1347,mat_ref,0))&lt;&gt;"OK","Matière à corriger",IF(OR(NOT(ISNUMBER(E1347)),N(E1347)&lt;=0),"Quantité invalide",IF(AND(F1347&lt;&gt;"",OR(NOT(ISNUMBER(F1347)),N(F1347)&lt;0,N(F1347)&gt;=1)),"Perte entre 0 et 99 %",IF(COUNTIFS(bom_prod,A1347,bom_mat,B1347)&gt;1,"Matière en double","OK")))))))))</f>
        <v/>
      </c>
      <c r="K1347" s="71" t="str">
        <f>IF(AND(fiche_sel&lt;&gt;"",A1347=fiche_sel),COUNTIF(A$6:A1347,fiche_sel),"")</f>
        <v/>
      </c>
    </row>
    <row r="1348">
      <c r="A1348" s="60" t="n"/>
      <c r="B1348" s="60" t="n"/>
      <c r="C1348" s="71" t="str">
        <f>IF(B1348="","",IFERROR(INDEX(mat_des,MATCH(B1348,mat_ref,0))&amp;"","Matière inconnue"))</f>
        <v/>
      </c>
      <c r="D1348" s="69" t="str">
        <f>IF(B1348="","",IFERROR(INDEX(mat_unit,MATCH(B1348,mat_ref,0))&amp;"",""))</f>
        <v/>
      </c>
      <c r="E1348" s="72" t="n"/>
      <c r="F1348" s="65" t="n"/>
      <c r="G1348" s="68" t="str">
        <f>IF(J1348&lt;&gt;"OK","",IF(F1348="",N(INDEX(mat_loss,MATCH(B1348,mat_ref,0))),F1348))</f>
        <v/>
      </c>
      <c r="H1348" s="66" t="str">
        <f>IF(J1348&lt;&gt;"OK","",INDEX(mat_price,MATCH(B1348,mat_ref,0)))</f>
        <v/>
      </c>
      <c r="I1348" s="66" t="str">
        <f>IF(J1348&lt;&gt;"OK","",E1348*(1+G1348)*H1348)</f>
        <v/>
      </c>
      <c r="J1348" s="69" t="str">
        <f>IF(AND(A1348="",B1348=""),"",IF(A1348="","Produit manquant",IF(COUNTIF(prod_ref,A1348)=0,"Produit inconnu",IF(B1348="","Matière manquante",IF(ISNA(MATCH(B1348,mat_ref,0)),"Matière inconnue",IF(INDEX(mat_check,MATCH(B1348,mat_ref,0))&lt;&gt;"OK","Matière à corriger",IF(OR(NOT(ISNUMBER(E1348)),N(E1348)&lt;=0),"Quantité invalide",IF(AND(F1348&lt;&gt;"",OR(NOT(ISNUMBER(F1348)),N(F1348)&lt;0,N(F1348)&gt;=1)),"Perte entre 0 et 99 %",IF(COUNTIFS(bom_prod,A1348,bom_mat,B1348)&gt;1,"Matière en double","OK")))))))))</f>
        <v/>
      </c>
      <c r="K1348" s="71" t="str">
        <f>IF(AND(fiche_sel&lt;&gt;"",A1348=fiche_sel),COUNTIF(A$6:A1348,fiche_sel),"")</f>
        <v/>
      </c>
    </row>
    <row r="1349">
      <c r="A1349" s="60" t="n"/>
      <c r="B1349" s="60" t="n"/>
      <c r="C1349" s="71" t="str">
        <f>IF(B1349="","",IFERROR(INDEX(mat_des,MATCH(B1349,mat_ref,0))&amp;"","Matière inconnue"))</f>
        <v/>
      </c>
      <c r="D1349" s="69" t="str">
        <f>IF(B1349="","",IFERROR(INDEX(mat_unit,MATCH(B1349,mat_ref,0))&amp;"",""))</f>
        <v/>
      </c>
      <c r="E1349" s="72" t="n"/>
      <c r="F1349" s="65" t="n"/>
      <c r="G1349" s="68" t="str">
        <f>IF(J1349&lt;&gt;"OK","",IF(F1349="",N(INDEX(mat_loss,MATCH(B1349,mat_ref,0))),F1349))</f>
        <v/>
      </c>
      <c r="H1349" s="66" t="str">
        <f>IF(J1349&lt;&gt;"OK","",INDEX(mat_price,MATCH(B1349,mat_ref,0)))</f>
        <v/>
      </c>
      <c r="I1349" s="66" t="str">
        <f>IF(J1349&lt;&gt;"OK","",E1349*(1+G1349)*H1349)</f>
        <v/>
      </c>
      <c r="J1349" s="69" t="str">
        <f>IF(AND(A1349="",B1349=""),"",IF(A1349="","Produit manquant",IF(COUNTIF(prod_ref,A1349)=0,"Produit inconnu",IF(B1349="","Matière manquante",IF(ISNA(MATCH(B1349,mat_ref,0)),"Matière inconnue",IF(INDEX(mat_check,MATCH(B1349,mat_ref,0))&lt;&gt;"OK","Matière à corriger",IF(OR(NOT(ISNUMBER(E1349)),N(E1349)&lt;=0),"Quantité invalide",IF(AND(F1349&lt;&gt;"",OR(NOT(ISNUMBER(F1349)),N(F1349)&lt;0,N(F1349)&gt;=1)),"Perte entre 0 et 99 %",IF(COUNTIFS(bom_prod,A1349,bom_mat,B1349)&gt;1,"Matière en double","OK")))))))))</f>
        <v/>
      </c>
      <c r="K1349" s="71" t="str">
        <f>IF(AND(fiche_sel&lt;&gt;"",A1349=fiche_sel),COUNTIF(A$6:A1349,fiche_sel),"")</f>
        <v/>
      </c>
    </row>
    <row r="1350">
      <c r="A1350" s="60" t="n"/>
      <c r="B1350" s="60" t="n"/>
      <c r="C1350" s="71" t="str">
        <f>IF(B1350="","",IFERROR(INDEX(mat_des,MATCH(B1350,mat_ref,0))&amp;"","Matière inconnue"))</f>
        <v/>
      </c>
      <c r="D1350" s="69" t="str">
        <f>IF(B1350="","",IFERROR(INDEX(mat_unit,MATCH(B1350,mat_ref,0))&amp;"",""))</f>
        <v/>
      </c>
      <c r="E1350" s="72" t="n"/>
      <c r="F1350" s="65" t="n"/>
      <c r="G1350" s="68" t="str">
        <f>IF(J1350&lt;&gt;"OK","",IF(F1350="",N(INDEX(mat_loss,MATCH(B1350,mat_ref,0))),F1350))</f>
        <v/>
      </c>
      <c r="H1350" s="66" t="str">
        <f>IF(J1350&lt;&gt;"OK","",INDEX(mat_price,MATCH(B1350,mat_ref,0)))</f>
        <v/>
      </c>
      <c r="I1350" s="66" t="str">
        <f>IF(J1350&lt;&gt;"OK","",E1350*(1+G1350)*H1350)</f>
        <v/>
      </c>
      <c r="J1350" s="69" t="str">
        <f>IF(AND(A1350="",B1350=""),"",IF(A1350="","Produit manquant",IF(COUNTIF(prod_ref,A1350)=0,"Produit inconnu",IF(B1350="","Matière manquante",IF(ISNA(MATCH(B1350,mat_ref,0)),"Matière inconnue",IF(INDEX(mat_check,MATCH(B1350,mat_ref,0))&lt;&gt;"OK","Matière à corriger",IF(OR(NOT(ISNUMBER(E1350)),N(E1350)&lt;=0),"Quantité invalide",IF(AND(F1350&lt;&gt;"",OR(NOT(ISNUMBER(F1350)),N(F1350)&lt;0,N(F1350)&gt;=1)),"Perte entre 0 et 99 %",IF(COUNTIFS(bom_prod,A1350,bom_mat,B1350)&gt;1,"Matière en double","OK")))))))))</f>
        <v/>
      </c>
      <c r="K1350" s="71" t="str">
        <f>IF(AND(fiche_sel&lt;&gt;"",A1350=fiche_sel),COUNTIF(A$6:A1350,fiche_sel),"")</f>
        <v/>
      </c>
    </row>
    <row r="1351">
      <c r="A1351" s="60" t="n"/>
      <c r="B1351" s="60" t="n"/>
      <c r="C1351" s="71" t="str">
        <f>IF(B1351="","",IFERROR(INDEX(mat_des,MATCH(B1351,mat_ref,0))&amp;"","Matière inconnue"))</f>
        <v/>
      </c>
      <c r="D1351" s="69" t="str">
        <f>IF(B1351="","",IFERROR(INDEX(mat_unit,MATCH(B1351,mat_ref,0))&amp;"",""))</f>
        <v/>
      </c>
      <c r="E1351" s="72" t="n"/>
      <c r="F1351" s="65" t="n"/>
      <c r="G1351" s="68" t="str">
        <f>IF(J1351&lt;&gt;"OK","",IF(F1351="",N(INDEX(mat_loss,MATCH(B1351,mat_ref,0))),F1351))</f>
        <v/>
      </c>
      <c r="H1351" s="66" t="str">
        <f>IF(J1351&lt;&gt;"OK","",INDEX(mat_price,MATCH(B1351,mat_ref,0)))</f>
        <v/>
      </c>
      <c r="I1351" s="66" t="str">
        <f>IF(J1351&lt;&gt;"OK","",E1351*(1+G1351)*H1351)</f>
        <v/>
      </c>
      <c r="J1351" s="69" t="str">
        <f>IF(AND(A1351="",B1351=""),"",IF(A1351="","Produit manquant",IF(COUNTIF(prod_ref,A1351)=0,"Produit inconnu",IF(B1351="","Matière manquante",IF(ISNA(MATCH(B1351,mat_ref,0)),"Matière inconnue",IF(INDEX(mat_check,MATCH(B1351,mat_ref,0))&lt;&gt;"OK","Matière à corriger",IF(OR(NOT(ISNUMBER(E1351)),N(E1351)&lt;=0),"Quantité invalide",IF(AND(F1351&lt;&gt;"",OR(NOT(ISNUMBER(F1351)),N(F1351)&lt;0,N(F1351)&gt;=1)),"Perte entre 0 et 99 %",IF(COUNTIFS(bom_prod,A1351,bom_mat,B1351)&gt;1,"Matière en double","OK")))))))))</f>
        <v/>
      </c>
      <c r="K1351" s="71" t="str">
        <f>IF(AND(fiche_sel&lt;&gt;"",A1351=fiche_sel),COUNTIF(A$6:A1351,fiche_sel),"")</f>
        <v/>
      </c>
    </row>
    <row r="1352">
      <c r="A1352" s="60" t="n"/>
      <c r="B1352" s="60" t="n"/>
      <c r="C1352" s="71" t="str">
        <f>IF(B1352="","",IFERROR(INDEX(mat_des,MATCH(B1352,mat_ref,0))&amp;"","Matière inconnue"))</f>
        <v/>
      </c>
      <c r="D1352" s="69" t="str">
        <f>IF(B1352="","",IFERROR(INDEX(mat_unit,MATCH(B1352,mat_ref,0))&amp;"",""))</f>
        <v/>
      </c>
      <c r="E1352" s="72" t="n"/>
      <c r="F1352" s="65" t="n"/>
      <c r="G1352" s="68" t="str">
        <f>IF(J1352&lt;&gt;"OK","",IF(F1352="",N(INDEX(mat_loss,MATCH(B1352,mat_ref,0))),F1352))</f>
        <v/>
      </c>
      <c r="H1352" s="66" t="str">
        <f>IF(J1352&lt;&gt;"OK","",INDEX(mat_price,MATCH(B1352,mat_ref,0)))</f>
        <v/>
      </c>
      <c r="I1352" s="66" t="str">
        <f>IF(J1352&lt;&gt;"OK","",E1352*(1+G1352)*H1352)</f>
        <v/>
      </c>
      <c r="J1352" s="69" t="str">
        <f>IF(AND(A1352="",B1352=""),"",IF(A1352="","Produit manquant",IF(COUNTIF(prod_ref,A1352)=0,"Produit inconnu",IF(B1352="","Matière manquante",IF(ISNA(MATCH(B1352,mat_ref,0)),"Matière inconnue",IF(INDEX(mat_check,MATCH(B1352,mat_ref,0))&lt;&gt;"OK","Matière à corriger",IF(OR(NOT(ISNUMBER(E1352)),N(E1352)&lt;=0),"Quantité invalide",IF(AND(F1352&lt;&gt;"",OR(NOT(ISNUMBER(F1352)),N(F1352)&lt;0,N(F1352)&gt;=1)),"Perte entre 0 et 99 %",IF(COUNTIFS(bom_prod,A1352,bom_mat,B1352)&gt;1,"Matière en double","OK")))))))))</f>
        <v/>
      </c>
      <c r="K1352" s="71" t="str">
        <f>IF(AND(fiche_sel&lt;&gt;"",A1352=fiche_sel),COUNTIF(A$6:A1352,fiche_sel),"")</f>
        <v/>
      </c>
    </row>
    <row r="1353">
      <c r="A1353" s="60" t="n"/>
      <c r="B1353" s="60" t="n"/>
      <c r="C1353" s="71" t="str">
        <f>IF(B1353="","",IFERROR(INDEX(mat_des,MATCH(B1353,mat_ref,0))&amp;"","Matière inconnue"))</f>
        <v/>
      </c>
      <c r="D1353" s="69" t="str">
        <f>IF(B1353="","",IFERROR(INDEX(mat_unit,MATCH(B1353,mat_ref,0))&amp;"",""))</f>
        <v/>
      </c>
      <c r="E1353" s="72" t="n"/>
      <c r="F1353" s="65" t="n"/>
      <c r="G1353" s="68" t="str">
        <f>IF(J1353&lt;&gt;"OK","",IF(F1353="",N(INDEX(mat_loss,MATCH(B1353,mat_ref,0))),F1353))</f>
        <v/>
      </c>
      <c r="H1353" s="66" t="str">
        <f>IF(J1353&lt;&gt;"OK","",INDEX(mat_price,MATCH(B1353,mat_ref,0)))</f>
        <v/>
      </c>
      <c r="I1353" s="66" t="str">
        <f>IF(J1353&lt;&gt;"OK","",E1353*(1+G1353)*H1353)</f>
        <v/>
      </c>
      <c r="J1353" s="69" t="str">
        <f>IF(AND(A1353="",B1353=""),"",IF(A1353="","Produit manquant",IF(COUNTIF(prod_ref,A1353)=0,"Produit inconnu",IF(B1353="","Matière manquante",IF(ISNA(MATCH(B1353,mat_ref,0)),"Matière inconnue",IF(INDEX(mat_check,MATCH(B1353,mat_ref,0))&lt;&gt;"OK","Matière à corriger",IF(OR(NOT(ISNUMBER(E1353)),N(E1353)&lt;=0),"Quantité invalide",IF(AND(F1353&lt;&gt;"",OR(NOT(ISNUMBER(F1353)),N(F1353)&lt;0,N(F1353)&gt;=1)),"Perte entre 0 et 99 %",IF(COUNTIFS(bom_prod,A1353,bom_mat,B1353)&gt;1,"Matière en double","OK")))))))))</f>
        <v/>
      </c>
      <c r="K1353" s="71" t="str">
        <f>IF(AND(fiche_sel&lt;&gt;"",A1353=fiche_sel),COUNTIF(A$6:A1353,fiche_sel),"")</f>
        <v/>
      </c>
    </row>
    <row r="1354">
      <c r="A1354" s="60" t="n"/>
      <c r="B1354" s="60" t="n"/>
      <c r="C1354" s="71" t="str">
        <f>IF(B1354="","",IFERROR(INDEX(mat_des,MATCH(B1354,mat_ref,0))&amp;"","Matière inconnue"))</f>
        <v/>
      </c>
      <c r="D1354" s="69" t="str">
        <f>IF(B1354="","",IFERROR(INDEX(mat_unit,MATCH(B1354,mat_ref,0))&amp;"",""))</f>
        <v/>
      </c>
      <c r="E1354" s="72" t="n"/>
      <c r="F1354" s="65" t="n"/>
      <c r="G1354" s="68" t="str">
        <f>IF(J1354&lt;&gt;"OK","",IF(F1354="",N(INDEX(mat_loss,MATCH(B1354,mat_ref,0))),F1354))</f>
        <v/>
      </c>
      <c r="H1354" s="66" t="str">
        <f>IF(J1354&lt;&gt;"OK","",INDEX(mat_price,MATCH(B1354,mat_ref,0)))</f>
        <v/>
      </c>
      <c r="I1354" s="66" t="str">
        <f>IF(J1354&lt;&gt;"OK","",E1354*(1+G1354)*H1354)</f>
        <v/>
      </c>
      <c r="J1354" s="69" t="str">
        <f>IF(AND(A1354="",B1354=""),"",IF(A1354="","Produit manquant",IF(COUNTIF(prod_ref,A1354)=0,"Produit inconnu",IF(B1354="","Matière manquante",IF(ISNA(MATCH(B1354,mat_ref,0)),"Matière inconnue",IF(INDEX(mat_check,MATCH(B1354,mat_ref,0))&lt;&gt;"OK","Matière à corriger",IF(OR(NOT(ISNUMBER(E1354)),N(E1354)&lt;=0),"Quantité invalide",IF(AND(F1354&lt;&gt;"",OR(NOT(ISNUMBER(F1354)),N(F1354)&lt;0,N(F1354)&gt;=1)),"Perte entre 0 et 99 %",IF(COUNTIFS(bom_prod,A1354,bom_mat,B1354)&gt;1,"Matière en double","OK")))))))))</f>
        <v/>
      </c>
      <c r="K1354" s="71" t="str">
        <f>IF(AND(fiche_sel&lt;&gt;"",A1354=fiche_sel),COUNTIF(A$6:A1354,fiche_sel),"")</f>
        <v/>
      </c>
    </row>
    <row r="1355">
      <c r="A1355" s="60" t="n"/>
      <c r="B1355" s="60" t="n"/>
      <c r="C1355" s="71" t="str">
        <f>IF(B1355="","",IFERROR(INDEX(mat_des,MATCH(B1355,mat_ref,0))&amp;"","Matière inconnue"))</f>
        <v/>
      </c>
      <c r="D1355" s="69" t="str">
        <f>IF(B1355="","",IFERROR(INDEX(mat_unit,MATCH(B1355,mat_ref,0))&amp;"",""))</f>
        <v/>
      </c>
      <c r="E1355" s="72" t="n"/>
      <c r="F1355" s="65" t="n"/>
      <c r="G1355" s="68" t="str">
        <f>IF(J1355&lt;&gt;"OK","",IF(F1355="",N(INDEX(mat_loss,MATCH(B1355,mat_ref,0))),F1355))</f>
        <v/>
      </c>
      <c r="H1355" s="66" t="str">
        <f>IF(J1355&lt;&gt;"OK","",INDEX(mat_price,MATCH(B1355,mat_ref,0)))</f>
        <v/>
      </c>
      <c r="I1355" s="66" t="str">
        <f>IF(J1355&lt;&gt;"OK","",E1355*(1+G1355)*H1355)</f>
        <v/>
      </c>
      <c r="J1355" s="69" t="str">
        <f>IF(AND(A1355="",B1355=""),"",IF(A1355="","Produit manquant",IF(COUNTIF(prod_ref,A1355)=0,"Produit inconnu",IF(B1355="","Matière manquante",IF(ISNA(MATCH(B1355,mat_ref,0)),"Matière inconnue",IF(INDEX(mat_check,MATCH(B1355,mat_ref,0))&lt;&gt;"OK","Matière à corriger",IF(OR(NOT(ISNUMBER(E1355)),N(E1355)&lt;=0),"Quantité invalide",IF(AND(F1355&lt;&gt;"",OR(NOT(ISNUMBER(F1355)),N(F1355)&lt;0,N(F1355)&gt;=1)),"Perte entre 0 et 99 %",IF(COUNTIFS(bom_prod,A1355,bom_mat,B1355)&gt;1,"Matière en double","OK")))))))))</f>
        <v/>
      </c>
      <c r="K1355" s="71" t="str">
        <f>IF(AND(fiche_sel&lt;&gt;"",A1355=fiche_sel),COUNTIF(A$6:A1355,fiche_sel),"")</f>
        <v/>
      </c>
    </row>
    <row r="1356">
      <c r="A1356" s="60" t="n"/>
      <c r="B1356" s="60" t="n"/>
      <c r="C1356" s="71" t="str">
        <f>IF(B1356="","",IFERROR(INDEX(mat_des,MATCH(B1356,mat_ref,0))&amp;"","Matière inconnue"))</f>
        <v/>
      </c>
      <c r="D1356" s="69" t="str">
        <f>IF(B1356="","",IFERROR(INDEX(mat_unit,MATCH(B1356,mat_ref,0))&amp;"",""))</f>
        <v/>
      </c>
      <c r="E1356" s="72" t="n"/>
      <c r="F1356" s="65" t="n"/>
      <c r="G1356" s="68" t="str">
        <f>IF(J1356&lt;&gt;"OK","",IF(F1356="",N(INDEX(mat_loss,MATCH(B1356,mat_ref,0))),F1356))</f>
        <v/>
      </c>
      <c r="H1356" s="66" t="str">
        <f>IF(J1356&lt;&gt;"OK","",INDEX(mat_price,MATCH(B1356,mat_ref,0)))</f>
        <v/>
      </c>
      <c r="I1356" s="66" t="str">
        <f>IF(J1356&lt;&gt;"OK","",E1356*(1+G1356)*H1356)</f>
        <v/>
      </c>
      <c r="J1356" s="69" t="str">
        <f>IF(AND(A1356="",B1356=""),"",IF(A1356="","Produit manquant",IF(COUNTIF(prod_ref,A1356)=0,"Produit inconnu",IF(B1356="","Matière manquante",IF(ISNA(MATCH(B1356,mat_ref,0)),"Matière inconnue",IF(INDEX(mat_check,MATCH(B1356,mat_ref,0))&lt;&gt;"OK","Matière à corriger",IF(OR(NOT(ISNUMBER(E1356)),N(E1356)&lt;=0),"Quantité invalide",IF(AND(F1356&lt;&gt;"",OR(NOT(ISNUMBER(F1356)),N(F1356)&lt;0,N(F1356)&gt;=1)),"Perte entre 0 et 99 %",IF(COUNTIFS(bom_prod,A1356,bom_mat,B1356)&gt;1,"Matière en double","OK")))))))))</f>
        <v/>
      </c>
      <c r="K1356" s="71" t="str">
        <f>IF(AND(fiche_sel&lt;&gt;"",A1356=fiche_sel),COUNTIF(A$6:A1356,fiche_sel),"")</f>
        <v/>
      </c>
    </row>
    <row r="1357">
      <c r="A1357" s="60" t="n"/>
      <c r="B1357" s="60" t="n"/>
      <c r="C1357" s="71" t="str">
        <f>IF(B1357="","",IFERROR(INDEX(mat_des,MATCH(B1357,mat_ref,0))&amp;"","Matière inconnue"))</f>
        <v/>
      </c>
      <c r="D1357" s="69" t="str">
        <f>IF(B1357="","",IFERROR(INDEX(mat_unit,MATCH(B1357,mat_ref,0))&amp;"",""))</f>
        <v/>
      </c>
      <c r="E1357" s="72" t="n"/>
      <c r="F1357" s="65" t="n"/>
      <c r="G1357" s="68" t="str">
        <f>IF(J1357&lt;&gt;"OK","",IF(F1357="",N(INDEX(mat_loss,MATCH(B1357,mat_ref,0))),F1357))</f>
        <v/>
      </c>
      <c r="H1357" s="66" t="str">
        <f>IF(J1357&lt;&gt;"OK","",INDEX(mat_price,MATCH(B1357,mat_ref,0)))</f>
        <v/>
      </c>
      <c r="I1357" s="66" t="str">
        <f>IF(J1357&lt;&gt;"OK","",E1357*(1+G1357)*H1357)</f>
        <v/>
      </c>
      <c r="J1357" s="69" t="str">
        <f>IF(AND(A1357="",B1357=""),"",IF(A1357="","Produit manquant",IF(COUNTIF(prod_ref,A1357)=0,"Produit inconnu",IF(B1357="","Matière manquante",IF(ISNA(MATCH(B1357,mat_ref,0)),"Matière inconnue",IF(INDEX(mat_check,MATCH(B1357,mat_ref,0))&lt;&gt;"OK","Matière à corriger",IF(OR(NOT(ISNUMBER(E1357)),N(E1357)&lt;=0),"Quantité invalide",IF(AND(F1357&lt;&gt;"",OR(NOT(ISNUMBER(F1357)),N(F1357)&lt;0,N(F1357)&gt;=1)),"Perte entre 0 et 99 %",IF(COUNTIFS(bom_prod,A1357,bom_mat,B1357)&gt;1,"Matière en double","OK")))))))))</f>
        <v/>
      </c>
      <c r="K1357" s="71" t="str">
        <f>IF(AND(fiche_sel&lt;&gt;"",A1357=fiche_sel),COUNTIF(A$6:A1357,fiche_sel),"")</f>
        <v/>
      </c>
    </row>
    <row r="1358">
      <c r="A1358" s="60" t="n"/>
      <c r="B1358" s="60" t="n"/>
      <c r="C1358" s="71" t="str">
        <f>IF(B1358="","",IFERROR(INDEX(mat_des,MATCH(B1358,mat_ref,0))&amp;"","Matière inconnue"))</f>
        <v/>
      </c>
      <c r="D1358" s="69" t="str">
        <f>IF(B1358="","",IFERROR(INDEX(mat_unit,MATCH(B1358,mat_ref,0))&amp;"",""))</f>
        <v/>
      </c>
      <c r="E1358" s="72" t="n"/>
      <c r="F1358" s="65" t="n"/>
      <c r="G1358" s="68" t="str">
        <f>IF(J1358&lt;&gt;"OK","",IF(F1358="",N(INDEX(mat_loss,MATCH(B1358,mat_ref,0))),F1358))</f>
        <v/>
      </c>
      <c r="H1358" s="66" t="str">
        <f>IF(J1358&lt;&gt;"OK","",INDEX(mat_price,MATCH(B1358,mat_ref,0)))</f>
        <v/>
      </c>
      <c r="I1358" s="66" t="str">
        <f>IF(J1358&lt;&gt;"OK","",E1358*(1+G1358)*H1358)</f>
        <v/>
      </c>
      <c r="J1358" s="69" t="str">
        <f>IF(AND(A1358="",B1358=""),"",IF(A1358="","Produit manquant",IF(COUNTIF(prod_ref,A1358)=0,"Produit inconnu",IF(B1358="","Matière manquante",IF(ISNA(MATCH(B1358,mat_ref,0)),"Matière inconnue",IF(INDEX(mat_check,MATCH(B1358,mat_ref,0))&lt;&gt;"OK","Matière à corriger",IF(OR(NOT(ISNUMBER(E1358)),N(E1358)&lt;=0),"Quantité invalide",IF(AND(F1358&lt;&gt;"",OR(NOT(ISNUMBER(F1358)),N(F1358)&lt;0,N(F1358)&gt;=1)),"Perte entre 0 et 99 %",IF(COUNTIFS(bom_prod,A1358,bom_mat,B1358)&gt;1,"Matière en double","OK")))))))))</f>
        <v/>
      </c>
      <c r="K1358" s="71" t="str">
        <f>IF(AND(fiche_sel&lt;&gt;"",A1358=fiche_sel),COUNTIF(A$6:A1358,fiche_sel),"")</f>
        <v/>
      </c>
    </row>
    <row r="1359">
      <c r="A1359" s="60" t="n"/>
      <c r="B1359" s="60" t="n"/>
      <c r="C1359" s="71" t="str">
        <f>IF(B1359="","",IFERROR(INDEX(mat_des,MATCH(B1359,mat_ref,0))&amp;"","Matière inconnue"))</f>
        <v/>
      </c>
      <c r="D1359" s="69" t="str">
        <f>IF(B1359="","",IFERROR(INDEX(mat_unit,MATCH(B1359,mat_ref,0))&amp;"",""))</f>
        <v/>
      </c>
      <c r="E1359" s="72" t="n"/>
      <c r="F1359" s="65" t="n"/>
      <c r="G1359" s="68" t="str">
        <f>IF(J1359&lt;&gt;"OK","",IF(F1359="",N(INDEX(mat_loss,MATCH(B1359,mat_ref,0))),F1359))</f>
        <v/>
      </c>
      <c r="H1359" s="66" t="str">
        <f>IF(J1359&lt;&gt;"OK","",INDEX(mat_price,MATCH(B1359,mat_ref,0)))</f>
        <v/>
      </c>
      <c r="I1359" s="66" t="str">
        <f>IF(J1359&lt;&gt;"OK","",E1359*(1+G1359)*H1359)</f>
        <v/>
      </c>
      <c r="J1359" s="69" t="str">
        <f>IF(AND(A1359="",B1359=""),"",IF(A1359="","Produit manquant",IF(COUNTIF(prod_ref,A1359)=0,"Produit inconnu",IF(B1359="","Matière manquante",IF(ISNA(MATCH(B1359,mat_ref,0)),"Matière inconnue",IF(INDEX(mat_check,MATCH(B1359,mat_ref,0))&lt;&gt;"OK","Matière à corriger",IF(OR(NOT(ISNUMBER(E1359)),N(E1359)&lt;=0),"Quantité invalide",IF(AND(F1359&lt;&gt;"",OR(NOT(ISNUMBER(F1359)),N(F1359)&lt;0,N(F1359)&gt;=1)),"Perte entre 0 et 99 %",IF(COUNTIFS(bom_prod,A1359,bom_mat,B1359)&gt;1,"Matière en double","OK")))))))))</f>
        <v/>
      </c>
      <c r="K1359" s="71" t="str">
        <f>IF(AND(fiche_sel&lt;&gt;"",A1359=fiche_sel),COUNTIF(A$6:A1359,fiche_sel),"")</f>
        <v/>
      </c>
    </row>
    <row r="1360">
      <c r="A1360" s="60" t="n"/>
      <c r="B1360" s="60" t="n"/>
      <c r="C1360" s="71" t="str">
        <f>IF(B1360="","",IFERROR(INDEX(mat_des,MATCH(B1360,mat_ref,0))&amp;"","Matière inconnue"))</f>
        <v/>
      </c>
      <c r="D1360" s="69" t="str">
        <f>IF(B1360="","",IFERROR(INDEX(mat_unit,MATCH(B1360,mat_ref,0))&amp;"",""))</f>
        <v/>
      </c>
      <c r="E1360" s="72" t="n"/>
      <c r="F1360" s="65" t="n"/>
      <c r="G1360" s="68" t="str">
        <f>IF(J1360&lt;&gt;"OK","",IF(F1360="",N(INDEX(mat_loss,MATCH(B1360,mat_ref,0))),F1360))</f>
        <v/>
      </c>
      <c r="H1360" s="66" t="str">
        <f>IF(J1360&lt;&gt;"OK","",INDEX(mat_price,MATCH(B1360,mat_ref,0)))</f>
        <v/>
      </c>
      <c r="I1360" s="66" t="str">
        <f>IF(J1360&lt;&gt;"OK","",E1360*(1+G1360)*H1360)</f>
        <v/>
      </c>
      <c r="J1360" s="69" t="str">
        <f>IF(AND(A1360="",B1360=""),"",IF(A1360="","Produit manquant",IF(COUNTIF(prod_ref,A1360)=0,"Produit inconnu",IF(B1360="","Matière manquante",IF(ISNA(MATCH(B1360,mat_ref,0)),"Matière inconnue",IF(INDEX(mat_check,MATCH(B1360,mat_ref,0))&lt;&gt;"OK","Matière à corriger",IF(OR(NOT(ISNUMBER(E1360)),N(E1360)&lt;=0),"Quantité invalide",IF(AND(F1360&lt;&gt;"",OR(NOT(ISNUMBER(F1360)),N(F1360)&lt;0,N(F1360)&gt;=1)),"Perte entre 0 et 99 %",IF(COUNTIFS(bom_prod,A1360,bom_mat,B1360)&gt;1,"Matière en double","OK")))))))))</f>
        <v/>
      </c>
      <c r="K1360" s="71" t="str">
        <f>IF(AND(fiche_sel&lt;&gt;"",A1360=fiche_sel),COUNTIF(A$6:A1360,fiche_sel),"")</f>
        <v/>
      </c>
    </row>
    <row r="1361">
      <c r="A1361" s="60" t="n"/>
      <c r="B1361" s="60" t="n"/>
      <c r="C1361" s="71" t="str">
        <f>IF(B1361="","",IFERROR(INDEX(mat_des,MATCH(B1361,mat_ref,0))&amp;"","Matière inconnue"))</f>
        <v/>
      </c>
      <c r="D1361" s="69" t="str">
        <f>IF(B1361="","",IFERROR(INDEX(mat_unit,MATCH(B1361,mat_ref,0))&amp;"",""))</f>
        <v/>
      </c>
      <c r="E1361" s="72" t="n"/>
      <c r="F1361" s="65" t="n"/>
      <c r="G1361" s="68" t="str">
        <f>IF(J1361&lt;&gt;"OK","",IF(F1361="",N(INDEX(mat_loss,MATCH(B1361,mat_ref,0))),F1361))</f>
        <v/>
      </c>
      <c r="H1361" s="66" t="str">
        <f>IF(J1361&lt;&gt;"OK","",INDEX(mat_price,MATCH(B1361,mat_ref,0)))</f>
        <v/>
      </c>
      <c r="I1361" s="66" t="str">
        <f>IF(J1361&lt;&gt;"OK","",E1361*(1+G1361)*H1361)</f>
        <v/>
      </c>
      <c r="J1361" s="69" t="str">
        <f>IF(AND(A1361="",B1361=""),"",IF(A1361="","Produit manquant",IF(COUNTIF(prod_ref,A1361)=0,"Produit inconnu",IF(B1361="","Matière manquante",IF(ISNA(MATCH(B1361,mat_ref,0)),"Matière inconnue",IF(INDEX(mat_check,MATCH(B1361,mat_ref,0))&lt;&gt;"OK","Matière à corriger",IF(OR(NOT(ISNUMBER(E1361)),N(E1361)&lt;=0),"Quantité invalide",IF(AND(F1361&lt;&gt;"",OR(NOT(ISNUMBER(F1361)),N(F1361)&lt;0,N(F1361)&gt;=1)),"Perte entre 0 et 99 %",IF(COUNTIFS(bom_prod,A1361,bom_mat,B1361)&gt;1,"Matière en double","OK")))))))))</f>
        <v/>
      </c>
      <c r="K1361" s="71" t="str">
        <f>IF(AND(fiche_sel&lt;&gt;"",A1361=fiche_sel),COUNTIF(A$6:A1361,fiche_sel),"")</f>
        <v/>
      </c>
    </row>
    <row r="1362">
      <c r="A1362" s="60" t="n"/>
      <c r="B1362" s="60" t="n"/>
      <c r="C1362" s="71" t="str">
        <f>IF(B1362="","",IFERROR(INDEX(mat_des,MATCH(B1362,mat_ref,0))&amp;"","Matière inconnue"))</f>
        <v/>
      </c>
      <c r="D1362" s="69" t="str">
        <f>IF(B1362="","",IFERROR(INDEX(mat_unit,MATCH(B1362,mat_ref,0))&amp;"",""))</f>
        <v/>
      </c>
      <c r="E1362" s="72" t="n"/>
      <c r="F1362" s="65" t="n"/>
      <c r="G1362" s="68" t="str">
        <f>IF(J1362&lt;&gt;"OK","",IF(F1362="",N(INDEX(mat_loss,MATCH(B1362,mat_ref,0))),F1362))</f>
        <v/>
      </c>
      <c r="H1362" s="66" t="str">
        <f>IF(J1362&lt;&gt;"OK","",INDEX(mat_price,MATCH(B1362,mat_ref,0)))</f>
        <v/>
      </c>
      <c r="I1362" s="66" t="str">
        <f>IF(J1362&lt;&gt;"OK","",E1362*(1+G1362)*H1362)</f>
        <v/>
      </c>
      <c r="J1362" s="69" t="str">
        <f>IF(AND(A1362="",B1362=""),"",IF(A1362="","Produit manquant",IF(COUNTIF(prod_ref,A1362)=0,"Produit inconnu",IF(B1362="","Matière manquante",IF(ISNA(MATCH(B1362,mat_ref,0)),"Matière inconnue",IF(INDEX(mat_check,MATCH(B1362,mat_ref,0))&lt;&gt;"OK","Matière à corriger",IF(OR(NOT(ISNUMBER(E1362)),N(E1362)&lt;=0),"Quantité invalide",IF(AND(F1362&lt;&gt;"",OR(NOT(ISNUMBER(F1362)),N(F1362)&lt;0,N(F1362)&gt;=1)),"Perte entre 0 et 99 %",IF(COUNTIFS(bom_prod,A1362,bom_mat,B1362)&gt;1,"Matière en double","OK")))))))))</f>
        <v/>
      </c>
      <c r="K1362" s="71" t="str">
        <f>IF(AND(fiche_sel&lt;&gt;"",A1362=fiche_sel),COUNTIF(A$6:A1362,fiche_sel),"")</f>
        <v/>
      </c>
    </row>
    <row r="1363">
      <c r="A1363" s="60" t="n"/>
      <c r="B1363" s="60" t="n"/>
      <c r="C1363" s="71" t="str">
        <f>IF(B1363="","",IFERROR(INDEX(mat_des,MATCH(B1363,mat_ref,0))&amp;"","Matière inconnue"))</f>
        <v/>
      </c>
      <c r="D1363" s="69" t="str">
        <f>IF(B1363="","",IFERROR(INDEX(mat_unit,MATCH(B1363,mat_ref,0))&amp;"",""))</f>
        <v/>
      </c>
      <c r="E1363" s="72" t="n"/>
      <c r="F1363" s="65" t="n"/>
      <c r="G1363" s="68" t="str">
        <f>IF(J1363&lt;&gt;"OK","",IF(F1363="",N(INDEX(mat_loss,MATCH(B1363,mat_ref,0))),F1363))</f>
        <v/>
      </c>
      <c r="H1363" s="66" t="str">
        <f>IF(J1363&lt;&gt;"OK","",INDEX(mat_price,MATCH(B1363,mat_ref,0)))</f>
        <v/>
      </c>
      <c r="I1363" s="66" t="str">
        <f>IF(J1363&lt;&gt;"OK","",E1363*(1+G1363)*H1363)</f>
        <v/>
      </c>
      <c r="J1363" s="69" t="str">
        <f>IF(AND(A1363="",B1363=""),"",IF(A1363="","Produit manquant",IF(COUNTIF(prod_ref,A1363)=0,"Produit inconnu",IF(B1363="","Matière manquante",IF(ISNA(MATCH(B1363,mat_ref,0)),"Matière inconnue",IF(INDEX(mat_check,MATCH(B1363,mat_ref,0))&lt;&gt;"OK","Matière à corriger",IF(OR(NOT(ISNUMBER(E1363)),N(E1363)&lt;=0),"Quantité invalide",IF(AND(F1363&lt;&gt;"",OR(NOT(ISNUMBER(F1363)),N(F1363)&lt;0,N(F1363)&gt;=1)),"Perte entre 0 et 99 %",IF(COUNTIFS(bom_prod,A1363,bom_mat,B1363)&gt;1,"Matière en double","OK")))))))))</f>
        <v/>
      </c>
      <c r="K1363" s="71" t="str">
        <f>IF(AND(fiche_sel&lt;&gt;"",A1363=fiche_sel),COUNTIF(A$6:A1363,fiche_sel),"")</f>
        <v/>
      </c>
    </row>
    <row r="1364">
      <c r="A1364" s="60" t="n"/>
      <c r="B1364" s="60" t="n"/>
      <c r="C1364" s="71" t="str">
        <f>IF(B1364="","",IFERROR(INDEX(mat_des,MATCH(B1364,mat_ref,0))&amp;"","Matière inconnue"))</f>
        <v/>
      </c>
      <c r="D1364" s="69" t="str">
        <f>IF(B1364="","",IFERROR(INDEX(mat_unit,MATCH(B1364,mat_ref,0))&amp;"",""))</f>
        <v/>
      </c>
      <c r="E1364" s="72" t="n"/>
      <c r="F1364" s="65" t="n"/>
      <c r="G1364" s="68" t="str">
        <f>IF(J1364&lt;&gt;"OK","",IF(F1364="",N(INDEX(mat_loss,MATCH(B1364,mat_ref,0))),F1364))</f>
        <v/>
      </c>
      <c r="H1364" s="66" t="str">
        <f>IF(J1364&lt;&gt;"OK","",INDEX(mat_price,MATCH(B1364,mat_ref,0)))</f>
        <v/>
      </c>
      <c r="I1364" s="66" t="str">
        <f>IF(J1364&lt;&gt;"OK","",E1364*(1+G1364)*H1364)</f>
        <v/>
      </c>
      <c r="J1364" s="69" t="str">
        <f>IF(AND(A1364="",B1364=""),"",IF(A1364="","Produit manquant",IF(COUNTIF(prod_ref,A1364)=0,"Produit inconnu",IF(B1364="","Matière manquante",IF(ISNA(MATCH(B1364,mat_ref,0)),"Matière inconnue",IF(INDEX(mat_check,MATCH(B1364,mat_ref,0))&lt;&gt;"OK","Matière à corriger",IF(OR(NOT(ISNUMBER(E1364)),N(E1364)&lt;=0),"Quantité invalide",IF(AND(F1364&lt;&gt;"",OR(NOT(ISNUMBER(F1364)),N(F1364)&lt;0,N(F1364)&gt;=1)),"Perte entre 0 et 99 %",IF(COUNTIFS(bom_prod,A1364,bom_mat,B1364)&gt;1,"Matière en double","OK")))))))))</f>
        <v/>
      </c>
      <c r="K1364" s="71" t="str">
        <f>IF(AND(fiche_sel&lt;&gt;"",A1364=fiche_sel),COUNTIF(A$6:A1364,fiche_sel),"")</f>
        <v/>
      </c>
    </row>
    <row r="1365">
      <c r="A1365" s="60" t="n"/>
      <c r="B1365" s="60" t="n"/>
      <c r="C1365" s="71" t="str">
        <f>IF(B1365="","",IFERROR(INDEX(mat_des,MATCH(B1365,mat_ref,0))&amp;"","Matière inconnue"))</f>
        <v/>
      </c>
      <c r="D1365" s="69" t="str">
        <f>IF(B1365="","",IFERROR(INDEX(mat_unit,MATCH(B1365,mat_ref,0))&amp;"",""))</f>
        <v/>
      </c>
      <c r="E1365" s="72" t="n"/>
      <c r="F1365" s="65" t="n"/>
      <c r="G1365" s="68" t="str">
        <f>IF(J1365&lt;&gt;"OK","",IF(F1365="",N(INDEX(mat_loss,MATCH(B1365,mat_ref,0))),F1365))</f>
        <v/>
      </c>
      <c r="H1365" s="66" t="str">
        <f>IF(J1365&lt;&gt;"OK","",INDEX(mat_price,MATCH(B1365,mat_ref,0)))</f>
        <v/>
      </c>
      <c r="I1365" s="66" t="str">
        <f>IF(J1365&lt;&gt;"OK","",E1365*(1+G1365)*H1365)</f>
        <v/>
      </c>
      <c r="J1365" s="69" t="str">
        <f>IF(AND(A1365="",B1365=""),"",IF(A1365="","Produit manquant",IF(COUNTIF(prod_ref,A1365)=0,"Produit inconnu",IF(B1365="","Matière manquante",IF(ISNA(MATCH(B1365,mat_ref,0)),"Matière inconnue",IF(INDEX(mat_check,MATCH(B1365,mat_ref,0))&lt;&gt;"OK","Matière à corriger",IF(OR(NOT(ISNUMBER(E1365)),N(E1365)&lt;=0),"Quantité invalide",IF(AND(F1365&lt;&gt;"",OR(NOT(ISNUMBER(F1365)),N(F1365)&lt;0,N(F1365)&gt;=1)),"Perte entre 0 et 99 %",IF(COUNTIFS(bom_prod,A1365,bom_mat,B1365)&gt;1,"Matière en double","OK")))))))))</f>
        <v/>
      </c>
      <c r="K1365" s="71" t="str">
        <f>IF(AND(fiche_sel&lt;&gt;"",A1365=fiche_sel),COUNTIF(A$6:A1365,fiche_sel),"")</f>
        <v/>
      </c>
    </row>
    <row r="1366">
      <c r="A1366" s="60" t="n"/>
      <c r="B1366" s="60" t="n"/>
      <c r="C1366" s="71" t="str">
        <f>IF(B1366="","",IFERROR(INDEX(mat_des,MATCH(B1366,mat_ref,0))&amp;"","Matière inconnue"))</f>
        <v/>
      </c>
      <c r="D1366" s="69" t="str">
        <f>IF(B1366="","",IFERROR(INDEX(mat_unit,MATCH(B1366,mat_ref,0))&amp;"",""))</f>
        <v/>
      </c>
      <c r="E1366" s="72" t="n"/>
      <c r="F1366" s="65" t="n"/>
      <c r="G1366" s="68" t="str">
        <f>IF(J1366&lt;&gt;"OK","",IF(F1366="",N(INDEX(mat_loss,MATCH(B1366,mat_ref,0))),F1366))</f>
        <v/>
      </c>
      <c r="H1366" s="66" t="str">
        <f>IF(J1366&lt;&gt;"OK","",INDEX(mat_price,MATCH(B1366,mat_ref,0)))</f>
        <v/>
      </c>
      <c r="I1366" s="66" t="str">
        <f>IF(J1366&lt;&gt;"OK","",E1366*(1+G1366)*H1366)</f>
        <v/>
      </c>
      <c r="J1366" s="69" t="str">
        <f>IF(AND(A1366="",B1366=""),"",IF(A1366="","Produit manquant",IF(COUNTIF(prod_ref,A1366)=0,"Produit inconnu",IF(B1366="","Matière manquante",IF(ISNA(MATCH(B1366,mat_ref,0)),"Matière inconnue",IF(INDEX(mat_check,MATCH(B1366,mat_ref,0))&lt;&gt;"OK","Matière à corriger",IF(OR(NOT(ISNUMBER(E1366)),N(E1366)&lt;=0),"Quantité invalide",IF(AND(F1366&lt;&gt;"",OR(NOT(ISNUMBER(F1366)),N(F1366)&lt;0,N(F1366)&gt;=1)),"Perte entre 0 et 99 %",IF(COUNTIFS(bom_prod,A1366,bom_mat,B1366)&gt;1,"Matière en double","OK")))))))))</f>
        <v/>
      </c>
      <c r="K1366" s="71" t="str">
        <f>IF(AND(fiche_sel&lt;&gt;"",A1366=fiche_sel),COUNTIF(A$6:A1366,fiche_sel),"")</f>
        <v/>
      </c>
    </row>
    <row r="1367">
      <c r="A1367" s="60" t="n"/>
      <c r="B1367" s="60" t="n"/>
      <c r="C1367" s="71" t="str">
        <f>IF(B1367="","",IFERROR(INDEX(mat_des,MATCH(B1367,mat_ref,0))&amp;"","Matière inconnue"))</f>
        <v/>
      </c>
      <c r="D1367" s="69" t="str">
        <f>IF(B1367="","",IFERROR(INDEX(mat_unit,MATCH(B1367,mat_ref,0))&amp;"",""))</f>
        <v/>
      </c>
      <c r="E1367" s="72" t="n"/>
      <c r="F1367" s="65" t="n"/>
      <c r="G1367" s="68" t="str">
        <f>IF(J1367&lt;&gt;"OK","",IF(F1367="",N(INDEX(mat_loss,MATCH(B1367,mat_ref,0))),F1367))</f>
        <v/>
      </c>
      <c r="H1367" s="66" t="str">
        <f>IF(J1367&lt;&gt;"OK","",INDEX(mat_price,MATCH(B1367,mat_ref,0)))</f>
        <v/>
      </c>
      <c r="I1367" s="66" t="str">
        <f>IF(J1367&lt;&gt;"OK","",E1367*(1+G1367)*H1367)</f>
        <v/>
      </c>
      <c r="J1367" s="69" t="str">
        <f>IF(AND(A1367="",B1367=""),"",IF(A1367="","Produit manquant",IF(COUNTIF(prod_ref,A1367)=0,"Produit inconnu",IF(B1367="","Matière manquante",IF(ISNA(MATCH(B1367,mat_ref,0)),"Matière inconnue",IF(INDEX(mat_check,MATCH(B1367,mat_ref,0))&lt;&gt;"OK","Matière à corriger",IF(OR(NOT(ISNUMBER(E1367)),N(E1367)&lt;=0),"Quantité invalide",IF(AND(F1367&lt;&gt;"",OR(NOT(ISNUMBER(F1367)),N(F1367)&lt;0,N(F1367)&gt;=1)),"Perte entre 0 et 99 %",IF(COUNTIFS(bom_prod,A1367,bom_mat,B1367)&gt;1,"Matière en double","OK")))))))))</f>
        <v/>
      </c>
      <c r="K1367" s="71" t="str">
        <f>IF(AND(fiche_sel&lt;&gt;"",A1367=fiche_sel),COUNTIF(A$6:A1367,fiche_sel),"")</f>
        <v/>
      </c>
    </row>
    <row r="1368">
      <c r="A1368" s="60" t="n"/>
      <c r="B1368" s="60" t="n"/>
      <c r="C1368" s="71" t="str">
        <f>IF(B1368="","",IFERROR(INDEX(mat_des,MATCH(B1368,mat_ref,0))&amp;"","Matière inconnue"))</f>
        <v/>
      </c>
      <c r="D1368" s="69" t="str">
        <f>IF(B1368="","",IFERROR(INDEX(mat_unit,MATCH(B1368,mat_ref,0))&amp;"",""))</f>
        <v/>
      </c>
      <c r="E1368" s="72" t="n"/>
      <c r="F1368" s="65" t="n"/>
      <c r="G1368" s="68" t="str">
        <f>IF(J1368&lt;&gt;"OK","",IF(F1368="",N(INDEX(mat_loss,MATCH(B1368,mat_ref,0))),F1368))</f>
        <v/>
      </c>
      <c r="H1368" s="66" t="str">
        <f>IF(J1368&lt;&gt;"OK","",INDEX(mat_price,MATCH(B1368,mat_ref,0)))</f>
        <v/>
      </c>
      <c r="I1368" s="66" t="str">
        <f>IF(J1368&lt;&gt;"OK","",E1368*(1+G1368)*H1368)</f>
        <v/>
      </c>
      <c r="J1368" s="69" t="str">
        <f>IF(AND(A1368="",B1368=""),"",IF(A1368="","Produit manquant",IF(COUNTIF(prod_ref,A1368)=0,"Produit inconnu",IF(B1368="","Matière manquante",IF(ISNA(MATCH(B1368,mat_ref,0)),"Matière inconnue",IF(INDEX(mat_check,MATCH(B1368,mat_ref,0))&lt;&gt;"OK","Matière à corriger",IF(OR(NOT(ISNUMBER(E1368)),N(E1368)&lt;=0),"Quantité invalide",IF(AND(F1368&lt;&gt;"",OR(NOT(ISNUMBER(F1368)),N(F1368)&lt;0,N(F1368)&gt;=1)),"Perte entre 0 et 99 %",IF(COUNTIFS(bom_prod,A1368,bom_mat,B1368)&gt;1,"Matière en double","OK")))))))))</f>
        <v/>
      </c>
      <c r="K1368" s="71" t="str">
        <f>IF(AND(fiche_sel&lt;&gt;"",A1368=fiche_sel),COUNTIF(A$6:A1368,fiche_sel),"")</f>
        <v/>
      </c>
    </row>
    <row r="1369">
      <c r="A1369" s="60" t="n"/>
      <c r="B1369" s="60" t="n"/>
      <c r="C1369" s="71" t="str">
        <f>IF(B1369="","",IFERROR(INDEX(mat_des,MATCH(B1369,mat_ref,0))&amp;"","Matière inconnue"))</f>
        <v/>
      </c>
      <c r="D1369" s="69" t="str">
        <f>IF(B1369="","",IFERROR(INDEX(mat_unit,MATCH(B1369,mat_ref,0))&amp;"",""))</f>
        <v/>
      </c>
      <c r="E1369" s="72" t="n"/>
      <c r="F1369" s="65" t="n"/>
      <c r="G1369" s="68" t="str">
        <f>IF(J1369&lt;&gt;"OK","",IF(F1369="",N(INDEX(mat_loss,MATCH(B1369,mat_ref,0))),F1369))</f>
        <v/>
      </c>
      <c r="H1369" s="66" t="str">
        <f>IF(J1369&lt;&gt;"OK","",INDEX(mat_price,MATCH(B1369,mat_ref,0)))</f>
        <v/>
      </c>
      <c r="I1369" s="66" t="str">
        <f>IF(J1369&lt;&gt;"OK","",E1369*(1+G1369)*H1369)</f>
        <v/>
      </c>
      <c r="J1369" s="69" t="str">
        <f>IF(AND(A1369="",B1369=""),"",IF(A1369="","Produit manquant",IF(COUNTIF(prod_ref,A1369)=0,"Produit inconnu",IF(B1369="","Matière manquante",IF(ISNA(MATCH(B1369,mat_ref,0)),"Matière inconnue",IF(INDEX(mat_check,MATCH(B1369,mat_ref,0))&lt;&gt;"OK","Matière à corriger",IF(OR(NOT(ISNUMBER(E1369)),N(E1369)&lt;=0),"Quantité invalide",IF(AND(F1369&lt;&gt;"",OR(NOT(ISNUMBER(F1369)),N(F1369)&lt;0,N(F1369)&gt;=1)),"Perte entre 0 et 99 %",IF(COUNTIFS(bom_prod,A1369,bom_mat,B1369)&gt;1,"Matière en double","OK")))))))))</f>
        <v/>
      </c>
      <c r="K1369" s="71" t="str">
        <f>IF(AND(fiche_sel&lt;&gt;"",A1369=fiche_sel),COUNTIF(A$6:A1369,fiche_sel),"")</f>
        <v/>
      </c>
    </row>
    <row r="1370">
      <c r="A1370" s="60" t="n"/>
      <c r="B1370" s="60" t="n"/>
      <c r="C1370" s="71" t="str">
        <f>IF(B1370="","",IFERROR(INDEX(mat_des,MATCH(B1370,mat_ref,0))&amp;"","Matière inconnue"))</f>
        <v/>
      </c>
      <c r="D1370" s="69" t="str">
        <f>IF(B1370="","",IFERROR(INDEX(mat_unit,MATCH(B1370,mat_ref,0))&amp;"",""))</f>
        <v/>
      </c>
      <c r="E1370" s="72" t="n"/>
      <c r="F1370" s="65" t="n"/>
      <c r="G1370" s="68" t="str">
        <f>IF(J1370&lt;&gt;"OK","",IF(F1370="",N(INDEX(mat_loss,MATCH(B1370,mat_ref,0))),F1370))</f>
        <v/>
      </c>
      <c r="H1370" s="66" t="str">
        <f>IF(J1370&lt;&gt;"OK","",INDEX(mat_price,MATCH(B1370,mat_ref,0)))</f>
        <v/>
      </c>
      <c r="I1370" s="66" t="str">
        <f>IF(J1370&lt;&gt;"OK","",E1370*(1+G1370)*H1370)</f>
        <v/>
      </c>
      <c r="J1370" s="69" t="str">
        <f>IF(AND(A1370="",B1370=""),"",IF(A1370="","Produit manquant",IF(COUNTIF(prod_ref,A1370)=0,"Produit inconnu",IF(B1370="","Matière manquante",IF(ISNA(MATCH(B1370,mat_ref,0)),"Matière inconnue",IF(INDEX(mat_check,MATCH(B1370,mat_ref,0))&lt;&gt;"OK","Matière à corriger",IF(OR(NOT(ISNUMBER(E1370)),N(E1370)&lt;=0),"Quantité invalide",IF(AND(F1370&lt;&gt;"",OR(NOT(ISNUMBER(F1370)),N(F1370)&lt;0,N(F1370)&gt;=1)),"Perte entre 0 et 99 %",IF(COUNTIFS(bom_prod,A1370,bom_mat,B1370)&gt;1,"Matière en double","OK")))))))))</f>
        <v/>
      </c>
      <c r="K1370" s="71" t="str">
        <f>IF(AND(fiche_sel&lt;&gt;"",A1370=fiche_sel),COUNTIF(A$6:A1370,fiche_sel),"")</f>
        <v/>
      </c>
    </row>
    <row r="1371">
      <c r="A1371" s="60" t="n"/>
      <c r="B1371" s="60" t="n"/>
      <c r="C1371" s="71" t="str">
        <f>IF(B1371="","",IFERROR(INDEX(mat_des,MATCH(B1371,mat_ref,0))&amp;"","Matière inconnue"))</f>
        <v/>
      </c>
      <c r="D1371" s="69" t="str">
        <f>IF(B1371="","",IFERROR(INDEX(mat_unit,MATCH(B1371,mat_ref,0))&amp;"",""))</f>
        <v/>
      </c>
      <c r="E1371" s="72" t="n"/>
      <c r="F1371" s="65" t="n"/>
      <c r="G1371" s="68" t="str">
        <f>IF(J1371&lt;&gt;"OK","",IF(F1371="",N(INDEX(mat_loss,MATCH(B1371,mat_ref,0))),F1371))</f>
        <v/>
      </c>
      <c r="H1371" s="66" t="str">
        <f>IF(J1371&lt;&gt;"OK","",INDEX(mat_price,MATCH(B1371,mat_ref,0)))</f>
        <v/>
      </c>
      <c r="I1371" s="66" t="str">
        <f>IF(J1371&lt;&gt;"OK","",E1371*(1+G1371)*H1371)</f>
        <v/>
      </c>
      <c r="J1371" s="69" t="str">
        <f>IF(AND(A1371="",B1371=""),"",IF(A1371="","Produit manquant",IF(COUNTIF(prod_ref,A1371)=0,"Produit inconnu",IF(B1371="","Matière manquante",IF(ISNA(MATCH(B1371,mat_ref,0)),"Matière inconnue",IF(INDEX(mat_check,MATCH(B1371,mat_ref,0))&lt;&gt;"OK","Matière à corriger",IF(OR(NOT(ISNUMBER(E1371)),N(E1371)&lt;=0),"Quantité invalide",IF(AND(F1371&lt;&gt;"",OR(NOT(ISNUMBER(F1371)),N(F1371)&lt;0,N(F1371)&gt;=1)),"Perte entre 0 et 99 %",IF(COUNTIFS(bom_prod,A1371,bom_mat,B1371)&gt;1,"Matière en double","OK")))))))))</f>
        <v/>
      </c>
      <c r="K1371" s="71" t="str">
        <f>IF(AND(fiche_sel&lt;&gt;"",A1371=fiche_sel),COUNTIF(A$6:A1371,fiche_sel),"")</f>
        <v/>
      </c>
    </row>
    <row r="1372">
      <c r="A1372" s="60" t="n"/>
      <c r="B1372" s="60" t="n"/>
      <c r="C1372" s="71" t="str">
        <f>IF(B1372="","",IFERROR(INDEX(mat_des,MATCH(B1372,mat_ref,0))&amp;"","Matière inconnue"))</f>
        <v/>
      </c>
      <c r="D1372" s="69" t="str">
        <f>IF(B1372="","",IFERROR(INDEX(mat_unit,MATCH(B1372,mat_ref,0))&amp;"",""))</f>
        <v/>
      </c>
      <c r="E1372" s="72" t="n"/>
      <c r="F1372" s="65" t="n"/>
      <c r="G1372" s="68" t="str">
        <f>IF(J1372&lt;&gt;"OK","",IF(F1372="",N(INDEX(mat_loss,MATCH(B1372,mat_ref,0))),F1372))</f>
        <v/>
      </c>
      <c r="H1372" s="66" t="str">
        <f>IF(J1372&lt;&gt;"OK","",INDEX(mat_price,MATCH(B1372,mat_ref,0)))</f>
        <v/>
      </c>
      <c r="I1372" s="66" t="str">
        <f>IF(J1372&lt;&gt;"OK","",E1372*(1+G1372)*H1372)</f>
        <v/>
      </c>
      <c r="J1372" s="69" t="str">
        <f>IF(AND(A1372="",B1372=""),"",IF(A1372="","Produit manquant",IF(COUNTIF(prod_ref,A1372)=0,"Produit inconnu",IF(B1372="","Matière manquante",IF(ISNA(MATCH(B1372,mat_ref,0)),"Matière inconnue",IF(INDEX(mat_check,MATCH(B1372,mat_ref,0))&lt;&gt;"OK","Matière à corriger",IF(OR(NOT(ISNUMBER(E1372)),N(E1372)&lt;=0),"Quantité invalide",IF(AND(F1372&lt;&gt;"",OR(NOT(ISNUMBER(F1372)),N(F1372)&lt;0,N(F1372)&gt;=1)),"Perte entre 0 et 99 %",IF(COUNTIFS(bom_prod,A1372,bom_mat,B1372)&gt;1,"Matière en double","OK")))))))))</f>
        <v/>
      </c>
      <c r="K1372" s="71" t="str">
        <f>IF(AND(fiche_sel&lt;&gt;"",A1372=fiche_sel),COUNTIF(A$6:A1372,fiche_sel),"")</f>
        <v/>
      </c>
    </row>
    <row r="1373">
      <c r="A1373" s="60" t="n"/>
      <c r="B1373" s="60" t="n"/>
      <c r="C1373" s="71" t="str">
        <f>IF(B1373="","",IFERROR(INDEX(mat_des,MATCH(B1373,mat_ref,0))&amp;"","Matière inconnue"))</f>
        <v/>
      </c>
      <c r="D1373" s="69" t="str">
        <f>IF(B1373="","",IFERROR(INDEX(mat_unit,MATCH(B1373,mat_ref,0))&amp;"",""))</f>
        <v/>
      </c>
      <c r="E1373" s="72" t="n"/>
      <c r="F1373" s="65" t="n"/>
      <c r="G1373" s="68" t="str">
        <f>IF(J1373&lt;&gt;"OK","",IF(F1373="",N(INDEX(mat_loss,MATCH(B1373,mat_ref,0))),F1373))</f>
        <v/>
      </c>
      <c r="H1373" s="66" t="str">
        <f>IF(J1373&lt;&gt;"OK","",INDEX(mat_price,MATCH(B1373,mat_ref,0)))</f>
        <v/>
      </c>
      <c r="I1373" s="66" t="str">
        <f>IF(J1373&lt;&gt;"OK","",E1373*(1+G1373)*H1373)</f>
        <v/>
      </c>
      <c r="J1373" s="69" t="str">
        <f>IF(AND(A1373="",B1373=""),"",IF(A1373="","Produit manquant",IF(COUNTIF(prod_ref,A1373)=0,"Produit inconnu",IF(B1373="","Matière manquante",IF(ISNA(MATCH(B1373,mat_ref,0)),"Matière inconnue",IF(INDEX(mat_check,MATCH(B1373,mat_ref,0))&lt;&gt;"OK","Matière à corriger",IF(OR(NOT(ISNUMBER(E1373)),N(E1373)&lt;=0),"Quantité invalide",IF(AND(F1373&lt;&gt;"",OR(NOT(ISNUMBER(F1373)),N(F1373)&lt;0,N(F1373)&gt;=1)),"Perte entre 0 et 99 %",IF(COUNTIFS(bom_prod,A1373,bom_mat,B1373)&gt;1,"Matière en double","OK")))))))))</f>
        <v/>
      </c>
      <c r="K1373" s="71" t="str">
        <f>IF(AND(fiche_sel&lt;&gt;"",A1373=fiche_sel),COUNTIF(A$6:A1373,fiche_sel),"")</f>
        <v/>
      </c>
    </row>
    <row r="1374">
      <c r="A1374" s="60" t="n"/>
      <c r="B1374" s="60" t="n"/>
      <c r="C1374" s="71" t="str">
        <f>IF(B1374="","",IFERROR(INDEX(mat_des,MATCH(B1374,mat_ref,0))&amp;"","Matière inconnue"))</f>
        <v/>
      </c>
      <c r="D1374" s="69" t="str">
        <f>IF(B1374="","",IFERROR(INDEX(mat_unit,MATCH(B1374,mat_ref,0))&amp;"",""))</f>
        <v/>
      </c>
      <c r="E1374" s="72" t="n"/>
      <c r="F1374" s="65" t="n"/>
      <c r="G1374" s="68" t="str">
        <f>IF(J1374&lt;&gt;"OK","",IF(F1374="",N(INDEX(mat_loss,MATCH(B1374,mat_ref,0))),F1374))</f>
        <v/>
      </c>
      <c r="H1374" s="66" t="str">
        <f>IF(J1374&lt;&gt;"OK","",INDEX(mat_price,MATCH(B1374,mat_ref,0)))</f>
        <v/>
      </c>
      <c r="I1374" s="66" t="str">
        <f>IF(J1374&lt;&gt;"OK","",E1374*(1+G1374)*H1374)</f>
        <v/>
      </c>
      <c r="J1374" s="69" t="str">
        <f>IF(AND(A1374="",B1374=""),"",IF(A1374="","Produit manquant",IF(COUNTIF(prod_ref,A1374)=0,"Produit inconnu",IF(B1374="","Matière manquante",IF(ISNA(MATCH(B1374,mat_ref,0)),"Matière inconnue",IF(INDEX(mat_check,MATCH(B1374,mat_ref,0))&lt;&gt;"OK","Matière à corriger",IF(OR(NOT(ISNUMBER(E1374)),N(E1374)&lt;=0),"Quantité invalide",IF(AND(F1374&lt;&gt;"",OR(NOT(ISNUMBER(F1374)),N(F1374)&lt;0,N(F1374)&gt;=1)),"Perte entre 0 et 99 %",IF(COUNTIFS(bom_prod,A1374,bom_mat,B1374)&gt;1,"Matière en double","OK")))))))))</f>
        <v/>
      </c>
      <c r="K1374" s="71" t="str">
        <f>IF(AND(fiche_sel&lt;&gt;"",A1374=fiche_sel),COUNTIF(A$6:A1374,fiche_sel),"")</f>
        <v/>
      </c>
    </row>
    <row r="1375">
      <c r="A1375" s="60" t="n"/>
      <c r="B1375" s="60" t="n"/>
      <c r="C1375" s="71" t="str">
        <f>IF(B1375="","",IFERROR(INDEX(mat_des,MATCH(B1375,mat_ref,0))&amp;"","Matière inconnue"))</f>
        <v/>
      </c>
      <c r="D1375" s="69" t="str">
        <f>IF(B1375="","",IFERROR(INDEX(mat_unit,MATCH(B1375,mat_ref,0))&amp;"",""))</f>
        <v/>
      </c>
      <c r="E1375" s="72" t="n"/>
      <c r="F1375" s="65" t="n"/>
      <c r="G1375" s="68" t="str">
        <f>IF(J1375&lt;&gt;"OK","",IF(F1375="",N(INDEX(mat_loss,MATCH(B1375,mat_ref,0))),F1375))</f>
        <v/>
      </c>
      <c r="H1375" s="66" t="str">
        <f>IF(J1375&lt;&gt;"OK","",INDEX(mat_price,MATCH(B1375,mat_ref,0)))</f>
        <v/>
      </c>
      <c r="I1375" s="66" t="str">
        <f>IF(J1375&lt;&gt;"OK","",E1375*(1+G1375)*H1375)</f>
        <v/>
      </c>
      <c r="J1375" s="69" t="str">
        <f>IF(AND(A1375="",B1375=""),"",IF(A1375="","Produit manquant",IF(COUNTIF(prod_ref,A1375)=0,"Produit inconnu",IF(B1375="","Matière manquante",IF(ISNA(MATCH(B1375,mat_ref,0)),"Matière inconnue",IF(INDEX(mat_check,MATCH(B1375,mat_ref,0))&lt;&gt;"OK","Matière à corriger",IF(OR(NOT(ISNUMBER(E1375)),N(E1375)&lt;=0),"Quantité invalide",IF(AND(F1375&lt;&gt;"",OR(NOT(ISNUMBER(F1375)),N(F1375)&lt;0,N(F1375)&gt;=1)),"Perte entre 0 et 99 %",IF(COUNTIFS(bom_prod,A1375,bom_mat,B1375)&gt;1,"Matière en double","OK")))))))))</f>
        <v/>
      </c>
      <c r="K1375" s="71" t="str">
        <f>IF(AND(fiche_sel&lt;&gt;"",A1375=fiche_sel),COUNTIF(A$6:A1375,fiche_sel),"")</f>
        <v/>
      </c>
    </row>
    <row r="1376">
      <c r="A1376" s="60" t="n"/>
      <c r="B1376" s="60" t="n"/>
      <c r="C1376" s="71" t="str">
        <f>IF(B1376="","",IFERROR(INDEX(mat_des,MATCH(B1376,mat_ref,0))&amp;"","Matière inconnue"))</f>
        <v/>
      </c>
      <c r="D1376" s="69" t="str">
        <f>IF(B1376="","",IFERROR(INDEX(mat_unit,MATCH(B1376,mat_ref,0))&amp;"",""))</f>
        <v/>
      </c>
      <c r="E1376" s="72" t="n"/>
      <c r="F1376" s="65" t="n"/>
      <c r="G1376" s="68" t="str">
        <f>IF(J1376&lt;&gt;"OK","",IF(F1376="",N(INDEX(mat_loss,MATCH(B1376,mat_ref,0))),F1376))</f>
        <v/>
      </c>
      <c r="H1376" s="66" t="str">
        <f>IF(J1376&lt;&gt;"OK","",INDEX(mat_price,MATCH(B1376,mat_ref,0)))</f>
        <v/>
      </c>
      <c r="I1376" s="66" t="str">
        <f>IF(J1376&lt;&gt;"OK","",E1376*(1+G1376)*H1376)</f>
        <v/>
      </c>
      <c r="J1376" s="69" t="str">
        <f>IF(AND(A1376="",B1376=""),"",IF(A1376="","Produit manquant",IF(COUNTIF(prod_ref,A1376)=0,"Produit inconnu",IF(B1376="","Matière manquante",IF(ISNA(MATCH(B1376,mat_ref,0)),"Matière inconnue",IF(INDEX(mat_check,MATCH(B1376,mat_ref,0))&lt;&gt;"OK","Matière à corriger",IF(OR(NOT(ISNUMBER(E1376)),N(E1376)&lt;=0),"Quantité invalide",IF(AND(F1376&lt;&gt;"",OR(NOT(ISNUMBER(F1376)),N(F1376)&lt;0,N(F1376)&gt;=1)),"Perte entre 0 et 99 %",IF(COUNTIFS(bom_prod,A1376,bom_mat,B1376)&gt;1,"Matière en double","OK")))))))))</f>
        <v/>
      </c>
      <c r="K1376" s="71" t="str">
        <f>IF(AND(fiche_sel&lt;&gt;"",A1376=fiche_sel),COUNTIF(A$6:A1376,fiche_sel),"")</f>
        <v/>
      </c>
    </row>
    <row r="1377">
      <c r="A1377" s="60" t="n"/>
      <c r="B1377" s="60" t="n"/>
      <c r="C1377" s="71" t="str">
        <f>IF(B1377="","",IFERROR(INDEX(mat_des,MATCH(B1377,mat_ref,0))&amp;"","Matière inconnue"))</f>
        <v/>
      </c>
      <c r="D1377" s="69" t="str">
        <f>IF(B1377="","",IFERROR(INDEX(mat_unit,MATCH(B1377,mat_ref,0))&amp;"",""))</f>
        <v/>
      </c>
      <c r="E1377" s="72" t="n"/>
      <c r="F1377" s="65" t="n"/>
      <c r="G1377" s="68" t="str">
        <f>IF(J1377&lt;&gt;"OK","",IF(F1377="",N(INDEX(mat_loss,MATCH(B1377,mat_ref,0))),F1377))</f>
        <v/>
      </c>
      <c r="H1377" s="66" t="str">
        <f>IF(J1377&lt;&gt;"OK","",INDEX(mat_price,MATCH(B1377,mat_ref,0)))</f>
        <v/>
      </c>
      <c r="I1377" s="66" t="str">
        <f>IF(J1377&lt;&gt;"OK","",E1377*(1+G1377)*H1377)</f>
        <v/>
      </c>
      <c r="J1377" s="69" t="str">
        <f>IF(AND(A1377="",B1377=""),"",IF(A1377="","Produit manquant",IF(COUNTIF(prod_ref,A1377)=0,"Produit inconnu",IF(B1377="","Matière manquante",IF(ISNA(MATCH(B1377,mat_ref,0)),"Matière inconnue",IF(INDEX(mat_check,MATCH(B1377,mat_ref,0))&lt;&gt;"OK","Matière à corriger",IF(OR(NOT(ISNUMBER(E1377)),N(E1377)&lt;=0),"Quantité invalide",IF(AND(F1377&lt;&gt;"",OR(NOT(ISNUMBER(F1377)),N(F1377)&lt;0,N(F1377)&gt;=1)),"Perte entre 0 et 99 %",IF(COUNTIFS(bom_prod,A1377,bom_mat,B1377)&gt;1,"Matière en double","OK")))))))))</f>
        <v/>
      </c>
      <c r="K1377" s="71" t="str">
        <f>IF(AND(fiche_sel&lt;&gt;"",A1377=fiche_sel),COUNTIF(A$6:A1377,fiche_sel),"")</f>
        <v/>
      </c>
    </row>
    <row r="1378">
      <c r="A1378" s="60" t="n"/>
      <c r="B1378" s="60" t="n"/>
      <c r="C1378" s="71" t="str">
        <f>IF(B1378="","",IFERROR(INDEX(mat_des,MATCH(B1378,mat_ref,0))&amp;"","Matière inconnue"))</f>
        <v/>
      </c>
      <c r="D1378" s="69" t="str">
        <f>IF(B1378="","",IFERROR(INDEX(mat_unit,MATCH(B1378,mat_ref,0))&amp;"",""))</f>
        <v/>
      </c>
      <c r="E1378" s="72" t="n"/>
      <c r="F1378" s="65" t="n"/>
      <c r="G1378" s="68" t="str">
        <f>IF(J1378&lt;&gt;"OK","",IF(F1378="",N(INDEX(mat_loss,MATCH(B1378,mat_ref,0))),F1378))</f>
        <v/>
      </c>
      <c r="H1378" s="66" t="str">
        <f>IF(J1378&lt;&gt;"OK","",INDEX(mat_price,MATCH(B1378,mat_ref,0)))</f>
        <v/>
      </c>
      <c r="I1378" s="66" t="str">
        <f>IF(J1378&lt;&gt;"OK","",E1378*(1+G1378)*H1378)</f>
        <v/>
      </c>
      <c r="J1378" s="69" t="str">
        <f>IF(AND(A1378="",B1378=""),"",IF(A1378="","Produit manquant",IF(COUNTIF(prod_ref,A1378)=0,"Produit inconnu",IF(B1378="","Matière manquante",IF(ISNA(MATCH(B1378,mat_ref,0)),"Matière inconnue",IF(INDEX(mat_check,MATCH(B1378,mat_ref,0))&lt;&gt;"OK","Matière à corriger",IF(OR(NOT(ISNUMBER(E1378)),N(E1378)&lt;=0),"Quantité invalide",IF(AND(F1378&lt;&gt;"",OR(NOT(ISNUMBER(F1378)),N(F1378)&lt;0,N(F1378)&gt;=1)),"Perte entre 0 et 99 %",IF(COUNTIFS(bom_prod,A1378,bom_mat,B1378)&gt;1,"Matière en double","OK")))))))))</f>
        <v/>
      </c>
      <c r="K1378" s="71" t="str">
        <f>IF(AND(fiche_sel&lt;&gt;"",A1378=fiche_sel),COUNTIF(A$6:A1378,fiche_sel),"")</f>
        <v/>
      </c>
    </row>
    <row r="1379">
      <c r="A1379" s="60" t="n"/>
      <c r="B1379" s="60" t="n"/>
      <c r="C1379" s="71" t="str">
        <f>IF(B1379="","",IFERROR(INDEX(mat_des,MATCH(B1379,mat_ref,0))&amp;"","Matière inconnue"))</f>
        <v/>
      </c>
      <c r="D1379" s="69" t="str">
        <f>IF(B1379="","",IFERROR(INDEX(mat_unit,MATCH(B1379,mat_ref,0))&amp;"",""))</f>
        <v/>
      </c>
      <c r="E1379" s="72" t="n"/>
      <c r="F1379" s="65" t="n"/>
      <c r="G1379" s="68" t="str">
        <f>IF(J1379&lt;&gt;"OK","",IF(F1379="",N(INDEX(mat_loss,MATCH(B1379,mat_ref,0))),F1379))</f>
        <v/>
      </c>
      <c r="H1379" s="66" t="str">
        <f>IF(J1379&lt;&gt;"OK","",INDEX(mat_price,MATCH(B1379,mat_ref,0)))</f>
        <v/>
      </c>
      <c r="I1379" s="66" t="str">
        <f>IF(J1379&lt;&gt;"OK","",E1379*(1+G1379)*H1379)</f>
        <v/>
      </c>
      <c r="J1379" s="69" t="str">
        <f>IF(AND(A1379="",B1379=""),"",IF(A1379="","Produit manquant",IF(COUNTIF(prod_ref,A1379)=0,"Produit inconnu",IF(B1379="","Matière manquante",IF(ISNA(MATCH(B1379,mat_ref,0)),"Matière inconnue",IF(INDEX(mat_check,MATCH(B1379,mat_ref,0))&lt;&gt;"OK","Matière à corriger",IF(OR(NOT(ISNUMBER(E1379)),N(E1379)&lt;=0),"Quantité invalide",IF(AND(F1379&lt;&gt;"",OR(NOT(ISNUMBER(F1379)),N(F1379)&lt;0,N(F1379)&gt;=1)),"Perte entre 0 et 99 %",IF(COUNTIFS(bom_prod,A1379,bom_mat,B1379)&gt;1,"Matière en double","OK")))))))))</f>
        <v/>
      </c>
      <c r="K1379" s="71" t="str">
        <f>IF(AND(fiche_sel&lt;&gt;"",A1379=fiche_sel),COUNTIF(A$6:A1379,fiche_sel),"")</f>
        <v/>
      </c>
    </row>
    <row r="1380">
      <c r="A1380" s="60" t="n"/>
      <c r="B1380" s="60" t="n"/>
      <c r="C1380" s="71" t="str">
        <f>IF(B1380="","",IFERROR(INDEX(mat_des,MATCH(B1380,mat_ref,0))&amp;"","Matière inconnue"))</f>
        <v/>
      </c>
      <c r="D1380" s="69" t="str">
        <f>IF(B1380="","",IFERROR(INDEX(mat_unit,MATCH(B1380,mat_ref,0))&amp;"",""))</f>
        <v/>
      </c>
      <c r="E1380" s="72" t="n"/>
      <c r="F1380" s="65" t="n"/>
      <c r="G1380" s="68" t="str">
        <f>IF(J1380&lt;&gt;"OK","",IF(F1380="",N(INDEX(mat_loss,MATCH(B1380,mat_ref,0))),F1380))</f>
        <v/>
      </c>
      <c r="H1380" s="66" t="str">
        <f>IF(J1380&lt;&gt;"OK","",INDEX(mat_price,MATCH(B1380,mat_ref,0)))</f>
        <v/>
      </c>
      <c r="I1380" s="66" t="str">
        <f>IF(J1380&lt;&gt;"OK","",E1380*(1+G1380)*H1380)</f>
        <v/>
      </c>
      <c r="J1380" s="69" t="str">
        <f>IF(AND(A1380="",B1380=""),"",IF(A1380="","Produit manquant",IF(COUNTIF(prod_ref,A1380)=0,"Produit inconnu",IF(B1380="","Matière manquante",IF(ISNA(MATCH(B1380,mat_ref,0)),"Matière inconnue",IF(INDEX(mat_check,MATCH(B1380,mat_ref,0))&lt;&gt;"OK","Matière à corriger",IF(OR(NOT(ISNUMBER(E1380)),N(E1380)&lt;=0),"Quantité invalide",IF(AND(F1380&lt;&gt;"",OR(NOT(ISNUMBER(F1380)),N(F1380)&lt;0,N(F1380)&gt;=1)),"Perte entre 0 et 99 %",IF(COUNTIFS(bom_prod,A1380,bom_mat,B1380)&gt;1,"Matière en double","OK")))))))))</f>
        <v/>
      </c>
      <c r="K1380" s="71" t="str">
        <f>IF(AND(fiche_sel&lt;&gt;"",A1380=fiche_sel),COUNTIF(A$6:A1380,fiche_sel),"")</f>
        <v/>
      </c>
    </row>
    <row r="1381">
      <c r="A1381" s="60" t="n"/>
      <c r="B1381" s="60" t="n"/>
      <c r="C1381" s="71" t="str">
        <f>IF(B1381="","",IFERROR(INDEX(mat_des,MATCH(B1381,mat_ref,0))&amp;"","Matière inconnue"))</f>
        <v/>
      </c>
      <c r="D1381" s="69" t="str">
        <f>IF(B1381="","",IFERROR(INDEX(mat_unit,MATCH(B1381,mat_ref,0))&amp;"",""))</f>
        <v/>
      </c>
      <c r="E1381" s="72" t="n"/>
      <c r="F1381" s="65" t="n"/>
      <c r="G1381" s="68" t="str">
        <f>IF(J1381&lt;&gt;"OK","",IF(F1381="",N(INDEX(mat_loss,MATCH(B1381,mat_ref,0))),F1381))</f>
        <v/>
      </c>
      <c r="H1381" s="66" t="str">
        <f>IF(J1381&lt;&gt;"OK","",INDEX(mat_price,MATCH(B1381,mat_ref,0)))</f>
        <v/>
      </c>
      <c r="I1381" s="66" t="str">
        <f>IF(J1381&lt;&gt;"OK","",E1381*(1+G1381)*H1381)</f>
        <v/>
      </c>
      <c r="J1381" s="69" t="str">
        <f>IF(AND(A1381="",B1381=""),"",IF(A1381="","Produit manquant",IF(COUNTIF(prod_ref,A1381)=0,"Produit inconnu",IF(B1381="","Matière manquante",IF(ISNA(MATCH(B1381,mat_ref,0)),"Matière inconnue",IF(INDEX(mat_check,MATCH(B1381,mat_ref,0))&lt;&gt;"OK","Matière à corriger",IF(OR(NOT(ISNUMBER(E1381)),N(E1381)&lt;=0),"Quantité invalide",IF(AND(F1381&lt;&gt;"",OR(NOT(ISNUMBER(F1381)),N(F1381)&lt;0,N(F1381)&gt;=1)),"Perte entre 0 et 99 %",IF(COUNTIFS(bom_prod,A1381,bom_mat,B1381)&gt;1,"Matière en double","OK")))))))))</f>
        <v/>
      </c>
      <c r="K1381" s="71" t="str">
        <f>IF(AND(fiche_sel&lt;&gt;"",A1381=fiche_sel),COUNTIF(A$6:A1381,fiche_sel),"")</f>
        <v/>
      </c>
    </row>
    <row r="1382">
      <c r="A1382" s="60" t="n"/>
      <c r="B1382" s="60" t="n"/>
      <c r="C1382" s="71" t="str">
        <f>IF(B1382="","",IFERROR(INDEX(mat_des,MATCH(B1382,mat_ref,0))&amp;"","Matière inconnue"))</f>
        <v/>
      </c>
      <c r="D1382" s="69" t="str">
        <f>IF(B1382="","",IFERROR(INDEX(mat_unit,MATCH(B1382,mat_ref,0))&amp;"",""))</f>
        <v/>
      </c>
      <c r="E1382" s="72" t="n"/>
      <c r="F1382" s="65" t="n"/>
      <c r="G1382" s="68" t="str">
        <f>IF(J1382&lt;&gt;"OK","",IF(F1382="",N(INDEX(mat_loss,MATCH(B1382,mat_ref,0))),F1382))</f>
        <v/>
      </c>
      <c r="H1382" s="66" t="str">
        <f>IF(J1382&lt;&gt;"OK","",INDEX(mat_price,MATCH(B1382,mat_ref,0)))</f>
        <v/>
      </c>
      <c r="I1382" s="66" t="str">
        <f>IF(J1382&lt;&gt;"OK","",E1382*(1+G1382)*H1382)</f>
        <v/>
      </c>
      <c r="J1382" s="69" t="str">
        <f>IF(AND(A1382="",B1382=""),"",IF(A1382="","Produit manquant",IF(COUNTIF(prod_ref,A1382)=0,"Produit inconnu",IF(B1382="","Matière manquante",IF(ISNA(MATCH(B1382,mat_ref,0)),"Matière inconnue",IF(INDEX(mat_check,MATCH(B1382,mat_ref,0))&lt;&gt;"OK","Matière à corriger",IF(OR(NOT(ISNUMBER(E1382)),N(E1382)&lt;=0),"Quantité invalide",IF(AND(F1382&lt;&gt;"",OR(NOT(ISNUMBER(F1382)),N(F1382)&lt;0,N(F1382)&gt;=1)),"Perte entre 0 et 99 %",IF(COUNTIFS(bom_prod,A1382,bom_mat,B1382)&gt;1,"Matière en double","OK")))))))))</f>
        <v/>
      </c>
      <c r="K1382" s="71" t="str">
        <f>IF(AND(fiche_sel&lt;&gt;"",A1382=fiche_sel),COUNTIF(A$6:A1382,fiche_sel),"")</f>
        <v/>
      </c>
    </row>
    <row r="1383">
      <c r="A1383" s="60" t="n"/>
      <c r="B1383" s="60" t="n"/>
      <c r="C1383" s="71" t="str">
        <f>IF(B1383="","",IFERROR(INDEX(mat_des,MATCH(B1383,mat_ref,0))&amp;"","Matière inconnue"))</f>
        <v/>
      </c>
      <c r="D1383" s="69" t="str">
        <f>IF(B1383="","",IFERROR(INDEX(mat_unit,MATCH(B1383,mat_ref,0))&amp;"",""))</f>
        <v/>
      </c>
      <c r="E1383" s="72" t="n"/>
      <c r="F1383" s="65" t="n"/>
      <c r="G1383" s="68" t="str">
        <f>IF(J1383&lt;&gt;"OK","",IF(F1383="",N(INDEX(mat_loss,MATCH(B1383,mat_ref,0))),F1383))</f>
        <v/>
      </c>
      <c r="H1383" s="66" t="str">
        <f>IF(J1383&lt;&gt;"OK","",INDEX(mat_price,MATCH(B1383,mat_ref,0)))</f>
        <v/>
      </c>
      <c r="I1383" s="66" t="str">
        <f>IF(J1383&lt;&gt;"OK","",E1383*(1+G1383)*H1383)</f>
        <v/>
      </c>
      <c r="J1383" s="69" t="str">
        <f>IF(AND(A1383="",B1383=""),"",IF(A1383="","Produit manquant",IF(COUNTIF(prod_ref,A1383)=0,"Produit inconnu",IF(B1383="","Matière manquante",IF(ISNA(MATCH(B1383,mat_ref,0)),"Matière inconnue",IF(INDEX(mat_check,MATCH(B1383,mat_ref,0))&lt;&gt;"OK","Matière à corriger",IF(OR(NOT(ISNUMBER(E1383)),N(E1383)&lt;=0),"Quantité invalide",IF(AND(F1383&lt;&gt;"",OR(NOT(ISNUMBER(F1383)),N(F1383)&lt;0,N(F1383)&gt;=1)),"Perte entre 0 et 99 %",IF(COUNTIFS(bom_prod,A1383,bom_mat,B1383)&gt;1,"Matière en double","OK")))))))))</f>
        <v/>
      </c>
      <c r="K1383" s="71" t="str">
        <f>IF(AND(fiche_sel&lt;&gt;"",A1383=fiche_sel),COUNTIF(A$6:A1383,fiche_sel),"")</f>
        <v/>
      </c>
    </row>
    <row r="1384">
      <c r="A1384" s="60" t="n"/>
      <c r="B1384" s="60" t="n"/>
      <c r="C1384" s="71" t="str">
        <f>IF(B1384="","",IFERROR(INDEX(mat_des,MATCH(B1384,mat_ref,0))&amp;"","Matière inconnue"))</f>
        <v/>
      </c>
      <c r="D1384" s="69" t="str">
        <f>IF(B1384="","",IFERROR(INDEX(mat_unit,MATCH(B1384,mat_ref,0))&amp;"",""))</f>
        <v/>
      </c>
      <c r="E1384" s="72" t="n"/>
      <c r="F1384" s="65" t="n"/>
      <c r="G1384" s="68" t="str">
        <f>IF(J1384&lt;&gt;"OK","",IF(F1384="",N(INDEX(mat_loss,MATCH(B1384,mat_ref,0))),F1384))</f>
        <v/>
      </c>
      <c r="H1384" s="66" t="str">
        <f>IF(J1384&lt;&gt;"OK","",INDEX(mat_price,MATCH(B1384,mat_ref,0)))</f>
        <v/>
      </c>
      <c r="I1384" s="66" t="str">
        <f>IF(J1384&lt;&gt;"OK","",E1384*(1+G1384)*H1384)</f>
        <v/>
      </c>
      <c r="J1384" s="69" t="str">
        <f>IF(AND(A1384="",B1384=""),"",IF(A1384="","Produit manquant",IF(COUNTIF(prod_ref,A1384)=0,"Produit inconnu",IF(B1384="","Matière manquante",IF(ISNA(MATCH(B1384,mat_ref,0)),"Matière inconnue",IF(INDEX(mat_check,MATCH(B1384,mat_ref,0))&lt;&gt;"OK","Matière à corriger",IF(OR(NOT(ISNUMBER(E1384)),N(E1384)&lt;=0),"Quantité invalide",IF(AND(F1384&lt;&gt;"",OR(NOT(ISNUMBER(F1384)),N(F1384)&lt;0,N(F1384)&gt;=1)),"Perte entre 0 et 99 %",IF(COUNTIFS(bom_prod,A1384,bom_mat,B1384)&gt;1,"Matière en double","OK")))))))))</f>
        <v/>
      </c>
      <c r="K1384" s="71" t="str">
        <f>IF(AND(fiche_sel&lt;&gt;"",A1384=fiche_sel),COUNTIF(A$6:A1384,fiche_sel),"")</f>
        <v/>
      </c>
    </row>
    <row r="1385">
      <c r="A1385" s="60" t="n"/>
      <c r="B1385" s="60" t="n"/>
      <c r="C1385" s="71" t="str">
        <f>IF(B1385="","",IFERROR(INDEX(mat_des,MATCH(B1385,mat_ref,0))&amp;"","Matière inconnue"))</f>
        <v/>
      </c>
      <c r="D1385" s="69" t="str">
        <f>IF(B1385="","",IFERROR(INDEX(mat_unit,MATCH(B1385,mat_ref,0))&amp;"",""))</f>
        <v/>
      </c>
      <c r="E1385" s="72" t="n"/>
      <c r="F1385" s="65" t="n"/>
      <c r="G1385" s="68" t="str">
        <f>IF(J1385&lt;&gt;"OK","",IF(F1385="",N(INDEX(mat_loss,MATCH(B1385,mat_ref,0))),F1385))</f>
        <v/>
      </c>
      <c r="H1385" s="66" t="str">
        <f>IF(J1385&lt;&gt;"OK","",INDEX(mat_price,MATCH(B1385,mat_ref,0)))</f>
        <v/>
      </c>
      <c r="I1385" s="66" t="str">
        <f>IF(J1385&lt;&gt;"OK","",E1385*(1+G1385)*H1385)</f>
        <v/>
      </c>
      <c r="J1385" s="69" t="str">
        <f>IF(AND(A1385="",B1385=""),"",IF(A1385="","Produit manquant",IF(COUNTIF(prod_ref,A1385)=0,"Produit inconnu",IF(B1385="","Matière manquante",IF(ISNA(MATCH(B1385,mat_ref,0)),"Matière inconnue",IF(INDEX(mat_check,MATCH(B1385,mat_ref,0))&lt;&gt;"OK","Matière à corriger",IF(OR(NOT(ISNUMBER(E1385)),N(E1385)&lt;=0),"Quantité invalide",IF(AND(F1385&lt;&gt;"",OR(NOT(ISNUMBER(F1385)),N(F1385)&lt;0,N(F1385)&gt;=1)),"Perte entre 0 et 99 %",IF(COUNTIFS(bom_prod,A1385,bom_mat,B1385)&gt;1,"Matière en double","OK")))))))))</f>
        <v/>
      </c>
      <c r="K1385" s="71" t="str">
        <f>IF(AND(fiche_sel&lt;&gt;"",A1385=fiche_sel),COUNTIF(A$6:A1385,fiche_sel),"")</f>
        <v/>
      </c>
    </row>
    <row r="1386">
      <c r="A1386" s="60" t="n"/>
      <c r="B1386" s="60" t="n"/>
      <c r="C1386" s="71" t="str">
        <f>IF(B1386="","",IFERROR(INDEX(mat_des,MATCH(B1386,mat_ref,0))&amp;"","Matière inconnue"))</f>
        <v/>
      </c>
      <c r="D1386" s="69" t="str">
        <f>IF(B1386="","",IFERROR(INDEX(mat_unit,MATCH(B1386,mat_ref,0))&amp;"",""))</f>
        <v/>
      </c>
      <c r="E1386" s="72" t="n"/>
      <c r="F1386" s="65" t="n"/>
      <c r="G1386" s="68" t="str">
        <f>IF(J1386&lt;&gt;"OK","",IF(F1386="",N(INDEX(mat_loss,MATCH(B1386,mat_ref,0))),F1386))</f>
        <v/>
      </c>
      <c r="H1386" s="66" t="str">
        <f>IF(J1386&lt;&gt;"OK","",INDEX(mat_price,MATCH(B1386,mat_ref,0)))</f>
        <v/>
      </c>
      <c r="I1386" s="66" t="str">
        <f>IF(J1386&lt;&gt;"OK","",E1386*(1+G1386)*H1386)</f>
        <v/>
      </c>
      <c r="J1386" s="69" t="str">
        <f>IF(AND(A1386="",B1386=""),"",IF(A1386="","Produit manquant",IF(COUNTIF(prod_ref,A1386)=0,"Produit inconnu",IF(B1386="","Matière manquante",IF(ISNA(MATCH(B1386,mat_ref,0)),"Matière inconnue",IF(INDEX(mat_check,MATCH(B1386,mat_ref,0))&lt;&gt;"OK","Matière à corriger",IF(OR(NOT(ISNUMBER(E1386)),N(E1386)&lt;=0),"Quantité invalide",IF(AND(F1386&lt;&gt;"",OR(NOT(ISNUMBER(F1386)),N(F1386)&lt;0,N(F1386)&gt;=1)),"Perte entre 0 et 99 %",IF(COUNTIFS(bom_prod,A1386,bom_mat,B1386)&gt;1,"Matière en double","OK")))))))))</f>
        <v/>
      </c>
      <c r="K1386" s="71" t="str">
        <f>IF(AND(fiche_sel&lt;&gt;"",A1386=fiche_sel),COUNTIF(A$6:A1386,fiche_sel),"")</f>
        <v/>
      </c>
    </row>
    <row r="1387">
      <c r="A1387" s="60" t="n"/>
      <c r="B1387" s="60" t="n"/>
      <c r="C1387" s="71" t="str">
        <f>IF(B1387="","",IFERROR(INDEX(mat_des,MATCH(B1387,mat_ref,0))&amp;"","Matière inconnue"))</f>
        <v/>
      </c>
      <c r="D1387" s="69" t="str">
        <f>IF(B1387="","",IFERROR(INDEX(mat_unit,MATCH(B1387,mat_ref,0))&amp;"",""))</f>
        <v/>
      </c>
      <c r="E1387" s="72" t="n"/>
      <c r="F1387" s="65" t="n"/>
      <c r="G1387" s="68" t="str">
        <f>IF(J1387&lt;&gt;"OK","",IF(F1387="",N(INDEX(mat_loss,MATCH(B1387,mat_ref,0))),F1387))</f>
        <v/>
      </c>
      <c r="H1387" s="66" t="str">
        <f>IF(J1387&lt;&gt;"OK","",INDEX(mat_price,MATCH(B1387,mat_ref,0)))</f>
        <v/>
      </c>
      <c r="I1387" s="66" t="str">
        <f>IF(J1387&lt;&gt;"OK","",E1387*(1+G1387)*H1387)</f>
        <v/>
      </c>
      <c r="J1387" s="69" t="str">
        <f>IF(AND(A1387="",B1387=""),"",IF(A1387="","Produit manquant",IF(COUNTIF(prod_ref,A1387)=0,"Produit inconnu",IF(B1387="","Matière manquante",IF(ISNA(MATCH(B1387,mat_ref,0)),"Matière inconnue",IF(INDEX(mat_check,MATCH(B1387,mat_ref,0))&lt;&gt;"OK","Matière à corriger",IF(OR(NOT(ISNUMBER(E1387)),N(E1387)&lt;=0),"Quantité invalide",IF(AND(F1387&lt;&gt;"",OR(NOT(ISNUMBER(F1387)),N(F1387)&lt;0,N(F1387)&gt;=1)),"Perte entre 0 et 99 %",IF(COUNTIFS(bom_prod,A1387,bom_mat,B1387)&gt;1,"Matière en double","OK")))))))))</f>
        <v/>
      </c>
      <c r="K1387" s="71" t="str">
        <f>IF(AND(fiche_sel&lt;&gt;"",A1387=fiche_sel),COUNTIF(A$6:A1387,fiche_sel),"")</f>
        <v/>
      </c>
    </row>
    <row r="1388">
      <c r="A1388" s="60" t="n"/>
      <c r="B1388" s="60" t="n"/>
      <c r="C1388" s="71" t="str">
        <f>IF(B1388="","",IFERROR(INDEX(mat_des,MATCH(B1388,mat_ref,0))&amp;"","Matière inconnue"))</f>
        <v/>
      </c>
      <c r="D1388" s="69" t="str">
        <f>IF(B1388="","",IFERROR(INDEX(mat_unit,MATCH(B1388,mat_ref,0))&amp;"",""))</f>
        <v/>
      </c>
      <c r="E1388" s="72" t="n"/>
      <c r="F1388" s="65" t="n"/>
      <c r="G1388" s="68" t="str">
        <f>IF(J1388&lt;&gt;"OK","",IF(F1388="",N(INDEX(mat_loss,MATCH(B1388,mat_ref,0))),F1388))</f>
        <v/>
      </c>
      <c r="H1388" s="66" t="str">
        <f>IF(J1388&lt;&gt;"OK","",INDEX(mat_price,MATCH(B1388,mat_ref,0)))</f>
        <v/>
      </c>
      <c r="I1388" s="66" t="str">
        <f>IF(J1388&lt;&gt;"OK","",E1388*(1+G1388)*H1388)</f>
        <v/>
      </c>
      <c r="J1388" s="69" t="str">
        <f>IF(AND(A1388="",B1388=""),"",IF(A1388="","Produit manquant",IF(COUNTIF(prod_ref,A1388)=0,"Produit inconnu",IF(B1388="","Matière manquante",IF(ISNA(MATCH(B1388,mat_ref,0)),"Matière inconnue",IF(INDEX(mat_check,MATCH(B1388,mat_ref,0))&lt;&gt;"OK","Matière à corriger",IF(OR(NOT(ISNUMBER(E1388)),N(E1388)&lt;=0),"Quantité invalide",IF(AND(F1388&lt;&gt;"",OR(NOT(ISNUMBER(F1388)),N(F1388)&lt;0,N(F1388)&gt;=1)),"Perte entre 0 et 99 %",IF(COUNTIFS(bom_prod,A1388,bom_mat,B1388)&gt;1,"Matière en double","OK")))))))))</f>
        <v/>
      </c>
      <c r="K1388" s="71" t="str">
        <f>IF(AND(fiche_sel&lt;&gt;"",A1388=fiche_sel),COUNTIF(A$6:A1388,fiche_sel),"")</f>
        <v/>
      </c>
    </row>
    <row r="1389">
      <c r="A1389" s="60" t="n"/>
      <c r="B1389" s="60" t="n"/>
      <c r="C1389" s="71" t="str">
        <f>IF(B1389="","",IFERROR(INDEX(mat_des,MATCH(B1389,mat_ref,0))&amp;"","Matière inconnue"))</f>
        <v/>
      </c>
      <c r="D1389" s="69" t="str">
        <f>IF(B1389="","",IFERROR(INDEX(mat_unit,MATCH(B1389,mat_ref,0))&amp;"",""))</f>
        <v/>
      </c>
      <c r="E1389" s="72" t="n"/>
      <c r="F1389" s="65" t="n"/>
      <c r="G1389" s="68" t="str">
        <f>IF(J1389&lt;&gt;"OK","",IF(F1389="",N(INDEX(mat_loss,MATCH(B1389,mat_ref,0))),F1389))</f>
        <v/>
      </c>
      <c r="H1389" s="66" t="str">
        <f>IF(J1389&lt;&gt;"OK","",INDEX(mat_price,MATCH(B1389,mat_ref,0)))</f>
        <v/>
      </c>
      <c r="I1389" s="66" t="str">
        <f>IF(J1389&lt;&gt;"OK","",E1389*(1+G1389)*H1389)</f>
        <v/>
      </c>
      <c r="J1389" s="69" t="str">
        <f>IF(AND(A1389="",B1389=""),"",IF(A1389="","Produit manquant",IF(COUNTIF(prod_ref,A1389)=0,"Produit inconnu",IF(B1389="","Matière manquante",IF(ISNA(MATCH(B1389,mat_ref,0)),"Matière inconnue",IF(INDEX(mat_check,MATCH(B1389,mat_ref,0))&lt;&gt;"OK","Matière à corriger",IF(OR(NOT(ISNUMBER(E1389)),N(E1389)&lt;=0),"Quantité invalide",IF(AND(F1389&lt;&gt;"",OR(NOT(ISNUMBER(F1389)),N(F1389)&lt;0,N(F1389)&gt;=1)),"Perte entre 0 et 99 %",IF(COUNTIFS(bom_prod,A1389,bom_mat,B1389)&gt;1,"Matière en double","OK")))))))))</f>
        <v/>
      </c>
      <c r="K1389" s="71" t="str">
        <f>IF(AND(fiche_sel&lt;&gt;"",A1389=fiche_sel),COUNTIF(A$6:A1389,fiche_sel),"")</f>
        <v/>
      </c>
    </row>
    <row r="1390">
      <c r="A1390" s="60" t="n"/>
      <c r="B1390" s="60" t="n"/>
      <c r="C1390" s="71" t="str">
        <f>IF(B1390="","",IFERROR(INDEX(mat_des,MATCH(B1390,mat_ref,0))&amp;"","Matière inconnue"))</f>
        <v/>
      </c>
      <c r="D1390" s="69" t="str">
        <f>IF(B1390="","",IFERROR(INDEX(mat_unit,MATCH(B1390,mat_ref,0))&amp;"",""))</f>
        <v/>
      </c>
      <c r="E1390" s="72" t="n"/>
      <c r="F1390" s="65" t="n"/>
      <c r="G1390" s="68" t="str">
        <f>IF(J1390&lt;&gt;"OK","",IF(F1390="",N(INDEX(mat_loss,MATCH(B1390,mat_ref,0))),F1390))</f>
        <v/>
      </c>
      <c r="H1390" s="66" t="str">
        <f>IF(J1390&lt;&gt;"OK","",INDEX(mat_price,MATCH(B1390,mat_ref,0)))</f>
        <v/>
      </c>
      <c r="I1390" s="66" t="str">
        <f>IF(J1390&lt;&gt;"OK","",E1390*(1+G1390)*H1390)</f>
        <v/>
      </c>
      <c r="J1390" s="69" t="str">
        <f>IF(AND(A1390="",B1390=""),"",IF(A1390="","Produit manquant",IF(COUNTIF(prod_ref,A1390)=0,"Produit inconnu",IF(B1390="","Matière manquante",IF(ISNA(MATCH(B1390,mat_ref,0)),"Matière inconnue",IF(INDEX(mat_check,MATCH(B1390,mat_ref,0))&lt;&gt;"OK","Matière à corriger",IF(OR(NOT(ISNUMBER(E1390)),N(E1390)&lt;=0),"Quantité invalide",IF(AND(F1390&lt;&gt;"",OR(NOT(ISNUMBER(F1390)),N(F1390)&lt;0,N(F1390)&gt;=1)),"Perte entre 0 et 99 %",IF(COUNTIFS(bom_prod,A1390,bom_mat,B1390)&gt;1,"Matière en double","OK")))))))))</f>
        <v/>
      </c>
      <c r="K1390" s="71" t="str">
        <f>IF(AND(fiche_sel&lt;&gt;"",A1390=fiche_sel),COUNTIF(A$6:A1390,fiche_sel),"")</f>
        <v/>
      </c>
    </row>
    <row r="1391">
      <c r="A1391" s="60" t="n"/>
      <c r="B1391" s="60" t="n"/>
      <c r="C1391" s="71" t="str">
        <f>IF(B1391="","",IFERROR(INDEX(mat_des,MATCH(B1391,mat_ref,0))&amp;"","Matière inconnue"))</f>
        <v/>
      </c>
      <c r="D1391" s="69" t="str">
        <f>IF(B1391="","",IFERROR(INDEX(mat_unit,MATCH(B1391,mat_ref,0))&amp;"",""))</f>
        <v/>
      </c>
      <c r="E1391" s="72" t="n"/>
      <c r="F1391" s="65" t="n"/>
      <c r="G1391" s="68" t="str">
        <f>IF(J1391&lt;&gt;"OK","",IF(F1391="",N(INDEX(mat_loss,MATCH(B1391,mat_ref,0))),F1391))</f>
        <v/>
      </c>
      <c r="H1391" s="66" t="str">
        <f>IF(J1391&lt;&gt;"OK","",INDEX(mat_price,MATCH(B1391,mat_ref,0)))</f>
        <v/>
      </c>
      <c r="I1391" s="66" t="str">
        <f>IF(J1391&lt;&gt;"OK","",E1391*(1+G1391)*H1391)</f>
        <v/>
      </c>
      <c r="J1391" s="69" t="str">
        <f>IF(AND(A1391="",B1391=""),"",IF(A1391="","Produit manquant",IF(COUNTIF(prod_ref,A1391)=0,"Produit inconnu",IF(B1391="","Matière manquante",IF(ISNA(MATCH(B1391,mat_ref,0)),"Matière inconnue",IF(INDEX(mat_check,MATCH(B1391,mat_ref,0))&lt;&gt;"OK","Matière à corriger",IF(OR(NOT(ISNUMBER(E1391)),N(E1391)&lt;=0),"Quantité invalide",IF(AND(F1391&lt;&gt;"",OR(NOT(ISNUMBER(F1391)),N(F1391)&lt;0,N(F1391)&gt;=1)),"Perte entre 0 et 99 %",IF(COUNTIFS(bom_prod,A1391,bom_mat,B1391)&gt;1,"Matière en double","OK")))))))))</f>
        <v/>
      </c>
      <c r="K1391" s="71" t="str">
        <f>IF(AND(fiche_sel&lt;&gt;"",A1391=fiche_sel),COUNTIF(A$6:A1391,fiche_sel),"")</f>
        <v/>
      </c>
    </row>
    <row r="1392">
      <c r="A1392" s="60" t="n"/>
      <c r="B1392" s="60" t="n"/>
      <c r="C1392" s="71" t="str">
        <f>IF(B1392="","",IFERROR(INDEX(mat_des,MATCH(B1392,mat_ref,0))&amp;"","Matière inconnue"))</f>
        <v/>
      </c>
      <c r="D1392" s="69" t="str">
        <f>IF(B1392="","",IFERROR(INDEX(mat_unit,MATCH(B1392,mat_ref,0))&amp;"",""))</f>
        <v/>
      </c>
      <c r="E1392" s="72" t="n"/>
      <c r="F1392" s="65" t="n"/>
      <c r="G1392" s="68" t="str">
        <f>IF(J1392&lt;&gt;"OK","",IF(F1392="",N(INDEX(mat_loss,MATCH(B1392,mat_ref,0))),F1392))</f>
        <v/>
      </c>
      <c r="H1392" s="66" t="str">
        <f>IF(J1392&lt;&gt;"OK","",INDEX(mat_price,MATCH(B1392,mat_ref,0)))</f>
        <v/>
      </c>
      <c r="I1392" s="66" t="str">
        <f>IF(J1392&lt;&gt;"OK","",E1392*(1+G1392)*H1392)</f>
        <v/>
      </c>
      <c r="J1392" s="69" t="str">
        <f>IF(AND(A1392="",B1392=""),"",IF(A1392="","Produit manquant",IF(COUNTIF(prod_ref,A1392)=0,"Produit inconnu",IF(B1392="","Matière manquante",IF(ISNA(MATCH(B1392,mat_ref,0)),"Matière inconnue",IF(INDEX(mat_check,MATCH(B1392,mat_ref,0))&lt;&gt;"OK","Matière à corriger",IF(OR(NOT(ISNUMBER(E1392)),N(E1392)&lt;=0),"Quantité invalide",IF(AND(F1392&lt;&gt;"",OR(NOT(ISNUMBER(F1392)),N(F1392)&lt;0,N(F1392)&gt;=1)),"Perte entre 0 et 99 %",IF(COUNTIFS(bom_prod,A1392,bom_mat,B1392)&gt;1,"Matière en double","OK")))))))))</f>
        <v/>
      </c>
      <c r="K1392" s="71" t="str">
        <f>IF(AND(fiche_sel&lt;&gt;"",A1392=fiche_sel),COUNTIF(A$6:A1392,fiche_sel),"")</f>
        <v/>
      </c>
    </row>
    <row r="1393">
      <c r="A1393" s="60" t="n"/>
      <c r="B1393" s="60" t="n"/>
      <c r="C1393" s="71" t="str">
        <f>IF(B1393="","",IFERROR(INDEX(mat_des,MATCH(B1393,mat_ref,0))&amp;"","Matière inconnue"))</f>
        <v/>
      </c>
      <c r="D1393" s="69" t="str">
        <f>IF(B1393="","",IFERROR(INDEX(mat_unit,MATCH(B1393,mat_ref,0))&amp;"",""))</f>
        <v/>
      </c>
      <c r="E1393" s="72" t="n"/>
      <c r="F1393" s="65" t="n"/>
      <c r="G1393" s="68" t="str">
        <f>IF(J1393&lt;&gt;"OK","",IF(F1393="",N(INDEX(mat_loss,MATCH(B1393,mat_ref,0))),F1393))</f>
        <v/>
      </c>
      <c r="H1393" s="66" t="str">
        <f>IF(J1393&lt;&gt;"OK","",INDEX(mat_price,MATCH(B1393,mat_ref,0)))</f>
        <v/>
      </c>
      <c r="I1393" s="66" t="str">
        <f>IF(J1393&lt;&gt;"OK","",E1393*(1+G1393)*H1393)</f>
        <v/>
      </c>
      <c r="J1393" s="69" t="str">
        <f>IF(AND(A1393="",B1393=""),"",IF(A1393="","Produit manquant",IF(COUNTIF(prod_ref,A1393)=0,"Produit inconnu",IF(B1393="","Matière manquante",IF(ISNA(MATCH(B1393,mat_ref,0)),"Matière inconnue",IF(INDEX(mat_check,MATCH(B1393,mat_ref,0))&lt;&gt;"OK","Matière à corriger",IF(OR(NOT(ISNUMBER(E1393)),N(E1393)&lt;=0),"Quantité invalide",IF(AND(F1393&lt;&gt;"",OR(NOT(ISNUMBER(F1393)),N(F1393)&lt;0,N(F1393)&gt;=1)),"Perte entre 0 et 99 %",IF(COUNTIFS(bom_prod,A1393,bom_mat,B1393)&gt;1,"Matière en double","OK")))))))))</f>
        <v/>
      </c>
      <c r="K1393" s="71" t="str">
        <f>IF(AND(fiche_sel&lt;&gt;"",A1393=fiche_sel),COUNTIF(A$6:A1393,fiche_sel),"")</f>
        <v/>
      </c>
    </row>
    <row r="1394">
      <c r="A1394" s="60" t="n"/>
      <c r="B1394" s="60" t="n"/>
      <c r="C1394" s="71" t="str">
        <f>IF(B1394="","",IFERROR(INDEX(mat_des,MATCH(B1394,mat_ref,0))&amp;"","Matière inconnue"))</f>
        <v/>
      </c>
      <c r="D1394" s="69" t="str">
        <f>IF(B1394="","",IFERROR(INDEX(mat_unit,MATCH(B1394,mat_ref,0))&amp;"",""))</f>
        <v/>
      </c>
      <c r="E1394" s="72" t="n"/>
      <c r="F1394" s="65" t="n"/>
      <c r="G1394" s="68" t="str">
        <f>IF(J1394&lt;&gt;"OK","",IF(F1394="",N(INDEX(mat_loss,MATCH(B1394,mat_ref,0))),F1394))</f>
        <v/>
      </c>
      <c r="H1394" s="66" t="str">
        <f>IF(J1394&lt;&gt;"OK","",INDEX(mat_price,MATCH(B1394,mat_ref,0)))</f>
        <v/>
      </c>
      <c r="I1394" s="66" t="str">
        <f>IF(J1394&lt;&gt;"OK","",E1394*(1+G1394)*H1394)</f>
        <v/>
      </c>
      <c r="J1394" s="69" t="str">
        <f>IF(AND(A1394="",B1394=""),"",IF(A1394="","Produit manquant",IF(COUNTIF(prod_ref,A1394)=0,"Produit inconnu",IF(B1394="","Matière manquante",IF(ISNA(MATCH(B1394,mat_ref,0)),"Matière inconnue",IF(INDEX(mat_check,MATCH(B1394,mat_ref,0))&lt;&gt;"OK","Matière à corriger",IF(OR(NOT(ISNUMBER(E1394)),N(E1394)&lt;=0),"Quantité invalide",IF(AND(F1394&lt;&gt;"",OR(NOT(ISNUMBER(F1394)),N(F1394)&lt;0,N(F1394)&gt;=1)),"Perte entre 0 et 99 %",IF(COUNTIFS(bom_prod,A1394,bom_mat,B1394)&gt;1,"Matière en double","OK")))))))))</f>
        <v/>
      </c>
      <c r="K1394" s="71" t="str">
        <f>IF(AND(fiche_sel&lt;&gt;"",A1394=fiche_sel),COUNTIF(A$6:A1394,fiche_sel),"")</f>
        <v/>
      </c>
    </row>
    <row r="1395">
      <c r="A1395" s="60" t="n"/>
      <c r="B1395" s="60" t="n"/>
      <c r="C1395" s="71" t="str">
        <f>IF(B1395="","",IFERROR(INDEX(mat_des,MATCH(B1395,mat_ref,0))&amp;"","Matière inconnue"))</f>
        <v/>
      </c>
      <c r="D1395" s="69" t="str">
        <f>IF(B1395="","",IFERROR(INDEX(mat_unit,MATCH(B1395,mat_ref,0))&amp;"",""))</f>
        <v/>
      </c>
      <c r="E1395" s="72" t="n"/>
      <c r="F1395" s="65" t="n"/>
      <c r="G1395" s="68" t="str">
        <f>IF(J1395&lt;&gt;"OK","",IF(F1395="",N(INDEX(mat_loss,MATCH(B1395,mat_ref,0))),F1395))</f>
        <v/>
      </c>
      <c r="H1395" s="66" t="str">
        <f>IF(J1395&lt;&gt;"OK","",INDEX(mat_price,MATCH(B1395,mat_ref,0)))</f>
        <v/>
      </c>
      <c r="I1395" s="66" t="str">
        <f>IF(J1395&lt;&gt;"OK","",E1395*(1+G1395)*H1395)</f>
        <v/>
      </c>
      <c r="J1395" s="69" t="str">
        <f>IF(AND(A1395="",B1395=""),"",IF(A1395="","Produit manquant",IF(COUNTIF(prod_ref,A1395)=0,"Produit inconnu",IF(B1395="","Matière manquante",IF(ISNA(MATCH(B1395,mat_ref,0)),"Matière inconnue",IF(INDEX(mat_check,MATCH(B1395,mat_ref,0))&lt;&gt;"OK","Matière à corriger",IF(OR(NOT(ISNUMBER(E1395)),N(E1395)&lt;=0),"Quantité invalide",IF(AND(F1395&lt;&gt;"",OR(NOT(ISNUMBER(F1395)),N(F1395)&lt;0,N(F1395)&gt;=1)),"Perte entre 0 et 99 %",IF(COUNTIFS(bom_prod,A1395,bom_mat,B1395)&gt;1,"Matière en double","OK")))))))))</f>
        <v/>
      </c>
      <c r="K1395" s="71" t="str">
        <f>IF(AND(fiche_sel&lt;&gt;"",A1395=fiche_sel),COUNTIF(A$6:A1395,fiche_sel),"")</f>
        <v/>
      </c>
    </row>
    <row r="1396">
      <c r="A1396" s="60" t="n"/>
      <c r="B1396" s="60" t="n"/>
      <c r="C1396" s="71" t="str">
        <f>IF(B1396="","",IFERROR(INDEX(mat_des,MATCH(B1396,mat_ref,0))&amp;"","Matière inconnue"))</f>
        <v/>
      </c>
      <c r="D1396" s="69" t="str">
        <f>IF(B1396="","",IFERROR(INDEX(mat_unit,MATCH(B1396,mat_ref,0))&amp;"",""))</f>
        <v/>
      </c>
      <c r="E1396" s="72" t="n"/>
      <c r="F1396" s="65" t="n"/>
      <c r="G1396" s="68" t="str">
        <f>IF(J1396&lt;&gt;"OK","",IF(F1396="",N(INDEX(mat_loss,MATCH(B1396,mat_ref,0))),F1396))</f>
        <v/>
      </c>
      <c r="H1396" s="66" t="str">
        <f>IF(J1396&lt;&gt;"OK","",INDEX(mat_price,MATCH(B1396,mat_ref,0)))</f>
        <v/>
      </c>
      <c r="I1396" s="66" t="str">
        <f>IF(J1396&lt;&gt;"OK","",E1396*(1+G1396)*H1396)</f>
        <v/>
      </c>
      <c r="J1396" s="69" t="str">
        <f>IF(AND(A1396="",B1396=""),"",IF(A1396="","Produit manquant",IF(COUNTIF(prod_ref,A1396)=0,"Produit inconnu",IF(B1396="","Matière manquante",IF(ISNA(MATCH(B1396,mat_ref,0)),"Matière inconnue",IF(INDEX(mat_check,MATCH(B1396,mat_ref,0))&lt;&gt;"OK","Matière à corriger",IF(OR(NOT(ISNUMBER(E1396)),N(E1396)&lt;=0),"Quantité invalide",IF(AND(F1396&lt;&gt;"",OR(NOT(ISNUMBER(F1396)),N(F1396)&lt;0,N(F1396)&gt;=1)),"Perte entre 0 et 99 %",IF(COUNTIFS(bom_prod,A1396,bom_mat,B1396)&gt;1,"Matière en double","OK")))))))))</f>
        <v/>
      </c>
      <c r="K1396" s="71" t="str">
        <f>IF(AND(fiche_sel&lt;&gt;"",A1396=fiche_sel),COUNTIF(A$6:A1396,fiche_sel),"")</f>
        <v/>
      </c>
    </row>
    <row r="1397">
      <c r="A1397" s="60" t="n"/>
      <c r="B1397" s="60" t="n"/>
      <c r="C1397" s="71" t="str">
        <f>IF(B1397="","",IFERROR(INDEX(mat_des,MATCH(B1397,mat_ref,0))&amp;"","Matière inconnue"))</f>
        <v/>
      </c>
      <c r="D1397" s="69" t="str">
        <f>IF(B1397="","",IFERROR(INDEX(mat_unit,MATCH(B1397,mat_ref,0))&amp;"",""))</f>
        <v/>
      </c>
      <c r="E1397" s="72" t="n"/>
      <c r="F1397" s="65" t="n"/>
      <c r="G1397" s="68" t="str">
        <f>IF(J1397&lt;&gt;"OK","",IF(F1397="",N(INDEX(mat_loss,MATCH(B1397,mat_ref,0))),F1397))</f>
        <v/>
      </c>
      <c r="H1397" s="66" t="str">
        <f>IF(J1397&lt;&gt;"OK","",INDEX(mat_price,MATCH(B1397,mat_ref,0)))</f>
        <v/>
      </c>
      <c r="I1397" s="66" t="str">
        <f>IF(J1397&lt;&gt;"OK","",E1397*(1+G1397)*H1397)</f>
        <v/>
      </c>
      <c r="J1397" s="69" t="str">
        <f>IF(AND(A1397="",B1397=""),"",IF(A1397="","Produit manquant",IF(COUNTIF(prod_ref,A1397)=0,"Produit inconnu",IF(B1397="","Matière manquante",IF(ISNA(MATCH(B1397,mat_ref,0)),"Matière inconnue",IF(INDEX(mat_check,MATCH(B1397,mat_ref,0))&lt;&gt;"OK","Matière à corriger",IF(OR(NOT(ISNUMBER(E1397)),N(E1397)&lt;=0),"Quantité invalide",IF(AND(F1397&lt;&gt;"",OR(NOT(ISNUMBER(F1397)),N(F1397)&lt;0,N(F1397)&gt;=1)),"Perte entre 0 et 99 %",IF(COUNTIFS(bom_prod,A1397,bom_mat,B1397)&gt;1,"Matière en double","OK")))))))))</f>
        <v/>
      </c>
      <c r="K1397" s="71" t="str">
        <f>IF(AND(fiche_sel&lt;&gt;"",A1397=fiche_sel),COUNTIF(A$6:A1397,fiche_sel),"")</f>
        <v/>
      </c>
    </row>
    <row r="1398">
      <c r="A1398" s="60" t="n"/>
      <c r="B1398" s="60" t="n"/>
      <c r="C1398" s="71" t="str">
        <f>IF(B1398="","",IFERROR(INDEX(mat_des,MATCH(B1398,mat_ref,0))&amp;"","Matière inconnue"))</f>
        <v/>
      </c>
      <c r="D1398" s="69" t="str">
        <f>IF(B1398="","",IFERROR(INDEX(mat_unit,MATCH(B1398,mat_ref,0))&amp;"",""))</f>
        <v/>
      </c>
      <c r="E1398" s="72" t="n"/>
      <c r="F1398" s="65" t="n"/>
      <c r="G1398" s="68" t="str">
        <f>IF(J1398&lt;&gt;"OK","",IF(F1398="",N(INDEX(mat_loss,MATCH(B1398,mat_ref,0))),F1398))</f>
        <v/>
      </c>
      <c r="H1398" s="66" t="str">
        <f>IF(J1398&lt;&gt;"OK","",INDEX(mat_price,MATCH(B1398,mat_ref,0)))</f>
        <v/>
      </c>
      <c r="I1398" s="66" t="str">
        <f>IF(J1398&lt;&gt;"OK","",E1398*(1+G1398)*H1398)</f>
        <v/>
      </c>
      <c r="J1398" s="69" t="str">
        <f>IF(AND(A1398="",B1398=""),"",IF(A1398="","Produit manquant",IF(COUNTIF(prod_ref,A1398)=0,"Produit inconnu",IF(B1398="","Matière manquante",IF(ISNA(MATCH(B1398,mat_ref,0)),"Matière inconnue",IF(INDEX(mat_check,MATCH(B1398,mat_ref,0))&lt;&gt;"OK","Matière à corriger",IF(OR(NOT(ISNUMBER(E1398)),N(E1398)&lt;=0),"Quantité invalide",IF(AND(F1398&lt;&gt;"",OR(NOT(ISNUMBER(F1398)),N(F1398)&lt;0,N(F1398)&gt;=1)),"Perte entre 0 et 99 %",IF(COUNTIFS(bom_prod,A1398,bom_mat,B1398)&gt;1,"Matière en double","OK")))))))))</f>
        <v/>
      </c>
      <c r="K1398" s="71" t="str">
        <f>IF(AND(fiche_sel&lt;&gt;"",A1398=fiche_sel),COUNTIF(A$6:A1398,fiche_sel),"")</f>
        <v/>
      </c>
    </row>
    <row r="1399">
      <c r="A1399" s="60" t="n"/>
      <c r="B1399" s="60" t="n"/>
      <c r="C1399" s="71" t="str">
        <f>IF(B1399="","",IFERROR(INDEX(mat_des,MATCH(B1399,mat_ref,0))&amp;"","Matière inconnue"))</f>
        <v/>
      </c>
      <c r="D1399" s="69" t="str">
        <f>IF(B1399="","",IFERROR(INDEX(mat_unit,MATCH(B1399,mat_ref,0))&amp;"",""))</f>
        <v/>
      </c>
      <c r="E1399" s="72" t="n"/>
      <c r="F1399" s="65" t="n"/>
      <c r="G1399" s="68" t="str">
        <f>IF(J1399&lt;&gt;"OK","",IF(F1399="",N(INDEX(mat_loss,MATCH(B1399,mat_ref,0))),F1399))</f>
        <v/>
      </c>
      <c r="H1399" s="66" t="str">
        <f>IF(J1399&lt;&gt;"OK","",INDEX(mat_price,MATCH(B1399,mat_ref,0)))</f>
        <v/>
      </c>
      <c r="I1399" s="66" t="str">
        <f>IF(J1399&lt;&gt;"OK","",E1399*(1+G1399)*H1399)</f>
        <v/>
      </c>
      <c r="J1399" s="69" t="str">
        <f>IF(AND(A1399="",B1399=""),"",IF(A1399="","Produit manquant",IF(COUNTIF(prod_ref,A1399)=0,"Produit inconnu",IF(B1399="","Matière manquante",IF(ISNA(MATCH(B1399,mat_ref,0)),"Matière inconnue",IF(INDEX(mat_check,MATCH(B1399,mat_ref,0))&lt;&gt;"OK","Matière à corriger",IF(OR(NOT(ISNUMBER(E1399)),N(E1399)&lt;=0),"Quantité invalide",IF(AND(F1399&lt;&gt;"",OR(NOT(ISNUMBER(F1399)),N(F1399)&lt;0,N(F1399)&gt;=1)),"Perte entre 0 et 99 %",IF(COUNTIFS(bom_prod,A1399,bom_mat,B1399)&gt;1,"Matière en double","OK")))))))))</f>
        <v/>
      </c>
      <c r="K1399" s="71" t="str">
        <f>IF(AND(fiche_sel&lt;&gt;"",A1399=fiche_sel),COUNTIF(A$6:A1399,fiche_sel),"")</f>
        <v/>
      </c>
    </row>
    <row r="1400">
      <c r="A1400" s="60" t="n"/>
      <c r="B1400" s="60" t="n"/>
      <c r="C1400" s="71" t="str">
        <f>IF(B1400="","",IFERROR(INDEX(mat_des,MATCH(B1400,mat_ref,0))&amp;"","Matière inconnue"))</f>
        <v/>
      </c>
      <c r="D1400" s="69" t="str">
        <f>IF(B1400="","",IFERROR(INDEX(mat_unit,MATCH(B1400,mat_ref,0))&amp;"",""))</f>
        <v/>
      </c>
      <c r="E1400" s="72" t="n"/>
      <c r="F1400" s="65" t="n"/>
      <c r="G1400" s="68" t="str">
        <f>IF(J1400&lt;&gt;"OK","",IF(F1400="",N(INDEX(mat_loss,MATCH(B1400,mat_ref,0))),F1400))</f>
        <v/>
      </c>
      <c r="H1400" s="66" t="str">
        <f>IF(J1400&lt;&gt;"OK","",INDEX(mat_price,MATCH(B1400,mat_ref,0)))</f>
        <v/>
      </c>
      <c r="I1400" s="66" t="str">
        <f>IF(J1400&lt;&gt;"OK","",E1400*(1+G1400)*H1400)</f>
        <v/>
      </c>
      <c r="J1400" s="69" t="str">
        <f>IF(AND(A1400="",B1400=""),"",IF(A1400="","Produit manquant",IF(COUNTIF(prod_ref,A1400)=0,"Produit inconnu",IF(B1400="","Matière manquante",IF(ISNA(MATCH(B1400,mat_ref,0)),"Matière inconnue",IF(INDEX(mat_check,MATCH(B1400,mat_ref,0))&lt;&gt;"OK","Matière à corriger",IF(OR(NOT(ISNUMBER(E1400)),N(E1400)&lt;=0),"Quantité invalide",IF(AND(F1400&lt;&gt;"",OR(NOT(ISNUMBER(F1400)),N(F1400)&lt;0,N(F1400)&gt;=1)),"Perte entre 0 et 99 %",IF(COUNTIFS(bom_prod,A1400,bom_mat,B1400)&gt;1,"Matière en double","OK")))))))))</f>
        <v/>
      </c>
      <c r="K1400" s="71" t="str">
        <f>IF(AND(fiche_sel&lt;&gt;"",A1400=fiche_sel),COUNTIF(A$6:A1400,fiche_sel),"")</f>
        <v/>
      </c>
    </row>
    <row r="1401">
      <c r="A1401" s="60" t="n"/>
      <c r="B1401" s="60" t="n"/>
      <c r="C1401" s="71" t="str">
        <f>IF(B1401="","",IFERROR(INDEX(mat_des,MATCH(B1401,mat_ref,0))&amp;"","Matière inconnue"))</f>
        <v/>
      </c>
      <c r="D1401" s="69" t="str">
        <f>IF(B1401="","",IFERROR(INDEX(mat_unit,MATCH(B1401,mat_ref,0))&amp;"",""))</f>
        <v/>
      </c>
      <c r="E1401" s="72" t="n"/>
      <c r="F1401" s="65" t="n"/>
      <c r="G1401" s="68" t="str">
        <f>IF(J1401&lt;&gt;"OK","",IF(F1401="",N(INDEX(mat_loss,MATCH(B1401,mat_ref,0))),F1401))</f>
        <v/>
      </c>
      <c r="H1401" s="66" t="str">
        <f>IF(J1401&lt;&gt;"OK","",INDEX(mat_price,MATCH(B1401,mat_ref,0)))</f>
        <v/>
      </c>
      <c r="I1401" s="66" t="str">
        <f>IF(J1401&lt;&gt;"OK","",E1401*(1+G1401)*H1401)</f>
        <v/>
      </c>
      <c r="J1401" s="69" t="str">
        <f>IF(AND(A1401="",B1401=""),"",IF(A1401="","Produit manquant",IF(COUNTIF(prod_ref,A1401)=0,"Produit inconnu",IF(B1401="","Matière manquante",IF(ISNA(MATCH(B1401,mat_ref,0)),"Matière inconnue",IF(INDEX(mat_check,MATCH(B1401,mat_ref,0))&lt;&gt;"OK","Matière à corriger",IF(OR(NOT(ISNUMBER(E1401)),N(E1401)&lt;=0),"Quantité invalide",IF(AND(F1401&lt;&gt;"",OR(NOT(ISNUMBER(F1401)),N(F1401)&lt;0,N(F1401)&gt;=1)),"Perte entre 0 et 99 %",IF(COUNTIFS(bom_prod,A1401,bom_mat,B1401)&gt;1,"Matière en double","OK")))))))))</f>
        <v/>
      </c>
      <c r="K1401" s="71" t="str">
        <f>IF(AND(fiche_sel&lt;&gt;"",A1401=fiche_sel),COUNTIF(A$6:A1401,fiche_sel),"")</f>
        <v/>
      </c>
    </row>
    <row r="1402">
      <c r="A1402" s="60" t="n"/>
      <c r="B1402" s="60" t="n"/>
      <c r="C1402" s="71" t="str">
        <f>IF(B1402="","",IFERROR(INDEX(mat_des,MATCH(B1402,mat_ref,0))&amp;"","Matière inconnue"))</f>
        <v/>
      </c>
      <c r="D1402" s="69" t="str">
        <f>IF(B1402="","",IFERROR(INDEX(mat_unit,MATCH(B1402,mat_ref,0))&amp;"",""))</f>
        <v/>
      </c>
      <c r="E1402" s="72" t="n"/>
      <c r="F1402" s="65" t="n"/>
      <c r="G1402" s="68" t="str">
        <f>IF(J1402&lt;&gt;"OK","",IF(F1402="",N(INDEX(mat_loss,MATCH(B1402,mat_ref,0))),F1402))</f>
        <v/>
      </c>
      <c r="H1402" s="66" t="str">
        <f>IF(J1402&lt;&gt;"OK","",INDEX(mat_price,MATCH(B1402,mat_ref,0)))</f>
        <v/>
      </c>
      <c r="I1402" s="66" t="str">
        <f>IF(J1402&lt;&gt;"OK","",E1402*(1+G1402)*H1402)</f>
        <v/>
      </c>
      <c r="J1402" s="69" t="str">
        <f>IF(AND(A1402="",B1402=""),"",IF(A1402="","Produit manquant",IF(COUNTIF(prod_ref,A1402)=0,"Produit inconnu",IF(B1402="","Matière manquante",IF(ISNA(MATCH(B1402,mat_ref,0)),"Matière inconnue",IF(INDEX(mat_check,MATCH(B1402,mat_ref,0))&lt;&gt;"OK","Matière à corriger",IF(OR(NOT(ISNUMBER(E1402)),N(E1402)&lt;=0),"Quantité invalide",IF(AND(F1402&lt;&gt;"",OR(NOT(ISNUMBER(F1402)),N(F1402)&lt;0,N(F1402)&gt;=1)),"Perte entre 0 et 99 %",IF(COUNTIFS(bom_prod,A1402,bom_mat,B1402)&gt;1,"Matière en double","OK")))))))))</f>
        <v/>
      </c>
      <c r="K1402" s="71" t="str">
        <f>IF(AND(fiche_sel&lt;&gt;"",A1402=fiche_sel),COUNTIF(A$6:A1402,fiche_sel),"")</f>
        <v/>
      </c>
    </row>
    <row r="1403">
      <c r="A1403" s="60" t="n"/>
      <c r="B1403" s="60" t="n"/>
      <c r="C1403" s="71" t="str">
        <f>IF(B1403="","",IFERROR(INDEX(mat_des,MATCH(B1403,mat_ref,0))&amp;"","Matière inconnue"))</f>
        <v/>
      </c>
      <c r="D1403" s="69" t="str">
        <f>IF(B1403="","",IFERROR(INDEX(mat_unit,MATCH(B1403,mat_ref,0))&amp;"",""))</f>
        <v/>
      </c>
      <c r="E1403" s="72" t="n"/>
      <c r="F1403" s="65" t="n"/>
      <c r="G1403" s="68" t="str">
        <f>IF(J1403&lt;&gt;"OK","",IF(F1403="",N(INDEX(mat_loss,MATCH(B1403,mat_ref,0))),F1403))</f>
        <v/>
      </c>
      <c r="H1403" s="66" t="str">
        <f>IF(J1403&lt;&gt;"OK","",INDEX(mat_price,MATCH(B1403,mat_ref,0)))</f>
        <v/>
      </c>
      <c r="I1403" s="66" t="str">
        <f>IF(J1403&lt;&gt;"OK","",E1403*(1+G1403)*H1403)</f>
        <v/>
      </c>
      <c r="J1403" s="69" t="str">
        <f>IF(AND(A1403="",B1403=""),"",IF(A1403="","Produit manquant",IF(COUNTIF(prod_ref,A1403)=0,"Produit inconnu",IF(B1403="","Matière manquante",IF(ISNA(MATCH(B1403,mat_ref,0)),"Matière inconnue",IF(INDEX(mat_check,MATCH(B1403,mat_ref,0))&lt;&gt;"OK","Matière à corriger",IF(OR(NOT(ISNUMBER(E1403)),N(E1403)&lt;=0),"Quantité invalide",IF(AND(F1403&lt;&gt;"",OR(NOT(ISNUMBER(F1403)),N(F1403)&lt;0,N(F1403)&gt;=1)),"Perte entre 0 et 99 %",IF(COUNTIFS(bom_prod,A1403,bom_mat,B1403)&gt;1,"Matière en double","OK")))))))))</f>
        <v/>
      </c>
      <c r="K1403" s="71" t="str">
        <f>IF(AND(fiche_sel&lt;&gt;"",A1403=fiche_sel),COUNTIF(A$6:A1403,fiche_sel),"")</f>
        <v/>
      </c>
    </row>
    <row r="1404">
      <c r="A1404" s="60" t="n"/>
      <c r="B1404" s="60" t="n"/>
      <c r="C1404" s="71" t="str">
        <f>IF(B1404="","",IFERROR(INDEX(mat_des,MATCH(B1404,mat_ref,0))&amp;"","Matière inconnue"))</f>
        <v/>
      </c>
      <c r="D1404" s="69" t="str">
        <f>IF(B1404="","",IFERROR(INDEX(mat_unit,MATCH(B1404,mat_ref,0))&amp;"",""))</f>
        <v/>
      </c>
      <c r="E1404" s="72" t="n"/>
      <c r="F1404" s="65" t="n"/>
      <c r="G1404" s="68" t="str">
        <f>IF(J1404&lt;&gt;"OK","",IF(F1404="",N(INDEX(mat_loss,MATCH(B1404,mat_ref,0))),F1404))</f>
        <v/>
      </c>
      <c r="H1404" s="66" t="str">
        <f>IF(J1404&lt;&gt;"OK","",INDEX(mat_price,MATCH(B1404,mat_ref,0)))</f>
        <v/>
      </c>
      <c r="I1404" s="66" t="str">
        <f>IF(J1404&lt;&gt;"OK","",E1404*(1+G1404)*H1404)</f>
        <v/>
      </c>
      <c r="J1404" s="69" t="str">
        <f>IF(AND(A1404="",B1404=""),"",IF(A1404="","Produit manquant",IF(COUNTIF(prod_ref,A1404)=0,"Produit inconnu",IF(B1404="","Matière manquante",IF(ISNA(MATCH(B1404,mat_ref,0)),"Matière inconnue",IF(INDEX(mat_check,MATCH(B1404,mat_ref,0))&lt;&gt;"OK","Matière à corriger",IF(OR(NOT(ISNUMBER(E1404)),N(E1404)&lt;=0),"Quantité invalide",IF(AND(F1404&lt;&gt;"",OR(NOT(ISNUMBER(F1404)),N(F1404)&lt;0,N(F1404)&gt;=1)),"Perte entre 0 et 99 %",IF(COUNTIFS(bom_prod,A1404,bom_mat,B1404)&gt;1,"Matière en double","OK")))))))))</f>
        <v/>
      </c>
      <c r="K1404" s="71" t="str">
        <f>IF(AND(fiche_sel&lt;&gt;"",A1404=fiche_sel),COUNTIF(A$6:A1404,fiche_sel),"")</f>
        <v/>
      </c>
    </row>
    <row r="1405">
      <c r="A1405" s="60" t="n"/>
      <c r="B1405" s="60" t="n"/>
      <c r="C1405" s="71" t="str">
        <f>IF(B1405="","",IFERROR(INDEX(mat_des,MATCH(B1405,mat_ref,0))&amp;"","Matière inconnue"))</f>
        <v/>
      </c>
      <c r="D1405" s="69" t="str">
        <f>IF(B1405="","",IFERROR(INDEX(mat_unit,MATCH(B1405,mat_ref,0))&amp;"",""))</f>
        <v/>
      </c>
      <c r="E1405" s="72" t="n"/>
      <c r="F1405" s="65" t="n"/>
      <c r="G1405" s="68" t="str">
        <f>IF(J1405&lt;&gt;"OK","",IF(F1405="",N(INDEX(mat_loss,MATCH(B1405,mat_ref,0))),F1405))</f>
        <v/>
      </c>
      <c r="H1405" s="66" t="str">
        <f>IF(J1405&lt;&gt;"OK","",INDEX(mat_price,MATCH(B1405,mat_ref,0)))</f>
        <v/>
      </c>
      <c r="I1405" s="66" t="str">
        <f>IF(J1405&lt;&gt;"OK","",E1405*(1+G1405)*H1405)</f>
        <v/>
      </c>
      <c r="J1405" s="69" t="str">
        <f>IF(AND(A1405="",B1405=""),"",IF(A1405="","Produit manquant",IF(COUNTIF(prod_ref,A1405)=0,"Produit inconnu",IF(B1405="","Matière manquante",IF(ISNA(MATCH(B1405,mat_ref,0)),"Matière inconnue",IF(INDEX(mat_check,MATCH(B1405,mat_ref,0))&lt;&gt;"OK","Matière à corriger",IF(OR(NOT(ISNUMBER(E1405)),N(E1405)&lt;=0),"Quantité invalide",IF(AND(F1405&lt;&gt;"",OR(NOT(ISNUMBER(F1405)),N(F1405)&lt;0,N(F1405)&gt;=1)),"Perte entre 0 et 99 %",IF(COUNTIFS(bom_prod,A1405,bom_mat,B1405)&gt;1,"Matière en double","OK")))))))))</f>
        <v/>
      </c>
      <c r="K1405" s="71" t="str">
        <f>IF(AND(fiche_sel&lt;&gt;"",A1405=fiche_sel),COUNTIF(A$6:A1405,fiche_sel),"")</f>
        <v/>
      </c>
    </row>
    <row r="1406">
      <c r="A1406" s="60" t="n"/>
      <c r="B1406" s="60" t="n"/>
      <c r="C1406" s="71" t="str">
        <f>IF(B1406="","",IFERROR(INDEX(mat_des,MATCH(B1406,mat_ref,0))&amp;"","Matière inconnue"))</f>
        <v/>
      </c>
      <c r="D1406" s="69" t="str">
        <f>IF(B1406="","",IFERROR(INDEX(mat_unit,MATCH(B1406,mat_ref,0))&amp;"",""))</f>
        <v/>
      </c>
      <c r="E1406" s="72" t="n"/>
      <c r="F1406" s="65" t="n"/>
      <c r="G1406" s="68" t="str">
        <f>IF(J1406&lt;&gt;"OK","",IF(F1406="",N(INDEX(mat_loss,MATCH(B1406,mat_ref,0))),F1406))</f>
        <v/>
      </c>
      <c r="H1406" s="66" t="str">
        <f>IF(J1406&lt;&gt;"OK","",INDEX(mat_price,MATCH(B1406,mat_ref,0)))</f>
        <v/>
      </c>
      <c r="I1406" s="66" t="str">
        <f>IF(J1406&lt;&gt;"OK","",E1406*(1+G1406)*H1406)</f>
        <v/>
      </c>
      <c r="J1406" s="69" t="str">
        <f>IF(AND(A1406="",B1406=""),"",IF(A1406="","Produit manquant",IF(COUNTIF(prod_ref,A1406)=0,"Produit inconnu",IF(B1406="","Matière manquante",IF(ISNA(MATCH(B1406,mat_ref,0)),"Matière inconnue",IF(INDEX(mat_check,MATCH(B1406,mat_ref,0))&lt;&gt;"OK","Matière à corriger",IF(OR(NOT(ISNUMBER(E1406)),N(E1406)&lt;=0),"Quantité invalide",IF(AND(F1406&lt;&gt;"",OR(NOT(ISNUMBER(F1406)),N(F1406)&lt;0,N(F1406)&gt;=1)),"Perte entre 0 et 99 %",IF(COUNTIFS(bom_prod,A1406,bom_mat,B1406)&gt;1,"Matière en double","OK")))))))))</f>
        <v/>
      </c>
      <c r="K1406" s="71" t="str">
        <f>IF(AND(fiche_sel&lt;&gt;"",A1406=fiche_sel),COUNTIF(A$6:A1406,fiche_sel),"")</f>
        <v/>
      </c>
    </row>
    <row r="1407">
      <c r="A1407" s="60" t="n"/>
      <c r="B1407" s="60" t="n"/>
      <c r="C1407" s="71" t="str">
        <f>IF(B1407="","",IFERROR(INDEX(mat_des,MATCH(B1407,mat_ref,0))&amp;"","Matière inconnue"))</f>
        <v/>
      </c>
      <c r="D1407" s="69" t="str">
        <f>IF(B1407="","",IFERROR(INDEX(mat_unit,MATCH(B1407,mat_ref,0))&amp;"",""))</f>
        <v/>
      </c>
      <c r="E1407" s="72" t="n"/>
      <c r="F1407" s="65" t="n"/>
      <c r="G1407" s="68" t="str">
        <f>IF(J1407&lt;&gt;"OK","",IF(F1407="",N(INDEX(mat_loss,MATCH(B1407,mat_ref,0))),F1407))</f>
        <v/>
      </c>
      <c r="H1407" s="66" t="str">
        <f>IF(J1407&lt;&gt;"OK","",INDEX(mat_price,MATCH(B1407,mat_ref,0)))</f>
        <v/>
      </c>
      <c r="I1407" s="66" t="str">
        <f>IF(J1407&lt;&gt;"OK","",E1407*(1+G1407)*H1407)</f>
        <v/>
      </c>
      <c r="J1407" s="69" t="str">
        <f>IF(AND(A1407="",B1407=""),"",IF(A1407="","Produit manquant",IF(COUNTIF(prod_ref,A1407)=0,"Produit inconnu",IF(B1407="","Matière manquante",IF(ISNA(MATCH(B1407,mat_ref,0)),"Matière inconnue",IF(INDEX(mat_check,MATCH(B1407,mat_ref,0))&lt;&gt;"OK","Matière à corriger",IF(OR(NOT(ISNUMBER(E1407)),N(E1407)&lt;=0),"Quantité invalide",IF(AND(F1407&lt;&gt;"",OR(NOT(ISNUMBER(F1407)),N(F1407)&lt;0,N(F1407)&gt;=1)),"Perte entre 0 et 99 %",IF(COUNTIFS(bom_prod,A1407,bom_mat,B1407)&gt;1,"Matière en double","OK")))))))))</f>
        <v/>
      </c>
      <c r="K1407" s="71" t="str">
        <f>IF(AND(fiche_sel&lt;&gt;"",A1407=fiche_sel),COUNTIF(A$6:A1407,fiche_sel),"")</f>
        <v/>
      </c>
    </row>
    <row r="1408">
      <c r="A1408" s="60" t="n"/>
      <c r="B1408" s="60" t="n"/>
      <c r="C1408" s="71" t="str">
        <f>IF(B1408="","",IFERROR(INDEX(mat_des,MATCH(B1408,mat_ref,0))&amp;"","Matière inconnue"))</f>
        <v/>
      </c>
      <c r="D1408" s="69" t="str">
        <f>IF(B1408="","",IFERROR(INDEX(mat_unit,MATCH(B1408,mat_ref,0))&amp;"",""))</f>
        <v/>
      </c>
      <c r="E1408" s="72" t="n"/>
      <c r="F1408" s="65" t="n"/>
      <c r="G1408" s="68" t="str">
        <f>IF(J1408&lt;&gt;"OK","",IF(F1408="",N(INDEX(mat_loss,MATCH(B1408,mat_ref,0))),F1408))</f>
        <v/>
      </c>
      <c r="H1408" s="66" t="str">
        <f>IF(J1408&lt;&gt;"OK","",INDEX(mat_price,MATCH(B1408,mat_ref,0)))</f>
        <v/>
      </c>
      <c r="I1408" s="66" t="str">
        <f>IF(J1408&lt;&gt;"OK","",E1408*(1+G1408)*H1408)</f>
        <v/>
      </c>
      <c r="J1408" s="69" t="str">
        <f>IF(AND(A1408="",B1408=""),"",IF(A1408="","Produit manquant",IF(COUNTIF(prod_ref,A1408)=0,"Produit inconnu",IF(B1408="","Matière manquante",IF(ISNA(MATCH(B1408,mat_ref,0)),"Matière inconnue",IF(INDEX(mat_check,MATCH(B1408,mat_ref,0))&lt;&gt;"OK","Matière à corriger",IF(OR(NOT(ISNUMBER(E1408)),N(E1408)&lt;=0),"Quantité invalide",IF(AND(F1408&lt;&gt;"",OR(NOT(ISNUMBER(F1408)),N(F1408)&lt;0,N(F1408)&gt;=1)),"Perte entre 0 et 99 %",IF(COUNTIFS(bom_prod,A1408,bom_mat,B1408)&gt;1,"Matière en double","OK")))))))))</f>
        <v/>
      </c>
      <c r="K1408" s="71" t="str">
        <f>IF(AND(fiche_sel&lt;&gt;"",A1408=fiche_sel),COUNTIF(A$6:A1408,fiche_sel),"")</f>
        <v/>
      </c>
    </row>
    <row r="1409">
      <c r="A1409" s="60" t="n"/>
      <c r="B1409" s="60" t="n"/>
      <c r="C1409" s="71" t="str">
        <f>IF(B1409="","",IFERROR(INDEX(mat_des,MATCH(B1409,mat_ref,0))&amp;"","Matière inconnue"))</f>
        <v/>
      </c>
      <c r="D1409" s="69" t="str">
        <f>IF(B1409="","",IFERROR(INDEX(mat_unit,MATCH(B1409,mat_ref,0))&amp;"",""))</f>
        <v/>
      </c>
      <c r="E1409" s="72" t="n"/>
      <c r="F1409" s="65" t="n"/>
      <c r="G1409" s="68" t="str">
        <f>IF(J1409&lt;&gt;"OK","",IF(F1409="",N(INDEX(mat_loss,MATCH(B1409,mat_ref,0))),F1409))</f>
        <v/>
      </c>
      <c r="H1409" s="66" t="str">
        <f>IF(J1409&lt;&gt;"OK","",INDEX(mat_price,MATCH(B1409,mat_ref,0)))</f>
        <v/>
      </c>
      <c r="I1409" s="66" t="str">
        <f>IF(J1409&lt;&gt;"OK","",E1409*(1+G1409)*H1409)</f>
        <v/>
      </c>
      <c r="J1409" s="69" t="str">
        <f>IF(AND(A1409="",B1409=""),"",IF(A1409="","Produit manquant",IF(COUNTIF(prod_ref,A1409)=0,"Produit inconnu",IF(B1409="","Matière manquante",IF(ISNA(MATCH(B1409,mat_ref,0)),"Matière inconnue",IF(INDEX(mat_check,MATCH(B1409,mat_ref,0))&lt;&gt;"OK","Matière à corriger",IF(OR(NOT(ISNUMBER(E1409)),N(E1409)&lt;=0),"Quantité invalide",IF(AND(F1409&lt;&gt;"",OR(NOT(ISNUMBER(F1409)),N(F1409)&lt;0,N(F1409)&gt;=1)),"Perte entre 0 et 99 %",IF(COUNTIFS(bom_prod,A1409,bom_mat,B1409)&gt;1,"Matière en double","OK")))))))))</f>
        <v/>
      </c>
      <c r="K1409" s="71" t="str">
        <f>IF(AND(fiche_sel&lt;&gt;"",A1409=fiche_sel),COUNTIF(A$6:A1409,fiche_sel),"")</f>
        <v/>
      </c>
    </row>
    <row r="1410">
      <c r="A1410" s="60" t="n"/>
      <c r="B1410" s="60" t="n"/>
      <c r="C1410" s="71" t="str">
        <f>IF(B1410="","",IFERROR(INDEX(mat_des,MATCH(B1410,mat_ref,0))&amp;"","Matière inconnue"))</f>
        <v/>
      </c>
      <c r="D1410" s="69" t="str">
        <f>IF(B1410="","",IFERROR(INDEX(mat_unit,MATCH(B1410,mat_ref,0))&amp;"",""))</f>
        <v/>
      </c>
      <c r="E1410" s="72" t="n"/>
      <c r="F1410" s="65" t="n"/>
      <c r="G1410" s="68" t="str">
        <f>IF(J1410&lt;&gt;"OK","",IF(F1410="",N(INDEX(mat_loss,MATCH(B1410,mat_ref,0))),F1410))</f>
        <v/>
      </c>
      <c r="H1410" s="66" t="str">
        <f>IF(J1410&lt;&gt;"OK","",INDEX(mat_price,MATCH(B1410,mat_ref,0)))</f>
        <v/>
      </c>
      <c r="I1410" s="66" t="str">
        <f>IF(J1410&lt;&gt;"OK","",E1410*(1+G1410)*H1410)</f>
        <v/>
      </c>
      <c r="J1410" s="69" t="str">
        <f>IF(AND(A1410="",B1410=""),"",IF(A1410="","Produit manquant",IF(COUNTIF(prod_ref,A1410)=0,"Produit inconnu",IF(B1410="","Matière manquante",IF(ISNA(MATCH(B1410,mat_ref,0)),"Matière inconnue",IF(INDEX(mat_check,MATCH(B1410,mat_ref,0))&lt;&gt;"OK","Matière à corriger",IF(OR(NOT(ISNUMBER(E1410)),N(E1410)&lt;=0),"Quantité invalide",IF(AND(F1410&lt;&gt;"",OR(NOT(ISNUMBER(F1410)),N(F1410)&lt;0,N(F1410)&gt;=1)),"Perte entre 0 et 99 %",IF(COUNTIFS(bom_prod,A1410,bom_mat,B1410)&gt;1,"Matière en double","OK")))))))))</f>
        <v/>
      </c>
      <c r="K1410" s="71" t="str">
        <f>IF(AND(fiche_sel&lt;&gt;"",A1410=fiche_sel),COUNTIF(A$6:A1410,fiche_sel),"")</f>
        <v/>
      </c>
    </row>
    <row r="1411">
      <c r="A1411" s="60" t="n"/>
      <c r="B1411" s="60" t="n"/>
      <c r="C1411" s="71" t="str">
        <f>IF(B1411="","",IFERROR(INDEX(mat_des,MATCH(B1411,mat_ref,0))&amp;"","Matière inconnue"))</f>
        <v/>
      </c>
      <c r="D1411" s="69" t="str">
        <f>IF(B1411="","",IFERROR(INDEX(mat_unit,MATCH(B1411,mat_ref,0))&amp;"",""))</f>
        <v/>
      </c>
      <c r="E1411" s="72" t="n"/>
      <c r="F1411" s="65" t="n"/>
      <c r="G1411" s="68" t="str">
        <f>IF(J1411&lt;&gt;"OK","",IF(F1411="",N(INDEX(mat_loss,MATCH(B1411,mat_ref,0))),F1411))</f>
        <v/>
      </c>
      <c r="H1411" s="66" t="str">
        <f>IF(J1411&lt;&gt;"OK","",INDEX(mat_price,MATCH(B1411,mat_ref,0)))</f>
        <v/>
      </c>
      <c r="I1411" s="66" t="str">
        <f>IF(J1411&lt;&gt;"OK","",E1411*(1+G1411)*H1411)</f>
        <v/>
      </c>
      <c r="J1411" s="69" t="str">
        <f>IF(AND(A1411="",B1411=""),"",IF(A1411="","Produit manquant",IF(COUNTIF(prod_ref,A1411)=0,"Produit inconnu",IF(B1411="","Matière manquante",IF(ISNA(MATCH(B1411,mat_ref,0)),"Matière inconnue",IF(INDEX(mat_check,MATCH(B1411,mat_ref,0))&lt;&gt;"OK","Matière à corriger",IF(OR(NOT(ISNUMBER(E1411)),N(E1411)&lt;=0),"Quantité invalide",IF(AND(F1411&lt;&gt;"",OR(NOT(ISNUMBER(F1411)),N(F1411)&lt;0,N(F1411)&gt;=1)),"Perte entre 0 et 99 %",IF(COUNTIFS(bom_prod,A1411,bom_mat,B1411)&gt;1,"Matière en double","OK")))))))))</f>
        <v/>
      </c>
      <c r="K1411" s="71" t="str">
        <f>IF(AND(fiche_sel&lt;&gt;"",A1411=fiche_sel),COUNTIF(A$6:A1411,fiche_sel),"")</f>
        <v/>
      </c>
    </row>
    <row r="1412">
      <c r="A1412" s="60" t="n"/>
      <c r="B1412" s="60" t="n"/>
      <c r="C1412" s="71" t="str">
        <f>IF(B1412="","",IFERROR(INDEX(mat_des,MATCH(B1412,mat_ref,0))&amp;"","Matière inconnue"))</f>
        <v/>
      </c>
      <c r="D1412" s="69" t="str">
        <f>IF(B1412="","",IFERROR(INDEX(mat_unit,MATCH(B1412,mat_ref,0))&amp;"",""))</f>
        <v/>
      </c>
      <c r="E1412" s="72" t="n"/>
      <c r="F1412" s="65" t="n"/>
      <c r="G1412" s="68" t="str">
        <f>IF(J1412&lt;&gt;"OK","",IF(F1412="",N(INDEX(mat_loss,MATCH(B1412,mat_ref,0))),F1412))</f>
        <v/>
      </c>
      <c r="H1412" s="66" t="str">
        <f>IF(J1412&lt;&gt;"OK","",INDEX(mat_price,MATCH(B1412,mat_ref,0)))</f>
        <v/>
      </c>
      <c r="I1412" s="66" t="str">
        <f>IF(J1412&lt;&gt;"OK","",E1412*(1+G1412)*H1412)</f>
        <v/>
      </c>
      <c r="J1412" s="69" t="str">
        <f>IF(AND(A1412="",B1412=""),"",IF(A1412="","Produit manquant",IF(COUNTIF(prod_ref,A1412)=0,"Produit inconnu",IF(B1412="","Matière manquante",IF(ISNA(MATCH(B1412,mat_ref,0)),"Matière inconnue",IF(INDEX(mat_check,MATCH(B1412,mat_ref,0))&lt;&gt;"OK","Matière à corriger",IF(OR(NOT(ISNUMBER(E1412)),N(E1412)&lt;=0),"Quantité invalide",IF(AND(F1412&lt;&gt;"",OR(NOT(ISNUMBER(F1412)),N(F1412)&lt;0,N(F1412)&gt;=1)),"Perte entre 0 et 99 %",IF(COUNTIFS(bom_prod,A1412,bom_mat,B1412)&gt;1,"Matière en double","OK")))))))))</f>
        <v/>
      </c>
      <c r="K1412" s="71" t="str">
        <f>IF(AND(fiche_sel&lt;&gt;"",A1412=fiche_sel),COUNTIF(A$6:A1412,fiche_sel),"")</f>
        <v/>
      </c>
    </row>
    <row r="1413">
      <c r="A1413" s="60" t="n"/>
      <c r="B1413" s="60" t="n"/>
      <c r="C1413" s="71" t="str">
        <f>IF(B1413="","",IFERROR(INDEX(mat_des,MATCH(B1413,mat_ref,0))&amp;"","Matière inconnue"))</f>
        <v/>
      </c>
      <c r="D1413" s="69" t="str">
        <f>IF(B1413="","",IFERROR(INDEX(mat_unit,MATCH(B1413,mat_ref,0))&amp;"",""))</f>
        <v/>
      </c>
      <c r="E1413" s="72" t="n"/>
      <c r="F1413" s="65" t="n"/>
      <c r="G1413" s="68" t="str">
        <f>IF(J1413&lt;&gt;"OK","",IF(F1413="",N(INDEX(mat_loss,MATCH(B1413,mat_ref,0))),F1413))</f>
        <v/>
      </c>
      <c r="H1413" s="66" t="str">
        <f>IF(J1413&lt;&gt;"OK","",INDEX(mat_price,MATCH(B1413,mat_ref,0)))</f>
        <v/>
      </c>
      <c r="I1413" s="66" t="str">
        <f>IF(J1413&lt;&gt;"OK","",E1413*(1+G1413)*H1413)</f>
        <v/>
      </c>
      <c r="J1413" s="69" t="str">
        <f>IF(AND(A1413="",B1413=""),"",IF(A1413="","Produit manquant",IF(COUNTIF(prod_ref,A1413)=0,"Produit inconnu",IF(B1413="","Matière manquante",IF(ISNA(MATCH(B1413,mat_ref,0)),"Matière inconnue",IF(INDEX(mat_check,MATCH(B1413,mat_ref,0))&lt;&gt;"OK","Matière à corriger",IF(OR(NOT(ISNUMBER(E1413)),N(E1413)&lt;=0),"Quantité invalide",IF(AND(F1413&lt;&gt;"",OR(NOT(ISNUMBER(F1413)),N(F1413)&lt;0,N(F1413)&gt;=1)),"Perte entre 0 et 99 %",IF(COUNTIFS(bom_prod,A1413,bom_mat,B1413)&gt;1,"Matière en double","OK")))))))))</f>
        <v/>
      </c>
      <c r="K1413" s="71" t="str">
        <f>IF(AND(fiche_sel&lt;&gt;"",A1413=fiche_sel),COUNTIF(A$6:A1413,fiche_sel),"")</f>
        <v/>
      </c>
    </row>
    <row r="1414">
      <c r="A1414" s="60" t="n"/>
      <c r="B1414" s="60" t="n"/>
      <c r="C1414" s="71" t="str">
        <f>IF(B1414="","",IFERROR(INDEX(mat_des,MATCH(B1414,mat_ref,0))&amp;"","Matière inconnue"))</f>
        <v/>
      </c>
      <c r="D1414" s="69" t="str">
        <f>IF(B1414="","",IFERROR(INDEX(mat_unit,MATCH(B1414,mat_ref,0))&amp;"",""))</f>
        <v/>
      </c>
      <c r="E1414" s="72" t="n"/>
      <c r="F1414" s="65" t="n"/>
      <c r="G1414" s="68" t="str">
        <f>IF(J1414&lt;&gt;"OK","",IF(F1414="",N(INDEX(mat_loss,MATCH(B1414,mat_ref,0))),F1414))</f>
        <v/>
      </c>
      <c r="H1414" s="66" t="str">
        <f>IF(J1414&lt;&gt;"OK","",INDEX(mat_price,MATCH(B1414,mat_ref,0)))</f>
        <v/>
      </c>
      <c r="I1414" s="66" t="str">
        <f>IF(J1414&lt;&gt;"OK","",E1414*(1+G1414)*H1414)</f>
        <v/>
      </c>
      <c r="J1414" s="69" t="str">
        <f>IF(AND(A1414="",B1414=""),"",IF(A1414="","Produit manquant",IF(COUNTIF(prod_ref,A1414)=0,"Produit inconnu",IF(B1414="","Matière manquante",IF(ISNA(MATCH(B1414,mat_ref,0)),"Matière inconnue",IF(INDEX(mat_check,MATCH(B1414,mat_ref,0))&lt;&gt;"OK","Matière à corriger",IF(OR(NOT(ISNUMBER(E1414)),N(E1414)&lt;=0),"Quantité invalide",IF(AND(F1414&lt;&gt;"",OR(NOT(ISNUMBER(F1414)),N(F1414)&lt;0,N(F1414)&gt;=1)),"Perte entre 0 et 99 %",IF(COUNTIFS(bom_prod,A1414,bom_mat,B1414)&gt;1,"Matière en double","OK")))))))))</f>
        <v/>
      </c>
      <c r="K1414" s="71" t="str">
        <f>IF(AND(fiche_sel&lt;&gt;"",A1414=fiche_sel),COUNTIF(A$6:A1414,fiche_sel),"")</f>
        <v/>
      </c>
    </row>
    <row r="1415">
      <c r="A1415" s="60" t="n"/>
      <c r="B1415" s="60" t="n"/>
      <c r="C1415" s="71" t="str">
        <f>IF(B1415="","",IFERROR(INDEX(mat_des,MATCH(B1415,mat_ref,0))&amp;"","Matière inconnue"))</f>
        <v/>
      </c>
      <c r="D1415" s="69" t="str">
        <f>IF(B1415="","",IFERROR(INDEX(mat_unit,MATCH(B1415,mat_ref,0))&amp;"",""))</f>
        <v/>
      </c>
      <c r="E1415" s="72" t="n"/>
      <c r="F1415" s="65" t="n"/>
      <c r="G1415" s="68" t="str">
        <f>IF(J1415&lt;&gt;"OK","",IF(F1415="",N(INDEX(mat_loss,MATCH(B1415,mat_ref,0))),F1415))</f>
        <v/>
      </c>
      <c r="H1415" s="66" t="str">
        <f>IF(J1415&lt;&gt;"OK","",INDEX(mat_price,MATCH(B1415,mat_ref,0)))</f>
        <v/>
      </c>
      <c r="I1415" s="66" t="str">
        <f>IF(J1415&lt;&gt;"OK","",E1415*(1+G1415)*H1415)</f>
        <v/>
      </c>
      <c r="J1415" s="69" t="str">
        <f>IF(AND(A1415="",B1415=""),"",IF(A1415="","Produit manquant",IF(COUNTIF(prod_ref,A1415)=0,"Produit inconnu",IF(B1415="","Matière manquante",IF(ISNA(MATCH(B1415,mat_ref,0)),"Matière inconnue",IF(INDEX(mat_check,MATCH(B1415,mat_ref,0))&lt;&gt;"OK","Matière à corriger",IF(OR(NOT(ISNUMBER(E1415)),N(E1415)&lt;=0),"Quantité invalide",IF(AND(F1415&lt;&gt;"",OR(NOT(ISNUMBER(F1415)),N(F1415)&lt;0,N(F1415)&gt;=1)),"Perte entre 0 et 99 %",IF(COUNTIFS(bom_prod,A1415,bom_mat,B1415)&gt;1,"Matière en double","OK")))))))))</f>
        <v/>
      </c>
      <c r="K1415" s="71" t="str">
        <f>IF(AND(fiche_sel&lt;&gt;"",A1415=fiche_sel),COUNTIF(A$6:A1415,fiche_sel),"")</f>
        <v/>
      </c>
    </row>
    <row r="1416">
      <c r="A1416" s="60" t="n"/>
      <c r="B1416" s="60" t="n"/>
      <c r="C1416" s="71" t="str">
        <f>IF(B1416="","",IFERROR(INDEX(mat_des,MATCH(B1416,mat_ref,0))&amp;"","Matière inconnue"))</f>
        <v/>
      </c>
      <c r="D1416" s="69" t="str">
        <f>IF(B1416="","",IFERROR(INDEX(mat_unit,MATCH(B1416,mat_ref,0))&amp;"",""))</f>
        <v/>
      </c>
      <c r="E1416" s="72" t="n"/>
      <c r="F1416" s="65" t="n"/>
      <c r="G1416" s="68" t="str">
        <f>IF(J1416&lt;&gt;"OK","",IF(F1416="",N(INDEX(mat_loss,MATCH(B1416,mat_ref,0))),F1416))</f>
        <v/>
      </c>
      <c r="H1416" s="66" t="str">
        <f>IF(J1416&lt;&gt;"OK","",INDEX(mat_price,MATCH(B1416,mat_ref,0)))</f>
        <v/>
      </c>
      <c r="I1416" s="66" t="str">
        <f>IF(J1416&lt;&gt;"OK","",E1416*(1+G1416)*H1416)</f>
        <v/>
      </c>
      <c r="J1416" s="69" t="str">
        <f>IF(AND(A1416="",B1416=""),"",IF(A1416="","Produit manquant",IF(COUNTIF(prod_ref,A1416)=0,"Produit inconnu",IF(B1416="","Matière manquante",IF(ISNA(MATCH(B1416,mat_ref,0)),"Matière inconnue",IF(INDEX(mat_check,MATCH(B1416,mat_ref,0))&lt;&gt;"OK","Matière à corriger",IF(OR(NOT(ISNUMBER(E1416)),N(E1416)&lt;=0),"Quantité invalide",IF(AND(F1416&lt;&gt;"",OR(NOT(ISNUMBER(F1416)),N(F1416)&lt;0,N(F1416)&gt;=1)),"Perte entre 0 et 99 %",IF(COUNTIFS(bom_prod,A1416,bom_mat,B1416)&gt;1,"Matière en double","OK")))))))))</f>
        <v/>
      </c>
      <c r="K1416" s="71" t="str">
        <f>IF(AND(fiche_sel&lt;&gt;"",A1416=fiche_sel),COUNTIF(A$6:A1416,fiche_sel),"")</f>
        <v/>
      </c>
    </row>
    <row r="1417">
      <c r="A1417" s="60" t="n"/>
      <c r="B1417" s="60" t="n"/>
      <c r="C1417" s="71" t="str">
        <f>IF(B1417="","",IFERROR(INDEX(mat_des,MATCH(B1417,mat_ref,0))&amp;"","Matière inconnue"))</f>
        <v/>
      </c>
      <c r="D1417" s="69" t="str">
        <f>IF(B1417="","",IFERROR(INDEX(mat_unit,MATCH(B1417,mat_ref,0))&amp;"",""))</f>
        <v/>
      </c>
      <c r="E1417" s="72" t="n"/>
      <c r="F1417" s="65" t="n"/>
      <c r="G1417" s="68" t="str">
        <f>IF(J1417&lt;&gt;"OK","",IF(F1417="",N(INDEX(mat_loss,MATCH(B1417,mat_ref,0))),F1417))</f>
        <v/>
      </c>
      <c r="H1417" s="66" t="str">
        <f>IF(J1417&lt;&gt;"OK","",INDEX(mat_price,MATCH(B1417,mat_ref,0)))</f>
        <v/>
      </c>
      <c r="I1417" s="66" t="str">
        <f>IF(J1417&lt;&gt;"OK","",E1417*(1+G1417)*H1417)</f>
        <v/>
      </c>
      <c r="J1417" s="69" t="str">
        <f>IF(AND(A1417="",B1417=""),"",IF(A1417="","Produit manquant",IF(COUNTIF(prod_ref,A1417)=0,"Produit inconnu",IF(B1417="","Matière manquante",IF(ISNA(MATCH(B1417,mat_ref,0)),"Matière inconnue",IF(INDEX(mat_check,MATCH(B1417,mat_ref,0))&lt;&gt;"OK","Matière à corriger",IF(OR(NOT(ISNUMBER(E1417)),N(E1417)&lt;=0),"Quantité invalide",IF(AND(F1417&lt;&gt;"",OR(NOT(ISNUMBER(F1417)),N(F1417)&lt;0,N(F1417)&gt;=1)),"Perte entre 0 et 99 %",IF(COUNTIFS(bom_prod,A1417,bom_mat,B1417)&gt;1,"Matière en double","OK")))))))))</f>
        <v/>
      </c>
      <c r="K1417" s="71" t="str">
        <f>IF(AND(fiche_sel&lt;&gt;"",A1417=fiche_sel),COUNTIF(A$6:A1417,fiche_sel),"")</f>
        <v/>
      </c>
    </row>
    <row r="1418">
      <c r="A1418" s="60" t="n"/>
      <c r="B1418" s="60" t="n"/>
      <c r="C1418" s="71" t="str">
        <f>IF(B1418="","",IFERROR(INDEX(mat_des,MATCH(B1418,mat_ref,0))&amp;"","Matière inconnue"))</f>
        <v/>
      </c>
      <c r="D1418" s="69" t="str">
        <f>IF(B1418="","",IFERROR(INDEX(mat_unit,MATCH(B1418,mat_ref,0))&amp;"",""))</f>
        <v/>
      </c>
      <c r="E1418" s="72" t="n"/>
      <c r="F1418" s="65" t="n"/>
      <c r="G1418" s="68" t="str">
        <f>IF(J1418&lt;&gt;"OK","",IF(F1418="",N(INDEX(mat_loss,MATCH(B1418,mat_ref,0))),F1418))</f>
        <v/>
      </c>
      <c r="H1418" s="66" t="str">
        <f>IF(J1418&lt;&gt;"OK","",INDEX(mat_price,MATCH(B1418,mat_ref,0)))</f>
        <v/>
      </c>
      <c r="I1418" s="66" t="str">
        <f>IF(J1418&lt;&gt;"OK","",E1418*(1+G1418)*H1418)</f>
        <v/>
      </c>
      <c r="J1418" s="69" t="str">
        <f>IF(AND(A1418="",B1418=""),"",IF(A1418="","Produit manquant",IF(COUNTIF(prod_ref,A1418)=0,"Produit inconnu",IF(B1418="","Matière manquante",IF(ISNA(MATCH(B1418,mat_ref,0)),"Matière inconnue",IF(INDEX(mat_check,MATCH(B1418,mat_ref,0))&lt;&gt;"OK","Matière à corriger",IF(OR(NOT(ISNUMBER(E1418)),N(E1418)&lt;=0),"Quantité invalide",IF(AND(F1418&lt;&gt;"",OR(NOT(ISNUMBER(F1418)),N(F1418)&lt;0,N(F1418)&gt;=1)),"Perte entre 0 et 99 %",IF(COUNTIFS(bom_prod,A1418,bom_mat,B1418)&gt;1,"Matière en double","OK")))))))))</f>
        <v/>
      </c>
      <c r="K1418" s="71" t="str">
        <f>IF(AND(fiche_sel&lt;&gt;"",A1418=fiche_sel),COUNTIF(A$6:A1418,fiche_sel),"")</f>
        <v/>
      </c>
    </row>
    <row r="1419">
      <c r="A1419" s="60" t="n"/>
      <c r="B1419" s="60" t="n"/>
      <c r="C1419" s="71" t="str">
        <f>IF(B1419="","",IFERROR(INDEX(mat_des,MATCH(B1419,mat_ref,0))&amp;"","Matière inconnue"))</f>
        <v/>
      </c>
      <c r="D1419" s="69" t="str">
        <f>IF(B1419="","",IFERROR(INDEX(mat_unit,MATCH(B1419,mat_ref,0))&amp;"",""))</f>
        <v/>
      </c>
      <c r="E1419" s="72" t="n"/>
      <c r="F1419" s="65" t="n"/>
      <c r="G1419" s="68" t="str">
        <f>IF(J1419&lt;&gt;"OK","",IF(F1419="",N(INDEX(mat_loss,MATCH(B1419,mat_ref,0))),F1419))</f>
        <v/>
      </c>
      <c r="H1419" s="66" t="str">
        <f>IF(J1419&lt;&gt;"OK","",INDEX(mat_price,MATCH(B1419,mat_ref,0)))</f>
        <v/>
      </c>
      <c r="I1419" s="66" t="str">
        <f>IF(J1419&lt;&gt;"OK","",E1419*(1+G1419)*H1419)</f>
        <v/>
      </c>
      <c r="J1419" s="69" t="str">
        <f>IF(AND(A1419="",B1419=""),"",IF(A1419="","Produit manquant",IF(COUNTIF(prod_ref,A1419)=0,"Produit inconnu",IF(B1419="","Matière manquante",IF(ISNA(MATCH(B1419,mat_ref,0)),"Matière inconnue",IF(INDEX(mat_check,MATCH(B1419,mat_ref,0))&lt;&gt;"OK","Matière à corriger",IF(OR(NOT(ISNUMBER(E1419)),N(E1419)&lt;=0),"Quantité invalide",IF(AND(F1419&lt;&gt;"",OR(NOT(ISNUMBER(F1419)),N(F1419)&lt;0,N(F1419)&gt;=1)),"Perte entre 0 et 99 %",IF(COUNTIFS(bom_prod,A1419,bom_mat,B1419)&gt;1,"Matière en double","OK")))))))))</f>
        <v/>
      </c>
      <c r="K1419" s="71" t="str">
        <f>IF(AND(fiche_sel&lt;&gt;"",A1419=fiche_sel),COUNTIF(A$6:A1419,fiche_sel),"")</f>
        <v/>
      </c>
    </row>
    <row r="1420">
      <c r="A1420" s="60" t="n"/>
      <c r="B1420" s="60" t="n"/>
      <c r="C1420" s="71" t="str">
        <f>IF(B1420="","",IFERROR(INDEX(mat_des,MATCH(B1420,mat_ref,0))&amp;"","Matière inconnue"))</f>
        <v/>
      </c>
      <c r="D1420" s="69" t="str">
        <f>IF(B1420="","",IFERROR(INDEX(mat_unit,MATCH(B1420,mat_ref,0))&amp;"",""))</f>
        <v/>
      </c>
      <c r="E1420" s="72" t="n"/>
      <c r="F1420" s="65" t="n"/>
      <c r="G1420" s="68" t="str">
        <f>IF(J1420&lt;&gt;"OK","",IF(F1420="",N(INDEX(mat_loss,MATCH(B1420,mat_ref,0))),F1420))</f>
        <v/>
      </c>
      <c r="H1420" s="66" t="str">
        <f>IF(J1420&lt;&gt;"OK","",INDEX(mat_price,MATCH(B1420,mat_ref,0)))</f>
        <v/>
      </c>
      <c r="I1420" s="66" t="str">
        <f>IF(J1420&lt;&gt;"OK","",E1420*(1+G1420)*H1420)</f>
        <v/>
      </c>
      <c r="J1420" s="69" t="str">
        <f>IF(AND(A1420="",B1420=""),"",IF(A1420="","Produit manquant",IF(COUNTIF(prod_ref,A1420)=0,"Produit inconnu",IF(B1420="","Matière manquante",IF(ISNA(MATCH(B1420,mat_ref,0)),"Matière inconnue",IF(INDEX(mat_check,MATCH(B1420,mat_ref,0))&lt;&gt;"OK","Matière à corriger",IF(OR(NOT(ISNUMBER(E1420)),N(E1420)&lt;=0),"Quantité invalide",IF(AND(F1420&lt;&gt;"",OR(NOT(ISNUMBER(F1420)),N(F1420)&lt;0,N(F1420)&gt;=1)),"Perte entre 0 et 99 %",IF(COUNTIFS(bom_prod,A1420,bom_mat,B1420)&gt;1,"Matière en double","OK")))))))))</f>
        <v/>
      </c>
      <c r="K1420" s="71" t="str">
        <f>IF(AND(fiche_sel&lt;&gt;"",A1420=fiche_sel),COUNTIF(A$6:A1420,fiche_sel),"")</f>
        <v/>
      </c>
    </row>
    <row r="1421">
      <c r="A1421" s="60" t="n"/>
      <c r="B1421" s="60" t="n"/>
      <c r="C1421" s="71" t="str">
        <f>IF(B1421="","",IFERROR(INDEX(mat_des,MATCH(B1421,mat_ref,0))&amp;"","Matière inconnue"))</f>
        <v/>
      </c>
      <c r="D1421" s="69" t="str">
        <f>IF(B1421="","",IFERROR(INDEX(mat_unit,MATCH(B1421,mat_ref,0))&amp;"",""))</f>
        <v/>
      </c>
      <c r="E1421" s="72" t="n"/>
      <c r="F1421" s="65" t="n"/>
      <c r="G1421" s="68" t="str">
        <f>IF(J1421&lt;&gt;"OK","",IF(F1421="",N(INDEX(mat_loss,MATCH(B1421,mat_ref,0))),F1421))</f>
        <v/>
      </c>
      <c r="H1421" s="66" t="str">
        <f>IF(J1421&lt;&gt;"OK","",INDEX(mat_price,MATCH(B1421,mat_ref,0)))</f>
        <v/>
      </c>
      <c r="I1421" s="66" t="str">
        <f>IF(J1421&lt;&gt;"OK","",E1421*(1+G1421)*H1421)</f>
        <v/>
      </c>
      <c r="J1421" s="69" t="str">
        <f>IF(AND(A1421="",B1421=""),"",IF(A1421="","Produit manquant",IF(COUNTIF(prod_ref,A1421)=0,"Produit inconnu",IF(B1421="","Matière manquante",IF(ISNA(MATCH(B1421,mat_ref,0)),"Matière inconnue",IF(INDEX(mat_check,MATCH(B1421,mat_ref,0))&lt;&gt;"OK","Matière à corriger",IF(OR(NOT(ISNUMBER(E1421)),N(E1421)&lt;=0),"Quantité invalide",IF(AND(F1421&lt;&gt;"",OR(NOT(ISNUMBER(F1421)),N(F1421)&lt;0,N(F1421)&gt;=1)),"Perte entre 0 et 99 %",IF(COUNTIFS(bom_prod,A1421,bom_mat,B1421)&gt;1,"Matière en double","OK")))))))))</f>
        <v/>
      </c>
      <c r="K1421" s="71" t="str">
        <f>IF(AND(fiche_sel&lt;&gt;"",A1421=fiche_sel),COUNTIF(A$6:A1421,fiche_sel),"")</f>
        <v/>
      </c>
    </row>
    <row r="1422">
      <c r="A1422" s="60" t="n"/>
      <c r="B1422" s="60" t="n"/>
      <c r="C1422" s="71" t="str">
        <f>IF(B1422="","",IFERROR(INDEX(mat_des,MATCH(B1422,mat_ref,0))&amp;"","Matière inconnue"))</f>
        <v/>
      </c>
      <c r="D1422" s="69" t="str">
        <f>IF(B1422="","",IFERROR(INDEX(mat_unit,MATCH(B1422,mat_ref,0))&amp;"",""))</f>
        <v/>
      </c>
      <c r="E1422" s="72" t="n"/>
      <c r="F1422" s="65" t="n"/>
      <c r="G1422" s="68" t="str">
        <f>IF(J1422&lt;&gt;"OK","",IF(F1422="",N(INDEX(mat_loss,MATCH(B1422,mat_ref,0))),F1422))</f>
        <v/>
      </c>
      <c r="H1422" s="66" t="str">
        <f>IF(J1422&lt;&gt;"OK","",INDEX(mat_price,MATCH(B1422,mat_ref,0)))</f>
        <v/>
      </c>
      <c r="I1422" s="66" t="str">
        <f>IF(J1422&lt;&gt;"OK","",E1422*(1+G1422)*H1422)</f>
        <v/>
      </c>
      <c r="J1422" s="69" t="str">
        <f>IF(AND(A1422="",B1422=""),"",IF(A1422="","Produit manquant",IF(COUNTIF(prod_ref,A1422)=0,"Produit inconnu",IF(B1422="","Matière manquante",IF(ISNA(MATCH(B1422,mat_ref,0)),"Matière inconnue",IF(INDEX(mat_check,MATCH(B1422,mat_ref,0))&lt;&gt;"OK","Matière à corriger",IF(OR(NOT(ISNUMBER(E1422)),N(E1422)&lt;=0),"Quantité invalide",IF(AND(F1422&lt;&gt;"",OR(NOT(ISNUMBER(F1422)),N(F1422)&lt;0,N(F1422)&gt;=1)),"Perte entre 0 et 99 %",IF(COUNTIFS(bom_prod,A1422,bom_mat,B1422)&gt;1,"Matière en double","OK")))))))))</f>
        <v/>
      </c>
      <c r="K1422" s="71" t="str">
        <f>IF(AND(fiche_sel&lt;&gt;"",A1422=fiche_sel),COUNTIF(A$6:A1422,fiche_sel),"")</f>
        <v/>
      </c>
    </row>
    <row r="1423">
      <c r="A1423" s="60" t="n"/>
      <c r="B1423" s="60" t="n"/>
      <c r="C1423" s="71" t="str">
        <f>IF(B1423="","",IFERROR(INDEX(mat_des,MATCH(B1423,mat_ref,0))&amp;"","Matière inconnue"))</f>
        <v/>
      </c>
      <c r="D1423" s="69" t="str">
        <f>IF(B1423="","",IFERROR(INDEX(mat_unit,MATCH(B1423,mat_ref,0))&amp;"",""))</f>
        <v/>
      </c>
      <c r="E1423" s="72" t="n"/>
      <c r="F1423" s="65" t="n"/>
      <c r="G1423" s="68" t="str">
        <f>IF(J1423&lt;&gt;"OK","",IF(F1423="",N(INDEX(mat_loss,MATCH(B1423,mat_ref,0))),F1423))</f>
        <v/>
      </c>
      <c r="H1423" s="66" t="str">
        <f>IF(J1423&lt;&gt;"OK","",INDEX(mat_price,MATCH(B1423,mat_ref,0)))</f>
        <v/>
      </c>
      <c r="I1423" s="66" t="str">
        <f>IF(J1423&lt;&gt;"OK","",E1423*(1+G1423)*H1423)</f>
        <v/>
      </c>
      <c r="J1423" s="69" t="str">
        <f>IF(AND(A1423="",B1423=""),"",IF(A1423="","Produit manquant",IF(COUNTIF(prod_ref,A1423)=0,"Produit inconnu",IF(B1423="","Matière manquante",IF(ISNA(MATCH(B1423,mat_ref,0)),"Matière inconnue",IF(INDEX(mat_check,MATCH(B1423,mat_ref,0))&lt;&gt;"OK","Matière à corriger",IF(OR(NOT(ISNUMBER(E1423)),N(E1423)&lt;=0),"Quantité invalide",IF(AND(F1423&lt;&gt;"",OR(NOT(ISNUMBER(F1423)),N(F1423)&lt;0,N(F1423)&gt;=1)),"Perte entre 0 et 99 %",IF(COUNTIFS(bom_prod,A1423,bom_mat,B1423)&gt;1,"Matière en double","OK")))))))))</f>
        <v/>
      </c>
      <c r="K1423" s="71" t="str">
        <f>IF(AND(fiche_sel&lt;&gt;"",A1423=fiche_sel),COUNTIF(A$6:A1423,fiche_sel),"")</f>
        <v/>
      </c>
    </row>
    <row r="1424">
      <c r="A1424" s="60" t="n"/>
      <c r="B1424" s="60" t="n"/>
      <c r="C1424" s="71" t="str">
        <f>IF(B1424="","",IFERROR(INDEX(mat_des,MATCH(B1424,mat_ref,0))&amp;"","Matière inconnue"))</f>
        <v/>
      </c>
      <c r="D1424" s="69" t="str">
        <f>IF(B1424="","",IFERROR(INDEX(mat_unit,MATCH(B1424,mat_ref,0))&amp;"",""))</f>
        <v/>
      </c>
      <c r="E1424" s="72" t="n"/>
      <c r="F1424" s="65" t="n"/>
      <c r="G1424" s="68" t="str">
        <f>IF(J1424&lt;&gt;"OK","",IF(F1424="",N(INDEX(mat_loss,MATCH(B1424,mat_ref,0))),F1424))</f>
        <v/>
      </c>
      <c r="H1424" s="66" t="str">
        <f>IF(J1424&lt;&gt;"OK","",INDEX(mat_price,MATCH(B1424,mat_ref,0)))</f>
        <v/>
      </c>
      <c r="I1424" s="66" t="str">
        <f>IF(J1424&lt;&gt;"OK","",E1424*(1+G1424)*H1424)</f>
        <v/>
      </c>
      <c r="J1424" s="69" t="str">
        <f>IF(AND(A1424="",B1424=""),"",IF(A1424="","Produit manquant",IF(COUNTIF(prod_ref,A1424)=0,"Produit inconnu",IF(B1424="","Matière manquante",IF(ISNA(MATCH(B1424,mat_ref,0)),"Matière inconnue",IF(INDEX(mat_check,MATCH(B1424,mat_ref,0))&lt;&gt;"OK","Matière à corriger",IF(OR(NOT(ISNUMBER(E1424)),N(E1424)&lt;=0),"Quantité invalide",IF(AND(F1424&lt;&gt;"",OR(NOT(ISNUMBER(F1424)),N(F1424)&lt;0,N(F1424)&gt;=1)),"Perte entre 0 et 99 %",IF(COUNTIFS(bom_prod,A1424,bom_mat,B1424)&gt;1,"Matière en double","OK")))))))))</f>
        <v/>
      </c>
      <c r="K1424" s="71" t="str">
        <f>IF(AND(fiche_sel&lt;&gt;"",A1424=fiche_sel),COUNTIF(A$6:A1424,fiche_sel),"")</f>
        <v/>
      </c>
    </row>
    <row r="1425">
      <c r="A1425" s="60" t="n"/>
      <c r="B1425" s="60" t="n"/>
      <c r="C1425" s="71" t="str">
        <f>IF(B1425="","",IFERROR(INDEX(mat_des,MATCH(B1425,mat_ref,0))&amp;"","Matière inconnue"))</f>
        <v/>
      </c>
      <c r="D1425" s="69" t="str">
        <f>IF(B1425="","",IFERROR(INDEX(mat_unit,MATCH(B1425,mat_ref,0))&amp;"",""))</f>
        <v/>
      </c>
      <c r="E1425" s="72" t="n"/>
      <c r="F1425" s="65" t="n"/>
      <c r="G1425" s="68" t="str">
        <f>IF(J1425&lt;&gt;"OK","",IF(F1425="",N(INDEX(mat_loss,MATCH(B1425,mat_ref,0))),F1425))</f>
        <v/>
      </c>
      <c r="H1425" s="66" t="str">
        <f>IF(J1425&lt;&gt;"OK","",INDEX(mat_price,MATCH(B1425,mat_ref,0)))</f>
        <v/>
      </c>
      <c r="I1425" s="66" t="str">
        <f>IF(J1425&lt;&gt;"OK","",E1425*(1+G1425)*H1425)</f>
        <v/>
      </c>
      <c r="J1425" s="69" t="str">
        <f>IF(AND(A1425="",B1425=""),"",IF(A1425="","Produit manquant",IF(COUNTIF(prod_ref,A1425)=0,"Produit inconnu",IF(B1425="","Matière manquante",IF(ISNA(MATCH(B1425,mat_ref,0)),"Matière inconnue",IF(INDEX(mat_check,MATCH(B1425,mat_ref,0))&lt;&gt;"OK","Matière à corriger",IF(OR(NOT(ISNUMBER(E1425)),N(E1425)&lt;=0),"Quantité invalide",IF(AND(F1425&lt;&gt;"",OR(NOT(ISNUMBER(F1425)),N(F1425)&lt;0,N(F1425)&gt;=1)),"Perte entre 0 et 99 %",IF(COUNTIFS(bom_prod,A1425,bom_mat,B1425)&gt;1,"Matière en double","OK")))))))))</f>
        <v/>
      </c>
      <c r="K1425" s="71" t="str">
        <f>IF(AND(fiche_sel&lt;&gt;"",A1425=fiche_sel),COUNTIF(A$6:A1425,fiche_sel),"")</f>
        <v/>
      </c>
    </row>
    <row r="1426">
      <c r="A1426" s="60" t="n"/>
      <c r="B1426" s="60" t="n"/>
      <c r="C1426" s="71" t="str">
        <f>IF(B1426="","",IFERROR(INDEX(mat_des,MATCH(B1426,mat_ref,0))&amp;"","Matière inconnue"))</f>
        <v/>
      </c>
      <c r="D1426" s="69" t="str">
        <f>IF(B1426="","",IFERROR(INDEX(mat_unit,MATCH(B1426,mat_ref,0))&amp;"",""))</f>
        <v/>
      </c>
      <c r="E1426" s="72" t="n"/>
      <c r="F1426" s="65" t="n"/>
      <c r="G1426" s="68" t="str">
        <f>IF(J1426&lt;&gt;"OK","",IF(F1426="",N(INDEX(mat_loss,MATCH(B1426,mat_ref,0))),F1426))</f>
        <v/>
      </c>
      <c r="H1426" s="66" t="str">
        <f>IF(J1426&lt;&gt;"OK","",INDEX(mat_price,MATCH(B1426,mat_ref,0)))</f>
        <v/>
      </c>
      <c r="I1426" s="66" t="str">
        <f>IF(J1426&lt;&gt;"OK","",E1426*(1+G1426)*H1426)</f>
        <v/>
      </c>
      <c r="J1426" s="69" t="str">
        <f>IF(AND(A1426="",B1426=""),"",IF(A1426="","Produit manquant",IF(COUNTIF(prod_ref,A1426)=0,"Produit inconnu",IF(B1426="","Matière manquante",IF(ISNA(MATCH(B1426,mat_ref,0)),"Matière inconnue",IF(INDEX(mat_check,MATCH(B1426,mat_ref,0))&lt;&gt;"OK","Matière à corriger",IF(OR(NOT(ISNUMBER(E1426)),N(E1426)&lt;=0),"Quantité invalide",IF(AND(F1426&lt;&gt;"",OR(NOT(ISNUMBER(F1426)),N(F1426)&lt;0,N(F1426)&gt;=1)),"Perte entre 0 et 99 %",IF(COUNTIFS(bom_prod,A1426,bom_mat,B1426)&gt;1,"Matière en double","OK")))))))))</f>
        <v/>
      </c>
      <c r="K1426" s="71" t="str">
        <f>IF(AND(fiche_sel&lt;&gt;"",A1426=fiche_sel),COUNTIF(A$6:A1426,fiche_sel),"")</f>
        <v/>
      </c>
    </row>
    <row r="1427">
      <c r="A1427" s="60" t="n"/>
      <c r="B1427" s="60" t="n"/>
      <c r="C1427" s="71" t="str">
        <f>IF(B1427="","",IFERROR(INDEX(mat_des,MATCH(B1427,mat_ref,0))&amp;"","Matière inconnue"))</f>
        <v/>
      </c>
      <c r="D1427" s="69" t="str">
        <f>IF(B1427="","",IFERROR(INDEX(mat_unit,MATCH(B1427,mat_ref,0))&amp;"",""))</f>
        <v/>
      </c>
      <c r="E1427" s="72" t="n"/>
      <c r="F1427" s="65" t="n"/>
      <c r="G1427" s="68" t="str">
        <f>IF(J1427&lt;&gt;"OK","",IF(F1427="",N(INDEX(mat_loss,MATCH(B1427,mat_ref,0))),F1427))</f>
        <v/>
      </c>
      <c r="H1427" s="66" t="str">
        <f>IF(J1427&lt;&gt;"OK","",INDEX(mat_price,MATCH(B1427,mat_ref,0)))</f>
        <v/>
      </c>
      <c r="I1427" s="66" t="str">
        <f>IF(J1427&lt;&gt;"OK","",E1427*(1+G1427)*H1427)</f>
        <v/>
      </c>
      <c r="J1427" s="69" t="str">
        <f>IF(AND(A1427="",B1427=""),"",IF(A1427="","Produit manquant",IF(COUNTIF(prod_ref,A1427)=0,"Produit inconnu",IF(B1427="","Matière manquante",IF(ISNA(MATCH(B1427,mat_ref,0)),"Matière inconnue",IF(INDEX(mat_check,MATCH(B1427,mat_ref,0))&lt;&gt;"OK","Matière à corriger",IF(OR(NOT(ISNUMBER(E1427)),N(E1427)&lt;=0),"Quantité invalide",IF(AND(F1427&lt;&gt;"",OR(NOT(ISNUMBER(F1427)),N(F1427)&lt;0,N(F1427)&gt;=1)),"Perte entre 0 et 99 %",IF(COUNTIFS(bom_prod,A1427,bom_mat,B1427)&gt;1,"Matière en double","OK")))))))))</f>
        <v/>
      </c>
      <c r="K1427" s="71" t="str">
        <f>IF(AND(fiche_sel&lt;&gt;"",A1427=fiche_sel),COUNTIF(A$6:A1427,fiche_sel),"")</f>
        <v/>
      </c>
    </row>
    <row r="1428">
      <c r="A1428" s="60" t="n"/>
      <c r="B1428" s="60" t="n"/>
      <c r="C1428" s="71" t="str">
        <f>IF(B1428="","",IFERROR(INDEX(mat_des,MATCH(B1428,mat_ref,0))&amp;"","Matière inconnue"))</f>
        <v/>
      </c>
      <c r="D1428" s="69" t="str">
        <f>IF(B1428="","",IFERROR(INDEX(mat_unit,MATCH(B1428,mat_ref,0))&amp;"",""))</f>
        <v/>
      </c>
      <c r="E1428" s="72" t="n"/>
      <c r="F1428" s="65" t="n"/>
      <c r="G1428" s="68" t="str">
        <f>IF(J1428&lt;&gt;"OK","",IF(F1428="",N(INDEX(mat_loss,MATCH(B1428,mat_ref,0))),F1428))</f>
        <v/>
      </c>
      <c r="H1428" s="66" t="str">
        <f>IF(J1428&lt;&gt;"OK","",INDEX(mat_price,MATCH(B1428,mat_ref,0)))</f>
        <v/>
      </c>
      <c r="I1428" s="66" t="str">
        <f>IF(J1428&lt;&gt;"OK","",E1428*(1+G1428)*H1428)</f>
        <v/>
      </c>
      <c r="J1428" s="69" t="str">
        <f>IF(AND(A1428="",B1428=""),"",IF(A1428="","Produit manquant",IF(COUNTIF(prod_ref,A1428)=0,"Produit inconnu",IF(B1428="","Matière manquante",IF(ISNA(MATCH(B1428,mat_ref,0)),"Matière inconnue",IF(INDEX(mat_check,MATCH(B1428,mat_ref,0))&lt;&gt;"OK","Matière à corriger",IF(OR(NOT(ISNUMBER(E1428)),N(E1428)&lt;=0),"Quantité invalide",IF(AND(F1428&lt;&gt;"",OR(NOT(ISNUMBER(F1428)),N(F1428)&lt;0,N(F1428)&gt;=1)),"Perte entre 0 et 99 %",IF(COUNTIFS(bom_prod,A1428,bom_mat,B1428)&gt;1,"Matière en double","OK")))))))))</f>
        <v/>
      </c>
      <c r="K1428" s="71" t="str">
        <f>IF(AND(fiche_sel&lt;&gt;"",A1428=fiche_sel),COUNTIF(A$6:A1428,fiche_sel),"")</f>
        <v/>
      </c>
    </row>
    <row r="1429">
      <c r="A1429" s="60" t="n"/>
      <c r="B1429" s="60" t="n"/>
      <c r="C1429" s="71" t="str">
        <f>IF(B1429="","",IFERROR(INDEX(mat_des,MATCH(B1429,mat_ref,0))&amp;"","Matière inconnue"))</f>
        <v/>
      </c>
      <c r="D1429" s="69" t="str">
        <f>IF(B1429="","",IFERROR(INDEX(mat_unit,MATCH(B1429,mat_ref,0))&amp;"",""))</f>
        <v/>
      </c>
      <c r="E1429" s="72" t="n"/>
      <c r="F1429" s="65" t="n"/>
      <c r="G1429" s="68" t="str">
        <f>IF(J1429&lt;&gt;"OK","",IF(F1429="",N(INDEX(mat_loss,MATCH(B1429,mat_ref,0))),F1429))</f>
        <v/>
      </c>
      <c r="H1429" s="66" t="str">
        <f>IF(J1429&lt;&gt;"OK","",INDEX(mat_price,MATCH(B1429,mat_ref,0)))</f>
        <v/>
      </c>
      <c r="I1429" s="66" t="str">
        <f>IF(J1429&lt;&gt;"OK","",E1429*(1+G1429)*H1429)</f>
        <v/>
      </c>
      <c r="J1429" s="69" t="str">
        <f>IF(AND(A1429="",B1429=""),"",IF(A1429="","Produit manquant",IF(COUNTIF(prod_ref,A1429)=0,"Produit inconnu",IF(B1429="","Matière manquante",IF(ISNA(MATCH(B1429,mat_ref,0)),"Matière inconnue",IF(INDEX(mat_check,MATCH(B1429,mat_ref,0))&lt;&gt;"OK","Matière à corriger",IF(OR(NOT(ISNUMBER(E1429)),N(E1429)&lt;=0),"Quantité invalide",IF(AND(F1429&lt;&gt;"",OR(NOT(ISNUMBER(F1429)),N(F1429)&lt;0,N(F1429)&gt;=1)),"Perte entre 0 et 99 %",IF(COUNTIFS(bom_prod,A1429,bom_mat,B1429)&gt;1,"Matière en double","OK")))))))))</f>
        <v/>
      </c>
      <c r="K1429" s="71" t="str">
        <f>IF(AND(fiche_sel&lt;&gt;"",A1429=fiche_sel),COUNTIF(A$6:A1429,fiche_sel),"")</f>
        <v/>
      </c>
    </row>
    <row r="1430">
      <c r="A1430" s="60" t="n"/>
      <c r="B1430" s="60" t="n"/>
      <c r="C1430" s="71" t="str">
        <f>IF(B1430="","",IFERROR(INDEX(mat_des,MATCH(B1430,mat_ref,0))&amp;"","Matière inconnue"))</f>
        <v/>
      </c>
      <c r="D1430" s="69" t="str">
        <f>IF(B1430="","",IFERROR(INDEX(mat_unit,MATCH(B1430,mat_ref,0))&amp;"",""))</f>
        <v/>
      </c>
      <c r="E1430" s="72" t="n"/>
      <c r="F1430" s="65" t="n"/>
      <c r="G1430" s="68" t="str">
        <f>IF(J1430&lt;&gt;"OK","",IF(F1430="",N(INDEX(mat_loss,MATCH(B1430,mat_ref,0))),F1430))</f>
        <v/>
      </c>
      <c r="H1430" s="66" t="str">
        <f>IF(J1430&lt;&gt;"OK","",INDEX(mat_price,MATCH(B1430,mat_ref,0)))</f>
        <v/>
      </c>
      <c r="I1430" s="66" t="str">
        <f>IF(J1430&lt;&gt;"OK","",E1430*(1+G1430)*H1430)</f>
        <v/>
      </c>
      <c r="J1430" s="69" t="str">
        <f>IF(AND(A1430="",B1430=""),"",IF(A1430="","Produit manquant",IF(COUNTIF(prod_ref,A1430)=0,"Produit inconnu",IF(B1430="","Matière manquante",IF(ISNA(MATCH(B1430,mat_ref,0)),"Matière inconnue",IF(INDEX(mat_check,MATCH(B1430,mat_ref,0))&lt;&gt;"OK","Matière à corriger",IF(OR(NOT(ISNUMBER(E1430)),N(E1430)&lt;=0),"Quantité invalide",IF(AND(F1430&lt;&gt;"",OR(NOT(ISNUMBER(F1430)),N(F1430)&lt;0,N(F1430)&gt;=1)),"Perte entre 0 et 99 %",IF(COUNTIFS(bom_prod,A1430,bom_mat,B1430)&gt;1,"Matière en double","OK")))))))))</f>
        <v/>
      </c>
      <c r="K1430" s="71" t="str">
        <f>IF(AND(fiche_sel&lt;&gt;"",A1430=fiche_sel),COUNTIF(A$6:A1430,fiche_sel),"")</f>
        <v/>
      </c>
    </row>
    <row r="1431">
      <c r="A1431" s="60" t="n"/>
      <c r="B1431" s="60" t="n"/>
      <c r="C1431" s="71" t="str">
        <f>IF(B1431="","",IFERROR(INDEX(mat_des,MATCH(B1431,mat_ref,0))&amp;"","Matière inconnue"))</f>
        <v/>
      </c>
      <c r="D1431" s="69" t="str">
        <f>IF(B1431="","",IFERROR(INDEX(mat_unit,MATCH(B1431,mat_ref,0))&amp;"",""))</f>
        <v/>
      </c>
      <c r="E1431" s="72" t="n"/>
      <c r="F1431" s="65" t="n"/>
      <c r="G1431" s="68" t="str">
        <f>IF(J1431&lt;&gt;"OK","",IF(F1431="",N(INDEX(mat_loss,MATCH(B1431,mat_ref,0))),F1431))</f>
        <v/>
      </c>
      <c r="H1431" s="66" t="str">
        <f>IF(J1431&lt;&gt;"OK","",INDEX(mat_price,MATCH(B1431,mat_ref,0)))</f>
        <v/>
      </c>
      <c r="I1431" s="66" t="str">
        <f>IF(J1431&lt;&gt;"OK","",E1431*(1+G1431)*H1431)</f>
        <v/>
      </c>
      <c r="J1431" s="69" t="str">
        <f>IF(AND(A1431="",B1431=""),"",IF(A1431="","Produit manquant",IF(COUNTIF(prod_ref,A1431)=0,"Produit inconnu",IF(B1431="","Matière manquante",IF(ISNA(MATCH(B1431,mat_ref,0)),"Matière inconnue",IF(INDEX(mat_check,MATCH(B1431,mat_ref,0))&lt;&gt;"OK","Matière à corriger",IF(OR(NOT(ISNUMBER(E1431)),N(E1431)&lt;=0),"Quantité invalide",IF(AND(F1431&lt;&gt;"",OR(NOT(ISNUMBER(F1431)),N(F1431)&lt;0,N(F1431)&gt;=1)),"Perte entre 0 et 99 %",IF(COUNTIFS(bom_prod,A1431,bom_mat,B1431)&gt;1,"Matière en double","OK")))))))))</f>
        <v/>
      </c>
      <c r="K1431" s="71" t="str">
        <f>IF(AND(fiche_sel&lt;&gt;"",A1431=fiche_sel),COUNTIF(A$6:A1431,fiche_sel),"")</f>
        <v/>
      </c>
    </row>
    <row r="1432">
      <c r="A1432" s="60" t="n"/>
      <c r="B1432" s="60" t="n"/>
      <c r="C1432" s="71" t="str">
        <f>IF(B1432="","",IFERROR(INDEX(mat_des,MATCH(B1432,mat_ref,0))&amp;"","Matière inconnue"))</f>
        <v/>
      </c>
      <c r="D1432" s="69" t="str">
        <f>IF(B1432="","",IFERROR(INDEX(mat_unit,MATCH(B1432,mat_ref,0))&amp;"",""))</f>
        <v/>
      </c>
      <c r="E1432" s="72" t="n"/>
      <c r="F1432" s="65" t="n"/>
      <c r="G1432" s="68" t="str">
        <f>IF(J1432&lt;&gt;"OK","",IF(F1432="",N(INDEX(mat_loss,MATCH(B1432,mat_ref,0))),F1432))</f>
        <v/>
      </c>
      <c r="H1432" s="66" t="str">
        <f>IF(J1432&lt;&gt;"OK","",INDEX(mat_price,MATCH(B1432,mat_ref,0)))</f>
        <v/>
      </c>
      <c r="I1432" s="66" t="str">
        <f>IF(J1432&lt;&gt;"OK","",E1432*(1+G1432)*H1432)</f>
        <v/>
      </c>
      <c r="J1432" s="69" t="str">
        <f>IF(AND(A1432="",B1432=""),"",IF(A1432="","Produit manquant",IF(COUNTIF(prod_ref,A1432)=0,"Produit inconnu",IF(B1432="","Matière manquante",IF(ISNA(MATCH(B1432,mat_ref,0)),"Matière inconnue",IF(INDEX(mat_check,MATCH(B1432,mat_ref,0))&lt;&gt;"OK","Matière à corriger",IF(OR(NOT(ISNUMBER(E1432)),N(E1432)&lt;=0),"Quantité invalide",IF(AND(F1432&lt;&gt;"",OR(NOT(ISNUMBER(F1432)),N(F1432)&lt;0,N(F1432)&gt;=1)),"Perte entre 0 et 99 %",IF(COUNTIFS(bom_prod,A1432,bom_mat,B1432)&gt;1,"Matière en double","OK")))))))))</f>
        <v/>
      </c>
      <c r="K1432" s="71" t="str">
        <f>IF(AND(fiche_sel&lt;&gt;"",A1432=fiche_sel),COUNTIF(A$6:A1432,fiche_sel),"")</f>
        <v/>
      </c>
    </row>
    <row r="1433">
      <c r="A1433" s="60" t="n"/>
      <c r="B1433" s="60" t="n"/>
      <c r="C1433" s="71" t="str">
        <f>IF(B1433="","",IFERROR(INDEX(mat_des,MATCH(B1433,mat_ref,0))&amp;"","Matière inconnue"))</f>
        <v/>
      </c>
      <c r="D1433" s="69" t="str">
        <f>IF(B1433="","",IFERROR(INDEX(mat_unit,MATCH(B1433,mat_ref,0))&amp;"",""))</f>
        <v/>
      </c>
      <c r="E1433" s="72" t="n"/>
      <c r="F1433" s="65" t="n"/>
      <c r="G1433" s="68" t="str">
        <f>IF(J1433&lt;&gt;"OK","",IF(F1433="",N(INDEX(mat_loss,MATCH(B1433,mat_ref,0))),F1433))</f>
        <v/>
      </c>
      <c r="H1433" s="66" t="str">
        <f>IF(J1433&lt;&gt;"OK","",INDEX(mat_price,MATCH(B1433,mat_ref,0)))</f>
        <v/>
      </c>
      <c r="I1433" s="66" t="str">
        <f>IF(J1433&lt;&gt;"OK","",E1433*(1+G1433)*H1433)</f>
        <v/>
      </c>
      <c r="J1433" s="69" t="str">
        <f>IF(AND(A1433="",B1433=""),"",IF(A1433="","Produit manquant",IF(COUNTIF(prod_ref,A1433)=0,"Produit inconnu",IF(B1433="","Matière manquante",IF(ISNA(MATCH(B1433,mat_ref,0)),"Matière inconnue",IF(INDEX(mat_check,MATCH(B1433,mat_ref,0))&lt;&gt;"OK","Matière à corriger",IF(OR(NOT(ISNUMBER(E1433)),N(E1433)&lt;=0),"Quantité invalide",IF(AND(F1433&lt;&gt;"",OR(NOT(ISNUMBER(F1433)),N(F1433)&lt;0,N(F1433)&gt;=1)),"Perte entre 0 et 99 %",IF(COUNTIFS(bom_prod,A1433,bom_mat,B1433)&gt;1,"Matière en double","OK")))))))))</f>
        <v/>
      </c>
      <c r="K1433" s="71" t="str">
        <f>IF(AND(fiche_sel&lt;&gt;"",A1433=fiche_sel),COUNTIF(A$6:A1433,fiche_sel),"")</f>
        <v/>
      </c>
    </row>
    <row r="1434">
      <c r="A1434" s="60" t="n"/>
      <c r="B1434" s="60" t="n"/>
      <c r="C1434" s="71" t="str">
        <f>IF(B1434="","",IFERROR(INDEX(mat_des,MATCH(B1434,mat_ref,0))&amp;"","Matière inconnue"))</f>
        <v/>
      </c>
      <c r="D1434" s="69" t="str">
        <f>IF(B1434="","",IFERROR(INDEX(mat_unit,MATCH(B1434,mat_ref,0))&amp;"",""))</f>
        <v/>
      </c>
      <c r="E1434" s="72" t="n"/>
      <c r="F1434" s="65" t="n"/>
      <c r="G1434" s="68" t="str">
        <f>IF(J1434&lt;&gt;"OK","",IF(F1434="",N(INDEX(mat_loss,MATCH(B1434,mat_ref,0))),F1434))</f>
        <v/>
      </c>
      <c r="H1434" s="66" t="str">
        <f>IF(J1434&lt;&gt;"OK","",INDEX(mat_price,MATCH(B1434,mat_ref,0)))</f>
        <v/>
      </c>
      <c r="I1434" s="66" t="str">
        <f>IF(J1434&lt;&gt;"OK","",E1434*(1+G1434)*H1434)</f>
        <v/>
      </c>
      <c r="J1434" s="69" t="str">
        <f>IF(AND(A1434="",B1434=""),"",IF(A1434="","Produit manquant",IF(COUNTIF(prod_ref,A1434)=0,"Produit inconnu",IF(B1434="","Matière manquante",IF(ISNA(MATCH(B1434,mat_ref,0)),"Matière inconnue",IF(INDEX(mat_check,MATCH(B1434,mat_ref,0))&lt;&gt;"OK","Matière à corriger",IF(OR(NOT(ISNUMBER(E1434)),N(E1434)&lt;=0),"Quantité invalide",IF(AND(F1434&lt;&gt;"",OR(NOT(ISNUMBER(F1434)),N(F1434)&lt;0,N(F1434)&gt;=1)),"Perte entre 0 et 99 %",IF(COUNTIFS(bom_prod,A1434,bom_mat,B1434)&gt;1,"Matière en double","OK")))))))))</f>
        <v/>
      </c>
      <c r="K1434" s="71" t="str">
        <f>IF(AND(fiche_sel&lt;&gt;"",A1434=fiche_sel),COUNTIF(A$6:A1434,fiche_sel),"")</f>
        <v/>
      </c>
    </row>
    <row r="1435">
      <c r="A1435" s="60" t="n"/>
      <c r="B1435" s="60" t="n"/>
      <c r="C1435" s="71" t="str">
        <f>IF(B1435="","",IFERROR(INDEX(mat_des,MATCH(B1435,mat_ref,0))&amp;"","Matière inconnue"))</f>
        <v/>
      </c>
      <c r="D1435" s="69" t="str">
        <f>IF(B1435="","",IFERROR(INDEX(mat_unit,MATCH(B1435,mat_ref,0))&amp;"",""))</f>
        <v/>
      </c>
      <c r="E1435" s="72" t="n"/>
      <c r="F1435" s="65" t="n"/>
      <c r="G1435" s="68" t="str">
        <f>IF(J1435&lt;&gt;"OK","",IF(F1435="",N(INDEX(mat_loss,MATCH(B1435,mat_ref,0))),F1435))</f>
        <v/>
      </c>
      <c r="H1435" s="66" t="str">
        <f>IF(J1435&lt;&gt;"OK","",INDEX(mat_price,MATCH(B1435,mat_ref,0)))</f>
        <v/>
      </c>
      <c r="I1435" s="66" t="str">
        <f>IF(J1435&lt;&gt;"OK","",E1435*(1+G1435)*H1435)</f>
        <v/>
      </c>
      <c r="J1435" s="69" t="str">
        <f>IF(AND(A1435="",B1435=""),"",IF(A1435="","Produit manquant",IF(COUNTIF(prod_ref,A1435)=0,"Produit inconnu",IF(B1435="","Matière manquante",IF(ISNA(MATCH(B1435,mat_ref,0)),"Matière inconnue",IF(INDEX(mat_check,MATCH(B1435,mat_ref,0))&lt;&gt;"OK","Matière à corriger",IF(OR(NOT(ISNUMBER(E1435)),N(E1435)&lt;=0),"Quantité invalide",IF(AND(F1435&lt;&gt;"",OR(NOT(ISNUMBER(F1435)),N(F1435)&lt;0,N(F1435)&gt;=1)),"Perte entre 0 et 99 %",IF(COUNTIFS(bom_prod,A1435,bom_mat,B1435)&gt;1,"Matière en double","OK")))))))))</f>
        <v/>
      </c>
      <c r="K1435" s="71" t="str">
        <f>IF(AND(fiche_sel&lt;&gt;"",A1435=fiche_sel),COUNTIF(A$6:A1435,fiche_sel),"")</f>
        <v/>
      </c>
    </row>
    <row r="1436">
      <c r="A1436" s="60" t="n"/>
      <c r="B1436" s="60" t="n"/>
      <c r="C1436" s="71" t="str">
        <f>IF(B1436="","",IFERROR(INDEX(mat_des,MATCH(B1436,mat_ref,0))&amp;"","Matière inconnue"))</f>
        <v/>
      </c>
      <c r="D1436" s="69" t="str">
        <f>IF(B1436="","",IFERROR(INDEX(mat_unit,MATCH(B1436,mat_ref,0))&amp;"",""))</f>
        <v/>
      </c>
      <c r="E1436" s="72" t="n"/>
      <c r="F1436" s="65" t="n"/>
      <c r="G1436" s="68" t="str">
        <f>IF(J1436&lt;&gt;"OK","",IF(F1436="",N(INDEX(mat_loss,MATCH(B1436,mat_ref,0))),F1436))</f>
        <v/>
      </c>
      <c r="H1436" s="66" t="str">
        <f>IF(J1436&lt;&gt;"OK","",INDEX(mat_price,MATCH(B1436,mat_ref,0)))</f>
        <v/>
      </c>
      <c r="I1436" s="66" t="str">
        <f>IF(J1436&lt;&gt;"OK","",E1436*(1+G1436)*H1436)</f>
        <v/>
      </c>
      <c r="J1436" s="69" t="str">
        <f>IF(AND(A1436="",B1436=""),"",IF(A1436="","Produit manquant",IF(COUNTIF(prod_ref,A1436)=0,"Produit inconnu",IF(B1436="","Matière manquante",IF(ISNA(MATCH(B1436,mat_ref,0)),"Matière inconnue",IF(INDEX(mat_check,MATCH(B1436,mat_ref,0))&lt;&gt;"OK","Matière à corriger",IF(OR(NOT(ISNUMBER(E1436)),N(E1436)&lt;=0),"Quantité invalide",IF(AND(F1436&lt;&gt;"",OR(NOT(ISNUMBER(F1436)),N(F1436)&lt;0,N(F1436)&gt;=1)),"Perte entre 0 et 99 %",IF(COUNTIFS(bom_prod,A1436,bom_mat,B1436)&gt;1,"Matière en double","OK")))))))))</f>
        <v/>
      </c>
      <c r="K1436" s="71" t="str">
        <f>IF(AND(fiche_sel&lt;&gt;"",A1436=fiche_sel),COUNTIF(A$6:A1436,fiche_sel),"")</f>
        <v/>
      </c>
    </row>
    <row r="1437">
      <c r="A1437" s="60" t="n"/>
      <c r="B1437" s="60" t="n"/>
      <c r="C1437" s="71" t="str">
        <f>IF(B1437="","",IFERROR(INDEX(mat_des,MATCH(B1437,mat_ref,0))&amp;"","Matière inconnue"))</f>
        <v/>
      </c>
      <c r="D1437" s="69" t="str">
        <f>IF(B1437="","",IFERROR(INDEX(mat_unit,MATCH(B1437,mat_ref,0))&amp;"",""))</f>
        <v/>
      </c>
      <c r="E1437" s="72" t="n"/>
      <c r="F1437" s="65" t="n"/>
      <c r="G1437" s="68" t="str">
        <f>IF(J1437&lt;&gt;"OK","",IF(F1437="",N(INDEX(mat_loss,MATCH(B1437,mat_ref,0))),F1437))</f>
        <v/>
      </c>
      <c r="H1437" s="66" t="str">
        <f>IF(J1437&lt;&gt;"OK","",INDEX(mat_price,MATCH(B1437,mat_ref,0)))</f>
        <v/>
      </c>
      <c r="I1437" s="66" t="str">
        <f>IF(J1437&lt;&gt;"OK","",E1437*(1+G1437)*H1437)</f>
        <v/>
      </c>
      <c r="J1437" s="69" t="str">
        <f>IF(AND(A1437="",B1437=""),"",IF(A1437="","Produit manquant",IF(COUNTIF(prod_ref,A1437)=0,"Produit inconnu",IF(B1437="","Matière manquante",IF(ISNA(MATCH(B1437,mat_ref,0)),"Matière inconnue",IF(INDEX(mat_check,MATCH(B1437,mat_ref,0))&lt;&gt;"OK","Matière à corriger",IF(OR(NOT(ISNUMBER(E1437)),N(E1437)&lt;=0),"Quantité invalide",IF(AND(F1437&lt;&gt;"",OR(NOT(ISNUMBER(F1437)),N(F1437)&lt;0,N(F1437)&gt;=1)),"Perte entre 0 et 99 %",IF(COUNTIFS(bom_prod,A1437,bom_mat,B1437)&gt;1,"Matière en double","OK")))))))))</f>
        <v/>
      </c>
      <c r="K1437" s="71" t="str">
        <f>IF(AND(fiche_sel&lt;&gt;"",A1437=fiche_sel),COUNTIF(A$6:A1437,fiche_sel),"")</f>
        <v/>
      </c>
    </row>
    <row r="1438">
      <c r="A1438" s="60" t="n"/>
      <c r="B1438" s="60" t="n"/>
      <c r="C1438" s="71" t="str">
        <f>IF(B1438="","",IFERROR(INDEX(mat_des,MATCH(B1438,mat_ref,0))&amp;"","Matière inconnue"))</f>
        <v/>
      </c>
      <c r="D1438" s="69" t="str">
        <f>IF(B1438="","",IFERROR(INDEX(mat_unit,MATCH(B1438,mat_ref,0))&amp;"",""))</f>
        <v/>
      </c>
      <c r="E1438" s="72" t="n"/>
      <c r="F1438" s="65" t="n"/>
      <c r="G1438" s="68" t="str">
        <f>IF(J1438&lt;&gt;"OK","",IF(F1438="",N(INDEX(mat_loss,MATCH(B1438,mat_ref,0))),F1438))</f>
        <v/>
      </c>
      <c r="H1438" s="66" t="str">
        <f>IF(J1438&lt;&gt;"OK","",INDEX(mat_price,MATCH(B1438,mat_ref,0)))</f>
        <v/>
      </c>
      <c r="I1438" s="66" t="str">
        <f>IF(J1438&lt;&gt;"OK","",E1438*(1+G1438)*H1438)</f>
        <v/>
      </c>
      <c r="J1438" s="69" t="str">
        <f>IF(AND(A1438="",B1438=""),"",IF(A1438="","Produit manquant",IF(COUNTIF(prod_ref,A1438)=0,"Produit inconnu",IF(B1438="","Matière manquante",IF(ISNA(MATCH(B1438,mat_ref,0)),"Matière inconnue",IF(INDEX(mat_check,MATCH(B1438,mat_ref,0))&lt;&gt;"OK","Matière à corriger",IF(OR(NOT(ISNUMBER(E1438)),N(E1438)&lt;=0),"Quantité invalide",IF(AND(F1438&lt;&gt;"",OR(NOT(ISNUMBER(F1438)),N(F1438)&lt;0,N(F1438)&gt;=1)),"Perte entre 0 et 99 %",IF(COUNTIFS(bom_prod,A1438,bom_mat,B1438)&gt;1,"Matière en double","OK")))))))))</f>
        <v/>
      </c>
      <c r="K1438" s="71" t="str">
        <f>IF(AND(fiche_sel&lt;&gt;"",A1438=fiche_sel),COUNTIF(A$6:A1438,fiche_sel),"")</f>
        <v/>
      </c>
    </row>
    <row r="1439">
      <c r="A1439" s="60" t="n"/>
      <c r="B1439" s="60" t="n"/>
      <c r="C1439" s="71" t="str">
        <f>IF(B1439="","",IFERROR(INDEX(mat_des,MATCH(B1439,mat_ref,0))&amp;"","Matière inconnue"))</f>
        <v/>
      </c>
      <c r="D1439" s="69" t="str">
        <f>IF(B1439="","",IFERROR(INDEX(mat_unit,MATCH(B1439,mat_ref,0))&amp;"",""))</f>
        <v/>
      </c>
      <c r="E1439" s="72" t="n"/>
      <c r="F1439" s="65" t="n"/>
      <c r="G1439" s="68" t="str">
        <f>IF(J1439&lt;&gt;"OK","",IF(F1439="",N(INDEX(mat_loss,MATCH(B1439,mat_ref,0))),F1439))</f>
        <v/>
      </c>
      <c r="H1439" s="66" t="str">
        <f>IF(J1439&lt;&gt;"OK","",INDEX(mat_price,MATCH(B1439,mat_ref,0)))</f>
        <v/>
      </c>
      <c r="I1439" s="66" t="str">
        <f>IF(J1439&lt;&gt;"OK","",E1439*(1+G1439)*H1439)</f>
        <v/>
      </c>
      <c r="J1439" s="69" t="str">
        <f>IF(AND(A1439="",B1439=""),"",IF(A1439="","Produit manquant",IF(COUNTIF(prod_ref,A1439)=0,"Produit inconnu",IF(B1439="","Matière manquante",IF(ISNA(MATCH(B1439,mat_ref,0)),"Matière inconnue",IF(INDEX(mat_check,MATCH(B1439,mat_ref,0))&lt;&gt;"OK","Matière à corriger",IF(OR(NOT(ISNUMBER(E1439)),N(E1439)&lt;=0),"Quantité invalide",IF(AND(F1439&lt;&gt;"",OR(NOT(ISNUMBER(F1439)),N(F1439)&lt;0,N(F1439)&gt;=1)),"Perte entre 0 et 99 %",IF(COUNTIFS(bom_prod,A1439,bom_mat,B1439)&gt;1,"Matière en double","OK")))))))))</f>
        <v/>
      </c>
      <c r="K1439" s="71" t="str">
        <f>IF(AND(fiche_sel&lt;&gt;"",A1439=fiche_sel),COUNTIF(A$6:A1439,fiche_sel),"")</f>
        <v/>
      </c>
    </row>
    <row r="1440">
      <c r="A1440" s="60" t="n"/>
      <c r="B1440" s="60" t="n"/>
      <c r="C1440" s="71" t="str">
        <f>IF(B1440="","",IFERROR(INDEX(mat_des,MATCH(B1440,mat_ref,0))&amp;"","Matière inconnue"))</f>
        <v/>
      </c>
      <c r="D1440" s="69" t="str">
        <f>IF(B1440="","",IFERROR(INDEX(mat_unit,MATCH(B1440,mat_ref,0))&amp;"",""))</f>
        <v/>
      </c>
      <c r="E1440" s="72" t="n"/>
      <c r="F1440" s="65" t="n"/>
      <c r="G1440" s="68" t="str">
        <f>IF(J1440&lt;&gt;"OK","",IF(F1440="",N(INDEX(mat_loss,MATCH(B1440,mat_ref,0))),F1440))</f>
        <v/>
      </c>
      <c r="H1440" s="66" t="str">
        <f>IF(J1440&lt;&gt;"OK","",INDEX(mat_price,MATCH(B1440,mat_ref,0)))</f>
        <v/>
      </c>
      <c r="I1440" s="66" t="str">
        <f>IF(J1440&lt;&gt;"OK","",E1440*(1+G1440)*H1440)</f>
        <v/>
      </c>
      <c r="J1440" s="69" t="str">
        <f>IF(AND(A1440="",B1440=""),"",IF(A1440="","Produit manquant",IF(COUNTIF(prod_ref,A1440)=0,"Produit inconnu",IF(B1440="","Matière manquante",IF(ISNA(MATCH(B1440,mat_ref,0)),"Matière inconnue",IF(INDEX(mat_check,MATCH(B1440,mat_ref,0))&lt;&gt;"OK","Matière à corriger",IF(OR(NOT(ISNUMBER(E1440)),N(E1440)&lt;=0),"Quantité invalide",IF(AND(F1440&lt;&gt;"",OR(NOT(ISNUMBER(F1440)),N(F1440)&lt;0,N(F1440)&gt;=1)),"Perte entre 0 et 99 %",IF(COUNTIFS(bom_prod,A1440,bom_mat,B1440)&gt;1,"Matière en double","OK")))))))))</f>
        <v/>
      </c>
      <c r="K1440" s="71" t="str">
        <f>IF(AND(fiche_sel&lt;&gt;"",A1440=fiche_sel),COUNTIF(A$6:A1440,fiche_sel),"")</f>
        <v/>
      </c>
    </row>
    <row r="1441">
      <c r="A1441" s="60" t="n"/>
      <c r="B1441" s="60" t="n"/>
      <c r="C1441" s="71" t="str">
        <f>IF(B1441="","",IFERROR(INDEX(mat_des,MATCH(B1441,mat_ref,0))&amp;"","Matière inconnue"))</f>
        <v/>
      </c>
      <c r="D1441" s="69" t="str">
        <f>IF(B1441="","",IFERROR(INDEX(mat_unit,MATCH(B1441,mat_ref,0))&amp;"",""))</f>
        <v/>
      </c>
      <c r="E1441" s="72" t="n"/>
      <c r="F1441" s="65" t="n"/>
      <c r="G1441" s="68" t="str">
        <f>IF(J1441&lt;&gt;"OK","",IF(F1441="",N(INDEX(mat_loss,MATCH(B1441,mat_ref,0))),F1441))</f>
        <v/>
      </c>
      <c r="H1441" s="66" t="str">
        <f>IF(J1441&lt;&gt;"OK","",INDEX(mat_price,MATCH(B1441,mat_ref,0)))</f>
        <v/>
      </c>
      <c r="I1441" s="66" t="str">
        <f>IF(J1441&lt;&gt;"OK","",E1441*(1+G1441)*H1441)</f>
        <v/>
      </c>
      <c r="J1441" s="69" t="str">
        <f>IF(AND(A1441="",B1441=""),"",IF(A1441="","Produit manquant",IF(COUNTIF(prod_ref,A1441)=0,"Produit inconnu",IF(B1441="","Matière manquante",IF(ISNA(MATCH(B1441,mat_ref,0)),"Matière inconnue",IF(INDEX(mat_check,MATCH(B1441,mat_ref,0))&lt;&gt;"OK","Matière à corriger",IF(OR(NOT(ISNUMBER(E1441)),N(E1441)&lt;=0),"Quantité invalide",IF(AND(F1441&lt;&gt;"",OR(NOT(ISNUMBER(F1441)),N(F1441)&lt;0,N(F1441)&gt;=1)),"Perte entre 0 et 99 %",IF(COUNTIFS(bom_prod,A1441,bom_mat,B1441)&gt;1,"Matière en double","OK")))))))))</f>
        <v/>
      </c>
      <c r="K1441" s="71" t="str">
        <f>IF(AND(fiche_sel&lt;&gt;"",A1441=fiche_sel),COUNTIF(A$6:A1441,fiche_sel),"")</f>
        <v/>
      </c>
    </row>
    <row r="1442">
      <c r="A1442" s="60" t="n"/>
      <c r="B1442" s="60" t="n"/>
      <c r="C1442" s="71" t="str">
        <f>IF(B1442="","",IFERROR(INDEX(mat_des,MATCH(B1442,mat_ref,0))&amp;"","Matière inconnue"))</f>
        <v/>
      </c>
      <c r="D1442" s="69" t="str">
        <f>IF(B1442="","",IFERROR(INDEX(mat_unit,MATCH(B1442,mat_ref,0))&amp;"",""))</f>
        <v/>
      </c>
      <c r="E1442" s="72" t="n"/>
      <c r="F1442" s="65" t="n"/>
      <c r="G1442" s="68" t="str">
        <f>IF(J1442&lt;&gt;"OK","",IF(F1442="",N(INDEX(mat_loss,MATCH(B1442,mat_ref,0))),F1442))</f>
        <v/>
      </c>
      <c r="H1442" s="66" t="str">
        <f>IF(J1442&lt;&gt;"OK","",INDEX(mat_price,MATCH(B1442,mat_ref,0)))</f>
        <v/>
      </c>
      <c r="I1442" s="66" t="str">
        <f>IF(J1442&lt;&gt;"OK","",E1442*(1+G1442)*H1442)</f>
        <v/>
      </c>
      <c r="J1442" s="69" t="str">
        <f>IF(AND(A1442="",B1442=""),"",IF(A1442="","Produit manquant",IF(COUNTIF(prod_ref,A1442)=0,"Produit inconnu",IF(B1442="","Matière manquante",IF(ISNA(MATCH(B1442,mat_ref,0)),"Matière inconnue",IF(INDEX(mat_check,MATCH(B1442,mat_ref,0))&lt;&gt;"OK","Matière à corriger",IF(OR(NOT(ISNUMBER(E1442)),N(E1442)&lt;=0),"Quantité invalide",IF(AND(F1442&lt;&gt;"",OR(NOT(ISNUMBER(F1442)),N(F1442)&lt;0,N(F1442)&gt;=1)),"Perte entre 0 et 99 %",IF(COUNTIFS(bom_prod,A1442,bom_mat,B1442)&gt;1,"Matière en double","OK")))))))))</f>
        <v/>
      </c>
      <c r="K1442" s="71" t="str">
        <f>IF(AND(fiche_sel&lt;&gt;"",A1442=fiche_sel),COUNTIF(A$6:A1442,fiche_sel),"")</f>
        <v/>
      </c>
    </row>
    <row r="1443">
      <c r="A1443" s="60" t="n"/>
      <c r="B1443" s="60" t="n"/>
      <c r="C1443" s="71" t="str">
        <f>IF(B1443="","",IFERROR(INDEX(mat_des,MATCH(B1443,mat_ref,0))&amp;"","Matière inconnue"))</f>
        <v/>
      </c>
      <c r="D1443" s="69" t="str">
        <f>IF(B1443="","",IFERROR(INDEX(mat_unit,MATCH(B1443,mat_ref,0))&amp;"",""))</f>
        <v/>
      </c>
      <c r="E1443" s="72" t="n"/>
      <c r="F1443" s="65" t="n"/>
      <c r="G1443" s="68" t="str">
        <f>IF(J1443&lt;&gt;"OK","",IF(F1443="",N(INDEX(mat_loss,MATCH(B1443,mat_ref,0))),F1443))</f>
        <v/>
      </c>
      <c r="H1443" s="66" t="str">
        <f>IF(J1443&lt;&gt;"OK","",INDEX(mat_price,MATCH(B1443,mat_ref,0)))</f>
        <v/>
      </c>
      <c r="I1443" s="66" t="str">
        <f>IF(J1443&lt;&gt;"OK","",E1443*(1+G1443)*H1443)</f>
        <v/>
      </c>
      <c r="J1443" s="69" t="str">
        <f>IF(AND(A1443="",B1443=""),"",IF(A1443="","Produit manquant",IF(COUNTIF(prod_ref,A1443)=0,"Produit inconnu",IF(B1443="","Matière manquante",IF(ISNA(MATCH(B1443,mat_ref,0)),"Matière inconnue",IF(INDEX(mat_check,MATCH(B1443,mat_ref,0))&lt;&gt;"OK","Matière à corriger",IF(OR(NOT(ISNUMBER(E1443)),N(E1443)&lt;=0),"Quantité invalide",IF(AND(F1443&lt;&gt;"",OR(NOT(ISNUMBER(F1443)),N(F1443)&lt;0,N(F1443)&gt;=1)),"Perte entre 0 et 99 %",IF(COUNTIFS(bom_prod,A1443,bom_mat,B1443)&gt;1,"Matière en double","OK")))))))))</f>
        <v/>
      </c>
      <c r="K1443" s="71" t="str">
        <f>IF(AND(fiche_sel&lt;&gt;"",A1443=fiche_sel),COUNTIF(A$6:A1443,fiche_sel),"")</f>
        <v/>
      </c>
    </row>
    <row r="1444">
      <c r="A1444" s="60" t="n"/>
      <c r="B1444" s="60" t="n"/>
      <c r="C1444" s="71" t="str">
        <f>IF(B1444="","",IFERROR(INDEX(mat_des,MATCH(B1444,mat_ref,0))&amp;"","Matière inconnue"))</f>
        <v/>
      </c>
      <c r="D1444" s="69" t="str">
        <f>IF(B1444="","",IFERROR(INDEX(mat_unit,MATCH(B1444,mat_ref,0))&amp;"",""))</f>
        <v/>
      </c>
      <c r="E1444" s="72" t="n"/>
      <c r="F1444" s="65" t="n"/>
      <c r="G1444" s="68" t="str">
        <f>IF(J1444&lt;&gt;"OK","",IF(F1444="",N(INDEX(mat_loss,MATCH(B1444,mat_ref,0))),F1444))</f>
        <v/>
      </c>
      <c r="H1444" s="66" t="str">
        <f>IF(J1444&lt;&gt;"OK","",INDEX(mat_price,MATCH(B1444,mat_ref,0)))</f>
        <v/>
      </c>
      <c r="I1444" s="66" t="str">
        <f>IF(J1444&lt;&gt;"OK","",E1444*(1+G1444)*H1444)</f>
        <v/>
      </c>
      <c r="J1444" s="69" t="str">
        <f>IF(AND(A1444="",B1444=""),"",IF(A1444="","Produit manquant",IF(COUNTIF(prod_ref,A1444)=0,"Produit inconnu",IF(B1444="","Matière manquante",IF(ISNA(MATCH(B1444,mat_ref,0)),"Matière inconnue",IF(INDEX(mat_check,MATCH(B1444,mat_ref,0))&lt;&gt;"OK","Matière à corriger",IF(OR(NOT(ISNUMBER(E1444)),N(E1444)&lt;=0),"Quantité invalide",IF(AND(F1444&lt;&gt;"",OR(NOT(ISNUMBER(F1444)),N(F1444)&lt;0,N(F1444)&gt;=1)),"Perte entre 0 et 99 %",IF(COUNTIFS(bom_prod,A1444,bom_mat,B1444)&gt;1,"Matière en double","OK")))))))))</f>
        <v/>
      </c>
      <c r="K1444" s="71" t="str">
        <f>IF(AND(fiche_sel&lt;&gt;"",A1444=fiche_sel),COUNTIF(A$6:A1444,fiche_sel),"")</f>
        <v/>
      </c>
    </row>
    <row r="1445">
      <c r="A1445" s="60" t="n"/>
      <c r="B1445" s="60" t="n"/>
      <c r="C1445" s="71" t="str">
        <f>IF(B1445="","",IFERROR(INDEX(mat_des,MATCH(B1445,mat_ref,0))&amp;"","Matière inconnue"))</f>
        <v/>
      </c>
      <c r="D1445" s="69" t="str">
        <f>IF(B1445="","",IFERROR(INDEX(mat_unit,MATCH(B1445,mat_ref,0))&amp;"",""))</f>
        <v/>
      </c>
      <c r="E1445" s="72" t="n"/>
      <c r="F1445" s="65" t="n"/>
      <c r="G1445" s="68" t="str">
        <f>IF(J1445&lt;&gt;"OK","",IF(F1445="",N(INDEX(mat_loss,MATCH(B1445,mat_ref,0))),F1445))</f>
        <v/>
      </c>
      <c r="H1445" s="66" t="str">
        <f>IF(J1445&lt;&gt;"OK","",INDEX(mat_price,MATCH(B1445,mat_ref,0)))</f>
        <v/>
      </c>
      <c r="I1445" s="66" t="str">
        <f>IF(J1445&lt;&gt;"OK","",E1445*(1+G1445)*H1445)</f>
        <v/>
      </c>
      <c r="J1445" s="69" t="str">
        <f>IF(AND(A1445="",B1445=""),"",IF(A1445="","Produit manquant",IF(COUNTIF(prod_ref,A1445)=0,"Produit inconnu",IF(B1445="","Matière manquante",IF(ISNA(MATCH(B1445,mat_ref,0)),"Matière inconnue",IF(INDEX(mat_check,MATCH(B1445,mat_ref,0))&lt;&gt;"OK","Matière à corriger",IF(OR(NOT(ISNUMBER(E1445)),N(E1445)&lt;=0),"Quantité invalide",IF(AND(F1445&lt;&gt;"",OR(NOT(ISNUMBER(F1445)),N(F1445)&lt;0,N(F1445)&gt;=1)),"Perte entre 0 et 99 %",IF(COUNTIFS(bom_prod,A1445,bom_mat,B1445)&gt;1,"Matière en double","OK")))))))))</f>
        <v/>
      </c>
      <c r="K1445" s="71" t="str">
        <f>IF(AND(fiche_sel&lt;&gt;"",A1445=fiche_sel),COUNTIF(A$6:A1445,fiche_sel),"")</f>
        <v/>
      </c>
    </row>
    <row r="1446">
      <c r="A1446" s="60" t="n"/>
      <c r="B1446" s="60" t="n"/>
      <c r="C1446" s="71" t="str">
        <f>IF(B1446="","",IFERROR(INDEX(mat_des,MATCH(B1446,mat_ref,0))&amp;"","Matière inconnue"))</f>
        <v/>
      </c>
      <c r="D1446" s="69" t="str">
        <f>IF(B1446="","",IFERROR(INDEX(mat_unit,MATCH(B1446,mat_ref,0))&amp;"",""))</f>
        <v/>
      </c>
      <c r="E1446" s="72" t="n"/>
      <c r="F1446" s="65" t="n"/>
      <c r="G1446" s="68" t="str">
        <f>IF(J1446&lt;&gt;"OK","",IF(F1446="",N(INDEX(mat_loss,MATCH(B1446,mat_ref,0))),F1446))</f>
        <v/>
      </c>
      <c r="H1446" s="66" t="str">
        <f>IF(J1446&lt;&gt;"OK","",INDEX(mat_price,MATCH(B1446,mat_ref,0)))</f>
        <v/>
      </c>
      <c r="I1446" s="66" t="str">
        <f>IF(J1446&lt;&gt;"OK","",E1446*(1+G1446)*H1446)</f>
        <v/>
      </c>
      <c r="J1446" s="69" t="str">
        <f>IF(AND(A1446="",B1446=""),"",IF(A1446="","Produit manquant",IF(COUNTIF(prod_ref,A1446)=0,"Produit inconnu",IF(B1446="","Matière manquante",IF(ISNA(MATCH(B1446,mat_ref,0)),"Matière inconnue",IF(INDEX(mat_check,MATCH(B1446,mat_ref,0))&lt;&gt;"OK","Matière à corriger",IF(OR(NOT(ISNUMBER(E1446)),N(E1446)&lt;=0),"Quantité invalide",IF(AND(F1446&lt;&gt;"",OR(NOT(ISNUMBER(F1446)),N(F1446)&lt;0,N(F1446)&gt;=1)),"Perte entre 0 et 99 %",IF(COUNTIFS(bom_prod,A1446,bom_mat,B1446)&gt;1,"Matière en double","OK")))))))))</f>
        <v/>
      </c>
      <c r="K1446" s="71" t="str">
        <f>IF(AND(fiche_sel&lt;&gt;"",A1446=fiche_sel),COUNTIF(A$6:A1446,fiche_sel),"")</f>
        <v/>
      </c>
    </row>
    <row r="1447">
      <c r="A1447" s="60" t="n"/>
      <c r="B1447" s="60" t="n"/>
      <c r="C1447" s="71" t="str">
        <f>IF(B1447="","",IFERROR(INDEX(mat_des,MATCH(B1447,mat_ref,0))&amp;"","Matière inconnue"))</f>
        <v/>
      </c>
      <c r="D1447" s="69" t="str">
        <f>IF(B1447="","",IFERROR(INDEX(mat_unit,MATCH(B1447,mat_ref,0))&amp;"",""))</f>
        <v/>
      </c>
      <c r="E1447" s="72" t="n"/>
      <c r="F1447" s="65" t="n"/>
      <c r="G1447" s="68" t="str">
        <f>IF(J1447&lt;&gt;"OK","",IF(F1447="",N(INDEX(mat_loss,MATCH(B1447,mat_ref,0))),F1447))</f>
        <v/>
      </c>
      <c r="H1447" s="66" t="str">
        <f>IF(J1447&lt;&gt;"OK","",INDEX(mat_price,MATCH(B1447,mat_ref,0)))</f>
        <v/>
      </c>
      <c r="I1447" s="66" t="str">
        <f>IF(J1447&lt;&gt;"OK","",E1447*(1+G1447)*H1447)</f>
        <v/>
      </c>
      <c r="J1447" s="69" t="str">
        <f>IF(AND(A1447="",B1447=""),"",IF(A1447="","Produit manquant",IF(COUNTIF(prod_ref,A1447)=0,"Produit inconnu",IF(B1447="","Matière manquante",IF(ISNA(MATCH(B1447,mat_ref,0)),"Matière inconnue",IF(INDEX(mat_check,MATCH(B1447,mat_ref,0))&lt;&gt;"OK","Matière à corriger",IF(OR(NOT(ISNUMBER(E1447)),N(E1447)&lt;=0),"Quantité invalide",IF(AND(F1447&lt;&gt;"",OR(NOT(ISNUMBER(F1447)),N(F1447)&lt;0,N(F1447)&gt;=1)),"Perte entre 0 et 99 %",IF(COUNTIFS(bom_prod,A1447,bom_mat,B1447)&gt;1,"Matière en double","OK")))))))))</f>
        <v/>
      </c>
      <c r="K1447" s="71" t="str">
        <f>IF(AND(fiche_sel&lt;&gt;"",A1447=fiche_sel),COUNTIF(A$6:A1447,fiche_sel),"")</f>
        <v/>
      </c>
    </row>
    <row r="1448">
      <c r="A1448" s="60" t="n"/>
      <c r="B1448" s="60" t="n"/>
      <c r="C1448" s="71" t="str">
        <f>IF(B1448="","",IFERROR(INDEX(mat_des,MATCH(B1448,mat_ref,0))&amp;"","Matière inconnue"))</f>
        <v/>
      </c>
      <c r="D1448" s="69" t="str">
        <f>IF(B1448="","",IFERROR(INDEX(mat_unit,MATCH(B1448,mat_ref,0))&amp;"",""))</f>
        <v/>
      </c>
      <c r="E1448" s="72" t="n"/>
      <c r="F1448" s="65" t="n"/>
      <c r="G1448" s="68" t="str">
        <f>IF(J1448&lt;&gt;"OK","",IF(F1448="",N(INDEX(mat_loss,MATCH(B1448,mat_ref,0))),F1448))</f>
        <v/>
      </c>
      <c r="H1448" s="66" t="str">
        <f>IF(J1448&lt;&gt;"OK","",INDEX(mat_price,MATCH(B1448,mat_ref,0)))</f>
        <v/>
      </c>
      <c r="I1448" s="66" t="str">
        <f>IF(J1448&lt;&gt;"OK","",E1448*(1+G1448)*H1448)</f>
        <v/>
      </c>
      <c r="J1448" s="69" t="str">
        <f>IF(AND(A1448="",B1448=""),"",IF(A1448="","Produit manquant",IF(COUNTIF(prod_ref,A1448)=0,"Produit inconnu",IF(B1448="","Matière manquante",IF(ISNA(MATCH(B1448,mat_ref,0)),"Matière inconnue",IF(INDEX(mat_check,MATCH(B1448,mat_ref,0))&lt;&gt;"OK","Matière à corriger",IF(OR(NOT(ISNUMBER(E1448)),N(E1448)&lt;=0),"Quantité invalide",IF(AND(F1448&lt;&gt;"",OR(NOT(ISNUMBER(F1448)),N(F1448)&lt;0,N(F1448)&gt;=1)),"Perte entre 0 et 99 %",IF(COUNTIFS(bom_prod,A1448,bom_mat,B1448)&gt;1,"Matière en double","OK")))))))))</f>
        <v/>
      </c>
      <c r="K1448" s="71" t="str">
        <f>IF(AND(fiche_sel&lt;&gt;"",A1448=fiche_sel),COUNTIF(A$6:A1448,fiche_sel),"")</f>
        <v/>
      </c>
    </row>
    <row r="1449">
      <c r="A1449" s="60" t="n"/>
      <c r="B1449" s="60" t="n"/>
      <c r="C1449" s="71" t="str">
        <f>IF(B1449="","",IFERROR(INDEX(mat_des,MATCH(B1449,mat_ref,0))&amp;"","Matière inconnue"))</f>
        <v/>
      </c>
      <c r="D1449" s="69" t="str">
        <f>IF(B1449="","",IFERROR(INDEX(mat_unit,MATCH(B1449,mat_ref,0))&amp;"",""))</f>
        <v/>
      </c>
      <c r="E1449" s="72" t="n"/>
      <c r="F1449" s="65" t="n"/>
      <c r="G1449" s="68" t="str">
        <f>IF(J1449&lt;&gt;"OK","",IF(F1449="",N(INDEX(mat_loss,MATCH(B1449,mat_ref,0))),F1449))</f>
        <v/>
      </c>
      <c r="H1449" s="66" t="str">
        <f>IF(J1449&lt;&gt;"OK","",INDEX(mat_price,MATCH(B1449,mat_ref,0)))</f>
        <v/>
      </c>
      <c r="I1449" s="66" t="str">
        <f>IF(J1449&lt;&gt;"OK","",E1449*(1+G1449)*H1449)</f>
        <v/>
      </c>
      <c r="J1449" s="69" t="str">
        <f>IF(AND(A1449="",B1449=""),"",IF(A1449="","Produit manquant",IF(COUNTIF(prod_ref,A1449)=0,"Produit inconnu",IF(B1449="","Matière manquante",IF(ISNA(MATCH(B1449,mat_ref,0)),"Matière inconnue",IF(INDEX(mat_check,MATCH(B1449,mat_ref,0))&lt;&gt;"OK","Matière à corriger",IF(OR(NOT(ISNUMBER(E1449)),N(E1449)&lt;=0),"Quantité invalide",IF(AND(F1449&lt;&gt;"",OR(NOT(ISNUMBER(F1449)),N(F1449)&lt;0,N(F1449)&gt;=1)),"Perte entre 0 et 99 %",IF(COUNTIFS(bom_prod,A1449,bom_mat,B1449)&gt;1,"Matière en double","OK")))))))))</f>
        <v/>
      </c>
      <c r="K1449" s="71" t="str">
        <f>IF(AND(fiche_sel&lt;&gt;"",A1449=fiche_sel),COUNTIF(A$6:A1449,fiche_sel),"")</f>
        <v/>
      </c>
    </row>
    <row r="1450">
      <c r="A1450" s="60" t="n"/>
      <c r="B1450" s="60" t="n"/>
      <c r="C1450" s="71" t="str">
        <f>IF(B1450="","",IFERROR(INDEX(mat_des,MATCH(B1450,mat_ref,0))&amp;"","Matière inconnue"))</f>
        <v/>
      </c>
      <c r="D1450" s="69" t="str">
        <f>IF(B1450="","",IFERROR(INDEX(mat_unit,MATCH(B1450,mat_ref,0))&amp;"",""))</f>
        <v/>
      </c>
      <c r="E1450" s="72" t="n"/>
      <c r="F1450" s="65" t="n"/>
      <c r="G1450" s="68" t="str">
        <f>IF(J1450&lt;&gt;"OK","",IF(F1450="",N(INDEX(mat_loss,MATCH(B1450,mat_ref,0))),F1450))</f>
        <v/>
      </c>
      <c r="H1450" s="66" t="str">
        <f>IF(J1450&lt;&gt;"OK","",INDEX(mat_price,MATCH(B1450,mat_ref,0)))</f>
        <v/>
      </c>
      <c r="I1450" s="66" t="str">
        <f>IF(J1450&lt;&gt;"OK","",E1450*(1+G1450)*H1450)</f>
        <v/>
      </c>
      <c r="J1450" s="69" t="str">
        <f>IF(AND(A1450="",B1450=""),"",IF(A1450="","Produit manquant",IF(COUNTIF(prod_ref,A1450)=0,"Produit inconnu",IF(B1450="","Matière manquante",IF(ISNA(MATCH(B1450,mat_ref,0)),"Matière inconnue",IF(INDEX(mat_check,MATCH(B1450,mat_ref,0))&lt;&gt;"OK","Matière à corriger",IF(OR(NOT(ISNUMBER(E1450)),N(E1450)&lt;=0),"Quantité invalide",IF(AND(F1450&lt;&gt;"",OR(NOT(ISNUMBER(F1450)),N(F1450)&lt;0,N(F1450)&gt;=1)),"Perte entre 0 et 99 %",IF(COUNTIFS(bom_prod,A1450,bom_mat,B1450)&gt;1,"Matière en double","OK")))))))))</f>
        <v/>
      </c>
      <c r="K1450" s="71" t="str">
        <f>IF(AND(fiche_sel&lt;&gt;"",A1450=fiche_sel),COUNTIF(A$6:A1450,fiche_sel),"")</f>
        <v/>
      </c>
    </row>
    <row r="1451">
      <c r="A1451" s="60" t="n"/>
      <c r="B1451" s="60" t="n"/>
      <c r="C1451" s="71" t="str">
        <f>IF(B1451="","",IFERROR(INDEX(mat_des,MATCH(B1451,mat_ref,0))&amp;"","Matière inconnue"))</f>
        <v/>
      </c>
      <c r="D1451" s="69" t="str">
        <f>IF(B1451="","",IFERROR(INDEX(mat_unit,MATCH(B1451,mat_ref,0))&amp;"",""))</f>
        <v/>
      </c>
      <c r="E1451" s="72" t="n"/>
      <c r="F1451" s="65" t="n"/>
      <c r="G1451" s="68" t="str">
        <f>IF(J1451&lt;&gt;"OK","",IF(F1451="",N(INDEX(mat_loss,MATCH(B1451,mat_ref,0))),F1451))</f>
        <v/>
      </c>
      <c r="H1451" s="66" t="str">
        <f>IF(J1451&lt;&gt;"OK","",INDEX(mat_price,MATCH(B1451,mat_ref,0)))</f>
        <v/>
      </c>
      <c r="I1451" s="66" t="str">
        <f>IF(J1451&lt;&gt;"OK","",E1451*(1+G1451)*H1451)</f>
        <v/>
      </c>
      <c r="J1451" s="69" t="str">
        <f>IF(AND(A1451="",B1451=""),"",IF(A1451="","Produit manquant",IF(COUNTIF(prod_ref,A1451)=0,"Produit inconnu",IF(B1451="","Matière manquante",IF(ISNA(MATCH(B1451,mat_ref,0)),"Matière inconnue",IF(INDEX(mat_check,MATCH(B1451,mat_ref,0))&lt;&gt;"OK","Matière à corriger",IF(OR(NOT(ISNUMBER(E1451)),N(E1451)&lt;=0),"Quantité invalide",IF(AND(F1451&lt;&gt;"",OR(NOT(ISNUMBER(F1451)),N(F1451)&lt;0,N(F1451)&gt;=1)),"Perte entre 0 et 99 %",IF(COUNTIFS(bom_prod,A1451,bom_mat,B1451)&gt;1,"Matière en double","OK")))))))))</f>
        <v/>
      </c>
      <c r="K1451" s="71" t="str">
        <f>IF(AND(fiche_sel&lt;&gt;"",A1451=fiche_sel),COUNTIF(A$6:A1451,fiche_sel),"")</f>
        <v/>
      </c>
    </row>
    <row r="1452">
      <c r="A1452" s="60" t="n"/>
      <c r="B1452" s="60" t="n"/>
      <c r="C1452" s="71" t="str">
        <f>IF(B1452="","",IFERROR(INDEX(mat_des,MATCH(B1452,mat_ref,0))&amp;"","Matière inconnue"))</f>
        <v/>
      </c>
      <c r="D1452" s="69" t="str">
        <f>IF(B1452="","",IFERROR(INDEX(mat_unit,MATCH(B1452,mat_ref,0))&amp;"",""))</f>
        <v/>
      </c>
      <c r="E1452" s="72" t="n"/>
      <c r="F1452" s="65" t="n"/>
      <c r="G1452" s="68" t="str">
        <f>IF(J1452&lt;&gt;"OK","",IF(F1452="",N(INDEX(mat_loss,MATCH(B1452,mat_ref,0))),F1452))</f>
        <v/>
      </c>
      <c r="H1452" s="66" t="str">
        <f>IF(J1452&lt;&gt;"OK","",INDEX(mat_price,MATCH(B1452,mat_ref,0)))</f>
        <v/>
      </c>
      <c r="I1452" s="66" t="str">
        <f>IF(J1452&lt;&gt;"OK","",E1452*(1+G1452)*H1452)</f>
        <v/>
      </c>
      <c r="J1452" s="69" t="str">
        <f>IF(AND(A1452="",B1452=""),"",IF(A1452="","Produit manquant",IF(COUNTIF(prod_ref,A1452)=0,"Produit inconnu",IF(B1452="","Matière manquante",IF(ISNA(MATCH(B1452,mat_ref,0)),"Matière inconnue",IF(INDEX(mat_check,MATCH(B1452,mat_ref,0))&lt;&gt;"OK","Matière à corriger",IF(OR(NOT(ISNUMBER(E1452)),N(E1452)&lt;=0),"Quantité invalide",IF(AND(F1452&lt;&gt;"",OR(NOT(ISNUMBER(F1452)),N(F1452)&lt;0,N(F1452)&gt;=1)),"Perte entre 0 et 99 %",IF(COUNTIFS(bom_prod,A1452,bom_mat,B1452)&gt;1,"Matière en double","OK")))))))))</f>
        <v/>
      </c>
      <c r="K1452" s="71" t="str">
        <f>IF(AND(fiche_sel&lt;&gt;"",A1452=fiche_sel),COUNTIF(A$6:A1452,fiche_sel),"")</f>
        <v/>
      </c>
    </row>
    <row r="1453">
      <c r="A1453" s="60" t="n"/>
      <c r="B1453" s="60" t="n"/>
      <c r="C1453" s="71" t="str">
        <f>IF(B1453="","",IFERROR(INDEX(mat_des,MATCH(B1453,mat_ref,0))&amp;"","Matière inconnue"))</f>
        <v/>
      </c>
      <c r="D1453" s="69" t="str">
        <f>IF(B1453="","",IFERROR(INDEX(mat_unit,MATCH(B1453,mat_ref,0))&amp;"",""))</f>
        <v/>
      </c>
      <c r="E1453" s="72" t="n"/>
      <c r="F1453" s="65" t="n"/>
      <c r="G1453" s="68" t="str">
        <f>IF(J1453&lt;&gt;"OK","",IF(F1453="",N(INDEX(mat_loss,MATCH(B1453,mat_ref,0))),F1453))</f>
        <v/>
      </c>
      <c r="H1453" s="66" t="str">
        <f>IF(J1453&lt;&gt;"OK","",INDEX(mat_price,MATCH(B1453,mat_ref,0)))</f>
        <v/>
      </c>
      <c r="I1453" s="66" t="str">
        <f>IF(J1453&lt;&gt;"OK","",E1453*(1+G1453)*H1453)</f>
        <v/>
      </c>
      <c r="J1453" s="69" t="str">
        <f>IF(AND(A1453="",B1453=""),"",IF(A1453="","Produit manquant",IF(COUNTIF(prod_ref,A1453)=0,"Produit inconnu",IF(B1453="","Matière manquante",IF(ISNA(MATCH(B1453,mat_ref,0)),"Matière inconnue",IF(INDEX(mat_check,MATCH(B1453,mat_ref,0))&lt;&gt;"OK","Matière à corriger",IF(OR(NOT(ISNUMBER(E1453)),N(E1453)&lt;=0),"Quantité invalide",IF(AND(F1453&lt;&gt;"",OR(NOT(ISNUMBER(F1453)),N(F1453)&lt;0,N(F1453)&gt;=1)),"Perte entre 0 et 99 %",IF(COUNTIFS(bom_prod,A1453,bom_mat,B1453)&gt;1,"Matière en double","OK")))))))))</f>
        <v/>
      </c>
      <c r="K1453" s="71" t="str">
        <f>IF(AND(fiche_sel&lt;&gt;"",A1453=fiche_sel),COUNTIF(A$6:A1453,fiche_sel),"")</f>
        <v/>
      </c>
    </row>
    <row r="1454">
      <c r="A1454" s="60" t="n"/>
      <c r="B1454" s="60" t="n"/>
      <c r="C1454" s="71" t="str">
        <f>IF(B1454="","",IFERROR(INDEX(mat_des,MATCH(B1454,mat_ref,0))&amp;"","Matière inconnue"))</f>
        <v/>
      </c>
      <c r="D1454" s="69" t="str">
        <f>IF(B1454="","",IFERROR(INDEX(mat_unit,MATCH(B1454,mat_ref,0))&amp;"",""))</f>
        <v/>
      </c>
      <c r="E1454" s="72" t="n"/>
      <c r="F1454" s="65" t="n"/>
      <c r="G1454" s="68" t="str">
        <f>IF(J1454&lt;&gt;"OK","",IF(F1454="",N(INDEX(mat_loss,MATCH(B1454,mat_ref,0))),F1454))</f>
        <v/>
      </c>
      <c r="H1454" s="66" t="str">
        <f>IF(J1454&lt;&gt;"OK","",INDEX(mat_price,MATCH(B1454,mat_ref,0)))</f>
        <v/>
      </c>
      <c r="I1454" s="66" t="str">
        <f>IF(J1454&lt;&gt;"OK","",E1454*(1+G1454)*H1454)</f>
        <v/>
      </c>
      <c r="J1454" s="69" t="str">
        <f>IF(AND(A1454="",B1454=""),"",IF(A1454="","Produit manquant",IF(COUNTIF(prod_ref,A1454)=0,"Produit inconnu",IF(B1454="","Matière manquante",IF(ISNA(MATCH(B1454,mat_ref,0)),"Matière inconnue",IF(INDEX(mat_check,MATCH(B1454,mat_ref,0))&lt;&gt;"OK","Matière à corriger",IF(OR(NOT(ISNUMBER(E1454)),N(E1454)&lt;=0),"Quantité invalide",IF(AND(F1454&lt;&gt;"",OR(NOT(ISNUMBER(F1454)),N(F1454)&lt;0,N(F1454)&gt;=1)),"Perte entre 0 et 99 %",IF(COUNTIFS(bom_prod,A1454,bom_mat,B1454)&gt;1,"Matière en double","OK")))))))))</f>
        <v/>
      </c>
      <c r="K1454" s="71" t="str">
        <f>IF(AND(fiche_sel&lt;&gt;"",A1454=fiche_sel),COUNTIF(A$6:A1454,fiche_sel),"")</f>
        <v/>
      </c>
    </row>
    <row r="1455">
      <c r="A1455" s="60" t="n"/>
      <c r="B1455" s="60" t="n"/>
      <c r="C1455" s="71" t="str">
        <f>IF(B1455="","",IFERROR(INDEX(mat_des,MATCH(B1455,mat_ref,0))&amp;"","Matière inconnue"))</f>
        <v/>
      </c>
      <c r="D1455" s="69" t="str">
        <f>IF(B1455="","",IFERROR(INDEX(mat_unit,MATCH(B1455,mat_ref,0))&amp;"",""))</f>
        <v/>
      </c>
      <c r="E1455" s="72" t="n"/>
      <c r="F1455" s="65" t="n"/>
      <c r="G1455" s="68" t="str">
        <f>IF(J1455&lt;&gt;"OK","",IF(F1455="",N(INDEX(mat_loss,MATCH(B1455,mat_ref,0))),F1455))</f>
        <v/>
      </c>
      <c r="H1455" s="66" t="str">
        <f>IF(J1455&lt;&gt;"OK","",INDEX(mat_price,MATCH(B1455,mat_ref,0)))</f>
        <v/>
      </c>
      <c r="I1455" s="66" t="str">
        <f>IF(J1455&lt;&gt;"OK","",E1455*(1+G1455)*H1455)</f>
        <v/>
      </c>
      <c r="J1455" s="69" t="str">
        <f>IF(AND(A1455="",B1455=""),"",IF(A1455="","Produit manquant",IF(COUNTIF(prod_ref,A1455)=0,"Produit inconnu",IF(B1455="","Matière manquante",IF(ISNA(MATCH(B1455,mat_ref,0)),"Matière inconnue",IF(INDEX(mat_check,MATCH(B1455,mat_ref,0))&lt;&gt;"OK","Matière à corriger",IF(OR(NOT(ISNUMBER(E1455)),N(E1455)&lt;=0),"Quantité invalide",IF(AND(F1455&lt;&gt;"",OR(NOT(ISNUMBER(F1455)),N(F1455)&lt;0,N(F1455)&gt;=1)),"Perte entre 0 et 99 %",IF(COUNTIFS(bom_prod,A1455,bom_mat,B1455)&gt;1,"Matière en double","OK")))))))))</f>
        <v/>
      </c>
      <c r="K1455" s="71" t="str">
        <f>IF(AND(fiche_sel&lt;&gt;"",A1455=fiche_sel),COUNTIF(A$6:A1455,fiche_sel),"")</f>
        <v/>
      </c>
    </row>
    <row r="1456">
      <c r="A1456" s="60" t="n"/>
      <c r="B1456" s="60" t="n"/>
      <c r="C1456" s="71" t="str">
        <f>IF(B1456="","",IFERROR(INDEX(mat_des,MATCH(B1456,mat_ref,0))&amp;"","Matière inconnue"))</f>
        <v/>
      </c>
      <c r="D1456" s="69" t="str">
        <f>IF(B1456="","",IFERROR(INDEX(mat_unit,MATCH(B1456,mat_ref,0))&amp;"",""))</f>
        <v/>
      </c>
      <c r="E1456" s="72" t="n"/>
      <c r="F1456" s="65" t="n"/>
      <c r="G1456" s="68" t="str">
        <f>IF(J1456&lt;&gt;"OK","",IF(F1456="",N(INDEX(mat_loss,MATCH(B1456,mat_ref,0))),F1456))</f>
        <v/>
      </c>
      <c r="H1456" s="66" t="str">
        <f>IF(J1456&lt;&gt;"OK","",INDEX(mat_price,MATCH(B1456,mat_ref,0)))</f>
        <v/>
      </c>
      <c r="I1456" s="66" t="str">
        <f>IF(J1456&lt;&gt;"OK","",E1456*(1+G1456)*H1456)</f>
        <v/>
      </c>
      <c r="J1456" s="69" t="str">
        <f>IF(AND(A1456="",B1456=""),"",IF(A1456="","Produit manquant",IF(COUNTIF(prod_ref,A1456)=0,"Produit inconnu",IF(B1456="","Matière manquante",IF(ISNA(MATCH(B1456,mat_ref,0)),"Matière inconnue",IF(INDEX(mat_check,MATCH(B1456,mat_ref,0))&lt;&gt;"OK","Matière à corriger",IF(OR(NOT(ISNUMBER(E1456)),N(E1456)&lt;=0),"Quantité invalide",IF(AND(F1456&lt;&gt;"",OR(NOT(ISNUMBER(F1456)),N(F1456)&lt;0,N(F1456)&gt;=1)),"Perte entre 0 et 99 %",IF(COUNTIFS(bom_prod,A1456,bom_mat,B1456)&gt;1,"Matière en double","OK")))))))))</f>
        <v/>
      </c>
      <c r="K1456" s="71" t="str">
        <f>IF(AND(fiche_sel&lt;&gt;"",A1456=fiche_sel),COUNTIF(A$6:A1456,fiche_sel),"")</f>
        <v/>
      </c>
    </row>
    <row r="1457">
      <c r="A1457" s="60" t="n"/>
      <c r="B1457" s="60" t="n"/>
      <c r="C1457" s="71" t="str">
        <f>IF(B1457="","",IFERROR(INDEX(mat_des,MATCH(B1457,mat_ref,0))&amp;"","Matière inconnue"))</f>
        <v/>
      </c>
      <c r="D1457" s="69" t="str">
        <f>IF(B1457="","",IFERROR(INDEX(mat_unit,MATCH(B1457,mat_ref,0))&amp;"",""))</f>
        <v/>
      </c>
      <c r="E1457" s="72" t="n"/>
      <c r="F1457" s="65" t="n"/>
      <c r="G1457" s="68" t="str">
        <f>IF(J1457&lt;&gt;"OK","",IF(F1457="",N(INDEX(mat_loss,MATCH(B1457,mat_ref,0))),F1457))</f>
        <v/>
      </c>
      <c r="H1457" s="66" t="str">
        <f>IF(J1457&lt;&gt;"OK","",INDEX(mat_price,MATCH(B1457,mat_ref,0)))</f>
        <v/>
      </c>
      <c r="I1457" s="66" t="str">
        <f>IF(J1457&lt;&gt;"OK","",E1457*(1+G1457)*H1457)</f>
        <v/>
      </c>
      <c r="J1457" s="69" t="str">
        <f>IF(AND(A1457="",B1457=""),"",IF(A1457="","Produit manquant",IF(COUNTIF(prod_ref,A1457)=0,"Produit inconnu",IF(B1457="","Matière manquante",IF(ISNA(MATCH(B1457,mat_ref,0)),"Matière inconnue",IF(INDEX(mat_check,MATCH(B1457,mat_ref,0))&lt;&gt;"OK","Matière à corriger",IF(OR(NOT(ISNUMBER(E1457)),N(E1457)&lt;=0),"Quantité invalide",IF(AND(F1457&lt;&gt;"",OR(NOT(ISNUMBER(F1457)),N(F1457)&lt;0,N(F1457)&gt;=1)),"Perte entre 0 et 99 %",IF(COUNTIFS(bom_prod,A1457,bom_mat,B1457)&gt;1,"Matière en double","OK")))))))))</f>
        <v/>
      </c>
      <c r="K1457" s="71" t="str">
        <f>IF(AND(fiche_sel&lt;&gt;"",A1457=fiche_sel),COUNTIF(A$6:A1457,fiche_sel),"")</f>
        <v/>
      </c>
    </row>
    <row r="1458">
      <c r="A1458" s="60" t="n"/>
      <c r="B1458" s="60" t="n"/>
      <c r="C1458" s="71" t="str">
        <f>IF(B1458="","",IFERROR(INDEX(mat_des,MATCH(B1458,mat_ref,0))&amp;"","Matière inconnue"))</f>
        <v/>
      </c>
      <c r="D1458" s="69" t="str">
        <f>IF(B1458="","",IFERROR(INDEX(mat_unit,MATCH(B1458,mat_ref,0))&amp;"",""))</f>
        <v/>
      </c>
      <c r="E1458" s="72" t="n"/>
      <c r="F1458" s="65" t="n"/>
      <c r="G1458" s="68" t="str">
        <f>IF(J1458&lt;&gt;"OK","",IF(F1458="",N(INDEX(mat_loss,MATCH(B1458,mat_ref,0))),F1458))</f>
        <v/>
      </c>
      <c r="H1458" s="66" t="str">
        <f>IF(J1458&lt;&gt;"OK","",INDEX(mat_price,MATCH(B1458,mat_ref,0)))</f>
        <v/>
      </c>
      <c r="I1458" s="66" t="str">
        <f>IF(J1458&lt;&gt;"OK","",E1458*(1+G1458)*H1458)</f>
        <v/>
      </c>
      <c r="J1458" s="69" t="str">
        <f>IF(AND(A1458="",B1458=""),"",IF(A1458="","Produit manquant",IF(COUNTIF(prod_ref,A1458)=0,"Produit inconnu",IF(B1458="","Matière manquante",IF(ISNA(MATCH(B1458,mat_ref,0)),"Matière inconnue",IF(INDEX(mat_check,MATCH(B1458,mat_ref,0))&lt;&gt;"OK","Matière à corriger",IF(OR(NOT(ISNUMBER(E1458)),N(E1458)&lt;=0),"Quantité invalide",IF(AND(F1458&lt;&gt;"",OR(NOT(ISNUMBER(F1458)),N(F1458)&lt;0,N(F1458)&gt;=1)),"Perte entre 0 et 99 %",IF(COUNTIFS(bom_prod,A1458,bom_mat,B1458)&gt;1,"Matière en double","OK")))))))))</f>
        <v/>
      </c>
      <c r="K1458" s="71" t="str">
        <f>IF(AND(fiche_sel&lt;&gt;"",A1458=fiche_sel),COUNTIF(A$6:A1458,fiche_sel),"")</f>
        <v/>
      </c>
    </row>
    <row r="1459">
      <c r="A1459" s="60" t="n"/>
      <c r="B1459" s="60" t="n"/>
      <c r="C1459" s="71" t="str">
        <f>IF(B1459="","",IFERROR(INDEX(mat_des,MATCH(B1459,mat_ref,0))&amp;"","Matière inconnue"))</f>
        <v/>
      </c>
      <c r="D1459" s="69" t="str">
        <f>IF(B1459="","",IFERROR(INDEX(mat_unit,MATCH(B1459,mat_ref,0))&amp;"",""))</f>
        <v/>
      </c>
      <c r="E1459" s="72" t="n"/>
      <c r="F1459" s="65" t="n"/>
      <c r="G1459" s="68" t="str">
        <f>IF(J1459&lt;&gt;"OK","",IF(F1459="",N(INDEX(mat_loss,MATCH(B1459,mat_ref,0))),F1459))</f>
        <v/>
      </c>
      <c r="H1459" s="66" t="str">
        <f>IF(J1459&lt;&gt;"OK","",INDEX(mat_price,MATCH(B1459,mat_ref,0)))</f>
        <v/>
      </c>
      <c r="I1459" s="66" t="str">
        <f>IF(J1459&lt;&gt;"OK","",E1459*(1+G1459)*H1459)</f>
        <v/>
      </c>
      <c r="J1459" s="69" t="str">
        <f>IF(AND(A1459="",B1459=""),"",IF(A1459="","Produit manquant",IF(COUNTIF(prod_ref,A1459)=0,"Produit inconnu",IF(B1459="","Matière manquante",IF(ISNA(MATCH(B1459,mat_ref,0)),"Matière inconnue",IF(INDEX(mat_check,MATCH(B1459,mat_ref,0))&lt;&gt;"OK","Matière à corriger",IF(OR(NOT(ISNUMBER(E1459)),N(E1459)&lt;=0),"Quantité invalide",IF(AND(F1459&lt;&gt;"",OR(NOT(ISNUMBER(F1459)),N(F1459)&lt;0,N(F1459)&gt;=1)),"Perte entre 0 et 99 %",IF(COUNTIFS(bom_prod,A1459,bom_mat,B1459)&gt;1,"Matière en double","OK")))))))))</f>
        <v/>
      </c>
      <c r="K1459" s="71" t="str">
        <f>IF(AND(fiche_sel&lt;&gt;"",A1459=fiche_sel),COUNTIF(A$6:A1459,fiche_sel),"")</f>
        <v/>
      </c>
    </row>
    <row r="1460">
      <c r="A1460" s="60" t="n"/>
      <c r="B1460" s="60" t="n"/>
      <c r="C1460" s="71" t="str">
        <f>IF(B1460="","",IFERROR(INDEX(mat_des,MATCH(B1460,mat_ref,0))&amp;"","Matière inconnue"))</f>
        <v/>
      </c>
      <c r="D1460" s="69" t="str">
        <f>IF(B1460="","",IFERROR(INDEX(mat_unit,MATCH(B1460,mat_ref,0))&amp;"",""))</f>
        <v/>
      </c>
      <c r="E1460" s="72" t="n"/>
      <c r="F1460" s="65" t="n"/>
      <c r="G1460" s="68" t="str">
        <f>IF(J1460&lt;&gt;"OK","",IF(F1460="",N(INDEX(mat_loss,MATCH(B1460,mat_ref,0))),F1460))</f>
        <v/>
      </c>
      <c r="H1460" s="66" t="str">
        <f>IF(J1460&lt;&gt;"OK","",INDEX(mat_price,MATCH(B1460,mat_ref,0)))</f>
        <v/>
      </c>
      <c r="I1460" s="66" t="str">
        <f>IF(J1460&lt;&gt;"OK","",E1460*(1+G1460)*H1460)</f>
        <v/>
      </c>
      <c r="J1460" s="69" t="str">
        <f>IF(AND(A1460="",B1460=""),"",IF(A1460="","Produit manquant",IF(COUNTIF(prod_ref,A1460)=0,"Produit inconnu",IF(B1460="","Matière manquante",IF(ISNA(MATCH(B1460,mat_ref,0)),"Matière inconnue",IF(INDEX(mat_check,MATCH(B1460,mat_ref,0))&lt;&gt;"OK","Matière à corriger",IF(OR(NOT(ISNUMBER(E1460)),N(E1460)&lt;=0),"Quantité invalide",IF(AND(F1460&lt;&gt;"",OR(NOT(ISNUMBER(F1460)),N(F1460)&lt;0,N(F1460)&gt;=1)),"Perte entre 0 et 99 %",IF(COUNTIFS(bom_prod,A1460,bom_mat,B1460)&gt;1,"Matière en double","OK")))))))))</f>
        <v/>
      </c>
      <c r="K1460" s="71" t="str">
        <f>IF(AND(fiche_sel&lt;&gt;"",A1460=fiche_sel),COUNTIF(A$6:A1460,fiche_sel),"")</f>
        <v/>
      </c>
    </row>
    <row r="1461">
      <c r="A1461" s="60" t="n"/>
      <c r="B1461" s="60" t="n"/>
      <c r="C1461" s="71" t="str">
        <f>IF(B1461="","",IFERROR(INDEX(mat_des,MATCH(B1461,mat_ref,0))&amp;"","Matière inconnue"))</f>
        <v/>
      </c>
      <c r="D1461" s="69" t="str">
        <f>IF(B1461="","",IFERROR(INDEX(mat_unit,MATCH(B1461,mat_ref,0))&amp;"",""))</f>
        <v/>
      </c>
      <c r="E1461" s="72" t="n"/>
      <c r="F1461" s="65" t="n"/>
      <c r="G1461" s="68" t="str">
        <f>IF(J1461&lt;&gt;"OK","",IF(F1461="",N(INDEX(mat_loss,MATCH(B1461,mat_ref,0))),F1461))</f>
        <v/>
      </c>
      <c r="H1461" s="66" t="str">
        <f>IF(J1461&lt;&gt;"OK","",INDEX(mat_price,MATCH(B1461,mat_ref,0)))</f>
        <v/>
      </c>
      <c r="I1461" s="66" t="str">
        <f>IF(J1461&lt;&gt;"OK","",E1461*(1+G1461)*H1461)</f>
        <v/>
      </c>
      <c r="J1461" s="69" t="str">
        <f>IF(AND(A1461="",B1461=""),"",IF(A1461="","Produit manquant",IF(COUNTIF(prod_ref,A1461)=0,"Produit inconnu",IF(B1461="","Matière manquante",IF(ISNA(MATCH(B1461,mat_ref,0)),"Matière inconnue",IF(INDEX(mat_check,MATCH(B1461,mat_ref,0))&lt;&gt;"OK","Matière à corriger",IF(OR(NOT(ISNUMBER(E1461)),N(E1461)&lt;=0),"Quantité invalide",IF(AND(F1461&lt;&gt;"",OR(NOT(ISNUMBER(F1461)),N(F1461)&lt;0,N(F1461)&gt;=1)),"Perte entre 0 et 99 %",IF(COUNTIFS(bom_prod,A1461,bom_mat,B1461)&gt;1,"Matière en double","OK")))))))))</f>
        <v/>
      </c>
      <c r="K1461" s="71" t="str">
        <f>IF(AND(fiche_sel&lt;&gt;"",A1461=fiche_sel),COUNTIF(A$6:A1461,fiche_sel),"")</f>
        <v/>
      </c>
    </row>
    <row r="1462">
      <c r="A1462" s="60" t="n"/>
      <c r="B1462" s="60" t="n"/>
      <c r="C1462" s="71" t="str">
        <f>IF(B1462="","",IFERROR(INDEX(mat_des,MATCH(B1462,mat_ref,0))&amp;"","Matière inconnue"))</f>
        <v/>
      </c>
      <c r="D1462" s="69" t="str">
        <f>IF(B1462="","",IFERROR(INDEX(mat_unit,MATCH(B1462,mat_ref,0))&amp;"",""))</f>
        <v/>
      </c>
      <c r="E1462" s="72" t="n"/>
      <c r="F1462" s="65" t="n"/>
      <c r="G1462" s="68" t="str">
        <f>IF(J1462&lt;&gt;"OK","",IF(F1462="",N(INDEX(mat_loss,MATCH(B1462,mat_ref,0))),F1462))</f>
        <v/>
      </c>
      <c r="H1462" s="66" t="str">
        <f>IF(J1462&lt;&gt;"OK","",INDEX(mat_price,MATCH(B1462,mat_ref,0)))</f>
        <v/>
      </c>
      <c r="I1462" s="66" t="str">
        <f>IF(J1462&lt;&gt;"OK","",E1462*(1+G1462)*H1462)</f>
        <v/>
      </c>
      <c r="J1462" s="69" t="str">
        <f>IF(AND(A1462="",B1462=""),"",IF(A1462="","Produit manquant",IF(COUNTIF(prod_ref,A1462)=0,"Produit inconnu",IF(B1462="","Matière manquante",IF(ISNA(MATCH(B1462,mat_ref,0)),"Matière inconnue",IF(INDEX(mat_check,MATCH(B1462,mat_ref,0))&lt;&gt;"OK","Matière à corriger",IF(OR(NOT(ISNUMBER(E1462)),N(E1462)&lt;=0),"Quantité invalide",IF(AND(F1462&lt;&gt;"",OR(NOT(ISNUMBER(F1462)),N(F1462)&lt;0,N(F1462)&gt;=1)),"Perte entre 0 et 99 %",IF(COUNTIFS(bom_prod,A1462,bom_mat,B1462)&gt;1,"Matière en double","OK")))))))))</f>
        <v/>
      </c>
      <c r="K1462" s="71" t="str">
        <f>IF(AND(fiche_sel&lt;&gt;"",A1462=fiche_sel),COUNTIF(A$6:A1462,fiche_sel),"")</f>
        <v/>
      </c>
    </row>
    <row r="1463">
      <c r="A1463" s="60" t="n"/>
      <c r="B1463" s="60" t="n"/>
      <c r="C1463" s="71" t="str">
        <f>IF(B1463="","",IFERROR(INDEX(mat_des,MATCH(B1463,mat_ref,0))&amp;"","Matière inconnue"))</f>
        <v/>
      </c>
      <c r="D1463" s="69" t="str">
        <f>IF(B1463="","",IFERROR(INDEX(mat_unit,MATCH(B1463,mat_ref,0))&amp;"",""))</f>
        <v/>
      </c>
      <c r="E1463" s="72" t="n"/>
      <c r="F1463" s="65" t="n"/>
      <c r="G1463" s="68" t="str">
        <f>IF(J1463&lt;&gt;"OK","",IF(F1463="",N(INDEX(mat_loss,MATCH(B1463,mat_ref,0))),F1463))</f>
        <v/>
      </c>
      <c r="H1463" s="66" t="str">
        <f>IF(J1463&lt;&gt;"OK","",INDEX(mat_price,MATCH(B1463,mat_ref,0)))</f>
        <v/>
      </c>
      <c r="I1463" s="66" t="str">
        <f>IF(J1463&lt;&gt;"OK","",E1463*(1+G1463)*H1463)</f>
        <v/>
      </c>
      <c r="J1463" s="69" t="str">
        <f>IF(AND(A1463="",B1463=""),"",IF(A1463="","Produit manquant",IF(COUNTIF(prod_ref,A1463)=0,"Produit inconnu",IF(B1463="","Matière manquante",IF(ISNA(MATCH(B1463,mat_ref,0)),"Matière inconnue",IF(INDEX(mat_check,MATCH(B1463,mat_ref,0))&lt;&gt;"OK","Matière à corriger",IF(OR(NOT(ISNUMBER(E1463)),N(E1463)&lt;=0),"Quantité invalide",IF(AND(F1463&lt;&gt;"",OR(NOT(ISNUMBER(F1463)),N(F1463)&lt;0,N(F1463)&gt;=1)),"Perte entre 0 et 99 %",IF(COUNTIFS(bom_prod,A1463,bom_mat,B1463)&gt;1,"Matière en double","OK")))))))))</f>
        <v/>
      </c>
      <c r="K1463" s="71" t="str">
        <f>IF(AND(fiche_sel&lt;&gt;"",A1463=fiche_sel),COUNTIF(A$6:A1463,fiche_sel),"")</f>
        <v/>
      </c>
    </row>
    <row r="1464">
      <c r="A1464" s="60" t="n"/>
      <c r="B1464" s="60" t="n"/>
      <c r="C1464" s="71" t="str">
        <f>IF(B1464="","",IFERROR(INDEX(mat_des,MATCH(B1464,mat_ref,0))&amp;"","Matière inconnue"))</f>
        <v/>
      </c>
      <c r="D1464" s="69" t="str">
        <f>IF(B1464="","",IFERROR(INDEX(mat_unit,MATCH(B1464,mat_ref,0))&amp;"",""))</f>
        <v/>
      </c>
      <c r="E1464" s="72" t="n"/>
      <c r="F1464" s="65" t="n"/>
      <c r="G1464" s="68" t="str">
        <f>IF(J1464&lt;&gt;"OK","",IF(F1464="",N(INDEX(mat_loss,MATCH(B1464,mat_ref,0))),F1464))</f>
        <v/>
      </c>
      <c r="H1464" s="66" t="str">
        <f>IF(J1464&lt;&gt;"OK","",INDEX(mat_price,MATCH(B1464,mat_ref,0)))</f>
        <v/>
      </c>
      <c r="I1464" s="66" t="str">
        <f>IF(J1464&lt;&gt;"OK","",E1464*(1+G1464)*H1464)</f>
        <v/>
      </c>
      <c r="J1464" s="69" t="str">
        <f>IF(AND(A1464="",B1464=""),"",IF(A1464="","Produit manquant",IF(COUNTIF(prod_ref,A1464)=0,"Produit inconnu",IF(B1464="","Matière manquante",IF(ISNA(MATCH(B1464,mat_ref,0)),"Matière inconnue",IF(INDEX(mat_check,MATCH(B1464,mat_ref,0))&lt;&gt;"OK","Matière à corriger",IF(OR(NOT(ISNUMBER(E1464)),N(E1464)&lt;=0),"Quantité invalide",IF(AND(F1464&lt;&gt;"",OR(NOT(ISNUMBER(F1464)),N(F1464)&lt;0,N(F1464)&gt;=1)),"Perte entre 0 et 99 %",IF(COUNTIFS(bom_prod,A1464,bom_mat,B1464)&gt;1,"Matière en double","OK")))))))))</f>
        <v/>
      </c>
      <c r="K1464" s="71" t="str">
        <f>IF(AND(fiche_sel&lt;&gt;"",A1464=fiche_sel),COUNTIF(A$6:A1464,fiche_sel),"")</f>
        <v/>
      </c>
    </row>
    <row r="1465">
      <c r="A1465" s="60" t="n"/>
      <c r="B1465" s="60" t="n"/>
      <c r="C1465" s="71" t="str">
        <f>IF(B1465="","",IFERROR(INDEX(mat_des,MATCH(B1465,mat_ref,0))&amp;"","Matière inconnue"))</f>
        <v/>
      </c>
      <c r="D1465" s="69" t="str">
        <f>IF(B1465="","",IFERROR(INDEX(mat_unit,MATCH(B1465,mat_ref,0))&amp;"",""))</f>
        <v/>
      </c>
      <c r="E1465" s="72" t="n"/>
      <c r="F1465" s="65" t="n"/>
      <c r="G1465" s="68" t="str">
        <f>IF(J1465&lt;&gt;"OK","",IF(F1465="",N(INDEX(mat_loss,MATCH(B1465,mat_ref,0))),F1465))</f>
        <v/>
      </c>
      <c r="H1465" s="66" t="str">
        <f>IF(J1465&lt;&gt;"OK","",INDEX(mat_price,MATCH(B1465,mat_ref,0)))</f>
        <v/>
      </c>
      <c r="I1465" s="66" t="str">
        <f>IF(J1465&lt;&gt;"OK","",E1465*(1+G1465)*H1465)</f>
        <v/>
      </c>
      <c r="J1465" s="69" t="str">
        <f>IF(AND(A1465="",B1465=""),"",IF(A1465="","Produit manquant",IF(COUNTIF(prod_ref,A1465)=0,"Produit inconnu",IF(B1465="","Matière manquante",IF(ISNA(MATCH(B1465,mat_ref,0)),"Matière inconnue",IF(INDEX(mat_check,MATCH(B1465,mat_ref,0))&lt;&gt;"OK","Matière à corriger",IF(OR(NOT(ISNUMBER(E1465)),N(E1465)&lt;=0),"Quantité invalide",IF(AND(F1465&lt;&gt;"",OR(NOT(ISNUMBER(F1465)),N(F1465)&lt;0,N(F1465)&gt;=1)),"Perte entre 0 et 99 %",IF(COUNTIFS(bom_prod,A1465,bom_mat,B1465)&gt;1,"Matière en double","OK")))))))))</f>
        <v/>
      </c>
      <c r="K1465" s="71" t="str">
        <f>IF(AND(fiche_sel&lt;&gt;"",A1465=fiche_sel),COUNTIF(A$6:A1465,fiche_sel),"")</f>
        <v/>
      </c>
    </row>
    <row r="1466">
      <c r="A1466" s="60" t="n"/>
      <c r="B1466" s="60" t="n"/>
      <c r="C1466" s="71" t="str">
        <f>IF(B1466="","",IFERROR(INDEX(mat_des,MATCH(B1466,mat_ref,0))&amp;"","Matière inconnue"))</f>
        <v/>
      </c>
      <c r="D1466" s="69" t="str">
        <f>IF(B1466="","",IFERROR(INDEX(mat_unit,MATCH(B1466,mat_ref,0))&amp;"",""))</f>
        <v/>
      </c>
      <c r="E1466" s="72" t="n"/>
      <c r="F1466" s="65" t="n"/>
      <c r="G1466" s="68" t="str">
        <f>IF(J1466&lt;&gt;"OK","",IF(F1466="",N(INDEX(mat_loss,MATCH(B1466,mat_ref,0))),F1466))</f>
        <v/>
      </c>
      <c r="H1466" s="66" t="str">
        <f>IF(J1466&lt;&gt;"OK","",INDEX(mat_price,MATCH(B1466,mat_ref,0)))</f>
        <v/>
      </c>
      <c r="I1466" s="66" t="str">
        <f>IF(J1466&lt;&gt;"OK","",E1466*(1+G1466)*H1466)</f>
        <v/>
      </c>
      <c r="J1466" s="69" t="str">
        <f>IF(AND(A1466="",B1466=""),"",IF(A1466="","Produit manquant",IF(COUNTIF(prod_ref,A1466)=0,"Produit inconnu",IF(B1466="","Matière manquante",IF(ISNA(MATCH(B1466,mat_ref,0)),"Matière inconnue",IF(INDEX(mat_check,MATCH(B1466,mat_ref,0))&lt;&gt;"OK","Matière à corriger",IF(OR(NOT(ISNUMBER(E1466)),N(E1466)&lt;=0),"Quantité invalide",IF(AND(F1466&lt;&gt;"",OR(NOT(ISNUMBER(F1466)),N(F1466)&lt;0,N(F1466)&gt;=1)),"Perte entre 0 et 99 %",IF(COUNTIFS(bom_prod,A1466,bom_mat,B1466)&gt;1,"Matière en double","OK")))))))))</f>
        <v/>
      </c>
      <c r="K1466" s="71" t="str">
        <f>IF(AND(fiche_sel&lt;&gt;"",A1466=fiche_sel),COUNTIF(A$6:A1466,fiche_sel),"")</f>
        <v/>
      </c>
    </row>
    <row r="1467">
      <c r="A1467" s="60" t="n"/>
      <c r="B1467" s="60" t="n"/>
      <c r="C1467" s="71" t="str">
        <f>IF(B1467="","",IFERROR(INDEX(mat_des,MATCH(B1467,mat_ref,0))&amp;"","Matière inconnue"))</f>
        <v/>
      </c>
      <c r="D1467" s="69" t="str">
        <f>IF(B1467="","",IFERROR(INDEX(mat_unit,MATCH(B1467,mat_ref,0))&amp;"",""))</f>
        <v/>
      </c>
      <c r="E1467" s="72" t="n"/>
      <c r="F1467" s="65" t="n"/>
      <c r="G1467" s="68" t="str">
        <f>IF(J1467&lt;&gt;"OK","",IF(F1467="",N(INDEX(mat_loss,MATCH(B1467,mat_ref,0))),F1467))</f>
        <v/>
      </c>
      <c r="H1467" s="66" t="str">
        <f>IF(J1467&lt;&gt;"OK","",INDEX(mat_price,MATCH(B1467,mat_ref,0)))</f>
        <v/>
      </c>
      <c r="I1467" s="66" t="str">
        <f>IF(J1467&lt;&gt;"OK","",E1467*(1+G1467)*H1467)</f>
        <v/>
      </c>
      <c r="J1467" s="69" t="str">
        <f>IF(AND(A1467="",B1467=""),"",IF(A1467="","Produit manquant",IF(COUNTIF(prod_ref,A1467)=0,"Produit inconnu",IF(B1467="","Matière manquante",IF(ISNA(MATCH(B1467,mat_ref,0)),"Matière inconnue",IF(INDEX(mat_check,MATCH(B1467,mat_ref,0))&lt;&gt;"OK","Matière à corriger",IF(OR(NOT(ISNUMBER(E1467)),N(E1467)&lt;=0),"Quantité invalide",IF(AND(F1467&lt;&gt;"",OR(NOT(ISNUMBER(F1467)),N(F1467)&lt;0,N(F1467)&gt;=1)),"Perte entre 0 et 99 %",IF(COUNTIFS(bom_prod,A1467,bom_mat,B1467)&gt;1,"Matière en double","OK")))))))))</f>
        <v/>
      </c>
      <c r="K1467" s="71" t="str">
        <f>IF(AND(fiche_sel&lt;&gt;"",A1467=fiche_sel),COUNTIF(A$6:A1467,fiche_sel),"")</f>
        <v/>
      </c>
    </row>
    <row r="1468">
      <c r="A1468" s="60" t="n"/>
      <c r="B1468" s="60" t="n"/>
      <c r="C1468" s="71" t="str">
        <f>IF(B1468="","",IFERROR(INDEX(mat_des,MATCH(B1468,mat_ref,0))&amp;"","Matière inconnue"))</f>
        <v/>
      </c>
      <c r="D1468" s="69" t="str">
        <f>IF(B1468="","",IFERROR(INDEX(mat_unit,MATCH(B1468,mat_ref,0))&amp;"",""))</f>
        <v/>
      </c>
      <c r="E1468" s="72" t="n"/>
      <c r="F1468" s="65" t="n"/>
      <c r="G1468" s="68" t="str">
        <f>IF(J1468&lt;&gt;"OK","",IF(F1468="",N(INDEX(mat_loss,MATCH(B1468,mat_ref,0))),F1468))</f>
        <v/>
      </c>
      <c r="H1468" s="66" t="str">
        <f>IF(J1468&lt;&gt;"OK","",INDEX(mat_price,MATCH(B1468,mat_ref,0)))</f>
        <v/>
      </c>
      <c r="I1468" s="66" t="str">
        <f>IF(J1468&lt;&gt;"OK","",E1468*(1+G1468)*H1468)</f>
        <v/>
      </c>
      <c r="J1468" s="69" t="str">
        <f>IF(AND(A1468="",B1468=""),"",IF(A1468="","Produit manquant",IF(COUNTIF(prod_ref,A1468)=0,"Produit inconnu",IF(B1468="","Matière manquante",IF(ISNA(MATCH(B1468,mat_ref,0)),"Matière inconnue",IF(INDEX(mat_check,MATCH(B1468,mat_ref,0))&lt;&gt;"OK","Matière à corriger",IF(OR(NOT(ISNUMBER(E1468)),N(E1468)&lt;=0),"Quantité invalide",IF(AND(F1468&lt;&gt;"",OR(NOT(ISNUMBER(F1468)),N(F1468)&lt;0,N(F1468)&gt;=1)),"Perte entre 0 et 99 %",IF(COUNTIFS(bom_prod,A1468,bom_mat,B1468)&gt;1,"Matière en double","OK")))))))))</f>
        <v/>
      </c>
      <c r="K1468" s="71" t="str">
        <f>IF(AND(fiche_sel&lt;&gt;"",A1468=fiche_sel),COUNTIF(A$6:A1468,fiche_sel),"")</f>
        <v/>
      </c>
    </row>
    <row r="1469">
      <c r="A1469" s="60" t="n"/>
      <c r="B1469" s="60" t="n"/>
      <c r="C1469" s="71" t="str">
        <f>IF(B1469="","",IFERROR(INDEX(mat_des,MATCH(B1469,mat_ref,0))&amp;"","Matière inconnue"))</f>
        <v/>
      </c>
      <c r="D1469" s="69" t="str">
        <f>IF(B1469="","",IFERROR(INDEX(mat_unit,MATCH(B1469,mat_ref,0))&amp;"",""))</f>
        <v/>
      </c>
      <c r="E1469" s="72" t="n"/>
      <c r="F1469" s="65" t="n"/>
      <c r="G1469" s="68" t="str">
        <f>IF(J1469&lt;&gt;"OK","",IF(F1469="",N(INDEX(mat_loss,MATCH(B1469,mat_ref,0))),F1469))</f>
        <v/>
      </c>
      <c r="H1469" s="66" t="str">
        <f>IF(J1469&lt;&gt;"OK","",INDEX(mat_price,MATCH(B1469,mat_ref,0)))</f>
        <v/>
      </c>
      <c r="I1469" s="66" t="str">
        <f>IF(J1469&lt;&gt;"OK","",E1469*(1+G1469)*H1469)</f>
        <v/>
      </c>
      <c r="J1469" s="69" t="str">
        <f>IF(AND(A1469="",B1469=""),"",IF(A1469="","Produit manquant",IF(COUNTIF(prod_ref,A1469)=0,"Produit inconnu",IF(B1469="","Matière manquante",IF(ISNA(MATCH(B1469,mat_ref,0)),"Matière inconnue",IF(INDEX(mat_check,MATCH(B1469,mat_ref,0))&lt;&gt;"OK","Matière à corriger",IF(OR(NOT(ISNUMBER(E1469)),N(E1469)&lt;=0),"Quantité invalide",IF(AND(F1469&lt;&gt;"",OR(NOT(ISNUMBER(F1469)),N(F1469)&lt;0,N(F1469)&gt;=1)),"Perte entre 0 et 99 %",IF(COUNTIFS(bom_prod,A1469,bom_mat,B1469)&gt;1,"Matière en double","OK")))))))))</f>
        <v/>
      </c>
      <c r="K1469" s="71" t="str">
        <f>IF(AND(fiche_sel&lt;&gt;"",A1469=fiche_sel),COUNTIF(A$6:A1469,fiche_sel),"")</f>
        <v/>
      </c>
    </row>
    <row r="1470">
      <c r="A1470" s="60" t="n"/>
      <c r="B1470" s="60" t="n"/>
      <c r="C1470" s="71" t="str">
        <f>IF(B1470="","",IFERROR(INDEX(mat_des,MATCH(B1470,mat_ref,0))&amp;"","Matière inconnue"))</f>
        <v/>
      </c>
      <c r="D1470" s="69" t="str">
        <f>IF(B1470="","",IFERROR(INDEX(mat_unit,MATCH(B1470,mat_ref,0))&amp;"",""))</f>
        <v/>
      </c>
      <c r="E1470" s="72" t="n"/>
      <c r="F1470" s="65" t="n"/>
      <c r="G1470" s="68" t="str">
        <f>IF(J1470&lt;&gt;"OK","",IF(F1470="",N(INDEX(mat_loss,MATCH(B1470,mat_ref,0))),F1470))</f>
        <v/>
      </c>
      <c r="H1470" s="66" t="str">
        <f>IF(J1470&lt;&gt;"OK","",INDEX(mat_price,MATCH(B1470,mat_ref,0)))</f>
        <v/>
      </c>
      <c r="I1470" s="66" t="str">
        <f>IF(J1470&lt;&gt;"OK","",E1470*(1+G1470)*H1470)</f>
        <v/>
      </c>
      <c r="J1470" s="69" t="str">
        <f>IF(AND(A1470="",B1470=""),"",IF(A1470="","Produit manquant",IF(COUNTIF(prod_ref,A1470)=0,"Produit inconnu",IF(B1470="","Matière manquante",IF(ISNA(MATCH(B1470,mat_ref,0)),"Matière inconnue",IF(INDEX(mat_check,MATCH(B1470,mat_ref,0))&lt;&gt;"OK","Matière à corriger",IF(OR(NOT(ISNUMBER(E1470)),N(E1470)&lt;=0),"Quantité invalide",IF(AND(F1470&lt;&gt;"",OR(NOT(ISNUMBER(F1470)),N(F1470)&lt;0,N(F1470)&gt;=1)),"Perte entre 0 et 99 %",IF(COUNTIFS(bom_prod,A1470,bom_mat,B1470)&gt;1,"Matière en double","OK")))))))))</f>
        <v/>
      </c>
      <c r="K1470" s="71" t="str">
        <f>IF(AND(fiche_sel&lt;&gt;"",A1470=fiche_sel),COUNTIF(A$6:A1470,fiche_sel),"")</f>
        <v/>
      </c>
    </row>
    <row r="1471">
      <c r="A1471" s="60" t="n"/>
      <c r="B1471" s="60" t="n"/>
      <c r="C1471" s="71" t="str">
        <f>IF(B1471="","",IFERROR(INDEX(mat_des,MATCH(B1471,mat_ref,0))&amp;"","Matière inconnue"))</f>
        <v/>
      </c>
      <c r="D1471" s="69" t="str">
        <f>IF(B1471="","",IFERROR(INDEX(mat_unit,MATCH(B1471,mat_ref,0))&amp;"",""))</f>
        <v/>
      </c>
      <c r="E1471" s="72" t="n"/>
      <c r="F1471" s="65" t="n"/>
      <c r="G1471" s="68" t="str">
        <f>IF(J1471&lt;&gt;"OK","",IF(F1471="",N(INDEX(mat_loss,MATCH(B1471,mat_ref,0))),F1471))</f>
        <v/>
      </c>
      <c r="H1471" s="66" t="str">
        <f>IF(J1471&lt;&gt;"OK","",INDEX(mat_price,MATCH(B1471,mat_ref,0)))</f>
        <v/>
      </c>
      <c r="I1471" s="66" t="str">
        <f>IF(J1471&lt;&gt;"OK","",E1471*(1+G1471)*H1471)</f>
        <v/>
      </c>
      <c r="J1471" s="69" t="str">
        <f>IF(AND(A1471="",B1471=""),"",IF(A1471="","Produit manquant",IF(COUNTIF(prod_ref,A1471)=0,"Produit inconnu",IF(B1471="","Matière manquante",IF(ISNA(MATCH(B1471,mat_ref,0)),"Matière inconnue",IF(INDEX(mat_check,MATCH(B1471,mat_ref,0))&lt;&gt;"OK","Matière à corriger",IF(OR(NOT(ISNUMBER(E1471)),N(E1471)&lt;=0),"Quantité invalide",IF(AND(F1471&lt;&gt;"",OR(NOT(ISNUMBER(F1471)),N(F1471)&lt;0,N(F1471)&gt;=1)),"Perte entre 0 et 99 %",IF(COUNTIFS(bom_prod,A1471,bom_mat,B1471)&gt;1,"Matière en double","OK")))))))))</f>
        <v/>
      </c>
      <c r="K1471" s="71" t="str">
        <f>IF(AND(fiche_sel&lt;&gt;"",A1471=fiche_sel),COUNTIF(A$6:A1471,fiche_sel),"")</f>
        <v/>
      </c>
    </row>
    <row r="1472">
      <c r="A1472" s="60" t="n"/>
      <c r="B1472" s="60" t="n"/>
      <c r="C1472" s="71" t="str">
        <f>IF(B1472="","",IFERROR(INDEX(mat_des,MATCH(B1472,mat_ref,0))&amp;"","Matière inconnue"))</f>
        <v/>
      </c>
      <c r="D1472" s="69" t="str">
        <f>IF(B1472="","",IFERROR(INDEX(mat_unit,MATCH(B1472,mat_ref,0))&amp;"",""))</f>
        <v/>
      </c>
      <c r="E1472" s="72" t="n"/>
      <c r="F1472" s="65" t="n"/>
      <c r="G1472" s="68" t="str">
        <f>IF(J1472&lt;&gt;"OK","",IF(F1472="",N(INDEX(mat_loss,MATCH(B1472,mat_ref,0))),F1472))</f>
        <v/>
      </c>
      <c r="H1472" s="66" t="str">
        <f>IF(J1472&lt;&gt;"OK","",INDEX(mat_price,MATCH(B1472,mat_ref,0)))</f>
        <v/>
      </c>
      <c r="I1472" s="66" t="str">
        <f>IF(J1472&lt;&gt;"OK","",E1472*(1+G1472)*H1472)</f>
        <v/>
      </c>
      <c r="J1472" s="69" t="str">
        <f>IF(AND(A1472="",B1472=""),"",IF(A1472="","Produit manquant",IF(COUNTIF(prod_ref,A1472)=0,"Produit inconnu",IF(B1472="","Matière manquante",IF(ISNA(MATCH(B1472,mat_ref,0)),"Matière inconnue",IF(INDEX(mat_check,MATCH(B1472,mat_ref,0))&lt;&gt;"OK","Matière à corriger",IF(OR(NOT(ISNUMBER(E1472)),N(E1472)&lt;=0),"Quantité invalide",IF(AND(F1472&lt;&gt;"",OR(NOT(ISNUMBER(F1472)),N(F1472)&lt;0,N(F1472)&gt;=1)),"Perte entre 0 et 99 %",IF(COUNTIFS(bom_prod,A1472,bom_mat,B1472)&gt;1,"Matière en double","OK")))))))))</f>
        <v/>
      </c>
      <c r="K1472" s="71" t="str">
        <f>IF(AND(fiche_sel&lt;&gt;"",A1472=fiche_sel),COUNTIF(A$6:A1472,fiche_sel),"")</f>
        <v/>
      </c>
    </row>
    <row r="1473">
      <c r="A1473" s="60" t="n"/>
      <c r="B1473" s="60" t="n"/>
      <c r="C1473" s="71" t="str">
        <f>IF(B1473="","",IFERROR(INDEX(mat_des,MATCH(B1473,mat_ref,0))&amp;"","Matière inconnue"))</f>
        <v/>
      </c>
      <c r="D1473" s="69" t="str">
        <f>IF(B1473="","",IFERROR(INDEX(mat_unit,MATCH(B1473,mat_ref,0))&amp;"",""))</f>
        <v/>
      </c>
      <c r="E1473" s="72" t="n"/>
      <c r="F1473" s="65" t="n"/>
      <c r="G1473" s="68" t="str">
        <f>IF(J1473&lt;&gt;"OK","",IF(F1473="",N(INDEX(mat_loss,MATCH(B1473,mat_ref,0))),F1473))</f>
        <v/>
      </c>
      <c r="H1473" s="66" t="str">
        <f>IF(J1473&lt;&gt;"OK","",INDEX(mat_price,MATCH(B1473,mat_ref,0)))</f>
        <v/>
      </c>
      <c r="I1473" s="66" t="str">
        <f>IF(J1473&lt;&gt;"OK","",E1473*(1+G1473)*H1473)</f>
        <v/>
      </c>
      <c r="J1473" s="69" t="str">
        <f>IF(AND(A1473="",B1473=""),"",IF(A1473="","Produit manquant",IF(COUNTIF(prod_ref,A1473)=0,"Produit inconnu",IF(B1473="","Matière manquante",IF(ISNA(MATCH(B1473,mat_ref,0)),"Matière inconnue",IF(INDEX(mat_check,MATCH(B1473,mat_ref,0))&lt;&gt;"OK","Matière à corriger",IF(OR(NOT(ISNUMBER(E1473)),N(E1473)&lt;=0),"Quantité invalide",IF(AND(F1473&lt;&gt;"",OR(NOT(ISNUMBER(F1473)),N(F1473)&lt;0,N(F1473)&gt;=1)),"Perte entre 0 et 99 %",IF(COUNTIFS(bom_prod,A1473,bom_mat,B1473)&gt;1,"Matière en double","OK")))))))))</f>
        <v/>
      </c>
      <c r="K1473" s="71" t="str">
        <f>IF(AND(fiche_sel&lt;&gt;"",A1473=fiche_sel),COUNTIF(A$6:A1473,fiche_sel),"")</f>
        <v/>
      </c>
    </row>
    <row r="1474">
      <c r="A1474" s="60" t="n"/>
      <c r="B1474" s="60" t="n"/>
      <c r="C1474" s="71" t="str">
        <f>IF(B1474="","",IFERROR(INDEX(mat_des,MATCH(B1474,mat_ref,0))&amp;"","Matière inconnue"))</f>
        <v/>
      </c>
      <c r="D1474" s="69" t="str">
        <f>IF(B1474="","",IFERROR(INDEX(mat_unit,MATCH(B1474,mat_ref,0))&amp;"",""))</f>
        <v/>
      </c>
      <c r="E1474" s="72" t="n"/>
      <c r="F1474" s="65" t="n"/>
      <c r="G1474" s="68" t="str">
        <f>IF(J1474&lt;&gt;"OK","",IF(F1474="",N(INDEX(mat_loss,MATCH(B1474,mat_ref,0))),F1474))</f>
        <v/>
      </c>
      <c r="H1474" s="66" t="str">
        <f>IF(J1474&lt;&gt;"OK","",INDEX(mat_price,MATCH(B1474,mat_ref,0)))</f>
        <v/>
      </c>
      <c r="I1474" s="66" t="str">
        <f>IF(J1474&lt;&gt;"OK","",E1474*(1+G1474)*H1474)</f>
        <v/>
      </c>
      <c r="J1474" s="69" t="str">
        <f>IF(AND(A1474="",B1474=""),"",IF(A1474="","Produit manquant",IF(COUNTIF(prod_ref,A1474)=0,"Produit inconnu",IF(B1474="","Matière manquante",IF(ISNA(MATCH(B1474,mat_ref,0)),"Matière inconnue",IF(INDEX(mat_check,MATCH(B1474,mat_ref,0))&lt;&gt;"OK","Matière à corriger",IF(OR(NOT(ISNUMBER(E1474)),N(E1474)&lt;=0),"Quantité invalide",IF(AND(F1474&lt;&gt;"",OR(NOT(ISNUMBER(F1474)),N(F1474)&lt;0,N(F1474)&gt;=1)),"Perte entre 0 et 99 %",IF(COUNTIFS(bom_prod,A1474,bom_mat,B1474)&gt;1,"Matière en double","OK")))))))))</f>
        <v/>
      </c>
      <c r="K1474" s="71" t="str">
        <f>IF(AND(fiche_sel&lt;&gt;"",A1474=fiche_sel),COUNTIF(A$6:A1474,fiche_sel),"")</f>
        <v/>
      </c>
    </row>
    <row r="1475">
      <c r="A1475" s="60" t="n"/>
      <c r="B1475" s="60" t="n"/>
      <c r="C1475" s="71" t="str">
        <f>IF(B1475="","",IFERROR(INDEX(mat_des,MATCH(B1475,mat_ref,0))&amp;"","Matière inconnue"))</f>
        <v/>
      </c>
      <c r="D1475" s="69" t="str">
        <f>IF(B1475="","",IFERROR(INDEX(mat_unit,MATCH(B1475,mat_ref,0))&amp;"",""))</f>
        <v/>
      </c>
      <c r="E1475" s="72" t="n"/>
      <c r="F1475" s="65" t="n"/>
      <c r="G1475" s="68" t="str">
        <f>IF(J1475&lt;&gt;"OK","",IF(F1475="",N(INDEX(mat_loss,MATCH(B1475,mat_ref,0))),F1475))</f>
        <v/>
      </c>
      <c r="H1475" s="66" t="str">
        <f>IF(J1475&lt;&gt;"OK","",INDEX(mat_price,MATCH(B1475,mat_ref,0)))</f>
        <v/>
      </c>
      <c r="I1475" s="66" t="str">
        <f>IF(J1475&lt;&gt;"OK","",E1475*(1+G1475)*H1475)</f>
        <v/>
      </c>
      <c r="J1475" s="69" t="str">
        <f>IF(AND(A1475="",B1475=""),"",IF(A1475="","Produit manquant",IF(COUNTIF(prod_ref,A1475)=0,"Produit inconnu",IF(B1475="","Matière manquante",IF(ISNA(MATCH(B1475,mat_ref,0)),"Matière inconnue",IF(INDEX(mat_check,MATCH(B1475,mat_ref,0))&lt;&gt;"OK","Matière à corriger",IF(OR(NOT(ISNUMBER(E1475)),N(E1475)&lt;=0),"Quantité invalide",IF(AND(F1475&lt;&gt;"",OR(NOT(ISNUMBER(F1475)),N(F1475)&lt;0,N(F1475)&gt;=1)),"Perte entre 0 et 99 %",IF(COUNTIFS(bom_prod,A1475,bom_mat,B1475)&gt;1,"Matière en double","OK")))))))))</f>
        <v/>
      </c>
      <c r="K1475" s="71" t="str">
        <f>IF(AND(fiche_sel&lt;&gt;"",A1475=fiche_sel),COUNTIF(A$6:A1475,fiche_sel),"")</f>
        <v/>
      </c>
    </row>
    <row r="1476">
      <c r="A1476" s="60" t="n"/>
      <c r="B1476" s="60" t="n"/>
      <c r="C1476" s="71" t="str">
        <f>IF(B1476="","",IFERROR(INDEX(mat_des,MATCH(B1476,mat_ref,0))&amp;"","Matière inconnue"))</f>
        <v/>
      </c>
      <c r="D1476" s="69" t="str">
        <f>IF(B1476="","",IFERROR(INDEX(mat_unit,MATCH(B1476,mat_ref,0))&amp;"",""))</f>
        <v/>
      </c>
      <c r="E1476" s="72" t="n"/>
      <c r="F1476" s="65" t="n"/>
      <c r="G1476" s="68" t="str">
        <f>IF(J1476&lt;&gt;"OK","",IF(F1476="",N(INDEX(mat_loss,MATCH(B1476,mat_ref,0))),F1476))</f>
        <v/>
      </c>
      <c r="H1476" s="66" t="str">
        <f>IF(J1476&lt;&gt;"OK","",INDEX(mat_price,MATCH(B1476,mat_ref,0)))</f>
        <v/>
      </c>
      <c r="I1476" s="66" t="str">
        <f>IF(J1476&lt;&gt;"OK","",E1476*(1+G1476)*H1476)</f>
        <v/>
      </c>
      <c r="J1476" s="69" t="str">
        <f>IF(AND(A1476="",B1476=""),"",IF(A1476="","Produit manquant",IF(COUNTIF(prod_ref,A1476)=0,"Produit inconnu",IF(B1476="","Matière manquante",IF(ISNA(MATCH(B1476,mat_ref,0)),"Matière inconnue",IF(INDEX(mat_check,MATCH(B1476,mat_ref,0))&lt;&gt;"OK","Matière à corriger",IF(OR(NOT(ISNUMBER(E1476)),N(E1476)&lt;=0),"Quantité invalide",IF(AND(F1476&lt;&gt;"",OR(NOT(ISNUMBER(F1476)),N(F1476)&lt;0,N(F1476)&gt;=1)),"Perte entre 0 et 99 %",IF(COUNTIFS(bom_prod,A1476,bom_mat,B1476)&gt;1,"Matière en double","OK")))))))))</f>
        <v/>
      </c>
      <c r="K1476" s="71" t="str">
        <f>IF(AND(fiche_sel&lt;&gt;"",A1476=fiche_sel),COUNTIF(A$6:A1476,fiche_sel),"")</f>
        <v/>
      </c>
    </row>
    <row r="1477">
      <c r="A1477" s="60" t="n"/>
      <c r="B1477" s="60" t="n"/>
      <c r="C1477" s="71" t="str">
        <f>IF(B1477="","",IFERROR(INDEX(mat_des,MATCH(B1477,mat_ref,0))&amp;"","Matière inconnue"))</f>
        <v/>
      </c>
      <c r="D1477" s="69" t="str">
        <f>IF(B1477="","",IFERROR(INDEX(mat_unit,MATCH(B1477,mat_ref,0))&amp;"",""))</f>
        <v/>
      </c>
      <c r="E1477" s="72" t="n"/>
      <c r="F1477" s="65" t="n"/>
      <c r="G1477" s="68" t="str">
        <f>IF(J1477&lt;&gt;"OK","",IF(F1477="",N(INDEX(mat_loss,MATCH(B1477,mat_ref,0))),F1477))</f>
        <v/>
      </c>
      <c r="H1477" s="66" t="str">
        <f>IF(J1477&lt;&gt;"OK","",INDEX(mat_price,MATCH(B1477,mat_ref,0)))</f>
        <v/>
      </c>
      <c r="I1477" s="66" t="str">
        <f>IF(J1477&lt;&gt;"OK","",E1477*(1+G1477)*H1477)</f>
        <v/>
      </c>
      <c r="J1477" s="69" t="str">
        <f>IF(AND(A1477="",B1477=""),"",IF(A1477="","Produit manquant",IF(COUNTIF(prod_ref,A1477)=0,"Produit inconnu",IF(B1477="","Matière manquante",IF(ISNA(MATCH(B1477,mat_ref,0)),"Matière inconnue",IF(INDEX(mat_check,MATCH(B1477,mat_ref,0))&lt;&gt;"OK","Matière à corriger",IF(OR(NOT(ISNUMBER(E1477)),N(E1477)&lt;=0),"Quantité invalide",IF(AND(F1477&lt;&gt;"",OR(NOT(ISNUMBER(F1477)),N(F1477)&lt;0,N(F1477)&gt;=1)),"Perte entre 0 et 99 %",IF(COUNTIFS(bom_prod,A1477,bom_mat,B1477)&gt;1,"Matière en double","OK")))))))))</f>
        <v/>
      </c>
      <c r="K1477" s="71" t="str">
        <f>IF(AND(fiche_sel&lt;&gt;"",A1477=fiche_sel),COUNTIF(A$6:A1477,fiche_sel),"")</f>
        <v/>
      </c>
    </row>
    <row r="1478">
      <c r="A1478" s="60" t="n"/>
      <c r="B1478" s="60" t="n"/>
      <c r="C1478" s="71" t="str">
        <f>IF(B1478="","",IFERROR(INDEX(mat_des,MATCH(B1478,mat_ref,0))&amp;"","Matière inconnue"))</f>
        <v/>
      </c>
      <c r="D1478" s="69" t="str">
        <f>IF(B1478="","",IFERROR(INDEX(mat_unit,MATCH(B1478,mat_ref,0))&amp;"",""))</f>
        <v/>
      </c>
      <c r="E1478" s="72" t="n"/>
      <c r="F1478" s="65" t="n"/>
      <c r="G1478" s="68" t="str">
        <f>IF(J1478&lt;&gt;"OK","",IF(F1478="",N(INDEX(mat_loss,MATCH(B1478,mat_ref,0))),F1478))</f>
        <v/>
      </c>
      <c r="H1478" s="66" t="str">
        <f>IF(J1478&lt;&gt;"OK","",INDEX(mat_price,MATCH(B1478,mat_ref,0)))</f>
        <v/>
      </c>
      <c r="I1478" s="66" t="str">
        <f>IF(J1478&lt;&gt;"OK","",E1478*(1+G1478)*H1478)</f>
        <v/>
      </c>
      <c r="J1478" s="69" t="str">
        <f>IF(AND(A1478="",B1478=""),"",IF(A1478="","Produit manquant",IF(COUNTIF(prod_ref,A1478)=0,"Produit inconnu",IF(B1478="","Matière manquante",IF(ISNA(MATCH(B1478,mat_ref,0)),"Matière inconnue",IF(INDEX(mat_check,MATCH(B1478,mat_ref,0))&lt;&gt;"OK","Matière à corriger",IF(OR(NOT(ISNUMBER(E1478)),N(E1478)&lt;=0),"Quantité invalide",IF(AND(F1478&lt;&gt;"",OR(NOT(ISNUMBER(F1478)),N(F1478)&lt;0,N(F1478)&gt;=1)),"Perte entre 0 et 99 %",IF(COUNTIFS(bom_prod,A1478,bom_mat,B1478)&gt;1,"Matière en double","OK")))))))))</f>
        <v/>
      </c>
      <c r="K1478" s="71" t="str">
        <f>IF(AND(fiche_sel&lt;&gt;"",A1478=fiche_sel),COUNTIF(A$6:A1478,fiche_sel),"")</f>
        <v/>
      </c>
    </row>
    <row r="1479">
      <c r="A1479" s="60" t="n"/>
      <c r="B1479" s="60" t="n"/>
      <c r="C1479" s="71" t="str">
        <f>IF(B1479="","",IFERROR(INDEX(mat_des,MATCH(B1479,mat_ref,0))&amp;"","Matière inconnue"))</f>
        <v/>
      </c>
      <c r="D1479" s="69" t="str">
        <f>IF(B1479="","",IFERROR(INDEX(mat_unit,MATCH(B1479,mat_ref,0))&amp;"",""))</f>
        <v/>
      </c>
      <c r="E1479" s="72" t="n"/>
      <c r="F1479" s="65" t="n"/>
      <c r="G1479" s="68" t="str">
        <f>IF(J1479&lt;&gt;"OK","",IF(F1479="",N(INDEX(mat_loss,MATCH(B1479,mat_ref,0))),F1479))</f>
        <v/>
      </c>
      <c r="H1479" s="66" t="str">
        <f>IF(J1479&lt;&gt;"OK","",INDEX(mat_price,MATCH(B1479,mat_ref,0)))</f>
        <v/>
      </c>
      <c r="I1479" s="66" t="str">
        <f>IF(J1479&lt;&gt;"OK","",E1479*(1+G1479)*H1479)</f>
        <v/>
      </c>
      <c r="J1479" s="69" t="str">
        <f>IF(AND(A1479="",B1479=""),"",IF(A1479="","Produit manquant",IF(COUNTIF(prod_ref,A1479)=0,"Produit inconnu",IF(B1479="","Matière manquante",IF(ISNA(MATCH(B1479,mat_ref,0)),"Matière inconnue",IF(INDEX(mat_check,MATCH(B1479,mat_ref,0))&lt;&gt;"OK","Matière à corriger",IF(OR(NOT(ISNUMBER(E1479)),N(E1479)&lt;=0),"Quantité invalide",IF(AND(F1479&lt;&gt;"",OR(NOT(ISNUMBER(F1479)),N(F1479)&lt;0,N(F1479)&gt;=1)),"Perte entre 0 et 99 %",IF(COUNTIFS(bom_prod,A1479,bom_mat,B1479)&gt;1,"Matière en double","OK")))))))))</f>
        <v/>
      </c>
      <c r="K1479" s="71" t="str">
        <f>IF(AND(fiche_sel&lt;&gt;"",A1479=fiche_sel),COUNTIF(A$6:A1479,fiche_sel),"")</f>
        <v/>
      </c>
    </row>
    <row r="1480">
      <c r="A1480" s="60" t="n"/>
      <c r="B1480" s="60" t="n"/>
      <c r="C1480" s="71" t="str">
        <f>IF(B1480="","",IFERROR(INDEX(mat_des,MATCH(B1480,mat_ref,0))&amp;"","Matière inconnue"))</f>
        <v/>
      </c>
      <c r="D1480" s="69" t="str">
        <f>IF(B1480="","",IFERROR(INDEX(mat_unit,MATCH(B1480,mat_ref,0))&amp;"",""))</f>
        <v/>
      </c>
      <c r="E1480" s="72" t="n"/>
      <c r="F1480" s="65" t="n"/>
      <c r="G1480" s="68" t="str">
        <f>IF(J1480&lt;&gt;"OK","",IF(F1480="",N(INDEX(mat_loss,MATCH(B1480,mat_ref,0))),F1480))</f>
        <v/>
      </c>
      <c r="H1480" s="66" t="str">
        <f>IF(J1480&lt;&gt;"OK","",INDEX(mat_price,MATCH(B1480,mat_ref,0)))</f>
        <v/>
      </c>
      <c r="I1480" s="66" t="str">
        <f>IF(J1480&lt;&gt;"OK","",E1480*(1+G1480)*H1480)</f>
        <v/>
      </c>
      <c r="J1480" s="69" t="str">
        <f>IF(AND(A1480="",B1480=""),"",IF(A1480="","Produit manquant",IF(COUNTIF(prod_ref,A1480)=0,"Produit inconnu",IF(B1480="","Matière manquante",IF(ISNA(MATCH(B1480,mat_ref,0)),"Matière inconnue",IF(INDEX(mat_check,MATCH(B1480,mat_ref,0))&lt;&gt;"OK","Matière à corriger",IF(OR(NOT(ISNUMBER(E1480)),N(E1480)&lt;=0),"Quantité invalide",IF(AND(F1480&lt;&gt;"",OR(NOT(ISNUMBER(F1480)),N(F1480)&lt;0,N(F1480)&gt;=1)),"Perte entre 0 et 99 %",IF(COUNTIFS(bom_prod,A1480,bom_mat,B1480)&gt;1,"Matière en double","OK")))))))))</f>
        <v/>
      </c>
      <c r="K1480" s="71" t="str">
        <f>IF(AND(fiche_sel&lt;&gt;"",A1480=fiche_sel),COUNTIF(A$6:A1480,fiche_sel),"")</f>
        <v/>
      </c>
    </row>
    <row r="1481">
      <c r="A1481" s="60" t="n"/>
      <c r="B1481" s="60" t="n"/>
      <c r="C1481" s="71" t="str">
        <f>IF(B1481="","",IFERROR(INDEX(mat_des,MATCH(B1481,mat_ref,0))&amp;"","Matière inconnue"))</f>
        <v/>
      </c>
      <c r="D1481" s="69" t="str">
        <f>IF(B1481="","",IFERROR(INDEX(mat_unit,MATCH(B1481,mat_ref,0))&amp;"",""))</f>
        <v/>
      </c>
      <c r="E1481" s="72" t="n"/>
      <c r="F1481" s="65" t="n"/>
      <c r="G1481" s="68" t="str">
        <f>IF(J1481&lt;&gt;"OK","",IF(F1481="",N(INDEX(mat_loss,MATCH(B1481,mat_ref,0))),F1481))</f>
        <v/>
      </c>
      <c r="H1481" s="66" t="str">
        <f>IF(J1481&lt;&gt;"OK","",INDEX(mat_price,MATCH(B1481,mat_ref,0)))</f>
        <v/>
      </c>
      <c r="I1481" s="66" t="str">
        <f>IF(J1481&lt;&gt;"OK","",E1481*(1+G1481)*H1481)</f>
        <v/>
      </c>
      <c r="J1481" s="69" t="str">
        <f>IF(AND(A1481="",B1481=""),"",IF(A1481="","Produit manquant",IF(COUNTIF(prod_ref,A1481)=0,"Produit inconnu",IF(B1481="","Matière manquante",IF(ISNA(MATCH(B1481,mat_ref,0)),"Matière inconnue",IF(INDEX(mat_check,MATCH(B1481,mat_ref,0))&lt;&gt;"OK","Matière à corriger",IF(OR(NOT(ISNUMBER(E1481)),N(E1481)&lt;=0),"Quantité invalide",IF(AND(F1481&lt;&gt;"",OR(NOT(ISNUMBER(F1481)),N(F1481)&lt;0,N(F1481)&gt;=1)),"Perte entre 0 et 99 %",IF(COUNTIFS(bom_prod,A1481,bom_mat,B1481)&gt;1,"Matière en double","OK")))))))))</f>
        <v/>
      </c>
      <c r="K1481" s="71" t="str">
        <f>IF(AND(fiche_sel&lt;&gt;"",A1481=fiche_sel),COUNTIF(A$6:A1481,fiche_sel),"")</f>
        <v/>
      </c>
    </row>
    <row r="1482">
      <c r="A1482" s="60" t="n"/>
      <c r="B1482" s="60" t="n"/>
      <c r="C1482" s="71" t="str">
        <f>IF(B1482="","",IFERROR(INDEX(mat_des,MATCH(B1482,mat_ref,0))&amp;"","Matière inconnue"))</f>
        <v/>
      </c>
      <c r="D1482" s="69" t="str">
        <f>IF(B1482="","",IFERROR(INDEX(mat_unit,MATCH(B1482,mat_ref,0))&amp;"",""))</f>
        <v/>
      </c>
      <c r="E1482" s="72" t="n"/>
      <c r="F1482" s="65" t="n"/>
      <c r="G1482" s="68" t="str">
        <f>IF(J1482&lt;&gt;"OK","",IF(F1482="",N(INDEX(mat_loss,MATCH(B1482,mat_ref,0))),F1482))</f>
        <v/>
      </c>
      <c r="H1482" s="66" t="str">
        <f>IF(J1482&lt;&gt;"OK","",INDEX(mat_price,MATCH(B1482,mat_ref,0)))</f>
        <v/>
      </c>
      <c r="I1482" s="66" t="str">
        <f>IF(J1482&lt;&gt;"OK","",E1482*(1+G1482)*H1482)</f>
        <v/>
      </c>
      <c r="J1482" s="69" t="str">
        <f>IF(AND(A1482="",B1482=""),"",IF(A1482="","Produit manquant",IF(COUNTIF(prod_ref,A1482)=0,"Produit inconnu",IF(B1482="","Matière manquante",IF(ISNA(MATCH(B1482,mat_ref,0)),"Matière inconnue",IF(INDEX(mat_check,MATCH(B1482,mat_ref,0))&lt;&gt;"OK","Matière à corriger",IF(OR(NOT(ISNUMBER(E1482)),N(E1482)&lt;=0),"Quantité invalide",IF(AND(F1482&lt;&gt;"",OR(NOT(ISNUMBER(F1482)),N(F1482)&lt;0,N(F1482)&gt;=1)),"Perte entre 0 et 99 %",IF(COUNTIFS(bom_prod,A1482,bom_mat,B1482)&gt;1,"Matière en double","OK")))))))))</f>
        <v/>
      </c>
      <c r="K1482" s="71" t="str">
        <f>IF(AND(fiche_sel&lt;&gt;"",A1482=fiche_sel),COUNTIF(A$6:A1482,fiche_sel),"")</f>
        <v/>
      </c>
    </row>
    <row r="1483">
      <c r="A1483" s="60" t="n"/>
      <c r="B1483" s="60" t="n"/>
      <c r="C1483" s="71" t="str">
        <f>IF(B1483="","",IFERROR(INDEX(mat_des,MATCH(B1483,mat_ref,0))&amp;"","Matière inconnue"))</f>
        <v/>
      </c>
      <c r="D1483" s="69" t="str">
        <f>IF(B1483="","",IFERROR(INDEX(mat_unit,MATCH(B1483,mat_ref,0))&amp;"",""))</f>
        <v/>
      </c>
      <c r="E1483" s="72" t="n"/>
      <c r="F1483" s="65" t="n"/>
      <c r="G1483" s="68" t="str">
        <f>IF(J1483&lt;&gt;"OK","",IF(F1483="",N(INDEX(mat_loss,MATCH(B1483,mat_ref,0))),F1483))</f>
        <v/>
      </c>
      <c r="H1483" s="66" t="str">
        <f>IF(J1483&lt;&gt;"OK","",INDEX(mat_price,MATCH(B1483,mat_ref,0)))</f>
        <v/>
      </c>
      <c r="I1483" s="66" t="str">
        <f>IF(J1483&lt;&gt;"OK","",E1483*(1+G1483)*H1483)</f>
        <v/>
      </c>
      <c r="J1483" s="69" t="str">
        <f>IF(AND(A1483="",B1483=""),"",IF(A1483="","Produit manquant",IF(COUNTIF(prod_ref,A1483)=0,"Produit inconnu",IF(B1483="","Matière manquante",IF(ISNA(MATCH(B1483,mat_ref,0)),"Matière inconnue",IF(INDEX(mat_check,MATCH(B1483,mat_ref,0))&lt;&gt;"OK","Matière à corriger",IF(OR(NOT(ISNUMBER(E1483)),N(E1483)&lt;=0),"Quantité invalide",IF(AND(F1483&lt;&gt;"",OR(NOT(ISNUMBER(F1483)),N(F1483)&lt;0,N(F1483)&gt;=1)),"Perte entre 0 et 99 %",IF(COUNTIFS(bom_prod,A1483,bom_mat,B1483)&gt;1,"Matière en double","OK")))))))))</f>
        <v/>
      </c>
      <c r="K1483" s="71" t="str">
        <f>IF(AND(fiche_sel&lt;&gt;"",A1483=fiche_sel),COUNTIF(A$6:A1483,fiche_sel),"")</f>
        <v/>
      </c>
    </row>
    <row r="1484">
      <c r="A1484" s="60" t="n"/>
      <c r="B1484" s="60" t="n"/>
      <c r="C1484" s="71" t="str">
        <f>IF(B1484="","",IFERROR(INDEX(mat_des,MATCH(B1484,mat_ref,0))&amp;"","Matière inconnue"))</f>
        <v/>
      </c>
      <c r="D1484" s="69" t="str">
        <f>IF(B1484="","",IFERROR(INDEX(mat_unit,MATCH(B1484,mat_ref,0))&amp;"",""))</f>
        <v/>
      </c>
      <c r="E1484" s="72" t="n"/>
      <c r="F1484" s="65" t="n"/>
      <c r="G1484" s="68" t="str">
        <f>IF(J1484&lt;&gt;"OK","",IF(F1484="",N(INDEX(mat_loss,MATCH(B1484,mat_ref,0))),F1484))</f>
        <v/>
      </c>
      <c r="H1484" s="66" t="str">
        <f>IF(J1484&lt;&gt;"OK","",INDEX(mat_price,MATCH(B1484,mat_ref,0)))</f>
        <v/>
      </c>
      <c r="I1484" s="66" t="str">
        <f>IF(J1484&lt;&gt;"OK","",E1484*(1+G1484)*H1484)</f>
        <v/>
      </c>
      <c r="J1484" s="69" t="str">
        <f>IF(AND(A1484="",B1484=""),"",IF(A1484="","Produit manquant",IF(COUNTIF(prod_ref,A1484)=0,"Produit inconnu",IF(B1484="","Matière manquante",IF(ISNA(MATCH(B1484,mat_ref,0)),"Matière inconnue",IF(INDEX(mat_check,MATCH(B1484,mat_ref,0))&lt;&gt;"OK","Matière à corriger",IF(OR(NOT(ISNUMBER(E1484)),N(E1484)&lt;=0),"Quantité invalide",IF(AND(F1484&lt;&gt;"",OR(NOT(ISNUMBER(F1484)),N(F1484)&lt;0,N(F1484)&gt;=1)),"Perte entre 0 et 99 %",IF(COUNTIFS(bom_prod,A1484,bom_mat,B1484)&gt;1,"Matière en double","OK")))))))))</f>
        <v/>
      </c>
      <c r="K1484" s="71" t="str">
        <f>IF(AND(fiche_sel&lt;&gt;"",A1484=fiche_sel),COUNTIF(A$6:A1484,fiche_sel),"")</f>
        <v/>
      </c>
    </row>
    <row r="1485">
      <c r="A1485" s="60" t="n"/>
      <c r="B1485" s="60" t="n"/>
      <c r="C1485" s="71" t="str">
        <f>IF(B1485="","",IFERROR(INDEX(mat_des,MATCH(B1485,mat_ref,0))&amp;"","Matière inconnue"))</f>
        <v/>
      </c>
      <c r="D1485" s="69" t="str">
        <f>IF(B1485="","",IFERROR(INDEX(mat_unit,MATCH(B1485,mat_ref,0))&amp;"",""))</f>
        <v/>
      </c>
      <c r="E1485" s="72" t="n"/>
      <c r="F1485" s="65" t="n"/>
      <c r="G1485" s="68" t="str">
        <f>IF(J1485&lt;&gt;"OK","",IF(F1485="",N(INDEX(mat_loss,MATCH(B1485,mat_ref,0))),F1485))</f>
        <v/>
      </c>
      <c r="H1485" s="66" t="str">
        <f>IF(J1485&lt;&gt;"OK","",INDEX(mat_price,MATCH(B1485,mat_ref,0)))</f>
        <v/>
      </c>
      <c r="I1485" s="66" t="str">
        <f>IF(J1485&lt;&gt;"OK","",E1485*(1+G1485)*H1485)</f>
        <v/>
      </c>
      <c r="J1485" s="69" t="str">
        <f>IF(AND(A1485="",B1485=""),"",IF(A1485="","Produit manquant",IF(COUNTIF(prod_ref,A1485)=0,"Produit inconnu",IF(B1485="","Matière manquante",IF(ISNA(MATCH(B1485,mat_ref,0)),"Matière inconnue",IF(INDEX(mat_check,MATCH(B1485,mat_ref,0))&lt;&gt;"OK","Matière à corriger",IF(OR(NOT(ISNUMBER(E1485)),N(E1485)&lt;=0),"Quantité invalide",IF(AND(F1485&lt;&gt;"",OR(NOT(ISNUMBER(F1485)),N(F1485)&lt;0,N(F1485)&gt;=1)),"Perte entre 0 et 99 %",IF(COUNTIFS(bom_prod,A1485,bom_mat,B1485)&gt;1,"Matière en double","OK")))))))))</f>
        <v/>
      </c>
      <c r="K1485" s="71" t="str">
        <f>IF(AND(fiche_sel&lt;&gt;"",A1485=fiche_sel),COUNTIF(A$6:A1485,fiche_sel),"")</f>
        <v/>
      </c>
    </row>
    <row r="1486">
      <c r="A1486" s="60" t="n"/>
      <c r="B1486" s="60" t="n"/>
      <c r="C1486" s="71" t="str">
        <f>IF(B1486="","",IFERROR(INDEX(mat_des,MATCH(B1486,mat_ref,0))&amp;"","Matière inconnue"))</f>
        <v/>
      </c>
      <c r="D1486" s="69" t="str">
        <f>IF(B1486="","",IFERROR(INDEX(mat_unit,MATCH(B1486,mat_ref,0))&amp;"",""))</f>
        <v/>
      </c>
      <c r="E1486" s="72" t="n"/>
      <c r="F1486" s="65" t="n"/>
      <c r="G1486" s="68" t="str">
        <f>IF(J1486&lt;&gt;"OK","",IF(F1486="",N(INDEX(mat_loss,MATCH(B1486,mat_ref,0))),F1486))</f>
        <v/>
      </c>
      <c r="H1486" s="66" t="str">
        <f>IF(J1486&lt;&gt;"OK","",INDEX(mat_price,MATCH(B1486,mat_ref,0)))</f>
        <v/>
      </c>
      <c r="I1486" s="66" t="str">
        <f>IF(J1486&lt;&gt;"OK","",E1486*(1+G1486)*H1486)</f>
        <v/>
      </c>
      <c r="J1486" s="69" t="str">
        <f>IF(AND(A1486="",B1486=""),"",IF(A1486="","Produit manquant",IF(COUNTIF(prod_ref,A1486)=0,"Produit inconnu",IF(B1486="","Matière manquante",IF(ISNA(MATCH(B1486,mat_ref,0)),"Matière inconnue",IF(INDEX(mat_check,MATCH(B1486,mat_ref,0))&lt;&gt;"OK","Matière à corriger",IF(OR(NOT(ISNUMBER(E1486)),N(E1486)&lt;=0),"Quantité invalide",IF(AND(F1486&lt;&gt;"",OR(NOT(ISNUMBER(F1486)),N(F1486)&lt;0,N(F1486)&gt;=1)),"Perte entre 0 et 99 %",IF(COUNTIFS(bom_prod,A1486,bom_mat,B1486)&gt;1,"Matière en double","OK")))))))))</f>
        <v/>
      </c>
      <c r="K1486" s="71" t="str">
        <f>IF(AND(fiche_sel&lt;&gt;"",A1486=fiche_sel),COUNTIF(A$6:A1486,fiche_sel),"")</f>
        <v/>
      </c>
    </row>
    <row r="1487">
      <c r="A1487" s="60" t="n"/>
      <c r="B1487" s="60" t="n"/>
      <c r="C1487" s="71" t="str">
        <f>IF(B1487="","",IFERROR(INDEX(mat_des,MATCH(B1487,mat_ref,0))&amp;"","Matière inconnue"))</f>
        <v/>
      </c>
      <c r="D1487" s="69" t="str">
        <f>IF(B1487="","",IFERROR(INDEX(mat_unit,MATCH(B1487,mat_ref,0))&amp;"",""))</f>
        <v/>
      </c>
      <c r="E1487" s="72" t="n"/>
      <c r="F1487" s="65" t="n"/>
      <c r="G1487" s="68" t="str">
        <f>IF(J1487&lt;&gt;"OK","",IF(F1487="",N(INDEX(mat_loss,MATCH(B1487,mat_ref,0))),F1487))</f>
        <v/>
      </c>
      <c r="H1487" s="66" t="str">
        <f>IF(J1487&lt;&gt;"OK","",INDEX(mat_price,MATCH(B1487,mat_ref,0)))</f>
        <v/>
      </c>
      <c r="I1487" s="66" t="str">
        <f>IF(J1487&lt;&gt;"OK","",E1487*(1+G1487)*H1487)</f>
        <v/>
      </c>
      <c r="J1487" s="69" t="str">
        <f>IF(AND(A1487="",B1487=""),"",IF(A1487="","Produit manquant",IF(COUNTIF(prod_ref,A1487)=0,"Produit inconnu",IF(B1487="","Matière manquante",IF(ISNA(MATCH(B1487,mat_ref,0)),"Matière inconnue",IF(INDEX(mat_check,MATCH(B1487,mat_ref,0))&lt;&gt;"OK","Matière à corriger",IF(OR(NOT(ISNUMBER(E1487)),N(E1487)&lt;=0),"Quantité invalide",IF(AND(F1487&lt;&gt;"",OR(NOT(ISNUMBER(F1487)),N(F1487)&lt;0,N(F1487)&gt;=1)),"Perte entre 0 et 99 %",IF(COUNTIFS(bom_prod,A1487,bom_mat,B1487)&gt;1,"Matière en double","OK")))))))))</f>
        <v/>
      </c>
      <c r="K1487" s="71" t="str">
        <f>IF(AND(fiche_sel&lt;&gt;"",A1487=fiche_sel),COUNTIF(A$6:A1487,fiche_sel),"")</f>
        <v/>
      </c>
    </row>
    <row r="1488">
      <c r="A1488" s="60" t="n"/>
      <c r="B1488" s="60" t="n"/>
      <c r="C1488" s="71" t="str">
        <f>IF(B1488="","",IFERROR(INDEX(mat_des,MATCH(B1488,mat_ref,0))&amp;"","Matière inconnue"))</f>
        <v/>
      </c>
      <c r="D1488" s="69" t="str">
        <f>IF(B1488="","",IFERROR(INDEX(mat_unit,MATCH(B1488,mat_ref,0))&amp;"",""))</f>
        <v/>
      </c>
      <c r="E1488" s="72" t="n"/>
      <c r="F1488" s="65" t="n"/>
      <c r="G1488" s="68" t="str">
        <f>IF(J1488&lt;&gt;"OK","",IF(F1488="",N(INDEX(mat_loss,MATCH(B1488,mat_ref,0))),F1488))</f>
        <v/>
      </c>
      <c r="H1488" s="66" t="str">
        <f>IF(J1488&lt;&gt;"OK","",INDEX(mat_price,MATCH(B1488,mat_ref,0)))</f>
        <v/>
      </c>
      <c r="I1488" s="66" t="str">
        <f>IF(J1488&lt;&gt;"OK","",E1488*(1+G1488)*H1488)</f>
        <v/>
      </c>
      <c r="J1488" s="69" t="str">
        <f>IF(AND(A1488="",B1488=""),"",IF(A1488="","Produit manquant",IF(COUNTIF(prod_ref,A1488)=0,"Produit inconnu",IF(B1488="","Matière manquante",IF(ISNA(MATCH(B1488,mat_ref,0)),"Matière inconnue",IF(INDEX(mat_check,MATCH(B1488,mat_ref,0))&lt;&gt;"OK","Matière à corriger",IF(OR(NOT(ISNUMBER(E1488)),N(E1488)&lt;=0),"Quantité invalide",IF(AND(F1488&lt;&gt;"",OR(NOT(ISNUMBER(F1488)),N(F1488)&lt;0,N(F1488)&gt;=1)),"Perte entre 0 et 99 %",IF(COUNTIFS(bom_prod,A1488,bom_mat,B1488)&gt;1,"Matière en double","OK")))))))))</f>
        <v/>
      </c>
      <c r="K1488" s="71" t="str">
        <f>IF(AND(fiche_sel&lt;&gt;"",A1488=fiche_sel),COUNTIF(A$6:A1488,fiche_sel),"")</f>
        <v/>
      </c>
    </row>
    <row r="1489">
      <c r="A1489" s="60" t="n"/>
      <c r="B1489" s="60" t="n"/>
      <c r="C1489" s="71" t="str">
        <f>IF(B1489="","",IFERROR(INDEX(mat_des,MATCH(B1489,mat_ref,0))&amp;"","Matière inconnue"))</f>
        <v/>
      </c>
      <c r="D1489" s="69" t="str">
        <f>IF(B1489="","",IFERROR(INDEX(mat_unit,MATCH(B1489,mat_ref,0))&amp;"",""))</f>
        <v/>
      </c>
      <c r="E1489" s="72" t="n"/>
      <c r="F1489" s="65" t="n"/>
      <c r="G1489" s="68" t="str">
        <f>IF(J1489&lt;&gt;"OK","",IF(F1489="",N(INDEX(mat_loss,MATCH(B1489,mat_ref,0))),F1489))</f>
        <v/>
      </c>
      <c r="H1489" s="66" t="str">
        <f>IF(J1489&lt;&gt;"OK","",INDEX(mat_price,MATCH(B1489,mat_ref,0)))</f>
        <v/>
      </c>
      <c r="I1489" s="66" t="str">
        <f>IF(J1489&lt;&gt;"OK","",E1489*(1+G1489)*H1489)</f>
        <v/>
      </c>
      <c r="J1489" s="69" t="str">
        <f>IF(AND(A1489="",B1489=""),"",IF(A1489="","Produit manquant",IF(COUNTIF(prod_ref,A1489)=0,"Produit inconnu",IF(B1489="","Matière manquante",IF(ISNA(MATCH(B1489,mat_ref,0)),"Matière inconnue",IF(INDEX(mat_check,MATCH(B1489,mat_ref,0))&lt;&gt;"OK","Matière à corriger",IF(OR(NOT(ISNUMBER(E1489)),N(E1489)&lt;=0),"Quantité invalide",IF(AND(F1489&lt;&gt;"",OR(NOT(ISNUMBER(F1489)),N(F1489)&lt;0,N(F1489)&gt;=1)),"Perte entre 0 et 99 %",IF(COUNTIFS(bom_prod,A1489,bom_mat,B1489)&gt;1,"Matière en double","OK")))))))))</f>
        <v/>
      </c>
      <c r="K1489" s="71" t="str">
        <f>IF(AND(fiche_sel&lt;&gt;"",A1489=fiche_sel),COUNTIF(A$6:A1489,fiche_sel),"")</f>
        <v/>
      </c>
    </row>
    <row r="1490">
      <c r="A1490" s="60" t="n"/>
      <c r="B1490" s="60" t="n"/>
      <c r="C1490" s="71" t="str">
        <f>IF(B1490="","",IFERROR(INDEX(mat_des,MATCH(B1490,mat_ref,0))&amp;"","Matière inconnue"))</f>
        <v/>
      </c>
      <c r="D1490" s="69" t="str">
        <f>IF(B1490="","",IFERROR(INDEX(mat_unit,MATCH(B1490,mat_ref,0))&amp;"",""))</f>
        <v/>
      </c>
      <c r="E1490" s="72" t="n"/>
      <c r="F1490" s="65" t="n"/>
      <c r="G1490" s="68" t="str">
        <f>IF(J1490&lt;&gt;"OK","",IF(F1490="",N(INDEX(mat_loss,MATCH(B1490,mat_ref,0))),F1490))</f>
        <v/>
      </c>
      <c r="H1490" s="66" t="str">
        <f>IF(J1490&lt;&gt;"OK","",INDEX(mat_price,MATCH(B1490,mat_ref,0)))</f>
        <v/>
      </c>
      <c r="I1490" s="66" t="str">
        <f>IF(J1490&lt;&gt;"OK","",E1490*(1+G1490)*H1490)</f>
        <v/>
      </c>
      <c r="J1490" s="69" t="str">
        <f>IF(AND(A1490="",B1490=""),"",IF(A1490="","Produit manquant",IF(COUNTIF(prod_ref,A1490)=0,"Produit inconnu",IF(B1490="","Matière manquante",IF(ISNA(MATCH(B1490,mat_ref,0)),"Matière inconnue",IF(INDEX(mat_check,MATCH(B1490,mat_ref,0))&lt;&gt;"OK","Matière à corriger",IF(OR(NOT(ISNUMBER(E1490)),N(E1490)&lt;=0),"Quantité invalide",IF(AND(F1490&lt;&gt;"",OR(NOT(ISNUMBER(F1490)),N(F1490)&lt;0,N(F1490)&gt;=1)),"Perte entre 0 et 99 %",IF(COUNTIFS(bom_prod,A1490,bom_mat,B1490)&gt;1,"Matière en double","OK")))))))))</f>
        <v/>
      </c>
      <c r="K1490" s="71" t="str">
        <f>IF(AND(fiche_sel&lt;&gt;"",A1490=fiche_sel),COUNTIF(A$6:A1490,fiche_sel),"")</f>
        <v/>
      </c>
    </row>
    <row r="1491">
      <c r="A1491" s="60" t="n"/>
      <c r="B1491" s="60" t="n"/>
      <c r="C1491" s="71" t="str">
        <f>IF(B1491="","",IFERROR(INDEX(mat_des,MATCH(B1491,mat_ref,0))&amp;"","Matière inconnue"))</f>
        <v/>
      </c>
      <c r="D1491" s="69" t="str">
        <f>IF(B1491="","",IFERROR(INDEX(mat_unit,MATCH(B1491,mat_ref,0))&amp;"",""))</f>
        <v/>
      </c>
      <c r="E1491" s="72" t="n"/>
      <c r="F1491" s="65" t="n"/>
      <c r="G1491" s="68" t="str">
        <f>IF(J1491&lt;&gt;"OK","",IF(F1491="",N(INDEX(mat_loss,MATCH(B1491,mat_ref,0))),F1491))</f>
        <v/>
      </c>
      <c r="H1491" s="66" t="str">
        <f>IF(J1491&lt;&gt;"OK","",INDEX(mat_price,MATCH(B1491,mat_ref,0)))</f>
        <v/>
      </c>
      <c r="I1491" s="66" t="str">
        <f>IF(J1491&lt;&gt;"OK","",E1491*(1+G1491)*H1491)</f>
        <v/>
      </c>
      <c r="J1491" s="69" t="str">
        <f>IF(AND(A1491="",B1491=""),"",IF(A1491="","Produit manquant",IF(COUNTIF(prod_ref,A1491)=0,"Produit inconnu",IF(B1491="","Matière manquante",IF(ISNA(MATCH(B1491,mat_ref,0)),"Matière inconnue",IF(INDEX(mat_check,MATCH(B1491,mat_ref,0))&lt;&gt;"OK","Matière à corriger",IF(OR(NOT(ISNUMBER(E1491)),N(E1491)&lt;=0),"Quantité invalide",IF(AND(F1491&lt;&gt;"",OR(NOT(ISNUMBER(F1491)),N(F1491)&lt;0,N(F1491)&gt;=1)),"Perte entre 0 et 99 %",IF(COUNTIFS(bom_prod,A1491,bom_mat,B1491)&gt;1,"Matière en double","OK")))))))))</f>
        <v/>
      </c>
      <c r="K1491" s="71" t="str">
        <f>IF(AND(fiche_sel&lt;&gt;"",A1491=fiche_sel),COUNTIF(A$6:A1491,fiche_sel),"")</f>
        <v/>
      </c>
    </row>
    <row r="1492">
      <c r="A1492" s="60" t="n"/>
      <c r="B1492" s="60" t="n"/>
      <c r="C1492" s="71" t="str">
        <f>IF(B1492="","",IFERROR(INDEX(mat_des,MATCH(B1492,mat_ref,0))&amp;"","Matière inconnue"))</f>
        <v/>
      </c>
      <c r="D1492" s="69" t="str">
        <f>IF(B1492="","",IFERROR(INDEX(mat_unit,MATCH(B1492,mat_ref,0))&amp;"",""))</f>
        <v/>
      </c>
      <c r="E1492" s="72" t="n"/>
      <c r="F1492" s="65" t="n"/>
      <c r="G1492" s="68" t="str">
        <f>IF(J1492&lt;&gt;"OK","",IF(F1492="",N(INDEX(mat_loss,MATCH(B1492,mat_ref,0))),F1492))</f>
        <v/>
      </c>
      <c r="H1492" s="66" t="str">
        <f>IF(J1492&lt;&gt;"OK","",INDEX(mat_price,MATCH(B1492,mat_ref,0)))</f>
        <v/>
      </c>
      <c r="I1492" s="66" t="str">
        <f>IF(J1492&lt;&gt;"OK","",E1492*(1+G1492)*H1492)</f>
        <v/>
      </c>
      <c r="J1492" s="69" t="str">
        <f>IF(AND(A1492="",B1492=""),"",IF(A1492="","Produit manquant",IF(COUNTIF(prod_ref,A1492)=0,"Produit inconnu",IF(B1492="","Matière manquante",IF(ISNA(MATCH(B1492,mat_ref,0)),"Matière inconnue",IF(INDEX(mat_check,MATCH(B1492,mat_ref,0))&lt;&gt;"OK","Matière à corriger",IF(OR(NOT(ISNUMBER(E1492)),N(E1492)&lt;=0),"Quantité invalide",IF(AND(F1492&lt;&gt;"",OR(NOT(ISNUMBER(F1492)),N(F1492)&lt;0,N(F1492)&gt;=1)),"Perte entre 0 et 99 %",IF(COUNTIFS(bom_prod,A1492,bom_mat,B1492)&gt;1,"Matière en double","OK")))))))))</f>
        <v/>
      </c>
      <c r="K1492" s="71" t="str">
        <f>IF(AND(fiche_sel&lt;&gt;"",A1492=fiche_sel),COUNTIF(A$6:A1492,fiche_sel),"")</f>
        <v/>
      </c>
    </row>
    <row r="1493">
      <c r="A1493" s="60" t="n"/>
      <c r="B1493" s="60" t="n"/>
      <c r="C1493" s="71" t="str">
        <f>IF(B1493="","",IFERROR(INDEX(mat_des,MATCH(B1493,mat_ref,0))&amp;"","Matière inconnue"))</f>
        <v/>
      </c>
      <c r="D1493" s="69" t="str">
        <f>IF(B1493="","",IFERROR(INDEX(mat_unit,MATCH(B1493,mat_ref,0))&amp;"",""))</f>
        <v/>
      </c>
      <c r="E1493" s="72" t="n"/>
      <c r="F1493" s="65" t="n"/>
      <c r="G1493" s="68" t="str">
        <f>IF(J1493&lt;&gt;"OK","",IF(F1493="",N(INDEX(mat_loss,MATCH(B1493,mat_ref,0))),F1493))</f>
        <v/>
      </c>
      <c r="H1493" s="66" t="str">
        <f>IF(J1493&lt;&gt;"OK","",INDEX(mat_price,MATCH(B1493,mat_ref,0)))</f>
        <v/>
      </c>
      <c r="I1493" s="66" t="str">
        <f>IF(J1493&lt;&gt;"OK","",E1493*(1+G1493)*H1493)</f>
        <v/>
      </c>
      <c r="J1493" s="69" t="str">
        <f>IF(AND(A1493="",B1493=""),"",IF(A1493="","Produit manquant",IF(COUNTIF(prod_ref,A1493)=0,"Produit inconnu",IF(B1493="","Matière manquante",IF(ISNA(MATCH(B1493,mat_ref,0)),"Matière inconnue",IF(INDEX(mat_check,MATCH(B1493,mat_ref,0))&lt;&gt;"OK","Matière à corriger",IF(OR(NOT(ISNUMBER(E1493)),N(E1493)&lt;=0),"Quantité invalide",IF(AND(F1493&lt;&gt;"",OR(NOT(ISNUMBER(F1493)),N(F1493)&lt;0,N(F1493)&gt;=1)),"Perte entre 0 et 99 %",IF(COUNTIFS(bom_prod,A1493,bom_mat,B1493)&gt;1,"Matière en double","OK")))))))))</f>
        <v/>
      </c>
      <c r="K1493" s="71" t="str">
        <f>IF(AND(fiche_sel&lt;&gt;"",A1493=fiche_sel),COUNTIF(A$6:A1493,fiche_sel),"")</f>
        <v/>
      </c>
    </row>
    <row r="1494">
      <c r="A1494" s="60" t="n"/>
      <c r="B1494" s="60" t="n"/>
      <c r="C1494" s="71" t="str">
        <f>IF(B1494="","",IFERROR(INDEX(mat_des,MATCH(B1494,mat_ref,0))&amp;"","Matière inconnue"))</f>
        <v/>
      </c>
      <c r="D1494" s="69" t="str">
        <f>IF(B1494="","",IFERROR(INDEX(mat_unit,MATCH(B1494,mat_ref,0))&amp;"",""))</f>
        <v/>
      </c>
      <c r="E1494" s="72" t="n"/>
      <c r="F1494" s="65" t="n"/>
      <c r="G1494" s="68" t="str">
        <f>IF(J1494&lt;&gt;"OK","",IF(F1494="",N(INDEX(mat_loss,MATCH(B1494,mat_ref,0))),F1494))</f>
        <v/>
      </c>
      <c r="H1494" s="66" t="str">
        <f>IF(J1494&lt;&gt;"OK","",INDEX(mat_price,MATCH(B1494,mat_ref,0)))</f>
        <v/>
      </c>
      <c r="I1494" s="66" t="str">
        <f>IF(J1494&lt;&gt;"OK","",E1494*(1+G1494)*H1494)</f>
        <v/>
      </c>
      <c r="J1494" s="69" t="str">
        <f>IF(AND(A1494="",B1494=""),"",IF(A1494="","Produit manquant",IF(COUNTIF(prod_ref,A1494)=0,"Produit inconnu",IF(B1494="","Matière manquante",IF(ISNA(MATCH(B1494,mat_ref,0)),"Matière inconnue",IF(INDEX(mat_check,MATCH(B1494,mat_ref,0))&lt;&gt;"OK","Matière à corriger",IF(OR(NOT(ISNUMBER(E1494)),N(E1494)&lt;=0),"Quantité invalide",IF(AND(F1494&lt;&gt;"",OR(NOT(ISNUMBER(F1494)),N(F1494)&lt;0,N(F1494)&gt;=1)),"Perte entre 0 et 99 %",IF(COUNTIFS(bom_prod,A1494,bom_mat,B1494)&gt;1,"Matière en double","OK")))))))))</f>
        <v/>
      </c>
      <c r="K1494" s="71" t="str">
        <f>IF(AND(fiche_sel&lt;&gt;"",A1494=fiche_sel),COUNTIF(A$6:A1494,fiche_sel),"")</f>
        <v/>
      </c>
    </row>
    <row r="1495">
      <c r="A1495" s="60" t="n"/>
      <c r="B1495" s="60" t="n"/>
      <c r="C1495" s="71" t="str">
        <f>IF(B1495="","",IFERROR(INDEX(mat_des,MATCH(B1495,mat_ref,0))&amp;"","Matière inconnue"))</f>
        <v/>
      </c>
      <c r="D1495" s="69" t="str">
        <f>IF(B1495="","",IFERROR(INDEX(mat_unit,MATCH(B1495,mat_ref,0))&amp;"",""))</f>
        <v/>
      </c>
      <c r="E1495" s="72" t="n"/>
      <c r="F1495" s="65" t="n"/>
      <c r="G1495" s="68" t="str">
        <f>IF(J1495&lt;&gt;"OK","",IF(F1495="",N(INDEX(mat_loss,MATCH(B1495,mat_ref,0))),F1495))</f>
        <v/>
      </c>
      <c r="H1495" s="66" t="str">
        <f>IF(J1495&lt;&gt;"OK","",INDEX(mat_price,MATCH(B1495,mat_ref,0)))</f>
        <v/>
      </c>
      <c r="I1495" s="66" t="str">
        <f>IF(J1495&lt;&gt;"OK","",E1495*(1+G1495)*H1495)</f>
        <v/>
      </c>
      <c r="J1495" s="69" t="str">
        <f>IF(AND(A1495="",B1495=""),"",IF(A1495="","Produit manquant",IF(COUNTIF(prod_ref,A1495)=0,"Produit inconnu",IF(B1495="","Matière manquante",IF(ISNA(MATCH(B1495,mat_ref,0)),"Matière inconnue",IF(INDEX(mat_check,MATCH(B1495,mat_ref,0))&lt;&gt;"OK","Matière à corriger",IF(OR(NOT(ISNUMBER(E1495)),N(E1495)&lt;=0),"Quantité invalide",IF(AND(F1495&lt;&gt;"",OR(NOT(ISNUMBER(F1495)),N(F1495)&lt;0,N(F1495)&gt;=1)),"Perte entre 0 et 99 %",IF(COUNTIFS(bom_prod,A1495,bom_mat,B1495)&gt;1,"Matière en double","OK")))))))))</f>
        <v/>
      </c>
      <c r="K1495" s="71" t="str">
        <f>IF(AND(fiche_sel&lt;&gt;"",A1495=fiche_sel),COUNTIF(A$6:A1495,fiche_sel),"")</f>
        <v/>
      </c>
    </row>
    <row r="1496">
      <c r="A1496" s="60" t="n"/>
      <c r="B1496" s="60" t="n"/>
      <c r="C1496" s="71" t="str">
        <f>IF(B1496="","",IFERROR(INDEX(mat_des,MATCH(B1496,mat_ref,0))&amp;"","Matière inconnue"))</f>
        <v/>
      </c>
      <c r="D1496" s="69" t="str">
        <f>IF(B1496="","",IFERROR(INDEX(mat_unit,MATCH(B1496,mat_ref,0))&amp;"",""))</f>
        <v/>
      </c>
      <c r="E1496" s="72" t="n"/>
      <c r="F1496" s="65" t="n"/>
      <c r="G1496" s="68" t="str">
        <f>IF(J1496&lt;&gt;"OK","",IF(F1496="",N(INDEX(mat_loss,MATCH(B1496,mat_ref,0))),F1496))</f>
        <v/>
      </c>
      <c r="H1496" s="66" t="str">
        <f>IF(J1496&lt;&gt;"OK","",INDEX(mat_price,MATCH(B1496,mat_ref,0)))</f>
        <v/>
      </c>
      <c r="I1496" s="66" t="str">
        <f>IF(J1496&lt;&gt;"OK","",E1496*(1+G1496)*H1496)</f>
        <v/>
      </c>
      <c r="J1496" s="69" t="str">
        <f>IF(AND(A1496="",B1496=""),"",IF(A1496="","Produit manquant",IF(COUNTIF(prod_ref,A1496)=0,"Produit inconnu",IF(B1496="","Matière manquante",IF(ISNA(MATCH(B1496,mat_ref,0)),"Matière inconnue",IF(INDEX(mat_check,MATCH(B1496,mat_ref,0))&lt;&gt;"OK","Matière à corriger",IF(OR(NOT(ISNUMBER(E1496)),N(E1496)&lt;=0),"Quantité invalide",IF(AND(F1496&lt;&gt;"",OR(NOT(ISNUMBER(F1496)),N(F1496)&lt;0,N(F1496)&gt;=1)),"Perte entre 0 et 99 %",IF(COUNTIFS(bom_prod,A1496,bom_mat,B1496)&gt;1,"Matière en double","OK")))))))))</f>
        <v/>
      </c>
      <c r="K1496" s="71" t="str">
        <f>IF(AND(fiche_sel&lt;&gt;"",A1496=fiche_sel),COUNTIF(A$6:A1496,fiche_sel),"")</f>
        <v/>
      </c>
    </row>
    <row r="1497">
      <c r="A1497" s="60" t="n"/>
      <c r="B1497" s="60" t="n"/>
      <c r="C1497" s="71" t="str">
        <f>IF(B1497="","",IFERROR(INDEX(mat_des,MATCH(B1497,mat_ref,0))&amp;"","Matière inconnue"))</f>
        <v/>
      </c>
      <c r="D1497" s="69" t="str">
        <f>IF(B1497="","",IFERROR(INDEX(mat_unit,MATCH(B1497,mat_ref,0))&amp;"",""))</f>
        <v/>
      </c>
      <c r="E1497" s="72" t="n"/>
      <c r="F1497" s="65" t="n"/>
      <c r="G1497" s="68" t="str">
        <f>IF(J1497&lt;&gt;"OK","",IF(F1497="",N(INDEX(mat_loss,MATCH(B1497,mat_ref,0))),F1497))</f>
        <v/>
      </c>
      <c r="H1497" s="66" t="str">
        <f>IF(J1497&lt;&gt;"OK","",INDEX(mat_price,MATCH(B1497,mat_ref,0)))</f>
        <v/>
      </c>
      <c r="I1497" s="66" t="str">
        <f>IF(J1497&lt;&gt;"OK","",E1497*(1+G1497)*H1497)</f>
        <v/>
      </c>
      <c r="J1497" s="69" t="str">
        <f>IF(AND(A1497="",B1497=""),"",IF(A1497="","Produit manquant",IF(COUNTIF(prod_ref,A1497)=0,"Produit inconnu",IF(B1497="","Matière manquante",IF(ISNA(MATCH(B1497,mat_ref,0)),"Matière inconnue",IF(INDEX(mat_check,MATCH(B1497,mat_ref,0))&lt;&gt;"OK","Matière à corriger",IF(OR(NOT(ISNUMBER(E1497)),N(E1497)&lt;=0),"Quantité invalide",IF(AND(F1497&lt;&gt;"",OR(NOT(ISNUMBER(F1497)),N(F1497)&lt;0,N(F1497)&gt;=1)),"Perte entre 0 et 99 %",IF(COUNTIFS(bom_prod,A1497,bom_mat,B1497)&gt;1,"Matière en double","OK")))))))))</f>
        <v/>
      </c>
      <c r="K1497" s="71" t="str">
        <f>IF(AND(fiche_sel&lt;&gt;"",A1497=fiche_sel),COUNTIF(A$6:A1497,fiche_sel),"")</f>
        <v/>
      </c>
    </row>
    <row r="1498">
      <c r="A1498" s="60" t="n"/>
      <c r="B1498" s="60" t="n"/>
      <c r="C1498" s="71" t="str">
        <f>IF(B1498="","",IFERROR(INDEX(mat_des,MATCH(B1498,mat_ref,0))&amp;"","Matière inconnue"))</f>
        <v/>
      </c>
      <c r="D1498" s="69" t="str">
        <f>IF(B1498="","",IFERROR(INDEX(mat_unit,MATCH(B1498,mat_ref,0))&amp;"",""))</f>
        <v/>
      </c>
      <c r="E1498" s="72" t="n"/>
      <c r="F1498" s="65" t="n"/>
      <c r="G1498" s="68" t="str">
        <f>IF(J1498&lt;&gt;"OK","",IF(F1498="",N(INDEX(mat_loss,MATCH(B1498,mat_ref,0))),F1498))</f>
        <v/>
      </c>
      <c r="H1498" s="66" t="str">
        <f>IF(J1498&lt;&gt;"OK","",INDEX(mat_price,MATCH(B1498,mat_ref,0)))</f>
        <v/>
      </c>
      <c r="I1498" s="66" t="str">
        <f>IF(J1498&lt;&gt;"OK","",E1498*(1+G1498)*H1498)</f>
        <v/>
      </c>
      <c r="J1498" s="69" t="str">
        <f>IF(AND(A1498="",B1498=""),"",IF(A1498="","Produit manquant",IF(COUNTIF(prod_ref,A1498)=0,"Produit inconnu",IF(B1498="","Matière manquante",IF(ISNA(MATCH(B1498,mat_ref,0)),"Matière inconnue",IF(INDEX(mat_check,MATCH(B1498,mat_ref,0))&lt;&gt;"OK","Matière à corriger",IF(OR(NOT(ISNUMBER(E1498)),N(E1498)&lt;=0),"Quantité invalide",IF(AND(F1498&lt;&gt;"",OR(NOT(ISNUMBER(F1498)),N(F1498)&lt;0,N(F1498)&gt;=1)),"Perte entre 0 et 99 %",IF(COUNTIFS(bom_prod,A1498,bom_mat,B1498)&gt;1,"Matière en double","OK")))))))))</f>
        <v/>
      </c>
      <c r="K1498" s="71" t="str">
        <f>IF(AND(fiche_sel&lt;&gt;"",A1498=fiche_sel),COUNTIF(A$6:A1498,fiche_sel),"")</f>
        <v/>
      </c>
    </row>
    <row r="1499">
      <c r="A1499" s="60" t="n"/>
      <c r="B1499" s="60" t="n"/>
      <c r="C1499" s="71" t="str">
        <f>IF(B1499="","",IFERROR(INDEX(mat_des,MATCH(B1499,mat_ref,0))&amp;"","Matière inconnue"))</f>
        <v/>
      </c>
      <c r="D1499" s="69" t="str">
        <f>IF(B1499="","",IFERROR(INDEX(mat_unit,MATCH(B1499,mat_ref,0))&amp;"",""))</f>
        <v/>
      </c>
      <c r="E1499" s="72" t="n"/>
      <c r="F1499" s="65" t="n"/>
      <c r="G1499" s="68" t="str">
        <f>IF(J1499&lt;&gt;"OK","",IF(F1499="",N(INDEX(mat_loss,MATCH(B1499,mat_ref,0))),F1499))</f>
        <v/>
      </c>
      <c r="H1499" s="66" t="str">
        <f>IF(J1499&lt;&gt;"OK","",INDEX(mat_price,MATCH(B1499,mat_ref,0)))</f>
        <v/>
      </c>
      <c r="I1499" s="66" t="str">
        <f>IF(J1499&lt;&gt;"OK","",E1499*(1+G1499)*H1499)</f>
        <v/>
      </c>
      <c r="J1499" s="69" t="str">
        <f>IF(AND(A1499="",B1499=""),"",IF(A1499="","Produit manquant",IF(COUNTIF(prod_ref,A1499)=0,"Produit inconnu",IF(B1499="","Matière manquante",IF(ISNA(MATCH(B1499,mat_ref,0)),"Matière inconnue",IF(INDEX(mat_check,MATCH(B1499,mat_ref,0))&lt;&gt;"OK","Matière à corriger",IF(OR(NOT(ISNUMBER(E1499)),N(E1499)&lt;=0),"Quantité invalide",IF(AND(F1499&lt;&gt;"",OR(NOT(ISNUMBER(F1499)),N(F1499)&lt;0,N(F1499)&gt;=1)),"Perte entre 0 et 99 %",IF(COUNTIFS(bom_prod,A1499,bom_mat,B1499)&gt;1,"Matière en double","OK")))))))))</f>
        <v/>
      </c>
      <c r="K1499" s="71" t="str">
        <f>IF(AND(fiche_sel&lt;&gt;"",A1499=fiche_sel),COUNTIF(A$6:A1499,fiche_sel),"")</f>
        <v/>
      </c>
    </row>
    <row r="1500">
      <c r="A1500" s="60" t="n"/>
      <c r="B1500" s="60" t="n"/>
      <c r="C1500" s="71" t="str">
        <f>IF(B1500="","",IFERROR(INDEX(mat_des,MATCH(B1500,mat_ref,0))&amp;"","Matière inconnue"))</f>
        <v/>
      </c>
      <c r="D1500" s="69" t="str">
        <f>IF(B1500="","",IFERROR(INDEX(mat_unit,MATCH(B1500,mat_ref,0))&amp;"",""))</f>
        <v/>
      </c>
      <c r="E1500" s="72" t="n"/>
      <c r="F1500" s="65" t="n"/>
      <c r="G1500" s="68" t="str">
        <f>IF(J1500&lt;&gt;"OK","",IF(F1500="",N(INDEX(mat_loss,MATCH(B1500,mat_ref,0))),F1500))</f>
        <v/>
      </c>
      <c r="H1500" s="66" t="str">
        <f>IF(J1500&lt;&gt;"OK","",INDEX(mat_price,MATCH(B1500,mat_ref,0)))</f>
        <v/>
      </c>
      <c r="I1500" s="66" t="str">
        <f>IF(J1500&lt;&gt;"OK","",E1500*(1+G1500)*H1500)</f>
        <v/>
      </c>
      <c r="J1500" s="69" t="str">
        <f>IF(AND(A1500="",B1500=""),"",IF(A1500="","Produit manquant",IF(COUNTIF(prod_ref,A1500)=0,"Produit inconnu",IF(B1500="","Matière manquante",IF(ISNA(MATCH(B1500,mat_ref,0)),"Matière inconnue",IF(INDEX(mat_check,MATCH(B1500,mat_ref,0))&lt;&gt;"OK","Matière à corriger",IF(OR(NOT(ISNUMBER(E1500)),N(E1500)&lt;=0),"Quantité invalide",IF(AND(F1500&lt;&gt;"",OR(NOT(ISNUMBER(F1500)),N(F1500)&lt;0,N(F1500)&gt;=1)),"Perte entre 0 et 99 %",IF(COUNTIFS(bom_prod,A1500,bom_mat,B1500)&gt;1,"Matière en double","OK")))))))))</f>
        <v/>
      </c>
      <c r="K1500" s="71" t="str">
        <f>IF(AND(fiche_sel&lt;&gt;"",A1500=fiche_sel),COUNTIF(A$6:A1500,fiche_sel),"")</f>
        <v/>
      </c>
    </row>
    <row r="1501">
      <c r="A1501" s="60" t="n"/>
      <c r="B1501" s="60" t="n"/>
      <c r="C1501" s="71" t="str">
        <f>IF(B1501="","",IFERROR(INDEX(mat_des,MATCH(B1501,mat_ref,0))&amp;"","Matière inconnue"))</f>
        <v/>
      </c>
      <c r="D1501" s="69" t="str">
        <f>IF(B1501="","",IFERROR(INDEX(mat_unit,MATCH(B1501,mat_ref,0))&amp;"",""))</f>
        <v/>
      </c>
      <c r="E1501" s="72" t="n"/>
      <c r="F1501" s="65" t="n"/>
      <c r="G1501" s="68" t="str">
        <f>IF(J1501&lt;&gt;"OK","",IF(F1501="",N(INDEX(mat_loss,MATCH(B1501,mat_ref,0))),F1501))</f>
        <v/>
      </c>
      <c r="H1501" s="66" t="str">
        <f>IF(J1501&lt;&gt;"OK","",INDEX(mat_price,MATCH(B1501,mat_ref,0)))</f>
        <v/>
      </c>
      <c r="I1501" s="66" t="str">
        <f>IF(J1501&lt;&gt;"OK","",E1501*(1+G1501)*H1501)</f>
        <v/>
      </c>
      <c r="J1501" s="69" t="str">
        <f>IF(AND(A1501="",B1501=""),"",IF(A1501="","Produit manquant",IF(COUNTIF(prod_ref,A1501)=0,"Produit inconnu",IF(B1501="","Matière manquante",IF(ISNA(MATCH(B1501,mat_ref,0)),"Matière inconnue",IF(INDEX(mat_check,MATCH(B1501,mat_ref,0))&lt;&gt;"OK","Matière à corriger",IF(OR(NOT(ISNUMBER(E1501)),N(E1501)&lt;=0),"Quantité invalide",IF(AND(F1501&lt;&gt;"",OR(NOT(ISNUMBER(F1501)),N(F1501)&lt;0,N(F1501)&gt;=1)),"Perte entre 0 et 99 %",IF(COUNTIFS(bom_prod,A1501,bom_mat,B1501)&gt;1,"Matière en double","OK")))))))))</f>
        <v/>
      </c>
      <c r="K1501" s="71" t="str">
        <f>IF(AND(fiche_sel&lt;&gt;"",A1501=fiche_sel),COUNTIF(A$6:A1501,fiche_sel),"")</f>
        <v/>
      </c>
    </row>
    <row r="1502">
      <c r="A1502" s="60" t="n"/>
      <c r="B1502" s="60" t="n"/>
      <c r="C1502" s="71" t="str">
        <f>IF(B1502="","",IFERROR(INDEX(mat_des,MATCH(B1502,mat_ref,0))&amp;"","Matière inconnue"))</f>
        <v/>
      </c>
      <c r="D1502" s="69" t="str">
        <f>IF(B1502="","",IFERROR(INDEX(mat_unit,MATCH(B1502,mat_ref,0))&amp;"",""))</f>
        <v/>
      </c>
      <c r="E1502" s="72" t="n"/>
      <c r="F1502" s="65" t="n"/>
      <c r="G1502" s="68" t="str">
        <f>IF(J1502&lt;&gt;"OK","",IF(F1502="",N(INDEX(mat_loss,MATCH(B1502,mat_ref,0))),F1502))</f>
        <v/>
      </c>
      <c r="H1502" s="66" t="str">
        <f>IF(J1502&lt;&gt;"OK","",INDEX(mat_price,MATCH(B1502,mat_ref,0)))</f>
        <v/>
      </c>
      <c r="I1502" s="66" t="str">
        <f>IF(J1502&lt;&gt;"OK","",E1502*(1+G1502)*H1502)</f>
        <v/>
      </c>
      <c r="J1502" s="69" t="str">
        <f>IF(AND(A1502="",B1502=""),"",IF(A1502="","Produit manquant",IF(COUNTIF(prod_ref,A1502)=0,"Produit inconnu",IF(B1502="","Matière manquante",IF(ISNA(MATCH(B1502,mat_ref,0)),"Matière inconnue",IF(INDEX(mat_check,MATCH(B1502,mat_ref,0))&lt;&gt;"OK","Matière à corriger",IF(OR(NOT(ISNUMBER(E1502)),N(E1502)&lt;=0),"Quantité invalide",IF(AND(F1502&lt;&gt;"",OR(NOT(ISNUMBER(F1502)),N(F1502)&lt;0,N(F1502)&gt;=1)),"Perte entre 0 et 99 %",IF(COUNTIFS(bom_prod,A1502,bom_mat,B1502)&gt;1,"Matière en double","OK")))))))))</f>
        <v/>
      </c>
      <c r="K1502" s="71" t="str">
        <f>IF(AND(fiche_sel&lt;&gt;"",A1502=fiche_sel),COUNTIF(A$6:A1502,fiche_sel),"")</f>
        <v/>
      </c>
    </row>
    <row r="1503">
      <c r="A1503" s="60" t="n"/>
      <c r="B1503" s="60" t="n"/>
      <c r="C1503" s="71" t="str">
        <f>IF(B1503="","",IFERROR(INDEX(mat_des,MATCH(B1503,mat_ref,0))&amp;"","Matière inconnue"))</f>
        <v/>
      </c>
      <c r="D1503" s="69" t="str">
        <f>IF(B1503="","",IFERROR(INDEX(mat_unit,MATCH(B1503,mat_ref,0))&amp;"",""))</f>
        <v/>
      </c>
      <c r="E1503" s="72" t="n"/>
      <c r="F1503" s="65" t="n"/>
      <c r="G1503" s="68" t="str">
        <f>IF(J1503&lt;&gt;"OK","",IF(F1503="",N(INDEX(mat_loss,MATCH(B1503,mat_ref,0))),F1503))</f>
        <v/>
      </c>
      <c r="H1503" s="66" t="str">
        <f>IF(J1503&lt;&gt;"OK","",INDEX(mat_price,MATCH(B1503,mat_ref,0)))</f>
        <v/>
      </c>
      <c r="I1503" s="66" t="str">
        <f>IF(J1503&lt;&gt;"OK","",E1503*(1+G1503)*H1503)</f>
        <v/>
      </c>
      <c r="J1503" s="69" t="str">
        <f>IF(AND(A1503="",B1503=""),"",IF(A1503="","Produit manquant",IF(COUNTIF(prod_ref,A1503)=0,"Produit inconnu",IF(B1503="","Matière manquante",IF(ISNA(MATCH(B1503,mat_ref,0)),"Matière inconnue",IF(INDEX(mat_check,MATCH(B1503,mat_ref,0))&lt;&gt;"OK","Matière à corriger",IF(OR(NOT(ISNUMBER(E1503)),N(E1503)&lt;=0),"Quantité invalide",IF(AND(F1503&lt;&gt;"",OR(NOT(ISNUMBER(F1503)),N(F1503)&lt;0,N(F1503)&gt;=1)),"Perte entre 0 et 99 %",IF(COUNTIFS(bom_prod,A1503,bom_mat,B1503)&gt;1,"Matière en double","OK")))))))))</f>
        <v/>
      </c>
      <c r="K1503" s="71" t="str">
        <f>IF(AND(fiche_sel&lt;&gt;"",A1503=fiche_sel),COUNTIF(A$6:A1503,fiche_sel),"")</f>
        <v/>
      </c>
    </row>
    <row r="1504">
      <c r="A1504" s="60" t="n"/>
      <c r="B1504" s="60" t="n"/>
      <c r="C1504" s="71" t="str">
        <f>IF(B1504="","",IFERROR(INDEX(mat_des,MATCH(B1504,mat_ref,0))&amp;"","Matière inconnue"))</f>
        <v/>
      </c>
      <c r="D1504" s="69" t="str">
        <f>IF(B1504="","",IFERROR(INDEX(mat_unit,MATCH(B1504,mat_ref,0))&amp;"",""))</f>
        <v/>
      </c>
      <c r="E1504" s="72" t="n"/>
      <c r="F1504" s="65" t="n"/>
      <c r="G1504" s="68" t="str">
        <f>IF(J1504&lt;&gt;"OK","",IF(F1504="",N(INDEX(mat_loss,MATCH(B1504,mat_ref,0))),F1504))</f>
        <v/>
      </c>
      <c r="H1504" s="66" t="str">
        <f>IF(J1504&lt;&gt;"OK","",INDEX(mat_price,MATCH(B1504,mat_ref,0)))</f>
        <v/>
      </c>
      <c r="I1504" s="66" t="str">
        <f>IF(J1504&lt;&gt;"OK","",E1504*(1+G1504)*H1504)</f>
        <v/>
      </c>
      <c r="J1504" s="69" t="str">
        <f>IF(AND(A1504="",B1504=""),"",IF(A1504="","Produit manquant",IF(COUNTIF(prod_ref,A1504)=0,"Produit inconnu",IF(B1504="","Matière manquante",IF(ISNA(MATCH(B1504,mat_ref,0)),"Matière inconnue",IF(INDEX(mat_check,MATCH(B1504,mat_ref,0))&lt;&gt;"OK","Matière à corriger",IF(OR(NOT(ISNUMBER(E1504)),N(E1504)&lt;=0),"Quantité invalide",IF(AND(F1504&lt;&gt;"",OR(NOT(ISNUMBER(F1504)),N(F1504)&lt;0,N(F1504)&gt;=1)),"Perte entre 0 et 99 %",IF(COUNTIFS(bom_prod,A1504,bom_mat,B1504)&gt;1,"Matière en double","OK")))))))))</f>
        <v/>
      </c>
      <c r="K1504" s="71" t="str">
        <f>IF(AND(fiche_sel&lt;&gt;"",A1504=fiche_sel),COUNTIF(A$6:A1504,fiche_sel),"")</f>
        <v/>
      </c>
    </row>
    <row r="1505">
      <c r="A1505" s="60" t="n"/>
      <c r="B1505" s="60" t="n"/>
      <c r="C1505" s="71" t="str">
        <f>IF(B1505="","",IFERROR(INDEX(mat_des,MATCH(B1505,mat_ref,0))&amp;"","Matière inconnue"))</f>
        <v/>
      </c>
      <c r="D1505" s="69" t="str">
        <f>IF(B1505="","",IFERROR(INDEX(mat_unit,MATCH(B1505,mat_ref,0))&amp;"",""))</f>
        <v/>
      </c>
      <c r="E1505" s="72" t="n"/>
      <c r="F1505" s="65" t="n"/>
      <c r="G1505" s="68" t="str">
        <f>IF(J1505&lt;&gt;"OK","",IF(F1505="",N(INDEX(mat_loss,MATCH(B1505,mat_ref,0))),F1505))</f>
        <v/>
      </c>
      <c r="H1505" s="66" t="str">
        <f>IF(J1505&lt;&gt;"OK","",INDEX(mat_price,MATCH(B1505,mat_ref,0)))</f>
        <v/>
      </c>
      <c r="I1505" s="66" t="str">
        <f>IF(J1505&lt;&gt;"OK","",E1505*(1+G1505)*H1505)</f>
        <v/>
      </c>
      <c r="J1505" s="69" t="str">
        <f>IF(AND(A1505="",B1505=""),"",IF(A1505="","Produit manquant",IF(COUNTIF(prod_ref,A1505)=0,"Produit inconnu",IF(B1505="","Matière manquante",IF(ISNA(MATCH(B1505,mat_ref,0)),"Matière inconnue",IF(INDEX(mat_check,MATCH(B1505,mat_ref,0))&lt;&gt;"OK","Matière à corriger",IF(OR(NOT(ISNUMBER(E1505)),N(E1505)&lt;=0),"Quantité invalide",IF(AND(F1505&lt;&gt;"",OR(NOT(ISNUMBER(F1505)),N(F1505)&lt;0,N(F1505)&gt;=1)),"Perte entre 0 et 99 %",IF(COUNTIFS(bom_prod,A1505,bom_mat,B1505)&gt;1,"Matière en double","OK")))))))))</f>
        <v/>
      </c>
      <c r="K1505" s="71" t="str">
        <f>IF(AND(fiche_sel&lt;&gt;"",A1505=fiche_sel),COUNTIF(A$6:A1505,fiche_sel),"")</f>
        <v/>
      </c>
    </row>
    <row r="1506">
      <c r="A1506" s="60" t="n"/>
      <c r="B1506" s="60" t="n"/>
      <c r="C1506" s="71" t="str">
        <f>IF(B1506="","",IFERROR(INDEX(mat_des,MATCH(B1506,mat_ref,0))&amp;"","Matière inconnue"))</f>
        <v/>
      </c>
      <c r="D1506" s="69" t="str">
        <f>IF(B1506="","",IFERROR(INDEX(mat_unit,MATCH(B1506,mat_ref,0))&amp;"",""))</f>
        <v/>
      </c>
      <c r="E1506" s="72" t="n"/>
      <c r="F1506" s="65" t="n"/>
      <c r="G1506" s="68" t="str">
        <f>IF(J1506&lt;&gt;"OK","",IF(F1506="",N(INDEX(mat_loss,MATCH(B1506,mat_ref,0))),F1506))</f>
        <v/>
      </c>
      <c r="H1506" s="66" t="str">
        <f>IF(J1506&lt;&gt;"OK","",INDEX(mat_price,MATCH(B1506,mat_ref,0)))</f>
        <v/>
      </c>
      <c r="I1506" s="66" t="str">
        <f>IF(J1506&lt;&gt;"OK","",E1506*(1+G1506)*H1506)</f>
        <v/>
      </c>
      <c r="J1506" s="69" t="str">
        <f>IF(AND(A1506="",B1506=""),"",IF(A1506="","Produit manquant",IF(COUNTIF(prod_ref,A1506)=0,"Produit inconnu",IF(B1506="","Matière manquante",IF(ISNA(MATCH(B1506,mat_ref,0)),"Matière inconnue",IF(INDEX(mat_check,MATCH(B1506,mat_ref,0))&lt;&gt;"OK","Matière à corriger",IF(OR(NOT(ISNUMBER(E1506)),N(E1506)&lt;=0),"Quantité invalide",IF(AND(F1506&lt;&gt;"",OR(NOT(ISNUMBER(F1506)),N(F1506)&lt;0,N(F1506)&gt;=1)),"Perte entre 0 et 99 %",IF(COUNTIFS(bom_prod,A1506,bom_mat,B1506)&gt;1,"Matière en double","OK")))))))))</f>
        <v/>
      </c>
      <c r="K1506" s="71" t="str">
        <f>IF(AND(fiche_sel&lt;&gt;"",A1506=fiche_sel),COUNTIF(A$6:A1506,fiche_sel),"")</f>
        <v/>
      </c>
    </row>
    <row r="1507">
      <c r="A1507" s="60" t="n"/>
      <c r="B1507" s="60" t="n"/>
      <c r="C1507" s="71" t="str">
        <f>IF(B1507="","",IFERROR(INDEX(mat_des,MATCH(B1507,mat_ref,0))&amp;"","Matière inconnue"))</f>
        <v/>
      </c>
      <c r="D1507" s="69" t="str">
        <f>IF(B1507="","",IFERROR(INDEX(mat_unit,MATCH(B1507,mat_ref,0))&amp;"",""))</f>
        <v/>
      </c>
      <c r="E1507" s="72" t="n"/>
      <c r="F1507" s="65" t="n"/>
      <c r="G1507" s="68" t="str">
        <f>IF(J1507&lt;&gt;"OK","",IF(F1507="",N(INDEX(mat_loss,MATCH(B1507,mat_ref,0))),F1507))</f>
        <v/>
      </c>
      <c r="H1507" s="66" t="str">
        <f>IF(J1507&lt;&gt;"OK","",INDEX(mat_price,MATCH(B1507,mat_ref,0)))</f>
        <v/>
      </c>
      <c r="I1507" s="66" t="str">
        <f>IF(J1507&lt;&gt;"OK","",E1507*(1+G1507)*H1507)</f>
        <v/>
      </c>
      <c r="J1507" s="69" t="str">
        <f>IF(AND(A1507="",B1507=""),"",IF(A1507="","Produit manquant",IF(COUNTIF(prod_ref,A1507)=0,"Produit inconnu",IF(B1507="","Matière manquante",IF(ISNA(MATCH(B1507,mat_ref,0)),"Matière inconnue",IF(INDEX(mat_check,MATCH(B1507,mat_ref,0))&lt;&gt;"OK","Matière à corriger",IF(OR(NOT(ISNUMBER(E1507)),N(E1507)&lt;=0),"Quantité invalide",IF(AND(F1507&lt;&gt;"",OR(NOT(ISNUMBER(F1507)),N(F1507)&lt;0,N(F1507)&gt;=1)),"Perte entre 0 et 99 %",IF(COUNTIFS(bom_prod,A1507,bom_mat,B1507)&gt;1,"Matière en double","OK")))))))))</f>
        <v/>
      </c>
      <c r="K1507" s="71" t="str">
        <f>IF(AND(fiche_sel&lt;&gt;"",A1507=fiche_sel),COUNTIF(A$6:A1507,fiche_sel),"")</f>
        <v/>
      </c>
    </row>
    <row r="1508">
      <c r="A1508" s="60" t="n"/>
      <c r="B1508" s="60" t="n"/>
      <c r="C1508" s="71" t="str">
        <f>IF(B1508="","",IFERROR(INDEX(mat_des,MATCH(B1508,mat_ref,0))&amp;"","Matière inconnue"))</f>
        <v/>
      </c>
      <c r="D1508" s="69" t="str">
        <f>IF(B1508="","",IFERROR(INDEX(mat_unit,MATCH(B1508,mat_ref,0))&amp;"",""))</f>
        <v/>
      </c>
      <c r="E1508" s="72" t="n"/>
      <c r="F1508" s="65" t="n"/>
      <c r="G1508" s="68" t="str">
        <f>IF(J1508&lt;&gt;"OK","",IF(F1508="",N(INDEX(mat_loss,MATCH(B1508,mat_ref,0))),F1508))</f>
        <v/>
      </c>
      <c r="H1508" s="66" t="str">
        <f>IF(J1508&lt;&gt;"OK","",INDEX(mat_price,MATCH(B1508,mat_ref,0)))</f>
        <v/>
      </c>
      <c r="I1508" s="66" t="str">
        <f>IF(J1508&lt;&gt;"OK","",E1508*(1+G1508)*H1508)</f>
        <v/>
      </c>
      <c r="J1508" s="69" t="str">
        <f>IF(AND(A1508="",B1508=""),"",IF(A1508="","Produit manquant",IF(COUNTIF(prod_ref,A1508)=0,"Produit inconnu",IF(B1508="","Matière manquante",IF(ISNA(MATCH(B1508,mat_ref,0)),"Matière inconnue",IF(INDEX(mat_check,MATCH(B1508,mat_ref,0))&lt;&gt;"OK","Matière à corriger",IF(OR(NOT(ISNUMBER(E1508)),N(E1508)&lt;=0),"Quantité invalide",IF(AND(F1508&lt;&gt;"",OR(NOT(ISNUMBER(F1508)),N(F1508)&lt;0,N(F1508)&gt;=1)),"Perte entre 0 et 99 %",IF(COUNTIFS(bom_prod,A1508,bom_mat,B1508)&gt;1,"Matière en double","OK")))))))))</f>
        <v/>
      </c>
      <c r="K1508" s="71" t="str">
        <f>IF(AND(fiche_sel&lt;&gt;"",A1508=fiche_sel),COUNTIF(A$6:A1508,fiche_sel),"")</f>
        <v/>
      </c>
    </row>
    <row r="1509">
      <c r="A1509" s="60" t="n"/>
      <c r="B1509" s="60" t="n"/>
      <c r="C1509" s="71" t="str">
        <f>IF(B1509="","",IFERROR(INDEX(mat_des,MATCH(B1509,mat_ref,0))&amp;"","Matière inconnue"))</f>
        <v/>
      </c>
      <c r="D1509" s="69" t="str">
        <f>IF(B1509="","",IFERROR(INDEX(mat_unit,MATCH(B1509,mat_ref,0))&amp;"",""))</f>
        <v/>
      </c>
      <c r="E1509" s="72" t="n"/>
      <c r="F1509" s="65" t="n"/>
      <c r="G1509" s="68" t="str">
        <f>IF(J1509&lt;&gt;"OK","",IF(F1509="",N(INDEX(mat_loss,MATCH(B1509,mat_ref,0))),F1509))</f>
        <v/>
      </c>
      <c r="H1509" s="66" t="str">
        <f>IF(J1509&lt;&gt;"OK","",INDEX(mat_price,MATCH(B1509,mat_ref,0)))</f>
        <v/>
      </c>
      <c r="I1509" s="66" t="str">
        <f>IF(J1509&lt;&gt;"OK","",E1509*(1+G1509)*H1509)</f>
        <v/>
      </c>
      <c r="J1509" s="69" t="str">
        <f>IF(AND(A1509="",B1509=""),"",IF(A1509="","Produit manquant",IF(COUNTIF(prod_ref,A1509)=0,"Produit inconnu",IF(B1509="","Matière manquante",IF(ISNA(MATCH(B1509,mat_ref,0)),"Matière inconnue",IF(INDEX(mat_check,MATCH(B1509,mat_ref,0))&lt;&gt;"OK","Matière à corriger",IF(OR(NOT(ISNUMBER(E1509)),N(E1509)&lt;=0),"Quantité invalide",IF(AND(F1509&lt;&gt;"",OR(NOT(ISNUMBER(F1509)),N(F1509)&lt;0,N(F1509)&gt;=1)),"Perte entre 0 et 99 %",IF(COUNTIFS(bom_prod,A1509,bom_mat,B1509)&gt;1,"Matière en double","OK")))))))))</f>
        <v/>
      </c>
      <c r="K1509" s="71" t="str">
        <f>IF(AND(fiche_sel&lt;&gt;"",A1509=fiche_sel),COUNTIF(A$6:A1509,fiche_sel),"")</f>
        <v/>
      </c>
    </row>
    <row r="1510">
      <c r="A1510" s="60" t="n"/>
      <c r="B1510" s="60" t="n"/>
      <c r="C1510" s="71" t="str">
        <f>IF(B1510="","",IFERROR(INDEX(mat_des,MATCH(B1510,mat_ref,0))&amp;"","Matière inconnue"))</f>
        <v/>
      </c>
      <c r="D1510" s="69" t="str">
        <f>IF(B1510="","",IFERROR(INDEX(mat_unit,MATCH(B1510,mat_ref,0))&amp;"",""))</f>
        <v/>
      </c>
      <c r="E1510" s="72" t="n"/>
      <c r="F1510" s="65" t="n"/>
      <c r="G1510" s="68" t="str">
        <f>IF(J1510&lt;&gt;"OK","",IF(F1510="",N(INDEX(mat_loss,MATCH(B1510,mat_ref,0))),F1510))</f>
        <v/>
      </c>
      <c r="H1510" s="66" t="str">
        <f>IF(J1510&lt;&gt;"OK","",INDEX(mat_price,MATCH(B1510,mat_ref,0)))</f>
        <v/>
      </c>
      <c r="I1510" s="66" t="str">
        <f>IF(J1510&lt;&gt;"OK","",E1510*(1+G1510)*H1510)</f>
        <v/>
      </c>
      <c r="J1510" s="69" t="str">
        <f>IF(AND(A1510="",B1510=""),"",IF(A1510="","Produit manquant",IF(COUNTIF(prod_ref,A1510)=0,"Produit inconnu",IF(B1510="","Matière manquante",IF(ISNA(MATCH(B1510,mat_ref,0)),"Matière inconnue",IF(INDEX(mat_check,MATCH(B1510,mat_ref,0))&lt;&gt;"OK","Matière à corriger",IF(OR(NOT(ISNUMBER(E1510)),N(E1510)&lt;=0),"Quantité invalide",IF(AND(F1510&lt;&gt;"",OR(NOT(ISNUMBER(F1510)),N(F1510)&lt;0,N(F1510)&gt;=1)),"Perte entre 0 et 99 %",IF(COUNTIFS(bom_prod,A1510,bom_mat,B1510)&gt;1,"Matière en double","OK")))))))))</f>
        <v/>
      </c>
      <c r="K1510" s="71" t="str">
        <f>IF(AND(fiche_sel&lt;&gt;"",A1510=fiche_sel),COUNTIF(A$6:A1510,fiche_sel),"")</f>
        <v/>
      </c>
    </row>
    <row r="1511">
      <c r="A1511" s="60" t="n"/>
      <c r="B1511" s="60" t="n"/>
      <c r="C1511" s="71" t="str">
        <f>IF(B1511="","",IFERROR(INDEX(mat_des,MATCH(B1511,mat_ref,0))&amp;"","Matière inconnue"))</f>
        <v/>
      </c>
      <c r="D1511" s="69" t="str">
        <f>IF(B1511="","",IFERROR(INDEX(mat_unit,MATCH(B1511,mat_ref,0))&amp;"",""))</f>
        <v/>
      </c>
      <c r="E1511" s="72" t="n"/>
      <c r="F1511" s="65" t="n"/>
      <c r="G1511" s="68" t="str">
        <f>IF(J1511&lt;&gt;"OK","",IF(F1511="",N(INDEX(mat_loss,MATCH(B1511,mat_ref,0))),F1511))</f>
        <v/>
      </c>
      <c r="H1511" s="66" t="str">
        <f>IF(J1511&lt;&gt;"OK","",INDEX(mat_price,MATCH(B1511,mat_ref,0)))</f>
        <v/>
      </c>
      <c r="I1511" s="66" t="str">
        <f>IF(J1511&lt;&gt;"OK","",E1511*(1+G1511)*H1511)</f>
        <v/>
      </c>
      <c r="J1511" s="69" t="str">
        <f>IF(AND(A1511="",B1511=""),"",IF(A1511="","Produit manquant",IF(COUNTIF(prod_ref,A1511)=0,"Produit inconnu",IF(B1511="","Matière manquante",IF(ISNA(MATCH(B1511,mat_ref,0)),"Matière inconnue",IF(INDEX(mat_check,MATCH(B1511,mat_ref,0))&lt;&gt;"OK","Matière à corriger",IF(OR(NOT(ISNUMBER(E1511)),N(E1511)&lt;=0),"Quantité invalide",IF(AND(F1511&lt;&gt;"",OR(NOT(ISNUMBER(F1511)),N(F1511)&lt;0,N(F1511)&gt;=1)),"Perte entre 0 et 99 %",IF(COUNTIFS(bom_prod,A1511,bom_mat,B1511)&gt;1,"Matière en double","OK")))))))))</f>
        <v/>
      </c>
      <c r="K1511" s="71" t="str">
        <f>IF(AND(fiche_sel&lt;&gt;"",A1511=fiche_sel),COUNTIF(A$6:A1511,fiche_sel),"")</f>
        <v/>
      </c>
    </row>
    <row r="1512">
      <c r="A1512" s="60" t="n"/>
      <c r="B1512" s="60" t="n"/>
      <c r="C1512" s="71" t="str">
        <f>IF(B1512="","",IFERROR(INDEX(mat_des,MATCH(B1512,mat_ref,0))&amp;"","Matière inconnue"))</f>
        <v/>
      </c>
      <c r="D1512" s="69" t="str">
        <f>IF(B1512="","",IFERROR(INDEX(mat_unit,MATCH(B1512,mat_ref,0))&amp;"",""))</f>
        <v/>
      </c>
      <c r="E1512" s="72" t="n"/>
      <c r="F1512" s="65" t="n"/>
      <c r="G1512" s="68" t="str">
        <f>IF(J1512&lt;&gt;"OK","",IF(F1512="",N(INDEX(mat_loss,MATCH(B1512,mat_ref,0))),F1512))</f>
        <v/>
      </c>
      <c r="H1512" s="66" t="str">
        <f>IF(J1512&lt;&gt;"OK","",INDEX(mat_price,MATCH(B1512,mat_ref,0)))</f>
        <v/>
      </c>
      <c r="I1512" s="66" t="str">
        <f>IF(J1512&lt;&gt;"OK","",E1512*(1+G1512)*H1512)</f>
        <v/>
      </c>
      <c r="J1512" s="69" t="str">
        <f>IF(AND(A1512="",B1512=""),"",IF(A1512="","Produit manquant",IF(COUNTIF(prod_ref,A1512)=0,"Produit inconnu",IF(B1512="","Matière manquante",IF(ISNA(MATCH(B1512,mat_ref,0)),"Matière inconnue",IF(INDEX(mat_check,MATCH(B1512,mat_ref,0))&lt;&gt;"OK","Matière à corriger",IF(OR(NOT(ISNUMBER(E1512)),N(E1512)&lt;=0),"Quantité invalide",IF(AND(F1512&lt;&gt;"",OR(NOT(ISNUMBER(F1512)),N(F1512)&lt;0,N(F1512)&gt;=1)),"Perte entre 0 et 99 %",IF(COUNTIFS(bom_prod,A1512,bom_mat,B1512)&gt;1,"Matière en double","OK")))))))))</f>
        <v/>
      </c>
      <c r="K1512" s="71" t="str">
        <f>IF(AND(fiche_sel&lt;&gt;"",A1512=fiche_sel),COUNTIF(A$6:A1512,fiche_sel),"")</f>
        <v/>
      </c>
    </row>
    <row r="1513">
      <c r="A1513" s="60" t="n"/>
      <c r="B1513" s="60" t="n"/>
      <c r="C1513" s="71" t="str">
        <f>IF(B1513="","",IFERROR(INDEX(mat_des,MATCH(B1513,mat_ref,0))&amp;"","Matière inconnue"))</f>
        <v/>
      </c>
      <c r="D1513" s="69" t="str">
        <f>IF(B1513="","",IFERROR(INDEX(mat_unit,MATCH(B1513,mat_ref,0))&amp;"",""))</f>
        <v/>
      </c>
      <c r="E1513" s="72" t="n"/>
      <c r="F1513" s="65" t="n"/>
      <c r="G1513" s="68" t="str">
        <f>IF(J1513&lt;&gt;"OK","",IF(F1513="",N(INDEX(mat_loss,MATCH(B1513,mat_ref,0))),F1513))</f>
        <v/>
      </c>
      <c r="H1513" s="66" t="str">
        <f>IF(J1513&lt;&gt;"OK","",INDEX(mat_price,MATCH(B1513,mat_ref,0)))</f>
        <v/>
      </c>
      <c r="I1513" s="66" t="str">
        <f>IF(J1513&lt;&gt;"OK","",E1513*(1+G1513)*H1513)</f>
        <v/>
      </c>
      <c r="J1513" s="69" t="str">
        <f>IF(AND(A1513="",B1513=""),"",IF(A1513="","Produit manquant",IF(COUNTIF(prod_ref,A1513)=0,"Produit inconnu",IF(B1513="","Matière manquante",IF(ISNA(MATCH(B1513,mat_ref,0)),"Matière inconnue",IF(INDEX(mat_check,MATCH(B1513,mat_ref,0))&lt;&gt;"OK","Matière à corriger",IF(OR(NOT(ISNUMBER(E1513)),N(E1513)&lt;=0),"Quantité invalide",IF(AND(F1513&lt;&gt;"",OR(NOT(ISNUMBER(F1513)),N(F1513)&lt;0,N(F1513)&gt;=1)),"Perte entre 0 et 99 %",IF(COUNTIFS(bom_prod,A1513,bom_mat,B1513)&gt;1,"Matière en double","OK")))))))))</f>
        <v/>
      </c>
      <c r="K1513" s="71" t="str">
        <f>IF(AND(fiche_sel&lt;&gt;"",A1513=fiche_sel),COUNTIF(A$6:A1513,fiche_sel),"")</f>
        <v/>
      </c>
    </row>
    <row r="1514">
      <c r="A1514" s="60" t="n"/>
      <c r="B1514" s="60" t="n"/>
      <c r="C1514" s="71" t="str">
        <f>IF(B1514="","",IFERROR(INDEX(mat_des,MATCH(B1514,mat_ref,0))&amp;"","Matière inconnue"))</f>
        <v/>
      </c>
      <c r="D1514" s="69" t="str">
        <f>IF(B1514="","",IFERROR(INDEX(mat_unit,MATCH(B1514,mat_ref,0))&amp;"",""))</f>
        <v/>
      </c>
      <c r="E1514" s="72" t="n"/>
      <c r="F1514" s="65" t="n"/>
      <c r="G1514" s="68" t="str">
        <f>IF(J1514&lt;&gt;"OK","",IF(F1514="",N(INDEX(mat_loss,MATCH(B1514,mat_ref,0))),F1514))</f>
        <v/>
      </c>
      <c r="H1514" s="66" t="str">
        <f>IF(J1514&lt;&gt;"OK","",INDEX(mat_price,MATCH(B1514,mat_ref,0)))</f>
        <v/>
      </c>
      <c r="I1514" s="66" t="str">
        <f>IF(J1514&lt;&gt;"OK","",E1514*(1+G1514)*H1514)</f>
        <v/>
      </c>
      <c r="J1514" s="69" t="str">
        <f>IF(AND(A1514="",B1514=""),"",IF(A1514="","Produit manquant",IF(COUNTIF(prod_ref,A1514)=0,"Produit inconnu",IF(B1514="","Matière manquante",IF(ISNA(MATCH(B1514,mat_ref,0)),"Matière inconnue",IF(INDEX(mat_check,MATCH(B1514,mat_ref,0))&lt;&gt;"OK","Matière à corriger",IF(OR(NOT(ISNUMBER(E1514)),N(E1514)&lt;=0),"Quantité invalide",IF(AND(F1514&lt;&gt;"",OR(NOT(ISNUMBER(F1514)),N(F1514)&lt;0,N(F1514)&gt;=1)),"Perte entre 0 et 99 %",IF(COUNTIFS(bom_prod,A1514,bom_mat,B1514)&gt;1,"Matière en double","OK")))))))))</f>
        <v/>
      </c>
      <c r="K1514" s="71" t="str">
        <f>IF(AND(fiche_sel&lt;&gt;"",A1514=fiche_sel),COUNTIF(A$6:A1514,fiche_sel),"")</f>
        <v/>
      </c>
    </row>
    <row r="1515">
      <c r="A1515" s="60" t="n"/>
      <c r="B1515" s="60" t="n"/>
      <c r="C1515" s="71" t="str">
        <f>IF(B1515="","",IFERROR(INDEX(mat_des,MATCH(B1515,mat_ref,0))&amp;"","Matière inconnue"))</f>
        <v/>
      </c>
      <c r="D1515" s="69" t="str">
        <f>IF(B1515="","",IFERROR(INDEX(mat_unit,MATCH(B1515,mat_ref,0))&amp;"",""))</f>
        <v/>
      </c>
      <c r="E1515" s="72" t="n"/>
      <c r="F1515" s="65" t="n"/>
      <c r="G1515" s="68" t="str">
        <f>IF(J1515&lt;&gt;"OK","",IF(F1515="",N(INDEX(mat_loss,MATCH(B1515,mat_ref,0))),F1515))</f>
        <v/>
      </c>
      <c r="H1515" s="66" t="str">
        <f>IF(J1515&lt;&gt;"OK","",INDEX(mat_price,MATCH(B1515,mat_ref,0)))</f>
        <v/>
      </c>
      <c r="I1515" s="66" t="str">
        <f>IF(J1515&lt;&gt;"OK","",E1515*(1+G1515)*H1515)</f>
        <v/>
      </c>
      <c r="J1515" s="69" t="str">
        <f>IF(AND(A1515="",B1515=""),"",IF(A1515="","Produit manquant",IF(COUNTIF(prod_ref,A1515)=0,"Produit inconnu",IF(B1515="","Matière manquante",IF(ISNA(MATCH(B1515,mat_ref,0)),"Matière inconnue",IF(INDEX(mat_check,MATCH(B1515,mat_ref,0))&lt;&gt;"OK","Matière à corriger",IF(OR(NOT(ISNUMBER(E1515)),N(E1515)&lt;=0),"Quantité invalide",IF(AND(F1515&lt;&gt;"",OR(NOT(ISNUMBER(F1515)),N(F1515)&lt;0,N(F1515)&gt;=1)),"Perte entre 0 et 99 %",IF(COUNTIFS(bom_prod,A1515,bom_mat,B1515)&gt;1,"Matière en double","OK")))))))))</f>
        <v/>
      </c>
      <c r="K1515" s="71" t="str">
        <f>IF(AND(fiche_sel&lt;&gt;"",A1515=fiche_sel),COUNTIF(A$6:A1515,fiche_sel),"")</f>
        <v/>
      </c>
    </row>
    <row r="1516">
      <c r="A1516" s="60" t="n"/>
      <c r="B1516" s="60" t="n"/>
      <c r="C1516" s="71" t="str">
        <f>IF(B1516="","",IFERROR(INDEX(mat_des,MATCH(B1516,mat_ref,0))&amp;"","Matière inconnue"))</f>
        <v/>
      </c>
      <c r="D1516" s="69" t="str">
        <f>IF(B1516="","",IFERROR(INDEX(mat_unit,MATCH(B1516,mat_ref,0))&amp;"",""))</f>
        <v/>
      </c>
      <c r="E1516" s="72" t="n"/>
      <c r="F1516" s="65" t="n"/>
      <c r="G1516" s="68" t="str">
        <f>IF(J1516&lt;&gt;"OK","",IF(F1516="",N(INDEX(mat_loss,MATCH(B1516,mat_ref,0))),F1516))</f>
        <v/>
      </c>
      <c r="H1516" s="66" t="str">
        <f>IF(J1516&lt;&gt;"OK","",INDEX(mat_price,MATCH(B1516,mat_ref,0)))</f>
        <v/>
      </c>
      <c r="I1516" s="66" t="str">
        <f>IF(J1516&lt;&gt;"OK","",E1516*(1+G1516)*H1516)</f>
        <v/>
      </c>
      <c r="J1516" s="69" t="str">
        <f>IF(AND(A1516="",B1516=""),"",IF(A1516="","Produit manquant",IF(COUNTIF(prod_ref,A1516)=0,"Produit inconnu",IF(B1516="","Matière manquante",IF(ISNA(MATCH(B1516,mat_ref,0)),"Matière inconnue",IF(INDEX(mat_check,MATCH(B1516,mat_ref,0))&lt;&gt;"OK","Matière à corriger",IF(OR(NOT(ISNUMBER(E1516)),N(E1516)&lt;=0),"Quantité invalide",IF(AND(F1516&lt;&gt;"",OR(NOT(ISNUMBER(F1516)),N(F1516)&lt;0,N(F1516)&gt;=1)),"Perte entre 0 et 99 %",IF(COUNTIFS(bom_prod,A1516,bom_mat,B1516)&gt;1,"Matière en double","OK")))))))))</f>
        <v/>
      </c>
      <c r="K1516" s="71" t="str">
        <f>IF(AND(fiche_sel&lt;&gt;"",A1516=fiche_sel),COUNTIF(A$6:A1516,fiche_sel),"")</f>
        <v/>
      </c>
    </row>
    <row r="1517">
      <c r="A1517" s="60" t="n"/>
      <c r="B1517" s="60" t="n"/>
      <c r="C1517" s="71" t="str">
        <f>IF(B1517="","",IFERROR(INDEX(mat_des,MATCH(B1517,mat_ref,0))&amp;"","Matière inconnue"))</f>
        <v/>
      </c>
      <c r="D1517" s="69" t="str">
        <f>IF(B1517="","",IFERROR(INDEX(mat_unit,MATCH(B1517,mat_ref,0))&amp;"",""))</f>
        <v/>
      </c>
      <c r="E1517" s="72" t="n"/>
      <c r="F1517" s="65" t="n"/>
      <c r="G1517" s="68" t="str">
        <f>IF(J1517&lt;&gt;"OK","",IF(F1517="",N(INDEX(mat_loss,MATCH(B1517,mat_ref,0))),F1517))</f>
        <v/>
      </c>
      <c r="H1517" s="66" t="str">
        <f>IF(J1517&lt;&gt;"OK","",INDEX(mat_price,MATCH(B1517,mat_ref,0)))</f>
        <v/>
      </c>
      <c r="I1517" s="66" t="str">
        <f>IF(J1517&lt;&gt;"OK","",E1517*(1+G1517)*H1517)</f>
        <v/>
      </c>
      <c r="J1517" s="69" t="str">
        <f>IF(AND(A1517="",B1517=""),"",IF(A1517="","Produit manquant",IF(COUNTIF(prod_ref,A1517)=0,"Produit inconnu",IF(B1517="","Matière manquante",IF(ISNA(MATCH(B1517,mat_ref,0)),"Matière inconnue",IF(INDEX(mat_check,MATCH(B1517,mat_ref,0))&lt;&gt;"OK","Matière à corriger",IF(OR(NOT(ISNUMBER(E1517)),N(E1517)&lt;=0),"Quantité invalide",IF(AND(F1517&lt;&gt;"",OR(NOT(ISNUMBER(F1517)),N(F1517)&lt;0,N(F1517)&gt;=1)),"Perte entre 0 et 99 %",IF(COUNTIFS(bom_prod,A1517,bom_mat,B1517)&gt;1,"Matière en double","OK")))))))))</f>
        <v/>
      </c>
      <c r="K1517" s="71" t="str">
        <f>IF(AND(fiche_sel&lt;&gt;"",A1517=fiche_sel),COUNTIF(A$6:A1517,fiche_sel),"")</f>
        <v/>
      </c>
    </row>
    <row r="1518">
      <c r="A1518" s="60" t="n"/>
      <c r="B1518" s="60" t="n"/>
      <c r="C1518" s="71" t="str">
        <f>IF(B1518="","",IFERROR(INDEX(mat_des,MATCH(B1518,mat_ref,0))&amp;"","Matière inconnue"))</f>
        <v/>
      </c>
      <c r="D1518" s="69" t="str">
        <f>IF(B1518="","",IFERROR(INDEX(mat_unit,MATCH(B1518,mat_ref,0))&amp;"",""))</f>
        <v/>
      </c>
      <c r="E1518" s="72" t="n"/>
      <c r="F1518" s="65" t="n"/>
      <c r="G1518" s="68" t="str">
        <f>IF(J1518&lt;&gt;"OK","",IF(F1518="",N(INDEX(mat_loss,MATCH(B1518,mat_ref,0))),F1518))</f>
        <v/>
      </c>
      <c r="H1518" s="66" t="str">
        <f>IF(J1518&lt;&gt;"OK","",INDEX(mat_price,MATCH(B1518,mat_ref,0)))</f>
        <v/>
      </c>
      <c r="I1518" s="66" t="str">
        <f>IF(J1518&lt;&gt;"OK","",E1518*(1+G1518)*H1518)</f>
        <v/>
      </c>
      <c r="J1518" s="69" t="str">
        <f>IF(AND(A1518="",B1518=""),"",IF(A1518="","Produit manquant",IF(COUNTIF(prod_ref,A1518)=0,"Produit inconnu",IF(B1518="","Matière manquante",IF(ISNA(MATCH(B1518,mat_ref,0)),"Matière inconnue",IF(INDEX(mat_check,MATCH(B1518,mat_ref,0))&lt;&gt;"OK","Matière à corriger",IF(OR(NOT(ISNUMBER(E1518)),N(E1518)&lt;=0),"Quantité invalide",IF(AND(F1518&lt;&gt;"",OR(NOT(ISNUMBER(F1518)),N(F1518)&lt;0,N(F1518)&gt;=1)),"Perte entre 0 et 99 %",IF(COUNTIFS(bom_prod,A1518,bom_mat,B1518)&gt;1,"Matière en double","OK")))))))))</f>
        <v/>
      </c>
      <c r="K1518" s="71" t="str">
        <f>IF(AND(fiche_sel&lt;&gt;"",A1518=fiche_sel),COUNTIF(A$6:A1518,fiche_sel),"")</f>
        <v/>
      </c>
    </row>
    <row r="1519">
      <c r="A1519" s="60" t="n"/>
      <c r="B1519" s="60" t="n"/>
      <c r="C1519" s="71" t="str">
        <f>IF(B1519="","",IFERROR(INDEX(mat_des,MATCH(B1519,mat_ref,0))&amp;"","Matière inconnue"))</f>
        <v/>
      </c>
      <c r="D1519" s="69" t="str">
        <f>IF(B1519="","",IFERROR(INDEX(mat_unit,MATCH(B1519,mat_ref,0))&amp;"",""))</f>
        <v/>
      </c>
      <c r="E1519" s="72" t="n"/>
      <c r="F1519" s="65" t="n"/>
      <c r="G1519" s="68" t="str">
        <f>IF(J1519&lt;&gt;"OK","",IF(F1519="",N(INDEX(mat_loss,MATCH(B1519,mat_ref,0))),F1519))</f>
        <v/>
      </c>
      <c r="H1519" s="66" t="str">
        <f>IF(J1519&lt;&gt;"OK","",INDEX(mat_price,MATCH(B1519,mat_ref,0)))</f>
        <v/>
      </c>
      <c r="I1519" s="66" t="str">
        <f>IF(J1519&lt;&gt;"OK","",E1519*(1+G1519)*H1519)</f>
        <v/>
      </c>
      <c r="J1519" s="69" t="str">
        <f>IF(AND(A1519="",B1519=""),"",IF(A1519="","Produit manquant",IF(COUNTIF(prod_ref,A1519)=0,"Produit inconnu",IF(B1519="","Matière manquante",IF(ISNA(MATCH(B1519,mat_ref,0)),"Matière inconnue",IF(INDEX(mat_check,MATCH(B1519,mat_ref,0))&lt;&gt;"OK","Matière à corriger",IF(OR(NOT(ISNUMBER(E1519)),N(E1519)&lt;=0),"Quantité invalide",IF(AND(F1519&lt;&gt;"",OR(NOT(ISNUMBER(F1519)),N(F1519)&lt;0,N(F1519)&gt;=1)),"Perte entre 0 et 99 %",IF(COUNTIFS(bom_prod,A1519,bom_mat,B1519)&gt;1,"Matière en double","OK")))))))))</f>
        <v/>
      </c>
      <c r="K1519" s="71" t="str">
        <f>IF(AND(fiche_sel&lt;&gt;"",A1519=fiche_sel),COUNTIF(A$6:A1519,fiche_sel),"")</f>
        <v/>
      </c>
    </row>
    <row r="1520">
      <c r="A1520" s="60" t="n"/>
      <c r="B1520" s="60" t="n"/>
      <c r="C1520" s="71" t="str">
        <f>IF(B1520="","",IFERROR(INDEX(mat_des,MATCH(B1520,mat_ref,0))&amp;"","Matière inconnue"))</f>
        <v/>
      </c>
      <c r="D1520" s="69" t="str">
        <f>IF(B1520="","",IFERROR(INDEX(mat_unit,MATCH(B1520,mat_ref,0))&amp;"",""))</f>
        <v/>
      </c>
      <c r="E1520" s="72" t="n"/>
      <c r="F1520" s="65" t="n"/>
      <c r="G1520" s="68" t="str">
        <f>IF(J1520&lt;&gt;"OK","",IF(F1520="",N(INDEX(mat_loss,MATCH(B1520,mat_ref,0))),F1520))</f>
        <v/>
      </c>
      <c r="H1520" s="66" t="str">
        <f>IF(J1520&lt;&gt;"OK","",INDEX(mat_price,MATCH(B1520,mat_ref,0)))</f>
        <v/>
      </c>
      <c r="I1520" s="66" t="str">
        <f>IF(J1520&lt;&gt;"OK","",E1520*(1+G1520)*H1520)</f>
        <v/>
      </c>
      <c r="J1520" s="69" t="str">
        <f>IF(AND(A1520="",B1520=""),"",IF(A1520="","Produit manquant",IF(COUNTIF(prod_ref,A1520)=0,"Produit inconnu",IF(B1520="","Matière manquante",IF(ISNA(MATCH(B1520,mat_ref,0)),"Matière inconnue",IF(INDEX(mat_check,MATCH(B1520,mat_ref,0))&lt;&gt;"OK","Matière à corriger",IF(OR(NOT(ISNUMBER(E1520)),N(E1520)&lt;=0),"Quantité invalide",IF(AND(F1520&lt;&gt;"",OR(NOT(ISNUMBER(F1520)),N(F1520)&lt;0,N(F1520)&gt;=1)),"Perte entre 0 et 99 %",IF(COUNTIFS(bom_prod,A1520,bom_mat,B1520)&gt;1,"Matière en double","OK")))))))))</f>
        <v/>
      </c>
      <c r="K1520" s="71" t="str">
        <f>IF(AND(fiche_sel&lt;&gt;"",A1520=fiche_sel),COUNTIF(A$6:A1520,fiche_sel),"")</f>
        <v/>
      </c>
    </row>
    <row r="1521">
      <c r="A1521" s="60" t="n"/>
      <c r="B1521" s="60" t="n"/>
      <c r="C1521" s="71" t="str">
        <f>IF(B1521="","",IFERROR(INDEX(mat_des,MATCH(B1521,mat_ref,0))&amp;"","Matière inconnue"))</f>
        <v/>
      </c>
      <c r="D1521" s="69" t="str">
        <f>IF(B1521="","",IFERROR(INDEX(mat_unit,MATCH(B1521,mat_ref,0))&amp;"",""))</f>
        <v/>
      </c>
      <c r="E1521" s="72" t="n"/>
      <c r="F1521" s="65" t="n"/>
      <c r="G1521" s="68" t="str">
        <f>IF(J1521&lt;&gt;"OK","",IF(F1521="",N(INDEX(mat_loss,MATCH(B1521,mat_ref,0))),F1521))</f>
        <v/>
      </c>
      <c r="H1521" s="66" t="str">
        <f>IF(J1521&lt;&gt;"OK","",INDEX(mat_price,MATCH(B1521,mat_ref,0)))</f>
        <v/>
      </c>
      <c r="I1521" s="66" t="str">
        <f>IF(J1521&lt;&gt;"OK","",E1521*(1+G1521)*H1521)</f>
        <v/>
      </c>
      <c r="J1521" s="69" t="str">
        <f>IF(AND(A1521="",B1521=""),"",IF(A1521="","Produit manquant",IF(COUNTIF(prod_ref,A1521)=0,"Produit inconnu",IF(B1521="","Matière manquante",IF(ISNA(MATCH(B1521,mat_ref,0)),"Matière inconnue",IF(INDEX(mat_check,MATCH(B1521,mat_ref,0))&lt;&gt;"OK","Matière à corriger",IF(OR(NOT(ISNUMBER(E1521)),N(E1521)&lt;=0),"Quantité invalide",IF(AND(F1521&lt;&gt;"",OR(NOT(ISNUMBER(F1521)),N(F1521)&lt;0,N(F1521)&gt;=1)),"Perte entre 0 et 99 %",IF(COUNTIFS(bom_prod,A1521,bom_mat,B1521)&gt;1,"Matière en double","OK")))))))))</f>
        <v/>
      </c>
      <c r="K1521" s="71" t="str">
        <f>IF(AND(fiche_sel&lt;&gt;"",A1521=fiche_sel),COUNTIF(A$6:A1521,fiche_sel),"")</f>
        <v/>
      </c>
    </row>
    <row r="1522">
      <c r="A1522" s="60" t="n"/>
      <c r="B1522" s="60" t="n"/>
      <c r="C1522" s="71" t="str">
        <f>IF(B1522="","",IFERROR(INDEX(mat_des,MATCH(B1522,mat_ref,0))&amp;"","Matière inconnue"))</f>
        <v/>
      </c>
      <c r="D1522" s="69" t="str">
        <f>IF(B1522="","",IFERROR(INDEX(mat_unit,MATCH(B1522,mat_ref,0))&amp;"",""))</f>
        <v/>
      </c>
      <c r="E1522" s="72" t="n"/>
      <c r="F1522" s="65" t="n"/>
      <c r="G1522" s="68" t="str">
        <f>IF(J1522&lt;&gt;"OK","",IF(F1522="",N(INDEX(mat_loss,MATCH(B1522,mat_ref,0))),F1522))</f>
        <v/>
      </c>
      <c r="H1522" s="66" t="str">
        <f>IF(J1522&lt;&gt;"OK","",INDEX(mat_price,MATCH(B1522,mat_ref,0)))</f>
        <v/>
      </c>
      <c r="I1522" s="66" t="str">
        <f>IF(J1522&lt;&gt;"OK","",E1522*(1+G1522)*H1522)</f>
        <v/>
      </c>
      <c r="J1522" s="69" t="str">
        <f>IF(AND(A1522="",B1522=""),"",IF(A1522="","Produit manquant",IF(COUNTIF(prod_ref,A1522)=0,"Produit inconnu",IF(B1522="","Matière manquante",IF(ISNA(MATCH(B1522,mat_ref,0)),"Matière inconnue",IF(INDEX(mat_check,MATCH(B1522,mat_ref,0))&lt;&gt;"OK","Matière à corriger",IF(OR(NOT(ISNUMBER(E1522)),N(E1522)&lt;=0),"Quantité invalide",IF(AND(F1522&lt;&gt;"",OR(NOT(ISNUMBER(F1522)),N(F1522)&lt;0,N(F1522)&gt;=1)),"Perte entre 0 et 99 %",IF(COUNTIFS(bom_prod,A1522,bom_mat,B1522)&gt;1,"Matière en double","OK")))))))))</f>
        <v/>
      </c>
      <c r="K1522" s="71" t="str">
        <f>IF(AND(fiche_sel&lt;&gt;"",A1522=fiche_sel),COUNTIF(A$6:A1522,fiche_sel),"")</f>
        <v/>
      </c>
    </row>
    <row r="1523">
      <c r="A1523" s="60" t="n"/>
      <c r="B1523" s="60" t="n"/>
      <c r="C1523" s="71" t="str">
        <f>IF(B1523="","",IFERROR(INDEX(mat_des,MATCH(B1523,mat_ref,0))&amp;"","Matière inconnue"))</f>
        <v/>
      </c>
      <c r="D1523" s="69" t="str">
        <f>IF(B1523="","",IFERROR(INDEX(mat_unit,MATCH(B1523,mat_ref,0))&amp;"",""))</f>
        <v/>
      </c>
      <c r="E1523" s="72" t="n"/>
      <c r="F1523" s="65" t="n"/>
      <c r="G1523" s="68" t="str">
        <f>IF(J1523&lt;&gt;"OK","",IF(F1523="",N(INDEX(mat_loss,MATCH(B1523,mat_ref,0))),F1523))</f>
        <v/>
      </c>
      <c r="H1523" s="66" t="str">
        <f>IF(J1523&lt;&gt;"OK","",INDEX(mat_price,MATCH(B1523,mat_ref,0)))</f>
        <v/>
      </c>
      <c r="I1523" s="66" t="str">
        <f>IF(J1523&lt;&gt;"OK","",E1523*(1+G1523)*H1523)</f>
        <v/>
      </c>
      <c r="J1523" s="69" t="str">
        <f>IF(AND(A1523="",B1523=""),"",IF(A1523="","Produit manquant",IF(COUNTIF(prod_ref,A1523)=0,"Produit inconnu",IF(B1523="","Matière manquante",IF(ISNA(MATCH(B1523,mat_ref,0)),"Matière inconnue",IF(INDEX(mat_check,MATCH(B1523,mat_ref,0))&lt;&gt;"OK","Matière à corriger",IF(OR(NOT(ISNUMBER(E1523)),N(E1523)&lt;=0),"Quantité invalide",IF(AND(F1523&lt;&gt;"",OR(NOT(ISNUMBER(F1523)),N(F1523)&lt;0,N(F1523)&gt;=1)),"Perte entre 0 et 99 %",IF(COUNTIFS(bom_prod,A1523,bom_mat,B1523)&gt;1,"Matière en double","OK")))))))))</f>
        <v/>
      </c>
      <c r="K1523" s="71" t="str">
        <f>IF(AND(fiche_sel&lt;&gt;"",A1523=fiche_sel),COUNTIF(A$6:A1523,fiche_sel),"")</f>
        <v/>
      </c>
    </row>
    <row r="1524">
      <c r="A1524" s="60" t="n"/>
      <c r="B1524" s="60" t="n"/>
      <c r="C1524" s="71" t="str">
        <f>IF(B1524="","",IFERROR(INDEX(mat_des,MATCH(B1524,mat_ref,0))&amp;"","Matière inconnue"))</f>
        <v/>
      </c>
      <c r="D1524" s="69" t="str">
        <f>IF(B1524="","",IFERROR(INDEX(mat_unit,MATCH(B1524,mat_ref,0))&amp;"",""))</f>
        <v/>
      </c>
      <c r="E1524" s="72" t="n"/>
      <c r="F1524" s="65" t="n"/>
      <c r="G1524" s="68" t="str">
        <f>IF(J1524&lt;&gt;"OK","",IF(F1524="",N(INDEX(mat_loss,MATCH(B1524,mat_ref,0))),F1524))</f>
        <v/>
      </c>
      <c r="H1524" s="66" t="str">
        <f>IF(J1524&lt;&gt;"OK","",INDEX(mat_price,MATCH(B1524,mat_ref,0)))</f>
        <v/>
      </c>
      <c r="I1524" s="66" t="str">
        <f>IF(J1524&lt;&gt;"OK","",E1524*(1+G1524)*H1524)</f>
        <v/>
      </c>
      <c r="J1524" s="69" t="str">
        <f>IF(AND(A1524="",B1524=""),"",IF(A1524="","Produit manquant",IF(COUNTIF(prod_ref,A1524)=0,"Produit inconnu",IF(B1524="","Matière manquante",IF(ISNA(MATCH(B1524,mat_ref,0)),"Matière inconnue",IF(INDEX(mat_check,MATCH(B1524,mat_ref,0))&lt;&gt;"OK","Matière à corriger",IF(OR(NOT(ISNUMBER(E1524)),N(E1524)&lt;=0),"Quantité invalide",IF(AND(F1524&lt;&gt;"",OR(NOT(ISNUMBER(F1524)),N(F1524)&lt;0,N(F1524)&gt;=1)),"Perte entre 0 et 99 %",IF(COUNTIFS(bom_prod,A1524,bom_mat,B1524)&gt;1,"Matière en double","OK")))))))))</f>
        <v/>
      </c>
      <c r="K1524" s="71" t="str">
        <f>IF(AND(fiche_sel&lt;&gt;"",A1524=fiche_sel),COUNTIF(A$6:A1524,fiche_sel),"")</f>
        <v/>
      </c>
    </row>
    <row r="1525">
      <c r="A1525" s="60" t="n"/>
      <c r="B1525" s="60" t="n"/>
      <c r="C1525" s="71" t="str">
        <f>IF(B1525="","",IFERROR(INDEX(mat_des,MATCH(B1525,mat_ref,0))&amp;"","Matière inconnue"))</f>
        <v/>
      </c>
      <c r="D1525" s="69" t="str">
        <f>IF(B1525="","",IFERROR(INDEX(mat_unit,MATCH(B1525,mat_ref,0))&amp;"",""))</f>
        <v/>
      </c>
      <c r="E1525" s="72" t="n"/>
      <c r="F1525" s="65" t="n"/>
      <c r="G1525" s="68" t="str">
        <f>IF(J1525&lt;&gt;"OK","",IF(F1525="",N(INDEX(mat_loss,MATCH(B1525,mat_ref,0))),F1525))</f>
        <v/>
      </c>
      <c r="H1525" s="66" t="str">
        <f>IF(J1525&lt;&gt;"OK","",INDEX(mat_price,MATCH(B1525,mat_ref,0)))</f>
        <v/>
      </c>
      <c r="I1525" s="66" t="str">
        <f>IF(J1525&lt;&gt;"OK","",E1525*(1+G1525)*H1525)</f>
        <v/>
      </c>
      <c r="J1525" s="69" t="str">
        <f>IF(AND(A1525="",B1525=""),"",IF(A1525="","Produit manquant",IF(COUNTIF(prod_ref,A1525)=0,"Produit inconnu",IF(B1525="","Matière manquante",IF(ISNA(MATCH(B1525,mat_ref,0)),"Matière inconnue",IF(INDEX(mat_check,MATCH(B1525,mat_ref,0))&lt;&gt;"OK","Matière à corriger",IF(OR(NOT(ISNUMBER(E1525)),N(E1525)&lt;=0),"Quantité invalide",IF(AND(F1525&lt;&gt;"",OR(NOT(ISNUMBER(F1525)),N(F1525)&lt;0,N(F1525)&gt;=1)),"Perte entre 0 et 99 %",IF(COUNTIFS(bom_prod,A1525,bom_mat,B1525)&gt;1,"Matière en double","OK")))))))))</f>
        <v/>
      </c>
      <c r="K1525" s="71" t="str">
        <f>IF(AND(fiche_sel&lt;&gt;"",A1525=fiche_sel),COUNTIF(A$6:A1525,fiche_sel),"")</f>
        <v/>
      </c>
    </row>
    <row r="1526">
      <c r="A1526" s="60" t="n"/>
      <c r="B1526" s="60" t="n"/>
      <c r="C1526" s="71" t="str">
        <f>IF(B1526="","",IFERROR(INDEX(mat_des,MATCH(B1526,mat_ref,0))&amp;"","Matière inconnue"))</f>
        <v/>
      </c>
      <c r="D1526" s="69" t="str">
        <f>IF(B1526="","",IFERROR(INDEX(mat_unit,MATCH(B1526,mat_ref,0))&amp;"",""))</f>
        <v/>
      </c>
      <c r="E1526" s="72" t="n"/>
      <c r="F1526" s="65" t="n"/>
      <c r="G1526" s="68" t="str">
        <f>IF(J1526&lt;&gt;"OK","",IF(F1526="",N(INDEX(mat_loss,MATCH(B1526,mat_ref,0))),F1526))</f>
        <v/>
      </c>
      <c r="H1526" s="66" t="str">
        <f>IF(J1526&lt;&gt;"OK","",INDEX(mat_price,MATCH(B1526,mat_ref,0)))</f>
        <v/>
      </c>
      <c r="I1526" s="66" t="str">
        <f>IF(J1526&lt;&gt;"OK","",E1526*(1+G1526)*H1526)</f>
        <v/>
      </c>
      <c r="J1526" s="69" t="str">
        <f>IF(AND(A1526="",B1526=""),"",IF(A1526="","Produit manquant",IF(COUNTIF(prod_ref,A1526)=0,"Produit inconnu",IF(B1526="","Matière manquante",IF(ISNA(MATCH(B1526,mat_ref,0)),"Matière inconnue",IF(INDEX(mat_check,MATCH(B1526,mat_ref,0))&lt;&gt;"OK","Matière à corriger",IF(OR(NOT(ISNUMBER(E1526)),N(E1526)&lt;=0),"Quantité invalide",IF(AND(F1526&lt;&gt;"",OR(NOT(ISNUMBER(F1526)),N(F1526)&lt;0,N(F1526)&gt;=1)),"Perte entre 0 et 99 %",IF(COUNTIFS(bom_prod,A1526,bom_mat,B1526)&gt;1,"Matière en double","OK")))))))))</f>
        <v/>
      </c>
      <c r="K1526" s="71" t="str">
        <f>IF(AND(fiche_sel&lt;&gt;"",A1526=fiche_sel),COUNTIF(A$6:A1526,fiche_sel),"")</f>
        <v/>
      </c>
    </row>
    <row r="1527">
      <c r="A1527" s="60" t="n"/>
      <c r="B1527" s="60" t="n"/>
      <c r="C1527" s="71" t="str">
        <f>IF(B1527="","",IFERROR(INDEX(mat_des,MATCH(B1527,mat_ref,0))&amp;"","Matière inconnue"))</f>
        <v/>
      </c>
      <c r="D1527" s="69" t="str">
        <f>IF(B1527="","",IFERROR(INDEX(mat_unit,MATCH(B1527,mat_ref,0))&amp;"",""))</f>
        <v/>
      </c>
      <c r="E1527" s="72" t="n"/>
      <c r="F1527" s="65" t="n"/>
      <c r="G1527" s="68" t="str">
        <f>IF(J1527&lt;&gt;"OK","",IF(F1527="",N(INDEX(mat_loss,MATCH(B1527,mat_ref,0))),F1527))</f>
        <v/>
      </c>
      <c r="H1527" s="66" t="str">
        <f>IF(J1527&lt;&gt;"OK","",INDEX(mat_price,MATCH(B1527,mat_ref,0)))</f>
        <v/>
      </c>
      <c r="I1527" s="66" t="str">
        <f>IF(J1527&lt;&gt;"OK","",E1527*(1+G1527)*H1527)</f>
        <v/>
      </c>
      <c r="J1527" s="69" t="str">
        <f>IF(AND(A1527="",B1527=""),"",IF(A1527="","Produit manquant",IF(COUNTIF(prod_ref,A1527)=0,"Produit inconnu",IF(B1527="","Matière manquante",IF(ISNA(MATCH(B1527,mat_ref,0)),"Matière inconnue",IF(INDEX(mat_check,MATCH(B1527,mat_ref,0))&lt;&gt;"OK","Matière à corriger",IF(OR(NOT(ISNUMBER(E1527)),N(E1527)&lt;=0),"Quantité invalide",IF(AND(F1527&lt;&gt;"",OR(NOT(ISNUMBER(F1527)),N(F1527)&lt;0,N(F1527)&gt;=1)),"Perte entre 0 et 99 %",IF(COUNTIFS(bom_prod,A1527,bom_mat,B1527)&gt;1,"Matière en double","OK")))))))))</f>
        <v/>
      </c>
      <c r="K1527" s="71" t="str">
        <f>IF(AND(fiche_sel&lt;&gt;"",A1527=fiche_sel),COUNTIF(A$6:A1527,fiche_sel),"")</f>
        <v/>
      </c>
    </row>
    <row r="1528">
      <c r="A1528" s="60" t="n"/>
      <c r="B1528" s="60" t="n"/>
      <c r="C1528" s="71" t="str">
        <f>IF(B1528="","",IFERROR(INDEX(mat_des,MATCH(B1528,mat_ref,0))&amp;"","Matière inconnue"))</f>
        <v/>
      </c>
      <c r="D1528" s="69" t="str">
        <f>IF(B1528="","",IFERROR(INDEX(mat_unit,MATCH(B1528,mat_ref,0))&amp;"",""))</f>
        <v/>
      </c>
      <c r="E1528" s="72" t="n"/>
      <c r="F1528" s="65" t="n"/>
      <c r="G1528" s="68" t="str">
        <f>IF(J1528&lt;&gt;"OK","",IF(F1528="",N(INDEX(mat_loss,MATCH(B1528,mat_ref,0))),F1528))</f>
        <v/>
      </c>
      <c r="H1528" s="66" t="str">
        <f>IF(J1528&lt;&gt;"OK","",INDEX(mat_price,MATCH(B1528,mat_ref,0)))</f>
        <v/>
      </c>
      <c r="I1528" s="66" t="str">
        <f>IF(J1528&lt;&gt;"OK","",E1528*(1+G1528)*H1528)</f>
        <v/>
      </c>
      <c r="J1528" s="69" t="str">
        <f>IF(AND(A1528="",B1528=""),"",IF(A1528="","Produit manquant",IF(COUNTIF(prod_ref,A1528)=0,"Produit inconnu",IF(B1528="","Matière manquante",IF(ISNA(MATCH(B1528,mat_ref,0)),"Matière inconnue",IF(INDEX(mat_check,MATCH(B1528,mat_ref,0))&lt;&gt;"OK","Matière à corriger",IF(OR(NOT(ISNUMBER(E1528)),N(E1528)&lt;=0),"Quantité invalide",IF(AND(F1528&lt;&gt;"",OR(NOT(ISNUMBER(F1528)),N(F1528)&lt;0,N(F1528)&gt;=1)),"Perte entre 0 et 99 %",IF(COUNTIFS(bom_prod,A1528,bom_mat,B1528)&gt;1,"Matière en double","OK")))))))))</f>
        <v/>
      </c>
      <c r="K1528" s="71" t="str">
        <f>IF(AND(fiche_sel&lt;&gt;"",A1528=fiche_sel),COUNTIF(A$6:A1528,fiche_sel),"")</f>
        <v/>
      </c>
    </row>
    <row r="1529">
      <c r="A1529" s="60" t="n"/>
      <c r="B1529" s="60" t="n"/>
      <c r="C1529" s="71" t="str">
        <f>IF(B1529="","",IFERROR(INDEX(mat_des,MATCH(B1529,mat_ref,0))&amp;"","Matière inconnue"))</f>
        <v/>
      </c>
      <c r="D1529" s="69" t="str">
        <f>IF(B1529="","",IFERROR(INDEX(mat_unit,MATCH(B1529,mat_ref,0))&amp;"",""))</f>
        <v/>
      </c>
      <c r="E1529" s="72" t="n"/>
      <c r="F1529" s="65" t="n"/>
      <c r="G1529" s="68" t="str">
        <f>IF(J1529&lt;&gt;"OK","",IF(F1529="",N(INDEX(mat_loss,MATCH(B1529,mat_ref,0))),F1529))</f>
        <v/>
      </c>
      <c r="H1529" s="66" t="str">
        <f>IF(J1529&lt;&gt;"OK","",INDEX(mat_price,MATCH(B1529,mat_ref,0)))</f>
        <v/>
      </c>
      <c r="I1529" s="66" t="str">
        <f>IF(J1529&lt;&gt;"OK","",E1529*(1+G1529)*H1529)</f>
        <v/>
      </c>
      <c r="J1529" s="69" t="str">
        <f>IF(AND(A1529="",B1529=""),"",IF(A1529="","Produit manquant",IF(COUNTIF(prod_ref,A1529)=0,"Produit inconnu",IF(B1529="","Matière manquante",IF(ISNA(MATCH(B1529,mat_ref,0)),"Matière inconnue",IF(INDEX(mat_check,MATCH(B1529,mat_ref,0))&lt;&gt;"OK","Matière à corriger",IF(OR(NOT(ISNUMBER(E1529)),N(E1529)&lt;=0),"Quantité invalide",IF(AND(F1529&lt;&gt;"",OR(NOT(ISNUMBER(F1529)),N(F1529)&lt;0,N(F1529)&gt;=1)),"Perte entre 0 et 99 %",IF(COUNTIFS(bom_prod,A1529,bom_mat,B1529)&gt;1,"Matière en double","OK")))))))))</f>
        <v/>
      </c>
      <c r="K1529" s="71" t="str">
        <f>IF(AND(fiche_sel&lt;&gt;"",A1529=fiche_sel),COUNTIF(A$6:A1529,fiche_sel),"")</f>
        <v/>
      </c>
    </row>
    <row r="1530">
      <c r="A1530" s="60" t="n"/>
      <c r="B1530" s="60" t="n"/>
      <c r="C1530" s="71" t="str">
        <f>IF(B1530="","",IFERROR(INDEX(mat_des,MATCH(B1530,mat_ref,0))&amp;"","Matière inconnue"))</f>
        <v/>
      </c>
      <c r="D1530" s="69" t="str">
        <f>IF(B1530="","",IFERROR(INDEX(mat_unit,MATCH(B1530,mat_ref,0))&amp;"",""))</f>
        <v/>
      </c>
      <c r="E1530" s="72" t="n"/>
      <c r="F1530" s="65" t="n"/>
      <c r="G1530" s="68" t="str">
        <f>IF(J1530&lt;&gt;"OK","",IF(F1530="",N(INDEX(mat_loss,MATCH(B1530,mat_ref,0))),F1530))</f>
        <v/>
      </c>
      <c r="H1530" s="66" t="str">
        <f>IF(J1530&lt;&gt;"OK","",INDEX(mat_price,MATCH(B1530,mat_ref,0)))</f>
        <v/>
      </c>
      <c r="I1530" s="66" t="str">
        <f>IF(J1530&lt;&gt;"OK","",E1530*(1+G1530)*H1530)</f>
        <v/>
      </c>
      <c r="J1530" s="69" t="str">
        <f>IF(AND(A1530="",B1530=""),"",IF(A1530="","Produit manquant",IF(COUNTIF(prod_ref,A1530)=0,"Produit inconnu",IF(B1530="","Matière manquante",IF(ISNA(MATCH(B1530,mat_ref,0)),"Matière inconnue",IF(INDEX(mat_check,MATCH(B1530,mat_ref,0))&lt;&gt;"OK","Matière à corriger",IF(OR(NOT(ISNUMBER(E1530)),N(E1530)&lt;=0),"Quantité invalide",IF(AND(F1530&lt;&gt;"",OR(NOT(ISNUMBER(F1530)),N(F1530)&lt;0,N(F1530)&gt;=1)),"Perte entre 0 et 99 %",IF(COUNTIFS(bom_prod,A1530,bom_mat,B1530)&gt;1,"Matière en double","OK")))))))))</f>
        <v/>
      </c>
      <c r="K1530" s="71" t="str">
        <f>IF(AND(fiche_sel&lt;&gt;"",A1530=fiche_sel),COUNTIF(A$6:A1530,fiche_sel),"")</f>
        <v/>
      </c>
    </row>
    <row r="1531">
      <c r="A1531" s="60" t="n"/>
      <c r="B1531" s="60" t="n"/>
      <c r="C1531" s="71" t="str">
        <f>IF(B1531="","",IFERROR(INDEX(mat_des,MATCH(B1531,mat_ref,0))&amp;"","Matière inconnue"))</f>
        <v/>
      </c>
      <c r="D1531" s="69" t="str">
        <f>IF(B1531="","",IFERROR(INDEX(mat_unit,MATCH(B1531,mat_ref,0))&amp;"",""))</f>
        <v/>
      </c>
      <c r="E1531" s="72" t="n"/>
      <c r="F1531" s="65" t="n"/>
      <c r="G1531" s="68" t="str">
        <f>IF(J1531&lt;&gt;"OK","",IF(F1531="",N(INDEX(mat_loss,MATCH(B1531,mat_ref,0))),F1531))</f>
        <v/>
      </c>
      <c r="H1531" s="66" t="str">
        <f>IF(J1531&lt;&gt;"OK","",INDEX(mat_price,MATCH(B1531,mat_ref,0)))</f>
        <v/>
      </c>
      <c r="I1531" s="66" t="str">
        <f>IF(J1531&lt;&gt;"OK","",E1531*(1+G1531)*H1531)</f>
        <v/>
      </c>
      <c r="J1531" s="69" t="str">
        <f>IF(AND(A1531="",B1531=""),"",IF(A1531="","Produit manquant",IF(COUNTIF(prod_ref,A1531)=0,"Produit inconnu",IF(B1531="","Matière manquante",IF(ISNA(MATCH(B1531,mat_ref,0)),"Matière inconnue",IF(INDEX(mat_check,MATCH(B1531,mat_ref,0))&lt;&gt;"OK","Matière à corriger",IF(OR(NOT(ISNUMBER(E1531)),N(E1531)&lt;=0),"Quantité invalide",IF(AND(F1531&lt;&gt;"",OR(NOT(ISNUMBER(F1531)),N(F1531)&lt;0,N(F1531)&gt;=1)),"Perte entre 0 et 99 %",IF(COUNTIFS(bom_prod,A1531,bom_mat,B1531)&gt;1,"Matière en double","OK")))))))))</f>
        <v/>
      </c>
      <c r="K1531" s="71" t="str">
        <f>IF(AND(fiche_sel&lt;&gt;"",A1531=fiche_sel),COUNTIF(A$6:A1531,fiche_sel),"")</f>
        <v/>
      </c>
    </row>
    <row r="1532">
      <c r="A1532" s="60" t="n"/>
      <c r="B1532" s="60" t="n"/>
      <c r="C1532" s="71" t="str">
        <f>IF(B1532="","",IFERROR(INDEX(mat_des,MATCH(B1532,mat_ref,0))&amp;"","Matière inconnue"))</f>
        <v/>
      </c>
      <c r="D1532" s="69" t="str">
        <f>IF(B1532="","",IFERROR(INDEX(mat_unit,MATCH(B1532,mat_ref,0))&amp;"",""))</f>
        <v/>
      </c>
      <c r="E1532" s="72" t="n"/>
      <c r="F1532" s="65" t="n"/>
      <c r="G1532" s="68" t="str">
        <f>IF(J1532&lt;&gt;"OK","",IF(F1532="",N(INDEX(mat_loss,MATCH(B1532,mat_ref,0))),F1532))</f>
        <v/>
      </c>
      <c r="H1532" s="66" t="str">
        <f>IF(J1532&lt;&gt;"OK","",INDEX(mat_price,MATCH(B1532,mat_ref,0)))</f>
        <v/>
      </c>
      <c r="I1532" s="66" t="str">
        <f>IF(J1532&lt;&gt;"OK","",E1532*(1+G1532)*H1532)</f>
        <v/>
      </c>
      <c r="J1532" s="69" t="str">
        <f>IF(AND(A1532="",B1532=""),"",IF(A1532="","Produit manquant",IF(COUNTIF(prod_ref,A1532)=0,"Produit inconnu",IF(B1532="","Matière manquante",IF(ISNA(MATCH(B1532,mat_ref,0)),"Matière inconnue",IF(INDEX(mat_check,MATCH(B1532,mat_ref,0))&lt;&gt;"OK","Matière à corriger",IF(OR(NOT(ISNUMBER(E1532)),N(E1532)&lt;=0),"Quantité invalide",IF(AND(F1532&lt;&gt;"",OR(NOT(ISNUMBER(F1532)),N(F1532)&lt;0,N(F1532)&gt;=1)),"Perte entre 0 et 99 %",IF(COUNTIFS(bom_prod,A1532,bom_mat,B1532)&gt;1,"Matière en double","OK")))))))))</f>
        <v/>
      </c>
      <c r="K1532" s="71" t="str">
        <f>IF(AND(fiche_sel&lt;&gt;"",A1532=fiche_sel),COUNTIF(A$6:A1532,fiche_sel),"")</f>
        <v/>
      </c>
    </row>
    <row r="1533">
      <c r="A1533" s="60" t="n"/>
      <c r="B1533" s="60" t="n"/>
      <c r="C1533" s="71" t="str">
        <f>IF(B1533="","",IFERROR(INDEX(mat_des,MATCH(B1533,mat_ref,0))&amp;"","Matière inconnue"))</f>
        <v/>
      </c>
      <c r="D1533" s="69" t="str">
        <f>IF(B1533="","",IFERROR(INDEX(mat_unit,MATCH(B1533,mat_ref,0))&amp;"",""))</f>
        <v/>
      </c>
      <c r="E1533" s="72" t="n"/>
      <c r="F1533" s="65" t="n"/>
      <c r="G1533" s="68" t="str">
        <f>IF(J1533&lt;&gt;"OK","",IF(F1533="",N(INDEX(mat_loss,MATCH(B1533,mat_ref,0))),F1533))</f>
        <v/>
      </c>
      <c r="H1533" s="66" t="str">
        <f>IF(J1533&lt;&gt;"OK","",INDEX(mat_price,MATCH(B1533,mat_ref,0)))</f>
        <v/>
      </c>
      <c r="I1533" s="66" t="str">
        <f>IF(J1533&lt;&gt;"OK","",E1533*(1+G1533)*H1533)</f>
        <v/>
      </c>
      <c r="J1533" s="69" t="str">
        <f>IF(AND(A1533="",B1533=""),"",IF(A1533="","Produit manquant",IF(COUNTIF(prod_ref,A1533)=0,"Produit inconnu",IF(B1533="","Matière manquante",IF(ISNA(MATCH(B1533,mat_ref,0)),"Matière inconnue",IF(INDEX(mat_check,MATCH(B1533,mat_ref,0))&lt;&gt;"OK","Matière à corriger",IF(OR(NOT(ISNUMBER(E1533)),N(E1533)&lt;=0),"Quantité invalide",IF(AND(F1533&lt;&gt;"",OR(NOT(ISNUMBER(F1533)),N(F1533)&lt;0,N(F1533)&gt;=1)),"Perte entre 0 et 99 %",IF(COUNTIFS(bom_prod,A1533,bom_mat,B1533)&gt;1,"Matière en double","OK")))))))))</f>
        <v/>
      </c>
      <c r="K1533" s="71" t="str">
        <f>IF(AND(fiche_sel&lt;&gt;"",A1533=fiche_sel),COUNTIF(A$6:A1533,fiche_sel),"")</f>
        <v/>
      </c>
    </row>
    <row r="1534">
      <c r="A1534" s="60" t="n"/>
      <c r="B1534" s="60" t="n"/>
      <c r="C1534" s="71" t="str">
        <f>IF(B1534="","",IFERROR(INDEX(mat_des,MATCH(B1534,mat_ref,0))&amp;"","Matière inconnue"))</f>
        <v/>
      </c>
      <c r="D1534" s="69" t="str">
        <f>IF(B1534="","",IFERROR(INDEX(mat_unit,MATCH(B1534,mat_ref,0))&amp;"",""))</f>
        <v/>
      </c>
      <c r="E1534" s="72" t="n"/>
      <c r="F1534" s="65" t="n"/>
      <c r="G1534" s="68" t="str">
        <f>IF(J1534&lt;&gt;"OK","",IF(F1534="",N(INDEX(mat_loss,MATCH(B1534,mat_ref,0))),F1534))</f>
        <v/>
      </c>
      <c r="H1534" s="66" t="str">
        <f>IF(J1534&lt;&gt;"OK","",INDEX(mat_price,MATCH(B1534,mat_ref,0)))</f>
        <v/>
      </c>
      <c r="I1534" s="66" t="str">
        <f>IF(J1534&lt;&gt;"OK","",E1534*(1+G1534)*H1534)</f>
        <v/>
      </c>
      <c r="J1534" s="69" t="str">
        <f>IF(AND(A1534="",B1534=""),"",IF(A1534="","Produit manquant",IF(COUNTIF(prod_ref,A1534)=0,"Produit inconnu",IF(B1534="","Matière manquante",IF(ISNA(MATCH(B1534,mat_ref,0)),"Matière inconnue",IF(INDEX(mat_check,MATCH(B1534,mat_ref,0))&lt;&gt;"OK","Matière à corriger",IF(OR(NOT(ISNUMBER(E1534)),N(E1534)&lt;=0),"Quantité invalide",IF(AND(F1534&lt;&gt;"",OR(NOT(ISNUMBER(F1534)),N(F1534)&lt;0,N(F1534)&gt;=1)),"Perte entre 0 et 99 %",IF(COUNTIFS(bom_prod,A1534,bom_mat,B1534)&gt;1,"Matière en double","OK")))))))))</f>
        <v/>
      </c>
      <c r="K1534" s="71" t="str">
        <f>IF(AND(fiche_sel&lt;&gt;"",A1534=fiche_sel),COUNTIF(A$6:A1534,fiche_sel),"")</f>
        <v/>
      </c>
    </row>
    <row r="1535">
      <c r="A1535" s="60" t="n"/>
      <c r="B1535" s="60" t="n"/>
      <c r="C1535" s="71" t="str">
        <f>IF(B1535="","",IFERROR(INDEX(mat_des,MATCH(B1535,mat_ref,0))&amp;"","Matière inconnue"))</f>
        <v/>
      </c>
      <c r="D1535" s="69" t="str">
        <f>IF(B1535="","",IFERROR(INDEX(mat_unit,MATCH(B1535,mat_ref,0))&amp;"",""))</f>
        <v/>
      </c>
      <c r="E1535" s="72" t="n"/>
      <c r="F1535" s="65" t="n"/>
      <c r="G1535" s="68" t="str">
        <f>IF(J1535&lt;&gt;"OK","",IF(F1535="",N(INDEX(mat_loss,MATCH(B1535,mat_ref,0))),F1535))</f>
        <v/>
      </c>
      <c r="H1535" s="66" t="str">
        <f>IF(J1535&lt;&gt;"OK","",INDEX(mat_price,MATCH(B1535,mat_ref,0)))</f>
        <v/>
      </c>
      <c r="I1535" s="66" t="str">
        <f>IF(J1535&lt;&gt;"OK","",E1535*(1+G1535)*H1535)</f>
        <v/>
      </c>
      <c r="J1535" s="69" t="str">
        <f>IF(AND(A1535="",B1535=""),"",IF(A1535="","Produit manquant",IF(COUNTIF(prod_ref,A1535)=0,"Produit inconnu",IF(B1535="","Matière manquante",IF(ISNA(MATCH(B1535,mat_ref,0)),"Matière inconnue",IF(INDEX(mat_check,MATCH(B1535,mat_ref,0))&lt;&gt;"OK","Matière à corriger",IF(OR(NOT(ISNUMBER(E1535)),N(E1535)&lt;=0),"Quantité invalide",IF(AND(F1535&lt;&gt;"",OR(NOT(ISNUMBER(F1535)),N(F1535)&lt;0,N(F1535)&gt;=1)),"Perte entre 0 et 99 %",IF(COUNTIFS(bom_prod,A1535,bom_mat,B1535)&gt;1,"Matière en double","OK")))))))))</f>
        <v/>
      </c>
      <c r="K1535" s="71" t="str">
        <f>IF(AND(fiche_sel&lt;&gt;"",A1535=fiche_sel),COUNTIF(A$6:A1535,fiche_sel),"")</f>
        <v/>
      </c>
    </row>
    <row r="1536">
      <c r="A1536" s="60" t="n"/>
      <c r="B1536" s="60" t="n"/>
      <c r="C1536" s="71" t="str">
        <f>IF(B1536="","",IFERROR(INDEX(mat_des,MATCH(B1536,mat_ref,0))&amp;"","Matière inconnue"))</f>
        <v/>
      </c>
      <c r="D1536" s="69" t="str">
        <f>IF(B1536="","",IFERROR(INDEX(mat_unit,MATCH(B1536,mat_ref,0))&amp;"",""))</f>
        <v/>
      </c>
      <c r="E1536" s="72" t="n"/>
      <c r="F1536" s="65" t="n"/>
      <c r="G1536" s="68" t="str">
        <f>IF(J1536&lt;&gt;"OK","",IF(F1536="",N(INDEX(mat_loss,MATCH(B1536,mat_ref,0))),F1536))</f>
        <v/>
      </c>
      <c r="H1536" s="66" t="str">
        <f>IF(J1536&lt;&gt;"OK","",INDEX(mat_price,MATCH(B1536,mat_ref,0)))</f>
        <v/>
      </c>
      <c r="I1536" s="66" t="str">
        <f>IF(J1536&lt;&gt;"OK","",E1536*(1+G1536)*H1536)</f>
        <v/>
      </c>
      <c r="J1536" s="69" t="str">
        <f>IF(AND(A1536="",B1536=""),"",IF(A1536="","Produit manquant",IF(COUNTIF(prod_ref,A1536)=0,"Produit inconnu",IF(B1536="","Matière manquante",IF(ISNA(MATCH(B1536,mat_ref,0)),"Matière inconnue",IF(INDEX(mat_check,MATCH(B1536,mat_ref,0))&lt;&gt;"OK","Matière à corriger",IF(OR(NOT(ISNUMBER(E1536)),N(E1536)&lt;=0),"Quantité invalide",IF(AND(F1536&lt;&gt;"",OR(NOT(ISNUMBER(F1536)),N(F1536)&lt;0,N(F1536)&gt;=1)),"Perte entre 0 et 99 %",IF(COUNTIFS(bom_prod,A1536,bom_mat,B1536)&gt;1,"Matière en double","OK")))))))))</f>
        <v/>
      </c>
      <c r="K1536" s="71" t="str">
        <f>IF(AND(fiche_sel&lt;&gt;"",A1536=fiche_sel),COUNTIF(A$6:A1536,fiche_sel),"")</f>
        <v/>
      </c>
    </row>
    <row r="1537">
      <c r="A1537" s="60" t="n"/>
      <c r="B1537" s="60" t="n"/>
      <c r="C1537" s="71" t="str">
        <f>IF(B1537="","",IFERROR(INDEX(mat_des,MATCH(B1537,mat_ref,0))&amp;"","Matière inconnue"))</f>
        <v/>
      </c>
      <c r="D1537" s="69" t="str">
        <f>IF(B1537="","",IFERROR(INDEX(mat_unit,MATCH(B1537,mat_ref,0))&amp;"",""))</f>
        <v/>
      </c>
      <c r="E1537" s="72" t="n"/>
      <c r="F1537" s="65" t="n"/>
      <c r="G1537" s="68" t="str">
        <f>IF(J1537&lt;&gt;"OK","",IF(F1537="",N(INDEX(mat_loss,MATCH(B1537,mat_ref,0))),F1537))</f>
        <v/>
      </c>
      <c r="H1537" s="66" t="str">
        <f>IF(J1537&lt;&gt;"OK","",INDEX(mat_price,MATCH(B1537,mat_ref,0)))</f>
        <v/>
      </c>
      <c r="I1537" s="66" t="str">
        <f>IF(J1537&lt;&gt;"OK","",E1537*(1+G1537)*H1537)</f>
        <v/>
      </c>
      <c r="J1537" s="69" t="str">
        <f>IF(AND(A1537="",B1537=""),"",IF(A1537="","Produit manquant",IF(COUNTIF(prod_ref,A1537)=0,"Produit inconnu",IF(B1537="","Matière manquante",IF(ISNA(MATCH(B1537,mat_ref,0)),"Matière inconnue",IF(INDEX(mat_check,MATCH(B1537,mat_ref,0))&lt;&gt;"OK","Matière à corriger",IF(OR(NOT(ISNUMBER(E1537)),N(E1537)&lt;=0),"Quantité invalide",IF(AND(F1537&lt;&gt;"",OR(NOT(ISNUMBER(F1537)),N(F1537)&lt;0,N(F1537)&gt;=1)),"Perte entre 0 et 99 %",IF(COUNTIFS(bom_prod,A1537,bom_mat,B1537)&gt;1,"Matière en double","OK")))))))))</f>
        <v/>
      </c>
      <c r="K1537" s="71" t="str">
        <f>IF(AND(fiche_sel&lt;&gt;"",A1537=fiche_sel),COUNTIF(A$6:A1537,fiche_sel),"")</f>
        <v/>
      </c>
    </row>
    <row r="1538">
      <c r="A1538" s="60" t="n"/>
      <c r="B1538" s="60" t="n"/>
      <c r="C1538" s="71" t="str">
        <f>IF(B1538="","",IFERROR(INDEX(mat_des,MATCH(B1538,mat_ref,0))&amp;"","Matière inconnue"))</f>
        <v/>
      </c>
      <c r="D1538" s="69" t="str">
        <f>IF(B1538="","",IFERROR(INDEX(mat_unit,MATCH(B1538,mat_ref,0))&amp;"",""))</f>
        <v/>
      </c>
      <c r="E1538" s="72" t="n"/>
      <c r="F1538" s="65" t="n"/>
      <c r="G1538" s="68" t="str">
        <f>IF(J1538&lt;&gt;"OK","",IF(F1538="",N(INDEX(mat_loss,MATCH(B1538,mat_ref,0))),F1538))</f>
        <v/>
      </c>
      <c r="H1538" s="66" t="str">
        <f>IF(J1538&lt;&gt;"OK","",INDEX(mat_price,MATCH(B1538,mat_ref,0)))</f>
        <v/>
      </c>
      <c r="I1538" s="66" t="str">
        <f>IF(J1538&lt;&gt;"OK","",E1538*(1+G1538)*H1538)</f>
        <v/>
      </c>
      <c r="J1538" s="69" t="str">
        <f>IF(AND(A1538="",B1538=""),"",IF(A1538="","Produit manquant",IF(COUNTIF(prod_ref,A1538)=0,"Produit inconnu",IF(B1538="","Matière manquante",IF(ISNA(MATCH(B1538,mat_ref,0)),"Matière inconnue",IF(INDEX(mat_check,MATCH(B1538,mat_ref,0))&lt;&gt;"OK","Matière à corriger",IF(OR(NOT(ISNUMBER(E1538)),N(E1538)&lt;=0),"Quantité invalide",IF(AND(F1538&lt;&gt;"",OR(NOT(ISNUMBER(F1538)),N(F1538)&lt;0,N(F1538)&gt;=1)),"Perte entre 0 et 99 %",IF(COUNTIFS(bom_prod,A1538,bom_mat,B1538)&gt;1,"Matière en double","OK")))))))))</f>
        <v/>
      </c>
      <c r="K1538" s="71" t="str">
        <f>IF(AND(fiche_sel&lt;&gt;"",A1538=fiche_sel),COUNTIF(A$6:A1538,fiche_sel),"")</f>
        <v/>
      </c>
    </row>
    <row r="1539">
      <c r="A1539" s="60" t="n"/>
      <c r="B1539" s="60" t="n"/>
      <c r="C1539" s="71" t="str">
        <f>IF(B1539="","",IFERROR(INDEX(mat_des,MATCH(B1539,mat_ref,0))&amp;"","Matière inconnue"))</f>
        <v/>
      </c>
      <c r="D1539" s="69" t="str">
        <f>IF(B1539="","",IFERROR(INDEX(mat_unit,MATCH(B1539,mat_ref,0))&amp;"",""))</f>
        <v/>
      </c>
      <c r="E1539" s="72" t="n"/>
      <c r="F1539" s="65" t="n"/>
      <c r="G1539" s="68" t="str">
        <f>IF(J1539&lt;&gt;"OK","",IF(F1539="",N(INDEX(mat_loss,MATCH(B1539,mat_ref,0))),F1539))</f>
        <v/>
      </c>
      <c r="H1539" s="66" t="str">
        <f>IF(J1539&lt;&gt;"OK","",INDEX(mat_price,MATCH(B1539,mat_ref,0)))</f>
        <v/>
      </c>
      <c r="I1539" s="66" t="str">
        <f>IF(J1539&lt;&gt;"OK","",E1539*(1+G1539)*H1539)</f>
        <v/>
      </c>
      <c r="J1539" s="69" t="str">
        <f>IF(AND(A1539="",B1539=""),"",IF(A1539="","Produit manquant",IF(COUNTIF(prod_ref,A1539)=0,"Produit inconnu",IF(B1539="","Matière manquante",IF(ISNA(MATCH(B1539,mat_ref,0)),"Matière inconnue",IF(INDEX(mat_check,MATCH(B1539,mat_ref,0))&lt;&gt;"OK","Matière à corriger",IF(OR(NOT(ISNUMBER(E1539)),N(E1539)&lt;=0),"Quantité invalide",IF(AND(F1539&lt;&gt;"",OR(NOT(ISNUMBER(F1539)),N(F1539)&lt;0,N(F1539)&gt;=1)),"Perte entre 0 et 99 %",IF(COUNTIFS(bom_prod,A1539,bom_mat,B1539)&gt;1,"Matière en double","OK")))))))))</f>
        <v/>
      </c>
      <c r="K1539" s="71" t="str">
        <f>IF(AND(fiche_sel&lt;&gt;"",A1539=fiche_sel),COUNTIF(A$6:A1539,fiche_sel),"")</f>
        <v/>
      </c>
    </row>
    <row r="1540">
      <c r="A1540" s="60" t="n"/>
      <c r="B1540" s="60" t="n"/>
      <c r="C1540" s="71" t="str">
        <f>IF(B1540="","",IFERROR(INDEX(mat_des,MATCH(B1540,mat_ref,0))&amp;"","Matière inconnue"))</f>
        <v/>
      </c>
      <c r="D1540" s="69" t="str">
        <f>IF(B1540="","",IFERROR(INDEX(mat_unit,MATCH(B1540,mat_ref,0))&amp;"",""))</f>
        <v/>
      </c>
      <c r="E1540" s="72" t="n"/>
      <c r="F1540" s="65" t="n"/>
      <c r="G1540" s="68" t="str">
        <f>IF(J1540&lt;&gt;"OK","",IF(F1540="",N(INDEX(mat_loss,MATCH(B1540,mat_ref,0))),F1540))</f>
        <v/>
      </c>
      <c r="H1540" s="66" t="str">
        <f>IF(J1540&lt;&gt;"OK","",INDEX(mat_price,MATCH(B1540,mat_ref,0)))</f>
        <v/>
      </c>
      <c r="I1540" s="66" t="str">
        <f>IF(J1540&lt;&gt;"OK","",E1540*(1+G1540)*H1540)</f>
        <v/>
      </c>
      <c r="J1540" s="69" t="str">
        <f>IF(AND(A1540="",B1540=""),"",IF(A1540="","Produit manquant",IF(COUNTIF(prod_ref,A1540)=0,"Produit inconnu",IF(B1540="","Matière manquante",IF(ISNA(MATCH(B1540,mat_ref,0)),"Matière inconnue",IF(INDEX(mat_check,MATCH(B1540,mat_ref,0))&lt;&gt;"OK","Matière à corriger",IF(OR(NOT(ISNUMBER(E1540)),N(E1540)&lt;=0),"Quantité invalide",IF(AND(F1540&lt;&gt;"",OR(NOT(ISNUMBER(F1540)),N(F1540)&lt;0,N(F1540)&gt;=1)),"Perte entre 0 et 99 %",IF(COUNTIFS(bom_prod,A1540,bom_mat,B1540)&gt;1,"Matière en double","OK")))))))))</f>
        <v/>
      </c>
      <c r="K1540" s="71" t="str">
        <f>IF(AND(fiche_sel&lt;&gt;"",A1540=fiche_sel),COUNTIF(A$6:A1540,fiche_sel),"")</f>
        <v/>
      </c>
    </row>
    <row r="1541">
      <c r="A1541" s="60" t="n"/>
      <c r="B1541" s="60" t="n"/>
      <c r="C1541" s="71" t="str">
        <f>IF(B1541="","",IFERROR(INDEX(mat_des,MATCH(B1541,mat_ref,0))&amp;"","Matière inconnue"))</f>
        <v/>
      </c>
      <c r="D1541" s="69" t="str">
        <f>IF(B1541="","",IFERROR(INDEX(mat_unit,MATCH(B1541,mat_ref,0))&amp;"",""))</f>
        <v/>
      </c>
      <c r="E1541" s="72" t="n"/>
      <c r="F1541" s="65" t="n"/>
      <c r="G1541" s="68" t="str">
        <f>IF(J1541&lt;&gt;"OK","",IF(F1541="",N(INDEX(mat_loss,MATCH(B1541,mat_ref,0))),F1541))</f>
        <v/>
      </c>
      <c r="H1541" s="66" t="str">
        <f>IF(J1541&lt;&gt;"OK","",INDEX(mat_price,MATCH(B1541,mat_ref,0)))</f>
        <v/>
      </c>
      <c r="I1541" s="66" t="str">
        <f>IF(J1541&lt;&gt;"OK","",E1541*(1+G1541)*H1541)</f>
        <v/>
      </c>
      <c r="J1541" s="69" t="str">
        <f>IF(AND(A1541="",B1541=""),"",IF(A1541="","Produit manquant",IF(COUNTIF(prod_ref,A1541)=0,"Produit inconnu",IF(B1541="","Matière manquante",IF(ISNA(MATCH(B1541,mat_ref,0)),"Matière inconnue",IF(INDEX(mat_check,MATCH(B1541,mat_ref,0))&lt;&gt;"OK","Matière à corriger",IF(OR(NOT(ISNUMBER(E1541)),N(E1541)&lt;=0),"Quantité invalide",IF(AND(F1541&lt;&gt;"",OR(NOT(ISNUMBER(F1541)),N(F1541)&lt;0,N(F1541)&gt;=1)),"Perte entre 0 et 99 %",IF(COUNTIFS(bom_prod,A1541,bom_mat,B1541)&gt;1,"Matière en double","OK")))))))))</f>
        <v/>
      </c>
      <c r="K1541" s="71" t="str">
        <f>IF(AND(fiche_sel&lt;&gt;"",A1541=fiche_sel),COUNTIF(A$6:A1541,fiche_sel),"")</f>
        <v/>
      </c>
    </row>
    <row r="1542">
      <c r="A1542" s="60" t="n"/>
      <c r="B1542" s="60" t="n"/>
      <c r="C1542" s="71" t="str">
        <f>IF(B1542="","",IFERROR(INDEX(mat_des,MATCH(B1542,mat_ref,0))&amp;"","Matière inconnue"))</f>
        <v/>
      </c>
      <c r="D1542" s="69" t="str">
        <f>IF(B1542="","",IFERROR(INDEX(mat_unit,MATCH(B1542,mat_ref,0))&amp;"",""))</f>
        <v/>
      </c>
      <c r="E1542" s="72" t="n"/>
      <c r="F1542" s="65" t="n"/>
      <c r="G1542" s="68" t="str">
        <f>IF(J1542&lt;&gt;"OK","",IF(F1542="",N(INDEX(mat_loss,MATCH(B1542,mat_ref,0))),F1542))</f>
        <v/>
      </c>
      <c r="H1542" s="66" t="str">
        <f>IF(J1542&lt;&gt;"OK","",INDEX(mat_price,MATCH(B1542,mat_ref,0)))</f>
        <v/>
      </c>
      <c r="I1542" s="66" t="str">
        <f>IF(J1542&lt;&gt;"OK","",E1542*(1+G1542)*H1542)</f>
        <v/>
      </c>
      <c r="J1542" s="69" t="str">
        <f>IF(AND(A1542="",B1542=""),"",IF(A1542="","Produit manquant",IF(COUNTIF(prod_ref,A1542)=0,"Produit inconnu",IF(B1542="","Matière manquante",IF(ISNA(MATCH(B1542,mat_ref,0)),"Matière inconnue",IF(INDEX(mat_check,MATCH(B1542,mat_ref,0))&lt;&gt;"OK","Matière à corriger",IF(OR(NOT(ISNUMBER(E1542)),N(E1542)&lt;=0),"Quantité invalide",IF(AND(F1542&lt;&gt;"",OR(NOT(ISNUMBER(F1542)),N(F1542)&lt;0,N(F1542)&gt;=1)),"Perte entre 0 et 99 %",IF(COUNTIFS(bom_prod,A1542,bom_mat,B1542)&gt;1,"Matière en double","OK")))))))))</f>
        <v/>
      </c>
      <c r="K1542" s="71" t="str">
        <f>IF(AND(fiche_sel&lt;&gt;"",A1542=fiche_sel),COUNTIF(A$6:A1542,fiche_sel),"")</f>
        <v/>
      </c>
    </row>
    <row r="1543">
      <c r="A1543" s="60" t="n"/>
      <c r="B1543" s="60" t="n"/>
      <c r="C1543" s="71" t="str">
        <f>IF(B1543="","",IFERROR(INDEX(mat_des,MATCH(B1543,mat_ref,0))&amp;"","Matière inconnue"))</f>
        <v/>
      </c>
      <c r="D1543" s="69" t="str">
        <f>IF(B1543="","",IFERROR(INDEX(mat_unit,MATCH(B1543,mat_ref,0))&amp;"",""))</f>
        <v/>
      </c>
      <c r="E1543" s="72" t="n"/>
      <c r="F1543" s="65" t="n"/>
      <c r="G1543" s="68" t="str">
        <f>IF(J1543&lt;&gt;"OK","",IF(F1543="",N(INDEX(mat_loss,MATCH(B1543,mat_ref,0))),F1543))</f>
        <v/>
      </c>
      <c r="H1543" s="66" t="str">
        <f>IF(J1543&lt;&gt;"OK","",INDEX(mat_price,MATCH(B1543,mat_ref,0)))</f>
        <v/>
      </c>
      <c r="I1543" s="66" t="str">
        <f>IF(J1543&lt;&gt;"OK","",E1543*(1+G1543)*H1543)</f>
        <v/>
      </c>
      <c r="J1543" s="69" t="str">
        <f>IF(AND(A1543="",B1543=""),"",IF(A1543="","Produit manquant",IF(COUNTIF(prod_ref,A1543)=0,"Produit inconnu",IF(B1543="","Matière manquante",IF(ISNA(MATCH(B1543,mat_ref,0)),"Matière inconnue",IF(INDEX(mat_check,MATCH(B1543,mat_ref,0))&lt;&gt;"OK","Matière à corriger",IF(OR(NOT(ISNUMBER(E1543)),N(E1543)&lt;=0),"Quantité invalide",IF(AND(F1543&lt;&gt;"",OR(NOT(ISNUMBER(F1543)),N(F1543)&lt;0,N(F1543)&gt;=1)),"Perte entre 0 et 99 %",IF(COUNTIFS(bom_prod,A1543,bom_mat,B1543)&gt;1,"Matière en double","OK")))))))))</f>
        <v/>
      </c>
      <c r="K1543" s="71" t="str">
        <f>IF(AND(fiche_sel&lt;&gt;"",A1543=fiche_sel),COUNTIF(A$6:A1543,fiche_sel),"")</f>
        <v/>
      </c>
    </row>
    <row r="1544">
      <c r="A1544" s="60" t="n"/>
      <c r="B1544" s="60" t="n"/>
      <c r="C1544" s="71" t="str">
        <f>IF(B1544="","",IFERROR(INDEX(mat_des,MATCH(B1544,mat_ref,0))&amp;"","Matière inconnue"))</f>
        <v/>
      </c>
      <c r="D1544" s="69" t="str">
        <f>IF(B1544="","",IFERROR(INDEX(mat_unit,MATCH(B1544,mat_ref,0))&amp;"",""))</f>
        <v/>
      </c>
      <c r="E1544" s="72" t="n"/>
      <c r="F1544" s="65" t="n"/>
      <c r="G1544" s="68" t="str">
        <f>IF(J1544&lt;&gt;"OK","",IF(F1544="",N(INDEX(mat_loss,MATCH(B1544,mat_ref,0))),F1544))</f>
        <v/>
      </c>
      <c r="H1544" s="66" t="str">
        <f>IF(J1544&lt;&gt;"OK","",INDEX(mat_price,MATCH(B1544,mat_ref,0)))</f>
        <v/>
      </c>
      <c r="I1544" s="66" t="str">
        <f>IF(J1544&lt;&gt;"OK","",E1544*(1+G1544)*H1544)</f>
        <v/>
      </c>
      <c r="J1544" s="69" t="str">
        <f>IF(AND(A1544="",B1544=""),"",IF(A1544="","Produit manquant",IF(COUNTIF(prod_ref,A1544)=0,"Produit inconnu",IF(B1544="","Matière manquante",IF(ISNA(MATCH(B1544,mat_ref,0)),"Matière inconnue",IF(INDEX(mat_check,MATCH(B1544,mat_ref,0))&lt;&gt;"OK","Matière à corriger",IF(OR(NOT(ISNUMBER(E1544)),N(E1544)&lt;=0),"Quantité invalide",IF(AND(F1544&lt;&gt;"",OR(NOT(ISNUMBER(F1544)),N(F1544)&lt;0,N(F1544)&gt;=1)),"Perte entre 0 et 99 %",IF(COUNTIFS(bom_prod,A1544,bom_mat,B1544)&gt;1,"Matière en double","OK")))))))))</f>
        <v/>
      </c>
      <c r="K1544" s="71" t="str">
        <f>IF(AND(fiche_sel&lt;&gt;"",A1544=fiche_sel),COUNTIF(A$6:A1544,fiche_sel),"")</f>
        <v/>
      </c>
    </row>
    <row r="1545">
      <c r="A1545" s="60" t="n"/>
      <c r="B1545" s="60" t="n"/>
      <c r="C1545" s="71" t="str">
        <f>IF(B1545="","",IFERROR(INDEX(mat_des,MATCH(B1545,mat_ref,0))&amp;"","Matière inconnue"))</f>
        <v/>
      </c>
      <c r="D1545" s="69" t="str">
        <f>IF(B1545="","",IFERROR(INDEX(mat_unit,MATCH(B1545,mat_ref,0))&amp;"",""))</f>
        <v/>
      </c>
      <c r="E1545" s="72" t="n"/>
      <c r="F1545" s="65" t="n"/>
      <c r="G1545" s="68" t="str">
        <f>IF(J1545&lt;&gt;"OK","",IF(F1545="",N(INDEX(mat_loss,MATCH(B1545,mat_ref,0))),F1545))</f>
        <v/>
      </c>
      <c r="H1545" s="66" t="str">
        <f>IF(J1545&lt;&gt;"OK","",INDEX(mat_price,MATCH(B1545,mat_ref,0)))</f>
        <v/>
      </c>
      <c r="I1545" s="66" t="str">
        <f>IF(J1545&lt;&gt;"OK","",E1545*(1+G1545)*H1545)</f>
        <v/>
      </c>
      <c r="J1545" s="69" t="str">
        <f>IF(AND(A1545="",B1545=""),"",IF(A1545="","Produit manquant",IF(COUNTIF(prod_ref,A1545)=0,"Produit inconnu",IF(B1545="","Matière manquante",IF(ISNA(MATCH(B1545,mat_ref,0)),"Matière inconnue",IF(INDEX(mat_check,MATCH(B1545,mat_ref,0))&lt;&gt;"OK","Matière à corriger",IF(OR(NOT(ISNUMBER(E1545)),N(E1545)&lt;=0),"Quantité invalide",IF(AND(F1545&lt;&gt;"",OR(NOT(ISNUMBER(F1545)),N(F1545)&lt;0,N(F1545)&gt;=1)),"Perte entre 0 et 99 %",IF(COUNTIFS(bom_prod,A1545,bom_mat,B1545)&gt;1,"Matière en double","OK")))))))))</f>
        <v/>
      </c>
      <c r="K1545" s="71" t="str">
        <f>IF(AND(fiche_sel&lt;&gt;"",A1545=fiche_sel),COUNTIF(A$6:A1545,fiche_sel),"")</f>
        <v/>
      </c>
    </row>
    <row r="1546">
      <c r="A1546" s="60" t="n"/>
      <c r="B1546" s="60" t="n"/>
      <c r="C1546" s="71" t="str">
        <f>IF(B1546="","",IFERROR(INDEX(mat_des,MATCH(B1546,mat_ref,0))&amp;"","Matière inconnue"))</f>
        <v/>
      </c>
      <c r="D1546" s="69" t="str">
        <f>IF(B1546="","",IFERROR(INDEX(mat_unit,MATCH(B1546,mat_ref,0))&amp;"",""))</f>
        <v/>
      </c>
      <c r="E1546" s="72" t="n"/>
      <c r="F1546" s="65" t="n"/>
      <c r="G1546" s="68" t="str">
        <f>IF(J1546&lt;&gt;"OK","",IF(F1546="",N(INDEX(mat_loss,MATCH(B1546,mat_ref,0))),F1546))</f>
        <v/>
      </c>
      <c r="H1546" s="66" t="str">
        <f>IF(J1546&lt;&gt;"OK","",INDEX(mat_price,MATCH(B1546,mat_ref,0)))</f>
        <v/>
      </c>
      <c r="I1546" s="66" t="str">
        <f>IF(J1546&lt;&gt;"OK","",E1546*(1+G1546)*H1546)</f>
        <v/>
      </c>
      <c r="J1546" s="69" t="str">
        <f>IF(AND(A1546="",B1546=""),"",IF(A1546="","Produit manquant",IF(COUNTIF(prod_ref,A1546)=0,"Produit inconnu",IF(B1546="","Matière manquante",IF(ISNA(MATCH(B1546,mat_ref,0)),"Matière inconnue",IF(INDEX(mat_check,MATCH(B1546,mat_ref,0))&lt;&gt;"OK","Matière à corriger",IF(OR(NOT(ISNUMBER(E1546)),N(E1546)&lt;=0),"Quantité invalide",IF(AND(F1546&lt;&gt;"",OR(NOT(ISNUMBER(F1546)),N(F1546)&lt;0,N(F1546)&gt;=1)),"Perte entre 0 et 99 %",IF(COUNTIFS(bom_prod,A1546,bom_mat,B1546)&gt;1,"Matière en double","OK")))))))))</f>
        <v/>
      </c>
      <c r="K1546" s="71" t="str">
        <f>IF(AND(fiche_sel&lt;&gt;"",A1546=fiche_sel),COUNTIF(A$6:A1546,fiche_sel),"")</f>
        <v/>
      </c>
    </row>
    <row r="1547">
      <c r="A1547" s="60" t="n"/>
      <c r="B1547" s="60" t="n"/>
      <c r="C1547" s="71" t="str">
        <f>IF(B1547="","",IFERROR(INDEX(mat_des,MATCH(B1547,mat_ref,0))&amp;"","Matière inconnue"))</f>
        <v/>
      </c>
      <c r="D1547" s="69" t="str">
        <f>IF(B1547="","",IFERROR(INDEX(mat_unit,MATCH(B1547,mat_ref,0))&amp;"",""))</f>
        <v/>
      </c>
      <c r="E1547" s="72" t="n"/>
      <c r="F1547" s="65" t="n"/>
      <c r="G1547" s="68" t="str">
        <f>IF(J1547&lt;&gt;"OK","",IF(F1547="",N(INDEX(mat_loss,MATCH(B1547,mat_ref,0))),F1547))</f>
        <v/>
      </c>
      <c r="H1547" s="66" t="str">
        <f>IF(J1547&lt;&gt;"OK","",INDEX(mat_price,MATCH(B1547,mat_ref,0)))</f>
        <v/>
      </c>
      <c r="I1547" s="66" t="str">
        <f>IF(J1547&lt;&gt;"OK","",E1547*(1+G1547)*H1547)</f>
        <v/>
      </c>
      <c r="J1547" s="69" t="str">
        <f>IF(AND(A1547="",B1547=""),"",IF(A1547="","Produit manquant",IF(COUNTIF(prod_ref,A1547)=0,"Produit inconnu",IF(B1547="","Matière manquante",IF(ISNA(MATCH(B1547,mat_ref,0)),"Matière inconnue",IF(INDEX(mat_check,MATCH(B1547,mat_ref,0))&lt;&gt;"OK","Matière à corriger",IF(OR(NOT(ISNUMBER(E1547)),N(E1547)&lt;=0),"Quantité invalide",IF(AND(F1547&lt;&gt;"",OR(NOT(ISNUMBER(F1547)),N(F1547)&lt;0,N(F1547)&gt;=1)),"Perte entre 0 et 99 %",IF(COUNTIFS(bom_prod,A1547,bom_mat,B1547)&gt;1,"Matière en double","OK")))))))))</f>
        <v/>
      </c>
      <c r="K1547" s="71" t="str">
        <f>IF(AND(fiche_sel&lt;&gt;"",A1547=fiche_sel),COUNTIF(A$6:A1547,fiche_sel),"")</f>
        <v/>
      </c>
    </row>
    <row r="1548">
      <c r="A1548" s="60" t="n"/>
      <c r="B1548" s="60" t="n"/>
      <c r="C1548" s="71" t="str">
        <f>IF(B1548="","",IFERROR(INDEX(mat_des,MATCH(B1548,mat_ref,0))&amp;"","Matière inconnue"))</f>
        <v/>
      </c>
      <c r="D1548" s="69" t="str">
        <f>IF(B1548="","",IFERROR(INDEX(mat_unit,MATCH(B1548,mat_ref,0))&amp;"",""))</f>
        <v/>
      </c>
      <c r="E1548" s="72" t="n"/>
      <c r="F1548" s="65" t="n"/>
      <c r="G1548" s="68" t="str">
        <f>IF(J1548&lt;&gt;"OK","",IF(F1548="",N(INDEX(mat_loss,MATCH(B1548,mat_ref,0))),F1548))</f>
        <v/>
      </c>
      <c r="H1548" s="66" t="str">
        <f>IF(J1548&lt;&gt;"OK","",INDEX(mat_price,MATCH(B1548,mat_ref,0)))</f>
        <v/>
      </c>
      <c r="I1548" s="66" t="str">
        <f>IF(J1548&lt;&gt;"OK","",E1548*(1+G1548)*H1548)</f>
        <v/>
      </c>
      <c r="J1548" s="69" t="str">
        <f>IF(AND(A1548="",B1548=""),"",IF(A1548="","Produit manquant",IF(COUNTIF(prod_ref,A1548)=0,"Produit inconnu",IF(B1548="","Matière manquante",IF(ISNA(MATCH(B1548,mat_ref,0)),"Matière inconnue",IF(INDEX(mat_check,MATCH(B1548,mat_ref,0))&lt;&gt;"OK","Matière à corriger",IF(OR(NOT(ISNUMBER(E1548)),N(E1548)&lt;=0),"Quantité invalide",IF(AND(F1548&lt;&gt;"",OR(NOT(ISNUMBER(F1548)),N(F1548)&lt;0,N(F1548)&gt;=1)),"Perte entre 0 et 99 %",IF(COUNTIFS(bom_prod,A1548,bom_mat,B1548)&gt;1,"Matière en double","OK")))))))))</f>
        <v/>
      </c>
      <c r="K1548" s="71" t="str">
        <f>IF(AND(fiche_sel&lt;&gt;"",A1548=fiche_sel),COUNTIF(A$6:A1548,fiche_sel),"")</f>
        <v/>
      </c>
    </row>
    <row r="1549">
      <c r="A1549" s="60" t="n"/>
      <c r="B1549" s="60" t="n"/>
      <c r="C1549" s="71" t="str">
        <f>IF(B1549="","",IFERROR(INDEX(mat_des,MATCH(B1549,mat_ref,0))&amp;"","Matière inconnue"))</f>
        <v/>
      </c>
      <c r="D1549" s="69" t="str">
        <f>IF(B1549="","",IFERROR(INDEX(mat_unit,MATCH(B1549,mat_ref,0))&amp;"",""))</f>
        <v/>
      </c>
      <c r="E1549" s="72" t="n"/>
      <c r="F1549" s="65" t="n"/>
      <c r="G1549" s="68" t="str">
        <f>IF(J1549&lt;&gt;"OK","",IF(F1549="",N(INDEX(mat_loss,MATCH(B1549,mat_ref,0))),F1549))</f>
        <v/>
      </c>
      <c r="H1549" s="66" t="str">
        <f>IF(J1549&lt;&gt;"OK","",INDEX(mat_price,MATCH(B1549,mat_ref,0)))</f>
        <v/>
      </c>
      <c r="I1549" s="66" t="str">
        <f>IF(J1549&lt;&gt;"OK","",E1549*(1+G1549)*H1549)</f>
        <v/>
      </c>
      <c r="J1549" s="69" t="str">
        <f>IF(AND(A1549="",B1549=""),"",IF(A1549="","Produit manquant",IF(COUNTIF(prod_ref,A1549)=0,"Produit inconnu",IF(B1549="","Matière manquante",IF(ISNA(MATCH(B1549,mat_ref,0)),"Matière inconnue",IF(INDEX(mat_check,MATCH(B1549,mat_ref,0))&lt;&gt;"OK","Matière à corriger",IF(OR(NOT(ISNUMBER(E1549)),N(E1549)&lt;=0),"Quantité invalide",IF(AND(F1549&lt;&gt;"",OR(NOT(ISNUMBER(F1549)),N(F1549)&lt;0,N(F1549)&gt;=1)),"Perte entre 0 et 99 %",IF(COUNTIFS(bom_prod,A1549,bom_mat,B1549)&gt;1,"Matière en double","OK")))))))))</f>
        <v/>
      </c>
      <c r="K1549" s="71" t="str">
        <f>IF(AND(fiche_sel&lt;&gt;"",A1549=fiche_sel),COUNTIF(A$6:A1549,fiche_sel),"")</f>
        <v/>
      </c>
    </row>
    <row r="1550">
      <c r="A1550" s="60" t="n"/>
      <c r="B1550" s="60" t="n"/>
      <c r="C1550" s="71" t="str">
        <f>IF(B1550="","",IFERROR(INDEX(mat_des,MATCH(B1550,mat_ref,0))&amp;"","Matière inconnue"))</f>
        <v/>
      </c>
      <c r="D1550" s="69" t="str">
        <f>IF(B1550="","",IFERROR(INDEX(mat_unit,MATCH(B1550,mat_ref,0))&amp;"",""))</f>
        <v/>
      </c>
      <c r="E1550" s="72" t="n"/>
      <c r="F1550" s="65" t="n"/>
      <c r="G1550" s="68" t="str">
        <f>IF(J1550&lt;&gt;"OK","",IF(F1550="",N(INDEX(mat_loss,MATCH(B1550,mat_ref,0))),F1550))</f>
        <v/>
      </c>
      <c r="H1550" s="66" t="str">
        <f>IF(J1550&lt;&gt;"OK","",INDEX(mat_price,MATCH(B1550,mat_ref,0)))</f>
        <v/>
      </c>
      <c r="I1550" s="66" t="str">
        <f>IF(J1550&lt;&gt;"OK","",E1550*(1+G1550)*H1550)</f>
        <v/>
      </c>
      <c r="J1550" s="69" t="str">
        <f>IF(AND(A1550="",B1550=""),"",IF(A1550="","Produit manquant",IF(COUNTIF(prod_ref,A1550)=0,"Produit inconnu",IF(B1550="","Matière manquante",IF(ISNA(MATCH(B1550,mat_ref,0)),"Matière inconnue",IF(INDEX(mat_check,MATCH(B1550,mat_ref,0))&lt;&gt;"OK","Matière à corriger",IF(OR(NOT(ISNUMBER(E1550)),N(E1550)&lt;=0),"Quantité invalide",IF(AND(F1550&lt;&gt;"",OR(NOT(ISNUMBER(F1550)),N(F1550)&lt;0,N(F1550)&gt;=1)),"Perte entre 0 et 99 %",IF(COUNTIFS(bom_prod,A1550,bom_mat,B1550)&gt;1,"Matière en double","OK")))))))))</f>
        <v/>
      </c>
      <c r="K1550" s="71" t="str">
        <f>IF(AND(fiche_sel&lt;&gt;"",A1550=fiche_sel),COUNTIF(A$6:A1550,fiche_sel),"")</f>
        <v/>
      </c>
    </row>
    <row r="1551">
      <c r="A1551" s="60" t="n"/>
      <c r="B1551" s="60" t="n"/>
      <c r="C1551" s="71" t="str">
        <f>IF(B1551="","",IFERROR(INDEX(mat_des,MATCH(B1551,mat_ref,0))&amp;"","Matière inconnue"))</f>
        <v/>
      </c>
      <c r="D1551" s="69" t="str">
        <f>IF(B1551="","",IFERROR(INDEX(mat_unit,MATCH(B1551,mat_ref,0))&amp;"",""))</f>
        <v/>
      </c>
      <c r="E1551" s="72" t="n"/>
      <c r="F1551" s="65" t="n"/>
      <c r="G1551" s="68" t="str">
        <f>IF(J1551&lt;&gt;"OK","",IF(F1551="",N(INDEX(mat_loss,MATCH(B1551,mat_ref,0))),F1551))</f>
        <v/>
      </c>
      <c r="H1551" s="66" t="str">
        <f>IF(J1551&lt;&gt;"OK","",INDEX(mat_price,MATCH(B1551,mat_ref,0)))</f>
        <v/>
      </c>
      <c r="I1551" s="66" t="str">
        <f>IF(J1551&lt;&gt;"OK","",E1551*(1+G1551)*H1551)</f>
        <v/>
      </c>
      <c r="J1551" s="69" t="str">
        <f>IF(AND(A1551="",B1551=""),"",IF(A1551="","Produit manquant",IF(COUNTIF(prod_ref,A1551)=0,"Produit inconnu",IF(B1551="","Matière manquante",IF(ISNA(MATCH(B1551,mat_ref,0)),"Matière inconnue",IF(INDEX(mat_check,MATCH(B1551,mat_ref,0))&lt;&gt;"OK","Matière à corriger",IF(OR(NOT(ISNUMBER(E1551)),N(E1551)&lt;=0),"Quantité invalide",IF(AND(F1551&lt;&gt;"",OR(NOT(ISNUMBER(F1551)),N(F1551)&lt;0,N(F1551)&gt;=1)),"Perte entre 0 et 99 %",IF(COUNTIFS(bom_prod,A1551,bom_mat,B1551)&gt;1,"Matière en double","OK")))))))))</f>
        <v/>
      </c>
      <c r="K1551" s="71" t="str">
        <f>IF(AND(fiche_sel&lt;&gt;"",A1551=fiche_sel),COUNTIF(A$6:A1551,fiche_sel),"")</f>
        <v/>
      </c>
    </row>
    <row r="1552">
      <c r="A1552" s="60" t="n"/>
      <c r="B1552" s="60" t="n"/>
      <c r="C1552" s="71" t="str">
        <f>IF(B1552="","",IFERROR(INDEX(mat_des,MATCH(B1552,mat_ref,0))&amp;"","Matière inconnue"))</f>
        <v/>
      </c>
      <c r="D1552" s="69" t="str">
        <f>IF(B1552="","",IFERROR(INDEX(mat_unit,MATCH(B1552,mat_ref,0))&amp;"",""))</f>
        <v/>
      </c>
      <c r="E1552" s="72" t="n"/>
      <c r="F1552" s="65" t="n"/>
      <c r="G1552" s="68" t="str">
        <f>IF(J1552&lt;&gt;"OK","",IF(F1552="",N(INDEX(mat_loss,MATCH(B1552,mat_ref,0))),F1552))</f>
        <v/>
      </c>
      <c r="H1552" s="66" t="str">
        <f>IF(J1552&lt;&gt;"OK","",INDEX(mat_price,MATCH(B1552,mat_ref,0)))</f>
        <v/>
      </c>
      <c r="I1552" s="66" t="str">
        <f>IF(J1552&lt;&gt;"OK","",E1552*(1+G1552)*H1552)</f>
        <v/>
      </c>
      <c r="J1552" s="69" t="str">
        <f>IF(AND(A1552="",B1552=""),"",IF(A1552="","Produit manquant",IF(COUNTIF(prod_ref,A1552)=0,"Produit inconnu",IF(B1552="","Matière manquante",IF(ISNA(MATCH(B1552,mat_ref,0)),"Matière inconnue",IF(INDEX(mat_check,MATCH(B1552,mat_ref,0))&lt;&gt;"OK","Matière à corriger",IF(OR(NOT(ISNUMBER(E1552)),N(E1552)&lt;=0),"Quantité invalide",IF(AND(F1552&lt;&gt;"",OR(NOT(ISNUMBER(F1552)),N(F1552)&lt;0,N(F1552)&gt;=1)),"Perte entre 0 et 99 %",IF(COUNTIFS(bom_prod,A1552,bom_mat,B1552)&gt;1,"Matière en double","OK")))))))))</f>
        <v/>
      </c>
      <c r="K1552" s="71" t="str">
        <f>IF(AND(fiche_sel&lt;&gt;"",A1552=fiche_sel),COUNTIF(A$6:A1552,fiche_sel),"")</f>
        <v/>
      </c>
    </row>
    <row r="1553">
      <c r="A1553" s="60" t="n"/>
      <c r="B1553" s="60" t="n"/>
      <c r="C1553" s="71" t="str">
        <f>IF(B1553="","",IFERROR(INDEX(mat_des,MATCH(B1553,mat_ref,0))&amp;"","Matière inconnue"))</f>
        <v/>
      </c>
      <c r="D1553" s="69" t="str">
        <f>IF(B1553="","",IFERROR(INDEX(mat_unit,MATCH(B1553,mat_ref,0))&amp;"",""))</f>
        <v/>
      </c>
      <c r="E1553" s="72" t="n"/>
      <c r="F1553" s="65" t="n"/>
      <c r="G1553" s="68" t="str">
        <f>IF(J1553&lt;&gt;"OK","",IF(F1553="",N(INDEX(mat_loss,MATCH(B1553,mat_ref,0))),F1553))</f>
        <v/>
      </c>
      <c r="H1553" s="66" t="str">
        <f>IF(J1553&lt;&gt;"OK","",INDEX(mat_price,MATCH(B1553,mat_ref,0)))</f>
        <v/>
      </c>
      <c r="I1553" s="66" t="str">
        <f>IF(J1553&lt;&gt;"OK","",E1553*(1+G1553)*H1553)</f>
        <v/>
      </c>
      <c r="J1553" s="69" t="str">
        <f>IF(AND(A1553="",B1553=""),"",IF(A1553="","Produit manquant",IF(COUNTIF(prod_ref,A1553)=0,"Produit inconnu",IF(B1553="","Matière manquante",IF(ISNA(MATCH(B1553,mat_ref,0)),"Matière inconnue",IF(INDEX(mat_check,MATCH(B1553,mat_ref,0))&lt;&gt;"OK","Matière à corriger",IF(OR(NOT(ISNUMBER(E1553)),N(E1553)&lt;=0),"Quantité invalide",IF(AND(F1553&lt;&gt;"",OR(NOT(ISNUMBER(F1553)),N(F1553)&lt;0,N(F1553)&gt;=1)),"Perte entre 0 et 99 %",IF(COUNTIFS(bom_prod,A1553,bom_mat,B1553)&gt;1,"Matière en double","OK")))))))))</f>
        <v/>
      </c>
      <c r="K1553" s="71" t="str">
        <f>IF(AND(fiche_sel&lt;&gt;"",A1553=fiche_sel),COUNTIF(A$6:A1553,fiche_sel),"")</f>
        <v/>
      </c>
    </row>
    <row r="1554">
      <c r="A1554" s="60" t="n"/>
      <c r="B1554" s="60" t="n"/>
      <c r="C1554" s="71" t="str">
        <f>IF(B1554="","",IFERROR(INDEX(mat_des,MATCH(B1554,mat_ref,0))&amp;"","Matière inconnue"))</f>
        <v/>
      </c>
      <c r="D1554" s="69" t="str">
        <f>IF(B1554="","",IFERROR(INDEX(mat_unit,MATCH(B1554,mat_ref,0))&amp;"",""))</f>
        <v/>
      </c>
      <c r="E1554" s="72" t="n"/>
      <c r="F1554" s="65" t="n"/>
      <c r="G1554" s="68" t="str">
        <f>IF(J1554&lt;&gt;"OK","",IF(F1554="",N(INDEX(mat_loss,MATCH(B1554,mat_ref,0))),F1554))</f>
        <v/>
      </c>
      <c r="H1554" s="66" t="str">
        <f>IF(J1554&lt;&gt;"OK","",INDEX(mat_price,MATCH(B1554,mat_ref,0)))</f>
        <v/>
      </c>
      <c r="I1554" s="66" t="str">
        <f>IF(J1554&lt;&gt;"OK","",E1554*(1+G1554)*H1554)</f>
        <v/>
      </c>
      <c r="J1554" s="69" t="str">
        <f>IF(AND(A1554="",B1554=""),"",IF(A1554="","Produit manquant",IF(COUNTIF(prod_ref,A1554)=0,"Produit inconnu",IF(B1554="","Matière manquante",IF(ISNA(MATCH(B1554,mat_ref,0)),"Matière inconnue",IF(INDEX(mat_check,MATCH(B1554,mat_ref,0))&lt;&gt;"OK","Matière à corriger",IF(OR(NOT(ISNUMBER(E1554)),N(E1554)&lt;=0),"Quantité invalide",IF(AND(F1554&lt;&gt;"",OR(NOT(ISNUMBER(F1554)),N(F1554)&lt;0,N(F1554)&gt;=1)),"Perte entre 0 et 99 %",IF(COUNTIFS(bom_prod,A1554,bom_mat,B1554)&gt;1,"Matière en double","OK")))))))))</f>
        <v/>
      </c>
      <c r="K1554" s="71" t="str">
        <f>IF(AND(fiche_sel&lt;&gt;"",A1554=fiche_sel),COUNTIF(A$6:A1554,fiche_sel),"")</f>
        <v/>
      </c>
    </row>
    <row r="1555">
      <c r="A1555" s="60" t="n"/>
      <c r="B1555" s="60" t="n"/>
      <c r="C1555" s="71" t="str">
        <f>IF(B1555="","",IFERROR(INDEX(mat_des,MATCH(B1555,mat_ref,0))&amp;"","Matière inconnue"))</f>
        <v/>
      </c>
      <c r="D1555" s="69" t="str">
        <f>IF(B1555="","",IFERROR(INDEX(mat_unit,MATCH(B1555,mat_ref,0))&amp;"",""))</f>
        <v/>
      </c>
      <c r="E1555" s="72" t="n"/>
      <c r="F1555" s="65" t="n"/>
      <c r="G1555" s="68" t="str">
        <f>IF(J1555&lt;&gt;"OK","",IF(F1555="",N(INDEX(mat_loss,MATCH(B1555,mat_ref,0))),F1555))</f>
        <v/>
      </c>
      <c r="H1555" s="66" t="str">
        <f>IF(J1555&lt;&gt;"OK","",INDEX(mat_price,MATCH(B1555,mat_ref,0)))</f>
        <v/>
      </c>
      <c r="I1555" s="66" t="str">
        <f>IF(J1555&lt;&gt;"OK","",E1555*(1+G1555)*H1555)</f>
        <v/>
      </c>
      <c r="J1555" s="69" t="str">
        <f>IF(AND(A1555="",B1555=""),"",IF(A1555="","Produit manquant",IF(COUNTIF(prod_ref,A1555)=0,"Produit inconnu",IF(B1555="","Matière manquante",IF(ISNA(MATCH(B1555,mat_ref,0)),"Matière inconnue",IF(INDEX(mat_check,MATCH(B1555,mat_ref,0))&lt;&gt;"OK","Matière à corriger",IF(OR(NOT(ISNUMBER(E1555)),N(E1555)&lt;=0),"Quantité invalide",IF(AND(F1555&lt;&gt;"",OR(NOT(ISNUMBER(F1555)),N(F1555)&lt;0,N(F1555)&gt;=1)),"Perte entre 0 et 99 %",IF(COUNTIFS(bom_prod,A1555,bom_mat,B1555)&gt;1,"Matière en double","OK")))))))))</f>
        <v/>
      </c>
      <c r="K1555" s="71" t="str">
        <f>IF(AND(fiche_sel&lt;&gt;"",A1555=fiche_sel),COUNTIF(A$6:A1555,fiche_sel),"")</f>
        <v/>
      </c>
    </row>
    <row r="1556">
      <c r="A1556" s="60" t="n"/>
      <c r="B1556" s="60" t="n"/>
      <c r="C1556" s="71" t="str">
        <f>IF(B1556="","",IFERROR(INDEX(mat_des,MATCH(B1556,mat_ref,0))&amp;"","Matière inconnue"))</f>
        <v/>
      </c>
      <c r="D1556" s="69" t="str">
        <f>IF(B1556="","",IFERROR(INDEX(mat_unit,MATCH(B1556,mat_ref,0))&amp;"",""))</f>
        <v/>
      </c>
      <c r="E1556" s="72" t="n"/>
      <c r="F1556" s="65" t="n"/>
      <c r="G1556" s="68" t="str">
        <f>IF(J1556&lt;&gt;"OK","",IF(F1556="",N(INDEX(mat_loss,MATCH(B1556,mat_ref,0))),F1556))</f>
        <v/>
      </c>
      <c r="H1556" s="66" t="str">
        <f>IF(J1556&lt;&gt;"OK","",INDEX(mat_price,MATCH(B1556,mat_ref,0)))</f>
        <v/>
      </c>
      <c r="I1556" s="66" t="str">
        <f>IF(J1556&lt;&gt;"OK","",E1556*(1+G1556)*H1556)</f>
        <v/>
      </c>
      <c r="J1556" s="69" t="str">
        <f>IF(AND(A1556="",B1556=""),"",IF(A1556="","Produit manquant",IF(COUNTIF(prod_ref,A1556)=0,"Produit inconnu",IF(B1556="","Matière manquante",IF(ISNA(MATCH(B1556,mat_ref,0)),"Matière inconnue",IF(INDEX(mat_check,MATCH(B1556,mat_ref,0))&lt;&gt;"OK","Matière à corriger",IF(OR(NOT(ISNUMBER(E1556)),N(E1556)&lt;=0),"Quantité invalide",IF(AND(F1556&lt;&gt;"",OR(NOT(ISNUMBER(F1556)),N(F1556)&lt;0,N(F1556)&gt;=1)),"Perte entre 0 et 99 %",IF(COUNTIFS(bom_prod,A1556,bom_mat,B1556)&gt;1,"Matière en double","OK")))))))))</f>
        <v/>
      </c>
      <c r="K1556" s="71" t="str">
        <f>IF(AND(fiche_sel&lt;&gt;"",A1556=fiche_sel),COUNTIF(A$6:A1556,fiche_sel),"")</f>
        <v/>
      </c>
    </row>
    <row r="1557">
      <c r="A1557" s="60" t="n"/>
      <c r="B1557" s="60" t="n"/>
      <c r="C1557" s="71" t="str">
        <f>IF(B1557="","",IFERROR(INDEX(mat_des,MATCH(B1557,mat_ref,0))&amp;"","Matière inconnue"))</f>
        <v/>
      </c>
      <c r="D1557" s="69" t="str">
        <f>IF(B1557="","",IFERROR(INDEX(mat_unit,MATCH(B1557,mat_ref,0))&amp;"",""))</f>
        <v/>
      </c>
      <c r="E1557" s="72" t="n"/>
      <c r="F1557" s="65" t="n"/>
      <c r="G1557" s="68" t="str">
        <f>IF(J1557&lt;&gt;"OK","",IF(F1557="",N(INDEX(mat_loss,MATCH(B1557,mat_ref,0))),F1557))</f>
        <v/>
      </c>
      <c r="H1557" s="66" t="str">
        <f>IF(J1557&lt;&gt;"OK","",INDEX(mat_price,MATCH(B1557,mat_ref,0)))</f>
        <v/>
      </c>
      <c r="I1557" s="66" t="str">
        <f>IF(J1557&lt;&gt;"OK","",E1557*(1+G1557)*H1557)</f>
        <v/>
      </c>
      <c r="J1557" s="69" t="str">
        <f>IF(AND(A1557="",B1557=""),"",IF(A1557="","Produit manquant",IF(COUNTIF(prod_ref,A1557)=0,"Produit inconnu",IF(B1557="","Matière manquante",IF(ISNA(MATCH(B1557,mat_ref,0)),"Matière inconnue",IF(INDEX(mat_check,MATCH(B1557,mat_ref,0))&lt;&gt;"OK","Matière à corriger",IF(OR(NOT(ISNUMBER(E1557)),N(E1557)&lt;=0),"Quantité invalide",IF(AND(F1557&lt;&gt;"",OR(NOT(ISNUMBER(F1557)),N(F1557)&lt;0,N(F1557)&gt;=1)),"Perte entre 0 et 99 %",IF(COUNTIFS(bom_prod,A1557,bom_mat,B1557)&gt;1,"Matière en double","OK")))))))))</f>
        <v/>
      </c>
      <c r="K1557" s="71" t="str">
        <f>IF(AND(fiche_sel&lt;&gt;"",A1557=fiche_sel),COUNTIF(A$6:A1557,fiche_sel),"")</f>
        <v/>
      </c>
    </row>
    <row r="1558">
      <c r="A1558" s="60" t="n"/>
      <c r="B1558" s="60" t="n"/>
      <c r="C1558" s="71" t="str">
        <f>IF(B1558="","",IFERROR(INDEX(mat_des,MATCH(B1558,mat_ref,0))&amp;"","Matière inconnue"))</f>
        <v/>
      </c>
      <c r="D1558" s="69" t="str">
        <f>IF(B1558="","",IFERROR(INDEX(mat_unit,MATCH(B1558,mat_ref,0))&amp;"",""))</f>
        <v/>
      </c>
      <c r="E1558" s="72" t="n"/>
      <c r="F1558" s="65" t="n"/>
      <c r="G1558" s="68" t="str">
        <f>IF(J1558&lt;&gt;"OK","",IF(F1558="",N(INDEX(mat_loss,MATCH(B1558,mat_ref,0))),F1558))</f>
        <v/>
      </c>
      <c r="H1558" s="66" t="str">
        <f>IF(J1558&lt;&gt;"OK","",INDEX(mat_price,MATCH(B1558,mat_ref,0)))</f>
        <v/>
      </c>
      <c r="I1558" s="66" t="str">
        <f>IF(J1558&lt;&gt;"OK","",E1558*(1+G1558)*H1558)</f>
        <v/>
      </c>
      <c r="J1558" s="69" t="str">
        <f>IF(AND(A1558="",B1558=""),"",IF(A1558="","Produit manquant",IF(COUNTIF(prod_ref,A1558)=0,"Produit inconnu",IF(B1558="","Matière manquante",IF(ISNA(MATCH(B1558,mat_ref,0)),"Matière inconnue",IF(INDEX(mat_check,MATCH(B1558,mat_ref,0))&lt;&gt;"OK","Matière à corriger",IF(OR(NOT(ISNUMBER(E1558)),N(E1558)&lt;=0),"Quantité invalide",IF(AND(F1558&lt;&gt;"",OR(NOT(ISNUMBER(F1558)),N(F1558)&lt;0,N(F1558)&gt;=1)),"Perte entre 0 et 99 %",IF(COUNTIFS(bom_prod,A1558,bom_mat,B1558)&gt;1,"Matière en double","OK")))))))))</f>
        <v/>
      </c>
      <c r="K1558" s="71" t="str">
        <f>IF(AND(fiche_sel&lt;&gt;"",A1558=fiche_sel),COUNTIF(A$6:A1558,fiche_sel),"")</f>
        <v/>
      </c>
    </row>
    <row r="1559">
      <c r="A1559" s="60" t="n"/>
      <c r="B1559" s="60" t="n"/>
      <c r="C1559" s="71" t="str">
        <f>IF(B1559="","",IFERROR(INDEX(mat_des,MATCH(B1559,mat_ref,0))&amp;"","Matière inconnue"))</f>
        <v/>
      </c>
      <c r="D1559" s="69" t="str">
        <f>IF(B1559="","",IFERROR(INDEX(mat_unit,MATCH(B1559,mat_ref,0))&amp;"",""))</f>
        <v/>
      </c>
      <c r="E1559" s="72" t="n"/>
      <c r="F1559" s="65" t="n"/>
      <c r="G1559" s="68" t="str">
        <f>IF(J1559&lt;&gt;"OK","",IF(F1559="",N(INDEX(mat_loss,MATCH(B1559,mat_ref,0))),F1559))</f>
        <v/>
      </c>
      <c r="H1559" s="66" t="str">
        <f>IF(J1559&lt;&gt;"OK","",INDEX(mat_price,MATCH(B1559,mat_ref,0)))</f>
        <v/>
      </c>
      <c r="I1559" s="66" t="str">
        <f>IF(J1559&lt;&gt;"OK","",E1559*(1+G1559)*H1559)</f>
        <v/>
      </c>
      <c r="J1559" s="69" t="str">
        <f>IF(AND(A1559="",B1559=""),"",IF(A1559="","Produit manquant",IF(COUNTIF(prod_ref,A1559)=0,"Produit inconnu",IF(B1559="","Matière manquante",IF(ISNA(MATCH(B1559,mat_ref,0)),"Matière inconnue",IF(INDEX(mat_check,MATCH(B1559,mat_ref,0))&lt;&gt;"OK","Matière à corriger",IF(OR(NOT(ISNUMBER(E1559)),N(E1559)&lt;=0),"Quantité invalide",IF(AND(F1559&lt;&gt;"",OR(NOT(ISNUMBER(F1559)),N(F1559)&lt;0,N(F1559)&gt;=1)),"Perte entre 0 et 99 %",IF(COUNTIFS(bom_prod,A1559,bom_mat,B1559)&gt;1,"Matière en double","OK")))))))))</f>
        <v/>
      </c>
      <c r="K1559" s="71" t="str">
        <f>IF(AND(fiche_sel&lt;&gt;"",A1559=fiche_sel),COUNTIF(A$6:A1559,fiche_sel),"")</f>
        <v/>
      </c>
    </row>
    <row r="1560">
      <c r="A1560" s="60" t="n"/>
      <c r="B1560" s="60" t="n"/>
      <c r="C1560" s="71" t="str">
        <f>IF(B1560="","",IFERROR(INDEX(mat_des,MATCH(B1560,mat_ref,0))&amp;"","Matière inconnue"))</f>
        <v/>
      </c>
      <c r="D1560" s="69" t="str">
        <f>IF(B1560="","",IFERROR(INDEX(mat_unit,MATCH(B1560,mat_ref,0))&amp;"",""))</f>
        <v/>
      </c>
      <c r="E1560" s="72" t="n"/>
      <c r="F1560" s="65" t="n"/>
      <c r="G1560" s="68" t="str">
        <f>IF(J1560&lt;&gt;"OK","",IF(F1560="",N(INDEX(mat_loss,MATCH(B1560,mat_ref,0))),F1560))</f>
        <v/>
      </c>
      <c r="H1560" s="66" t="str">
        <f>IF(J1560&lt;&gt;"OK","",INDEX(mat_price,MATCH(B1560,mat_ref,0)))</f>
        <v/>
      </c>
      <c r="I1560" s="66" t="str">
        <f>IF(J1560&lt;&gt;"OK","",E1560*(1+G1560)*H1560)</f>
        <v/>
      </c>
      <c r="J1560" s="69" t="str">
        <f>IF(AND(A1560="",B1560=""),"",IF(A1560="","Produit manquant",IF(COUNTIF(prod_ref,A1560)=0,"Produit inconnu",IF(B1560="","Matière manquante",IF(ISNA(MATCH(B1560,mat_ref,0)),"Matière inconnue",IF(INDEX(mat_check,MATCH(B1560,mat_ref,0))&lt;&gt;"OK","Matière à corriger",IF(OR(NOT(ISNUMBER(E1560)),N(E1560)&lt;=0),"Quantité invalide",IF(AND(F1560&lt;&gt;"",OR(NOT(ISNUMBER(F1560)),N(F1560)&lt;0,N(F1560)&gt;=1)),"Perte entre 0 et 99 %",IF(COUNTIFS(bom_prod,A1560,bom_mat,B1560)&gt;1,"Matière en double","OK")))))))))</f>
        <v/>
      </c>
      <c r="K1560" s="71" t="str">
        <f>IF(AND(fiche_sel&lt;&gt;"",A1560=fiche_sel),COUNTIF(A$6:A1560,fiche_sel),"")</f>
        <v/>
      </c>
    </row>
    <row r="1561">
      <c r="A1561" s="60" t="n"/>
      <c r="B1561" s="60" t="n"/>
      <c r="C1561" s="71" t="str">
        <f>IF(B1561="","",IFERROR(INDEX(mat_des,MATCH(B1561,mat_ref,0))&amp;"","Matière inconnue"))</f>
        <v/>
      </c>
      <c r="D1561" s="69" t="str">
        <f>IF(B1561="","",IFERROR(INDEX(mat_unit,MATCH(B1561,mat_ref,0))&amp;"",""))</f>
        <v/>
      </c>
      <c r="E1561" s="72" t="n"/>
      <c r="F1561" s="65" t="n"/>
      <c r="G1561" s="68" t="str">
        <f>IF(J1561&lt;&gt;"OK","",IF(F1561="",N(INDEX(mat_loss,MATCH(B1561,mat_ref,0))),F1561))</f>
        <v/>
      </c>
      <c r="H1561" s="66" t="str">
        <f>IF(J1561&lt;&gt;"OK","",INDEX(mat_price,MATCH(B1561,mat_ref,0)))</f>
        <v/>
      </c>
      <c r="I1561" s="66" t="str">
        <f>IF(J1561&lt;&gt;"OK","",E1561*(1+G1561)*H1561)</f>
        <v/>
      </c>
      <c r="J1561" s="69" t="str">
        <f>IF(AND(A1561="",B1561=""),"",IF(A1561="","Produit manquant",IF(COUNTIF(prod_ref,A1561)=0,"Produit inconnu",IF(B1561="","Matière manquante",IF(ISNA(MATCH(B1561,mat_ref,0)),"Matière inconnue",IF(INDEX(mat_check,MATCH(B1561,mat_ref,0))&lt;&gt;"OK","Matière à corriger",IF(OR(NOT(ISNUMBER(E1561)),N(E1561)&lt;=0),"Quantité invalide",IF(AND(F1561&lt;&gt;"",OR(NOT(ISNUMBER(F1561)),N(F1561)&lt;0,N(F1561)&gt;=1)),"Perte entre 0 et 99 %",IF(COUNTIFS(bom_prod,A1561,bom_mat,B1561)&gt;1,"Matière en double","OK")))))))))</f>
        <v/>
      </c>
      <c r="K1561" s="71" t="str">
        <f>IF(AND(fiche_sel&lt;&gt;"",A1561=fiche_sel),COUNTIF(A$6:A1561,fiche_sel),"")</f>
        <v/>
      </c>
    </row>
    <row r="1562">
      <c r="A1562" s="60" t="n"/>
      <c r="B1562" s="60" t="n"/>
      <c r="C1562" s="71" t="str">
        <f>IF(B1562="","",IFERROR(INDEX(mat_des,MATCH(B1562,mat_ref,0))&amp;"","Matière inconnue"))</f>
        <v/>
      </c>
      <c r="D1562" s="69" t="str">
        <f>IF(B1562="","",IFERROR(INDEX(mat_unit,MATCH(B1562,mat_ref,0))&amp;"",""))</f>
        <v/>
      </c>
      <c r="E1562" s="72" t="n"/>
      <c r="F1562" s="65" t="n"/>
      <c r="G1562" s="68" t="str">
        <f>IF(J1562&lt;&gt;"OK","",IF(F1562="",N(INDEX(mat_loss,MATCH(B1562,mat_ref,0))),F1562))</f>
        <v/>
      </c>
      <c r="H1562" s="66" t="str">
        <f>IF(J1562&lt;&gt;"OK","",INDEX(mat_price,MATCH(B1562,mat_ref,0)))</f>
        <v/>
      </c>
      <c r="I1562" s="66" t="str">
        <f>IF(J1562&lt;&gt;"OK","",E1562*(1+G1562)*H1562)</f>
        <v/>
      </c>
      <c r="J1562" s="69" t="str">
        <f>IF(AND(A1562="",B1562=""),"",IF(A1562="","Produit manquant",IF(COUNTIF(prod_ref,A1562)=0,"Produit inconnu",IF(B1562="","Matière manquante",IF(ISNA(MATCH(B1562,mat_ref,0)),"Matière inconnue",IF(INDEX(mat_check,MATCH(B1562,mat_ref,0))&lt;&gt;"OK","Matière à corriger",IF(OR(NOT(ISNUMBER(E1562)),N(E1562)&lt;=0),"Quantité invalide",IF(AND(F1562&lt;&gt;"",OR(NOT(ISNUMBER(F1562)),N(F1562)&lt;0,N(F1562)&gt;=1)),"Perte entre 0 et 99 %",IF(COUNTIFS(bom_prod,A1562,bom_mat,B1562)&gt;1,"Matière en double","OK")))))))))</f>
        <v/>
      </c>
      <c r="K1562" s="71" t="str">
        <f>IF(AND(fiche_sel&lt;&gt;"",A1562=fiche_sel),COUNTIF(A$6:A1562,fiche_sel),"")</f>
        <v/>
      </c>
    </row>
    <row r="1563">
      <c r="A1563" s="60" t="n"/>
      <c r="B1563" s="60" t="n"/>
      <c r="C1563" s="71" t="str">
        <f>IF(B1563="","",IFERROR(INDEX(mat_des,MATCH(B1563,mat_ref,0))&amp;"","Matière inconnue"))</f>
        <v/>
      </c>
      <c r="D1563" s="69" t="str">
        <f>IF(B1563="","",IFERROR(INDEX(mat_unit,MATCH(B1563,mat_ref,0))&amp;"",""))</f>
        <v/>
      </c>
      <c r="E1563" s="72" t="n"/>
      <c r="F1563" s="65" t="n"/>
      <c r="G1563" s="68" t="str">
        <f>IF(J1563&lt;&gt;"OK","",IF(F1563="",N(INDEX(mat_loss,MATCH(B1563,mat_ref,0))),F1563))</f>
        <v/>
      </c>
      <c r="H1563" s="66" t="str">
        <f>IF(J1563&lt;&gt;"OK","",INDEX(mat_price,MATCH(B1563,mat_ref,0)))</f>
        <v/>
      </c>
      <c r="I1563" s="66" t="str">
        <f>IF(J1563&lt;&gt;"OK","",E1563*(1+G1563)*H1563)</f>
        <v/>
      </c>
      <c r="J1563" s="69" t="str">
        <f>IF(AND(A1563="",B1563=""),"",IF(A1563="","Produit manquant",IF(COUNTIF(prod_ref,A1563)=0,"Produit inconnu",IF(B1563="","Matière manquante",IF(ISNA(MATCH(B1563,mat_ref,0)),"Matière inconnue",IF(INDEX(mat_check,MATCH(B1563,mat_ref,0))&lt;&gt;"OK","Matière à corriger",IF(OR(NOT(ISNUMBER(E1563)),N(E1563)&lt;=0),"Quantité invalide",IF(AND(F1563&lt;&gt;"",OR(NOT(ISNUMBER(F1563)),N(F1563)&lt;0,N(F1563)&gt;=1)),"Perte entre 0 et 99 %",IF(COUNTIFS(bom_prod,A1563,bom_mat,B1563)&gt;1,"Matière en double","OK")))))))))</f>
        <v/>
      </c>
      <c r="K1563" s="71" t="str">
        <f>IF(AND(fiche_sel&lt;&gt;"",A1563=fiche_sel),COUNTIF(A$6:A1563,fiche_sel),"")</f>
        <v/>
      </c>
    </row>
    <row r="1564">
      <c r="A1564" s="60" t="n"/>
      <c r="B1564" s="60" t="n"/>
      <c r="C1564" s="71" t="str">
        <f>IF(B1564="","",IFERROR(INDEX(mat_des,MATCH(B1564,mat_ref,0))&amp;"","Matière inconnue"))</f>
        <v/>
      </c>
      <c r="D1564" s="69" t="str">
        <f>IF(B1564="","",IFERROR(INDEX(mat_unit,MATCH(B1564,mat_ref,0))&amp;"",""))</f>
        <v/>
      </c>
      <c r="E1564" s="72" t="n"/>
      <c r="F1564" s="65" t="n"/>
      <c r="G1564" s="68" t="str">
        <f>IF(J1564&lt;&gt;"OK","",IF(F1564="",N(INDEX(mat_loss,MATCH(B1564,mat_ref,0))),F1564))</f>
        <v/>
      </c>
      <c r="H1564" s="66" t="str">
        <f>IF(J1564&lt;&gt;"OK","",INDEX(mat_price,MATCH(B1564,mat_ref,0)))</f>
        <v/>
      </c>
      <c r="I1564" s="66" t="str">
        <f>IF(J1564&lt;&gt;"OK","",E1564*(1+G1564)*H1564)</f>
        <v/>
      </c>
      <c r="J1564" s="69" t="str">
        <f>IF(AND(A1564="",B1564=""),"",IF(A1564="","Produit manquant",IF(COUNTIF(prod_ref,A1564)=0,"Produit inconnu",IF(B1564="","Matière manquante",IF(ISNA(MATCH(B1564,mat_ref,0)),"Matière inconnue",IF(INDEX(mat_check,MATCH(B1564,mat_ref,0))&lt;&gt;"OK","Matière à corriger",IF(OR(NOT(ISNUMBER(E1564)),N(E1564)&lt;=0),"Quantité invalide",IF(AND(F1564&lt;&gt;"",OR(NOT(ISNUMBER(F1564)),N(F1564)&lt;0,N(F1564)&gt;=1)),"Perte entre 0 et 99 %",IF(COUNTIFS(bom_prod,A1564,bom_mat,B1564)&gt;1,"Matière en double","OK")))))))))</f>
        <v/>
      </c>
      <c r="K1564" s="71" t="str">
        <f>IF(AND(fiche_sel&lt;&gt;"",A1564=fiche_sel),COUNTIF(A$6:A1564,fiche_sel),"")</f>
        <v/>
      </c>
    </row>
    <row r="1565">
      <c r="A1565" s="60" t="n"/>
      <c r="B1565" s="60" t="n"/>
      <c r="C1565" s="71" t="str">
        <f>IF(B1565="","",IFERROR(INDEX(mat_des,MATCH(B1565,mat_ref,0))&amp;"","Matière inconnue"))</f>
        <v/>
      </c>
      <c r="D1565" s="69" t="str">
        <f>IF(B1565="","",IFERROR(INDEX(mat_unit,MATCH(B1565,mat_ref,0))&amp;"",""))</f>
        <v/>
      </c>
      <c r="E1565" s="72" t="n"/>
      <c r="F1565" s="65" t="n"/>
      <c r="G1565" s="68" t="str">
        <f>IF(J1565&lt;&gt;"OK","",IF(F1565="",N(INDEX(mat_loss,MATCH(B1565,mat_ref,0))),F1565))</f>
        <v/>
      </c>
      <c r="H1565" s="66" t="str">
        <f>IF(J1565&lt;&gt;"OK","",INDEX(mat_price,MATCH(B1565,mat_ref,0)))</f>
        <v/>
      </c>
      <c r="I1565" s="66" t="str">
        <f>IF(J1565&lt;&gt;"OK","",E1565*(1+G1565)*H1565)</f>
        <v/>
      </c>
      <c r="J1565" s="69" t="str">
        <f>IF(AND(A1565="",B1565=""),"",IF(A1565="","Produit manquant",IF(COUNTIF(prod_ref,A1565)=0,"Produit inconnu",IF(B1565="","Matière manquante",IF(ISNA(MATCH(B1565,mat_ref,0)),"Matière inconnue",IF(INDEX(mat_check,MATCH(B1565,mat_ref,0))&lt;&gt;"OK","Matière à corriger",IF(OR(NOT(ISNUMBER(E1565)),N(E1565)&lt;=0),"Quantité invalide",IF(AND(F1565&lt;&gt;"",OR(NOT(ISNUMBER(F1565)),N(F1565)&lt;0,N(F1565)&gt;=1)),"Perte entre 0 et 99 %",IF(COUNTIFS(bom_prod,A1565,bom_mat,B1565)&gt;1,"Matière en double","OK")))))))))</f>
        <v/>
      </c>
      <c r="K1565" s="71" t="str">
        <f>IF(AND(fiche_sel&lt;&gt;"",A1565=fiche_sel),COUNTIF(A$6:A1565,fiche_sel),"")</f>
        <v/>
      </c>
    </row>
    <row r="1566">
      <c r="A1566" s="60" t="n"/>
      <c r="B1566" s="60" t="n"/>
      <c r="C1566" s="71" t="str">
        <f>IF(B1566="","",IFERROR(INDEX(mat_des,MATCH(B1566,mat_ref,0))&amp;"","Matière inconnue"))</f>
        <v/>
      </c>
      <c r="D1566" s="69" t="str">
        <f>IF(B1566="","",IFERROR(INDEX(mat_unit,MATCH(B1566,mat_ref,0))&amp;"",""))</f>
        <v/>
      </c>
      <c r="E1566" s="72" t="n"/>
      <c r="F1566" s="65" t="n"/>
      <c r="G1566" s="68" t="str">
        <f>IF(J1566&lt;&gt;"OK","",IF(F1566="",N(INDEX(mat_loss,MATCH(B1566,mat_ref,0))),F1566))</f>
        <v/>
      </c>
      <c r="H1566" s="66" t="str">
        <f>IF(J1566&lt;&gt;"OK","",INDEX(mat_price,MATCH(B1566,mat_ref,0)))</f>
        <v/>
      </c>
      <c r="I1566" s="66" t="str">
        <f>IF(J1566&lt;&gt;"OK","",E1566*(1+G1566)*H1566)</f>
        <v/>
      </c>
      <c r="J1566" s="69" t="str">
        <f>IF(AND(A1566="",B1566=""),"",IF(A1566="","Produit manquant",IF(COUNTIF(prod_ref,A1566)=0,"Produit inconnu",IF(B1566="","Matière manquante",IF(ISNA(MATCH(B1566,mat_ref,0)),"Matière inconnue",IF(INDEX(mat_check,MATCH(B1566,mat_ref,0))&lt;&gt;"OK","Matière à corriger",IF(OR(NOT(ISNUMBER(E1566)),N(E1566)&lt;=0),"Quantité invalide",IF(AND(F1566&lt;&gt;"",OR(NOT(ISNUMBER(F1566)),N(F1566)&lt;0,N(F1566)&gt;=1)),"Perte entre 0 et 99 %",IF(COUNTIFS(bom_prod,A1566,bom_mat,B1566)&gt;1,"Matière en double","OK")))))))))</f>
        <v/>
      </c>
      <c r="K1566" s="71" t="str">
        <f>IF(AND(fiche_sel&lt;&gt;"",A1566=fiche_sel),COUNTIF(A$6:A1566,fiche_sel),"")</f>
        <v/>
      </c>
    </row>
    <row r="1567">
      <c r="A1567" s="60" t="n"/>
      <c r="B1567" s="60" t="n"/>
      <c r="C1567" s="71" t="str">
        <f>IF(B1567="","",IFERROR(INDEX(mat_des,MATCH(B1567,mat_ref,0))&amp;"","Matière inconnue"))</f>
        <v/>
      </c>
      <c r="D1567" s="69" t="str">
        <f>IF(B1567="","",IFERROR(INDEX(mat_unit,MATCH(B1567,mat_ref,0))&amp;"",""))</f>
        <v/>
      </c>
      <c r="E1567" s="72" t="n"/>
      <c r="F1567" s="65" t="n"/>
      <c r="G1567" s="68" t="str">
        <f>IF(J1567&lt;&gt;"OK","",IF(F1567="",N(INDEX(mat_loss,MATCH(B1567,mat_ref,0))),F1567))</f>
        <v/>
      </c>
      <c r="H1567" s="66" t="str">
        <f>IF(J1567&lt;&gt;"OK","",INDEX(mat_price,MATCH(B1567,mat_ref,0)))</f>
        <v/>
      </c>
      <c r="I1567" s="66" t="str">
        <f>IF(J1567&lt;&gt;"OK","",E1567*(1+G1567)*H1567)</f>
        <v/>
      </c>
      <c r="J1567" s="69" t="str">
        <f>IF(AND(A1567="",B1567=""),"",IF(A1567="","Produit manquant",IF(COUNTIF(prod_ref,A1567)=0,"Produit inconnu",IF(B1567="","Matière manquante",IF(ISNA(MATCH(B1567,mat_ref,0)),"Matière inconnue",IF(INDEX(mat_check,MATCH(B1567,mat_ref,0))&lt;&gt;"OK","Matière à corriger",IF(OR(NOT(ISNUMBER(E1567)),N(E1567)&lt;=0),"Quantité invalide",IF(AND(F1567&lt;&gt;"",OR(NOT(ISNUMBER(F1567)),N(F1567)&lt;0,N(F1567)&gt;=1)),"Perte entre 0 et 99 %",IF(COUNTIFS(bom_prod,A1567,bom_mat,B1567)&gt;1,"Matière en double","OK")))))))))</f>
        <v/>
      </c>
      <c r="K1567" s="71" t="str">
        <f>IF(AND(fiche_sel&lt;&gt;"",A1567=fiche_sel),COUNTIF(A$6:A1567,fiche_sel),"")</f>
        <v/>
      </c>
    </row>
    <row r="1568">
      <c r="A1568" s="60" t="n"/>
      <c r="B1568" s="60" t="n"/>
      <c r="C1568" s="71" t="str">
        <f>IF(B1568="","",IFERROR(INDEX(mat_des,MATCH(B1568,mat_ref,0))&amp;"","Matière inconnue"))</f>
        <v/>
      </c>
      <c r="D1568" s="69" t="str">
        <f>IF(B1568="","",IFERROR(INDEX(mat_unit,MATCH(B1568,mat_ref,0))&amp;"",""))</f>
        <v/>
      </c>
      <c r="E1568" s="72" t="n"/>
      <c r="F1568" s="65" t="n"/>
      <c r="G1568" s="68" t="str">
        <f>IF(J1568&lt;&gt;"OK","",IF(F1568="",N(INDEX(mat_loss,MATCH(B1568,mat_ref,0))),F1568))</f>
        <v/>
      </c>
      <c r="H1568" s="66" t="str">
        <f>IF(J1568&lt;&gt;"OK","",INDEX(mat_price,MATCH(B1568,mat_ref,0)))</f>
        <v/>
      </c>
      <c r="I1568" s="66" t="str">
        <f>IF(J1568&lt;&gt;"OK","",E1568*(1+G1568)*H1568)</f>
        <v/>
      </c>
      <c r="J1568" s="69" t="str">
        <f>IF(AND(A1568="",B1568=""),"",IF(A1568="","Produit manquant",IF(COUNTIF(prod_ref,A1568)=0,"Produit inconnu",IF(B1568="","Matière manquante",IF(ISNA(MATCH(B1568,mat_ref,0)),"Matière inconnue",IF(INDEX(mat_check,MATCH(B1568,mat_ref,0))&lt;&gt;"OK","Matière à corriger",IF(OR(NOT(ISNUMBER(E1568)),N(E1568)&lt;=0),"Quantité invalide",IF(AND(F1568&lt;&gt;"",OR(NOT(ISNUMBER(F1568)),N(F1568)&lt;0,N(F1568)&gt;=1)),"Perte entre 0 et 99 %",IF(COUNTIFS(bom_prod,A1568,bom_mat,B1568)&gt;1,"Matière en double","OK")))))))))</f>
        <v/>
      </c>
      <c r="K1568" s="71" t="str">
        <f>IF(AND(fiche_sel&lt;&gt;"",A1568=fiche_sel),COUNTIF(A$6:A1568,fiche_sel),"")</f>
        <v/>
      </c>
    </row>
    <row r="1569">
      <c r="A1569" s="60" t="n"/>
      <c r="B1569" s="60" t="n"/>
      <c r="C1569" s="71" t="str">
        <f>IF(B1569="","",IFERROR(INDEX(mat_des,MATCH(B1569,mat_ref,0))&amp;"","Matière inconnue"))</f>
        <v/>
      </c>
      <c r="D1569" s="69" t="str">
        <f>IF(B1569="","",IFERROR(INDEX(mat_unit,MATCH(B1569,mat_ref,0))&amp;"",""))</f>
        <v/>
      </c>
      <c r="E1569" s="72" t="n"/>
      <c r="F1569" s="65" t="n"/>
      <c r="G1569" s="68" t="str">
        <f>IF(J1569&lt;&gt;"OK","",IF(F1569="",N(INDEX(mat_loss,MATCH(B1569,mat_ref,0))),F1569))</f>
        <v/>
      </c>
      <c r="H1569" s="66" t="str">
        <f>IF(J1569&lt;&gt;"OK","",INDEX(mat_price,MATCH(B1569,mat_ref,0)))</f>
        <v/>
      </c>
      <c r="I1569" s="66" t="str">
        <f>IF(J1569&lt;&gt;"OK","",E1569*(1+G1569)*H1569)</f>
        <v/>
      </c>
      <c r="J1569" s="69" t="str">
        <f>IF(AND(A1569="",B1569=""),"",IF(A1569="","Produit manquant",IF(COUNTIF(prod_ref,A1569)=0,"Produit inconnu",IF(B1569="","Matière manquante",IF(ISNA(MATCH(B1569,mat_ref,0)),"Matière inconnue",IF(INDEX(mat_check,MATCH(B1569,mat_ref,0))&lt;&gt;"OK","Matière à corriger",IF(OR(NOT(ISNUMBER(E1569)),N(E1569)&lt;=0),"Quantité invalide",IF(AND(F1569&lt;&gt;"",OR(NOT(ISNUMBER(F1569)),N(F1569)&lt;0,N(F1569)&gt;=1)),"Perte entre 0 et 99 %",IF(COUNTIFS(bom_prod,A1569,bom_mat,B1569)&gt;1,"Matière en double","OK")))))))))</f>
        <v/>
      </c>
      <c r="K1569" s="71" t="str">
        <f>IF(AND(fiche_sel&lt;&gt;"",A1569=fiche_sel),COUNTIF(A$6:A1569,fiche_sel),"")</f>
        <v/>
      </c>
    </row>
    <row r="1570">
      <c r="A1570" s="60" t="n"/>
      <c r="B1570" s="60" t="n"/>
      <c r="C1570" s="71" t="str">
        <f>IF(B1570="","",IFERROR(INDEX(mat_des,MATCH(B1570,mat_ref,0))&amp;"","Matière inconnue"))</f>
        <v/>
      </c>
      <c r="D1570" s="69" t="str">
        <f>IF(B1570="","",IFERROR(INDEX(mat_unit,MATCH(B1570,mat_ref,0))&amp;"",""))</f>
        <v/>
      </c>
      <c r="E1570" s="72" t="n"/>
      <c r="F1570" s="65" t="n"/>
      <c r="G1570" s="68" t="str">
        <f>IF(J1570&lt;&gt;"OK","",IF(F1570="",N(INDEX(mat_loss,MATCH(B1570,mat_ref,0))),F1570))</f>
        <v/>
      </c>
      <c r="H1570" s="66" t="str">
        <f>IF(J1570&lt;&gt;"OK","",INDEX(mat_price,MATCH(B1570,mat_ref,0)))</f>
        <v/>
      </c>
      <c r="I1570" s="66" t="str">
        <f>IF(J1570&lt;&gt;"OK","",E1570*(1+G1570)*H1570)</f>
        <v/>
      </c>
      <c r="J1570" s="69" t="str">
        <f>IF(AND(A1570="",B1570=""),"",IF(A1570="","Produit manquant",IF(COUNTIF(prod_ref,A1570)=0,"Produit inconnu",IF(B1570="","Matière manquante",IF(ISNA(MATCH(B1570,mat_ref,0)),"Matière inconnue",IF(INDEX(mat_check,MATCH(B1570,mat_ref,0))&lt;&gt;"OK","Matière à corriger",IF(OR(NOT(ISNUMBER(E1570)),N(E1570)&lt;=0),"Quantité invalide",IF(AND(F1570&lt;&gt;"",OR(NOT(ISNUMBER(F1570)),N(F1570)&lt;0,N(F1570)&gt;=1)),"Perte entre 0 et 99 %",IF(COUNTIFS(bom_prod,A1570,bom_mat,B1570)&gt;1,"Matière en double","OK")))))))))</f>
        <v/>
      </c>
      <c r="K1570" s="71" t="str">
        <f>IF(AND(fiche_sel&lt;&gt;"",A1570=fiche_sel),COUNTIF(A$6:A1570,fiche_sel),"")</f>
        <v/>
      </c>
    </row>
    <row r="1571">
      <c r="A1571" s="60" t="n"/>
      <c r="B1571" s="60" t="n"/>
      <c r="C1571" s="71" t="str">
        <f>IF(B1571="","",IFERROR(INDEX(mat_des,MATCH(B1571,mat_ref,0))&amp;"","Matière inconnue"))</f>
        <v/>
      </c>
      <c r="D1571" s="69" t="str">
        <f>IF(B1571="","",IFERROR(INDEX(mat_unit,MATCH(B1571,mat_ref,0))&amp;"",""))</f>
        <v/>
      </c>
      <c r="E1571" s="72" t="n"/>
      <c r="F1571" s="65" t="n"/>
      <c r="G1571" s="68" t="str">
        <f>IF(J1571&lt;&gt;"OK","",IF(F1571="",N(INDEX(mat_loss,MATCH(B1571,mat_ref,0))),F1571))</f>
        <v/>
      </c>
      <c r="H1571" s="66" t="str">
        <f>IF(J1571&lt;&gt;"OK","",INDEX(mat_price,MATCH(B1571,mat_ref,0)))</f>
        <v/>
      </c>
      <c r="I1571" s="66" t="str">
        <f>IF(J1571&lt;&gt;"OK","",E1571*(1+G1571)*H1571)</f>
        <v/>
      </c>
      <c r="J1571" s="69" t="str">
        <f>IF(AND(A1571="",B1571=""),"",IF(A1571="","Produit manquant",IF(COUNTIF(prod_ref,A1571)=0,"Produit inconnu",IF(B1571="","Matière manquante",IF(ISNA(MATCH(B1571,mat_ref,0)),"Matière inconnue",IF(INDEX(mat_check,MATCH(B1571,mat_ref,0))&lt;&gt;"OK","Matière à corriger",IF(OR(NOT(ISNUMBER(E1571)),N(E1571)&lt;=0),"Quantité invalide",IF(AND(F1571&lt;&gt;"",OR(NOT(ISNUMBER(F1571)),N(F1571)&lt;0,N(F1571)&gt;=1)),"Perte entre 0 et 99 %",IF(COUNTIFS(bom_prod,A1571,bom_mat,B1571)&gt;1,"Matière en double","OK")))))))))</f>
        <v/>
      </c>
      <c r="K1571" s="71" t="str">
        <f>IF(AND(fiche_sel&lt;&gt;"",A1571=fiche_sel),COUNTIF(A$6:A1571,fiche_sel),"")</f>
        <v/>
      </c>
    </row>
    <row r="1572">
      <c r="A1572" s="60" t="n"/>
      <c r="B1572" s="60" t="n"/>
      <c r="C1572" s="71" t="str">
        <f>IF(B1572="","",IFERROR(INDEX(mat_des,MATCH(B1572,mat_ref,0))&amp;"","Matière inconnue"))</f>
        <v/>
      </c>
      <c r="D1572" s="69" t="str">
        <f>IF(B1572="","",IFERROR(INDEX(mat_unit,MATCH(B1572,mat_ref,0))&amp;"",""))</f>
        <v/>
      </c>
      <c r="E1572" s="72" t="n"/>
      <c r="F1572" s="65" t="n"/>
      <c r="G1572" s="68" t="str">
        <f>IF(J1572&lt;&gt;"OK","",IF(F1572="",N(INDEX(mat_loss,MATCH(B1572,mat_ref,0))),F1572))</f>
        <v/>
      </c>
      <c r="H1572" s="66" t="str">
        <f>IF(J1572&lt;&gt;"OK","",INDEX(mat_price,MATCH(B1572,mat_ref,0)))</f>
        <v/>
      </c>
      <c r="I1572" s="66" t="str">
        <f>IF(J1572&lt;&gt;"OK","",E1572*(1+G1572)*H1572)</f>
        <v/>
      </c>
      <c r="J1572" s="69" t="str">
        <f>IF(AND(A1572="",B1572=""),"",IF(A1572="","Produit manquant",IF(COUNTIF(prod_ref,A1572)=0,"Produit inconnu",IF(B1572="","Matière manquante",IF(ISNA(MATCH(B1572,mat_ref,0)),"Matière inconnue",IF(INDEX(mat_check,MATCH(B1572,mat_ref,0))&lt;&gt;"OK","Matière à corriger",IF(OR(NOT(ISNUMBER(E1572)),N(E1572)&lt;=0),"Quantité invalide",IF(AND(F1572&lt;&gt;"",OR(NOT(ISNUMBER(F1572)),N(F1572)&lt;0,N(F1572)&gt;=1)),"Perte entre 0 et 99 %",IF(COUNTIFS(bom_prod,A1572,bom_mat,B1572)&gt;1,"Matière en double","OK")))))))))</f>
        <v/>
      </c>
      <c r="K1572" s="71" t="str">
        <f>IF(AND(fiche_sel&lt;&gt;"",A1572=fiche_sel),COUNTIF(A$6:A1572,fiche_sel),"")</f>
        <v/>
      </c>
    </row>
    <row r="1573">
      <c r="A1573" s="60" t="n"/>
      <c r="B1573" s="60" t="n"/>
      <c r="C1573" s="71" t="str">
        <f>IF(B1573="","",IFERROR(INDEX(mat_des,MATCH(B1573,mat_ref,0))&amp;"","Matière inconnue"))</f>
        <v/>
      </c>
      <c r="D1573" s="69" t="str">
        <f>IF(B1573="","",IFERROR(INDEX(mat_unit,MATCH(B1573,mat_ref,0))&amp;"",""))</f>
        <v/>
      </c>
      <c r="E1573" s="72" t="n"/>
      <c r="F1573" s="65" t="n"/>
      <c r="G1573" s="68" t="str">
        <f>IF(J1573&lt;&gt;"OK","",IF(F1573="",N(INDEX(mat_loss,MATCH(B1573,mat_ref,0))),F1573))</f>
        <v/>
      </c>
      <c r="H1573" s="66" t="str">
        <f>IF(J1573&lt;&gt;"OK","",INDEX(mat_price,MATCH(B1573,mat_ref,0)))</f>
        <v/>
      </c>
      <c r="I1573" s="66" t="str">
        <f>IF(J1573&lt;&gt;"OK","",E1573*(1+G1573)*H1573)</f>
        <v/>
      </c>
      <c r="J1573" s="69" t="str">
        <f>IF(AND(A1573="",B1573=""),"",IF(A1573="","Produit manquant",IF(COUNTIF(prod_ref,A1573)=0,"Produit inconnu",IF(B1573="","Matière manquante",IF(ISNA(MATCH(B1573,mat_ref,0)),"Matière inconnue",IF(INDEX(mat_check,MATCH(B1573,mat_ref,0))&lt;&gt;"OK","Matière à corriger",IF(OR(NOT(ISNUMBER(E1573)),N(E1573)&lt;=0),"Quantité invalide",IF(AND(F1573&lt;&gt;"",OR(NOT(ISNUMBER(F1573)),N(F1573)&lt;0,N(F1573)&gt;=1)),"Perte entre 0 et 99 %",IF(COUNTIFS(bom_prod,A1573,bom_mat,B1573)&gt;1,"Matière en double","OK")))))))))</f>
        <v/>
      </c>
      <c r="K1573" s="71" t="str">
        <f>IF(AND(fiche_sel&lt;&gt;"",A1573=fiche_sel),COUNTIF(A$6:A1573,fiche_sel),"")</f>
        <v/>
      </c>
    </row>
    <row r="1574">
      <c r="A1574" s="60" t="n"/>
      <c r="B1574" s="60" t="n"/>
      <c r="C1574" s="71" t="str">
        <f>IF(B1574="","",IFERROR(INDEX(mat_des,MATCH(B1574,mat_ref,0))&amp;"","Matière inconnue"))</f>
        <v/>
      </c>
      <c r="D1574" s="69" t="str">
        <f>IF(B1574="","",IFERROR(INDEX(mat_unit,MATCH(B1574,mat_ref,0))&amp;"",""))</f>
        <v/>
      </c>
      <c r="E1574" s="72" t="n"/>
      <c r="F1574" s="65" t="n"/>
      <c r="G1574" s="68" t="str">
        <f>IF(J1574&lt;&gt;"OK","",IF(F1574="",N(INDEX(mat_loss,MATCH(B1574,mat_ref,0))),F1574))</f>
        <v/>
      </c>
      <c r="H1574" s="66" t="str">
        <f>IF(J1574&lt;&gt;"OK","",INDEX(mat_price,MATCH(B1574,mat_ref,0)))</f>
        <v/>
      </c>
      <c r="I1574" s="66" t="str">
        <f>IF(J1574&lt;&gt;"OK","",E1574*(1+G1574)*H1574)</f>
        <v/>
      </c>
      <c r="J1574" s="69" t="str">
        <f>IF(AND(A1574="",B1574=""),"",IF(A1574="","Produit manquant",IF(COUNTIF(prod_ref,A1574)=0,"Produit inconnu",IF(B1574="","Matière manquante",IF(ISNA(MATCH(B1574,mat_ref,0)),"Matière inconnue",IF(INDEX(mat_check,MATCH(B1574,mat_ref,0))&lt;&gt;"OK","Matière à corriger",IF(OR(NOT(ISNUMBER(E1574)),N(E1574)&lt;=0),"Quantité invalide",IF(AND(F1574&lt;&gt;"",OR(NOT(ISNUMBER(F1574)),N(F1574)&lt;0,N(F1574)&gt;=1)),"Perte entre 0 et 99 %",IF(COUNTIFS(bom_prod,A1574,bom_mat,B1574)&gt;1,"Matière en double","OK")))))))))</f>
        <v/>
      </c>
      <c r="K1574" s="71" t="str">
        <f>IF(AND(fiche_sel&lt;&gt;"",A1574=fiche_sel),COUNTIF(A$6:A1574,fiche_sel),"")</f>
        <v/>
      </c>
    </row>
    <row r="1575">
      <c r="A1575" s="60" t="n"/>
      <c r="B1575" s="60" t="n"/>
      <c r="C1575" s="71" t="str">
        <f>IF(B1575="","",IFERROR(INDEX(mat_des,MATCH(B1575,mat_ref,0))&amp;"","Matière inconnue"))</f>
        <v/>
      </c>
      <c r="D1575" s="69" t="str">
        <f>IF(B1575="","",IFERROR(INDEX(mat_unit,MATCH(B1575,mat_ref,0))&amp;"",""))</f>
        <v/>
      </c>
      <c r="E1575" s="72" t="n"/>
      <c r="F1575" s="65" t="n"/>
      <c r="G1575" s="68" t="str">
        <f>IF(J1575&lt;&gt;"OK","",IF(F1575="",N(INDEX(mat_loss,MATCH(B1575,mat_ref,0))),F1575))</f>
        <v/>
      </c>
      <c r="H1575" s="66" t="str">
        <f>IF(J1575&lt;&gt;"OK","",INDEX(mat_price,MATCH(B1575,mat_ref,0)))</f>
        <v/>
      </c>
      <c r="I1575" s="66" t="str">
        <f>IF(J1575&lt;&gt;"OK","",E1575*(1+G1575)*H1575)</f>
        <v/>
      </c>
      <c r="J1575" s="69" t="str">
        <f>IF(AND(A1575="",B1575=""),"",IF(A1575="","Produit manquant",IF(COUNTIF(prod_ref,A1575)=0,"Produit inconnu",IF(B1575="","Matière manquante",IF(ISNA(MATCH(B1575,mat_ref,0)),"Matière inconnue",IF(INDEX(mat_check,MATCH(B1575,mat_ref,0))&lt;&gt;"OK","Matière à corriger",IF(OR(NOT(ISNUMBER(E1575)),N(E1575)&lt;=0),"Quantité invalide",IF(AND(F1575&lt;&gt;"",OR(NOT(ISNUMBER(F1575)),N(F1575)&lt;0,N(F1575)&gt;=1)),"Perte entre 0 et 99 %",IF(COUNTIFS(bom_prod,A1575,bom_mat,B1575)&gt;1,"Matière en double","OK")))))))))</f>
        <v/>
      </c>
      <c r="K1575" s="71" t="str">
        <f>IF(AND(fiche_sel&lt;&gt;"",A1575=fiche_sel),COUNTIF(A$6:A1575,fiche_sel),"")</f>
        <v/>
      </c>
    </row>
    <row r="1576">
      <c r="A1576" s="60" t="n"/>
      <c r="B1576" s="60" t="n"/>
      <c r="C1576" s="71" t="str">
        <f>IF(B1576="","",IFERROR(INDEX(mat_des,MATCH(B1576,mat_ref,0))&amp;"","Matière inconnue"))</f>
        <v/>
      </c>
      <c r="D1576" s="69" t="str">
        <f>IF(B1576="","",IFERROR(INDEX(mat_unit,MATCH(B1576,mat_ref,0))&amp;"",""))</f>
        <v/>
      </c>
      <c r="E1576" s="72" t="n"/>
      <c r="F1576" s="65" t="n"/>
      <c r="G1576" s="68" t="str">
        <f>IF(J1576&lt;&gt;"OK","",IF(F1576="",N(INDEX(mat_loss,MATCH(B1576,mat_ref,0))),F1576))</f>
        <v/>
      </c>
      <c r="H1576" s="66" t="str">
        <f>IF(J1576&lt;&gt;"OK","",INDEX(mat_price,MATCH(B1576,mat_ref,0)))</f>
        <v/>
      </c>
      <c r="I1576" s="66" t="str">
        <f>IF(J1576&lt;&gt;"OK","",E1576*(1+G1576)*H1576)</f>
        <v/>
      </c>
      <c r="J1576" s="69" t="str">
        <f>IF(AND(A1576="",B1576=""),"",IF(A1576="","Produit manquant",IF(COUNTIF(prod_ref,A1576)=0,"Produit inconnu",IF(B1576="","Matière manquante",IF(ISNA(MATCH(B1576,mat_ref,0)),"Matière inconnue",IF(INDEX(mat_check,MATCH(B1576,mat_ref,0))&lt;&gt;"OK","Matière à corriger",IF(OR(NOT(ISNUMBER(E1576)),N(E1576)&lt;=0),"Quantité invalide",IF(AND(F1576&lt;&gt;"",OR(NOT(ISNUMBER(F1576)),N(F1576)&lt;0,N(F1576)&gt;=1)),"Perte entre 0 et 99 %",IF(COUNTIFS(bom_prod,A1576,bom_mat,B1576)&gt;1,"Matière en double","OK")))))))))</f>
        <v/>
      </c>
      <c r="K1576" s="71" t="str">
        <f>IF(AND(fiche_sel&lt;&gt;"",A1576=fiche_sel),COUNTIF(A$6:A1576,fiche_sel),"")</f>
        <v/>
      </c>
    </row>
    <row r="1577">
      <c r="A1577" s="60" t="n"/>
      <c r="B1577" s="60" t="n"/>
      <c r="C1577" s="71" t="str">
        <f>IF(B1577="","",IFERROR(INDEX(mat_des,MATCH(B1577,mat_ref,0))&amp;"","Matière inconnue"))</f>
        <v/>
      </c>
      <c r="D1577" s="69" t="str">
        <f>IF(B1577="","",IFERROR(INDEX(mat_unit,MATCH(B1577,mat_ref,0))&amp;"",""))</f>
        <v/>
      </c>
      <c r="E1577" s="72" t="n"/>
      <c r="F1577" s="65" t="n"/>
      <c r="G1577" s="68" t="str">
        <f>IF(J1577&lt;&gt;"OK","",IF(F1577="",N(INDEX(mat_loss,MATCH(B1577,mat_ref,0))),F1577))</f>
        <v/>
      </c>
      <c r="H1577" s="66" t="str">
        <f>IF(J1577&lt;&gt;"OK","",INDEX(mat_price,MATCH(B1577,mat_ref,0)))</f>
        <v/>
      </c>
      <c r="I1577" s="66" t="str">
        <f>IF(J1577&lt;&gt;"OK","",E1577*(1+G1577)*H1577)</f>
        <v/>
      </c>
      <c r="J1577" s="69" t="str">
        <f>IF(AND(A1577="",B1577=""),"",IF(A1577="","Produit manquant",IF(COUNTIF(prod_ref,A1577)=0,"Produit inconnu",IF(B1577="","Matière manquante",IF(ISNA(MATCH(B1577,mat_ref,0)),"Matière inconnue",IF(INDEX(mat_check,MATCH(B1577,mat_ref,0))&lt;&gt;"OK","Matière à corriger",IF(OR(NOT(ISNUMBER(E1577)),N(E1577)&lt;=0),"Quantité invalide",IF(AND(F1577&lt;&gt;"",OR(NOT(ISNUMBER(F1577)),N(F1577)&lt;0,N(F1577)&gt;=1)),"Perte entre 0 et 99 %",IF(COUNTIFS(bom_prod,A1577,bom_mat,B1577)&gt;1,"Matière en double","OK")))))))))</f>
        <v/>
      </c>
      <c r="K1577" s="71" t="str">
        <f>IF(AND(fiche_sel&lt;&gt;"",A1577=fiche_sel),COUNTIF(A$6:A1577,fiche_sel),"")</f>
        <v/>
      </c>
    </row>
    <row r="1578">
      <c r="A1578" s="60" t="n"/>
      <c r="B1578" s="60" t="n"/>
      <c r="C1578" s="71" t="str">
        <f>IF(B1578="","",IFERROR(INDEX(mat_des,MATCH(B1578,mat_ref,0))&amp;"","Matière inconnue"))</f>
        <v/>
      </c>
      <c r="D1578" s="69" t="str">
        <f>IF(B1578="","",IFERROR(INDEX(mat_unit,MATCH(B1578,mat_ref,0))&amp;"",""))</f>
        <v/>
      </c>
      <c r="E1578" s="72" t="n"/>
      <c r="F1578" s="65" t="n"/>
      <c r="G1578" s="68" t="str">
        <f>IF(J1578&lt;&gt;"OK","",IF(F1578="",N(INDEX(mat_loss,MATCH(B1578,mat_ref,0))),F1578))</f>
        <v/>
      </c>
      <c r="H1578" s="66" t="str">
        <f>IF(J1578&lt;&gt;"OK","",INDEX(mat_price,MATCH(B1578,mat_ref,0)))</f>
        <v/>
      </c>
      <c r="I1578" s="66" t="str">
        <f>IF(J1578&lt;&gt;"OK","",E1578*(1+G1578)*H1578)</f>
        <v/>
      </c>
      <c r="J1578" s="69" t="str">
        <f>IF(AND(A1578="",B1578=""),"",IF(A1578="","Produit manquant",IF(COUNTIF(prod_ref,A1578)=0,"Produit inconnu",IF(B1578="","Matière manquante",IF(ISNA(MATCH(B1578,mat_ref,0)),"Matière inconnue",IF(INDEX(mat_check,MATCH(B1578,mat_ref,0))&lt;&gt;"OK","Matière à corriger",IF(OR(NOT(ISNUMBER(E1578)),N(E1578)&lt;=0),"Quantité invalide",IF(AND(F1578&lt;&gt;"",OR(NOT(ISNUMBER(F1578)),N(F1578)&lt;0,N(F1578)&gt;=1)),"Perte entre 0 et 99 %",IF(COUNTIFS(bom_prod,A1578,bom_mat,B1578)&gt;1,"Matière en double","OK")))))))))</f>
        <v/>
      </c>
      <c r="K1578" s="71" t="str">
        <f>IF(AND(fiche_sel&lt;&gt;"",A1578=fiche_sel),COUNTIF(A$6:A1578,fiche_sel),"")</f>
        <v/>
      </c>
    </row>
    <row r="1579">
      <c r="A1579" s="60" t="n"/>
      <c r="B1579" s="60" t="n"/>
      <c r="C1579" s="71" t="str">
        <f>IF(B1579="","",IFERROR(INDEX(mat_des,MATCH(B1579,mat_ref,0))&amp;"","Matière inconnue"))</f>
        <v/>
      </c>
      <c r="D1579" s="69" t="str">
        <f>IF(B1579="","",IFERROR(INDEX(mat_unit,MATCH(B1579,mat_ref,0))&amp;"",""))</f>
        <v/>
      </c>
      <c r="E1579" s="72" t="n"/>
      <c r="F1579" s="65" t="n"/>
      <c r="G1579" s="68" t="str">
        <f>IF(J1579&lt;&gt;"OK","",IF(F1579="",N(INDEX(mat_loss,MATCH(B1579,mat_ref,0))),F1579))</f>
        <v/>
      </c>
      <c r="H1579" s="66" t="str">
        <f>IF(J1579&lt;&gt;"OK","",INDEX(mat_price,MATCH(B1579,mat_ref,0)))</f>
        <v/>
      </c>
      <c r="I1579" s="66" t="str">
        <f>IF(J1579&lt;&gt;"OK","",E1579*(1+G1579)*H1579)</f>
        <v/>
      </c>
      <c r="J1579" s="69" t="str">
        <f>IF(AND(A1579="",B1579=""),"",IF(A1579="","Produit manquant",IF(COUNTIF(prod_ref,A1579)=0,"Produit inconnu",IF(B1579="","Matière manquante",IF(ISNA(MATCH(B1579,mat_ref,0)),"Matière inconnue",IF(INDEX(mat_check,MATCH(B1579,mat_ref,0))&lt;&gt;"OK","Matière à corriger",IF(OR(NOT(ISNUMBER(E1579)),N(E1579)&lt;=0),"Quantité invalide",IF(AND(F1579&lt;&gt;"",OR(NOT(ISNUMBER(F1579)),N(F1579)&lt;0,N(F1579)&gt;=1)),"Perte entre 0 et 99 %",IF(COUNTIFS(bom_prod,A1579,bom_mat,B1579)&gt;1,"Matière en double","OK")))))))))</f>
        <v/>
      </c>
      <c r="K1579" s="71" t="str">
        <f>IF(AND(fiche_sel&lt;&gt;"",A1579=fiche_sel),COUNTIF(A$6:A1579,fiche_sel),"")</f>
        <v/>
      </c>
    </row>
    <row r="1580">
      <c r="A1580" s="60" t="n"/>
      <c r="B1580" s="60" t="n"/>
      <c r="C1580" s="71" t="str">
        <f>IF(B1580="","",IFERROR(INDEX(mat_des,MATCH(B1580,mat_ref,0))&amp;"","Matière inconnue"))</f>
        <v/>
      </c>
      <c r="D1580" s="69" t="str">
        <f>IF(B1580="","",IFERROR(INDEX(mat_unit,MATCH(B1580,mat_ref,0))&amp;"",""))</f>
        <v/>
      </c>
      <c r="E1580" s="72" t="n"/>
      <c r="F1580" s="65" t="n"/>
      <c r="G1580" s="68" t="str">
        <f>IF(J1580&lt;&gt;"OK","",IF(F1580="",N(INDEX(mat_loss,MATCH(B1580,mat_ref,0))),F1580))</f>
        <v/>
      </c>
      <c r="H1580" s="66" t="str">
        <f>IF(J1580&lt;&gt;"OK","",INDEX(mat_price,MATCH(B1580,mat_ref,0)))</f>
        <v/>
      </c>
      <c r="I1580" s="66" t="str">
        <f>IF(J1580&lt;&gt;"OK","",E1580*(1+G1580)*H1580)</f>
        <v/>
      </c>
      <c r="J1580" s="69" t="str">
        <f>IF(AND(A1580="",B1580=""),"",IF(A1580="","Produit manquant",IF(COUNTIF(prod_ref,A1580)=0,"Produit inconnu",IF(B1580="","Matière manquante",IF(ISNA(MATCH(B1580,mat_ref,0)),"Matière inconnue",IF(INDEX(mat_check,MATCH(B1580,mat_ref,0))&lt;&gt;"OK","Matière à corriger",IF(OR(NOT(ISNUMBER(E1580)),N(E1580)&lt;=0),"Quantité invalide",IF(AND(F1580&lt;&gt;"",OR(NOT(ISNUMBER(F1580)),N(F1580)&lt;0,N(F1580)&gt;=1)),"Perte entre 0 et 99 %",IF(COUNTIFS(bom_prod,A1580,bom_mat,B1580)&gt;1,"Matière en double","OK")))))))))</f>
        <v/>
      </c>
      <c r="K1580" s="71" t="str">
        <f>IF(AND(fiche_sel&lt;&gt;"",A1580=fiche_sel),COUNTIF(A$6:A1580,fiche_sel),"")</f>
        <v/>
      </c>
    </row>
    <row r="1581">
      <c r="A1581" s="60" t="n"/>
      <c r="B1581" s="60" t="n"/>
      <c r="C1581" s="71" t="str">
        <f>IF(B1581="","",IFERROR(INDEX(mat_des,MATCH(B1581,mat_ref,0))&amp;"","Matière inconnue"))</f>
        <v/>
      </c>
      <c r="D1581" s="69" t="str">
        <f>IF(B1581="","",IFERROR(INDEX(mat_unit,MATCH(B1581,mat_ref,0))&amp;"",""))</f>
        <v/>
      </c>
      <c r="E1581" s="72" t="n"/>
      <c r="F1581" s="65" t="n"/>
      <c r="G1581" s="68" t="str">
        <f>IF(J1581&lt;&gt;"OK","",IF(F1581="",N(INDEX(mat_loss,MATCH(B1581,mat_ref,0))),F1581))</f>
        <v/>
      </c>
      <c r="H1581" s="66" t="str">
        <f>IF(J1581&lt;&gt;"OK","",INDEX(mat_price,MATCH(B1581,mat_ref,0)))</f>
        <v/>
      </c>
      <c r="I1581" s="66" t="str">
        <f>IF(J1581&lt;&gt;"OK","",E1581*(1+G1581)*H1581)</f>
        <v/>
      </c>
      <c r="J1581" s="69" t="str">
        <f>IF(AND(A1581="",B1581=""),"",IF(A1581="","Produit manquant",IF(COUNTIF(prod_ref,A1581)=0,"Produit inconnu",IF(B1581="","Matière manquante",IF(ISNA(MATCH(B1581,mat_ref,0)),"Matière inconnue",IF(INDEX(mat_check,MATCH(B1581,mat_ref,0))&lt;&gt;"OK","Matière à corriger",IF(OR(NOT(ISNUMBER(E1581)),N(E1581)&lt;=0),"Quantité invalide",IF(AND(F1581&lt;&gt;"",OR(NOT(ISNUMBER(F1581)),N(F1581)&lt;0,N(F1581)&gt;=1)),"Perte entre 0 et 99 %",IF(COUNTIFS(bom_prod,A1581,bom_mat,B1581)&gt;1,"Matière en double","OK")))))))))</f>
        <v/>
      </c>
      <c r="K1581" s="71" t="str">
        <f>IF(AND(fiche_sel&lt;&gt;"",A1581=fiche_sel),COUNTIF(A$6:A1581,fiche_sel),"")</f>
        <v/>
      </c>
    </row>
    <row r="1582">
      <c r="A1582" s="60" t="n"/>
      <c r="B1582" s="60" t="n"/>
      <c r="C1582" s="71" t="str">
        <f>IF(B1582="","",IFERROR(INDEX(mat_des,MATCH(B1582,mat_ref,0))&amp;"","Matière inconnue"))</f>
        <v/>
      </c>
      <c r="D1582" s="69" t="str">
        <f>IF(B1582="","",IFERROR(INDEX(mat_unit,MATCH(B1582,mat_ref,0))&amp;"",""))</f>
        <v/>
      </c>
      <c r="E1582" s="72" t="n"/>
      <c r="F1582" s="65" t="n"/>
      <c r="G1582" s="68" t="str">
        <f>IF(J1582&lt;&gt;"OK","",IF(F1582="",N(INDEX(mat_loss,MATCH(B1582,mat_ref,0))),F1582))</f>
        <v/>
      </c>
      <c r="H1582" s="66" t="str">
        <f>IF(J1582&lt;&gt;"OK","",INDEX(mat_price,MATCH(B1582,mat_ref,0)))</f>
        <v/>
      </c>
      <c r="I1582" s="66" t="str">
        <f>IF(J1582&lt;&gt;"OK","",E1582*(1+G1582)*H1582)</f>
        <v/>
      </c>
      <c r="J1582" s="69" t="str">
        <f>IF(AND(A1582="",B1582=""),"",IF(A1582="","Produit manquant",IF(COUNTIF(prod_ref,A1582)=0,"Produit inconnu",IF(B1582="","Matière manquante",IF(ISNA(MATCH(B1582,mat_ref,0)),"Matière inconnue",IF(INDEX(mat_check,MATCH(B1582,mat_ref,0))&lt;&gt;"OK","Matière à corriger",IF(OR(NOT(ISNUMBER(E1582)),N(E1582)&lt;=0),"Quantité invalide",IF(AND(F1582&lt;&gt;"",OR(NOT(ISNUMBER(F1582)),N(F1582)&lt;0,N(F1582)&gt;=1)),"Perte entre 0 et 99 %",IF(COUNTIFS(bom_prod,A1582,bom_mat,B1582)&gt;1,"Matière en double","OK")))))))))</f>
        <v/>
      </c>
      <c r="K1582" s="71" t="str">
        <f>IF(AND(fiche_sel&lt;&gt;"",A1582=fiche_sel),COUNTIF(A$6:A1582,fiche_sel),"")</f>
        <v/>
      </c>
    </row>
    <row r="1583">
      <c r="A1583" s="60" t="n"/>
      <c r="B1583" s="60" t="n"/>
      <c r="C1583" s="71" t="str">
        <f>IF(B1583="","",IFERROR(INDEX(mat_des,MATCH(B1583,mat_ref,0))&amp;"","Matière inconnue"))</f>
        <v/>
      </c>
      <c r="D1583" s="69" t="str">
        <f>IF(B1583="","",IFERROR(INDEX(mat_unit,MATCH(B1583,mat_ref,0))&amp;"",""))</f>
        <v/>
      </c>
      <c r="E1583" s="72" t="n"/>
      <c r="F1583" s="65" t="n"/>
      <c r="G1583" s="68" t="str">
        <f>IF(J1583&lt;&gt;"OK","",IF(F1583="",N(INDEX(mat_loss,MATCH(B1583,mat_ref,0))),F1583))</f>
        <v/>
      </c>
      <c r="H1583" s="66" t="str">
        <f>IF(J1583&lt;&gt;"OK","",INDEX(mat_price,MATCH(B1583,mat_ref,0)))</f>
        <v/>
      </c>
      <c r="I1583" s="66" t="str">
        <f>IF(J1583&lt;&gt;"OK","",E1583*(1+G1583)*H1583)</f>
        <v/>
      </c>
      <c r="J1583" s="69" t="str">
        <f>IF(AND(A1583="",B1583=""),"",IF(A1583="","Produit manquant",IF(COUNTIF(prod_ref,A1583)=0,"Produit inconnu",IF(B1583="","Matière manquante",IF(ISNA(MATCH(B1583,mat_ref,0)),"Matière inconnue",IF(INDEX(mat_check,MATCH(B1583,mat_ref,0))&lt;&gt;"OK","Matière à corriger",IF(OR(NOT(ISNUMBER(E1583)),N(E1583)&lt;=0),"Quantité invalide",IF(AND(F1583&lt;&gt;"",OR(NOT(ISNUMBER(F1583)),N(F1583)&lt;0,N(F1583)&gt;=1)),"Perte entre 0 et 99 %",IF(COUNTIFS(bom_prod,A1583,bom_mat,B1583)&gt;1,"Matière en double","OK")))))))))</f>
        <v/>
      </c>
      <c r="K1583" s="71" t="str">
        <f>IF(AND(fiche_sel&lt;&gt;"",A1583=fiche_sel),COUNTIF(A$6:A1583,fiche_sel),"")</f>
        <v/>
      </c>
    </row>
    <row r="1584">
      <c r="A1584" s="60" t="n"/>
      <c r="B1584" s="60" t="n"/>
      <c r="C1584" s="71" t="str">
        <f>IF(B1584="","",IFERROR(INDEX(mat_des,MATCH(B1584,mat_ref,0))&amp;"","Matière inconnue"))</f>
        <v/>
      </c>
      <c r="D1584" s="69" t="str">
        <f>IF(B1584="","",IFERROR(INDEX(mat_unit,MATCH(B1584,mat_ref,0))&amp;"",""))</f>
        <v/>
      </c>
      <c r="E1584" s="72" t="n"/>
      <c r="F1584" s="65" t="n"/>
      <c r="G1584" s="68" t="str">
        <f>IF(J1584&lt;&gt;"OK","",IF(F1584="",N(INDEX(mat_loss,MATCH(B1584,mat_ref,0))),F1584))</f>
        <v/>
      </c>
      <c r="H1584" s="66" t="str">
        <f>IF(J1584&lt;&gt;"OK","",INDEX(mat_price,MATCH(B1584,mat_ref,0)))</f>
        <v/>
      </c>
      <c r="I1584" s="66" t="str">
        <f>IF(J1584&lt;&gt;"OK","",E1584*(1+G1584)*H1584)</f>
        <v/>
      </c>
      <c r="J1584" s="69" t="str">
        <f>IF(AND(A1584="",B1584=""),"",IF(A1584="","Produit manquant",IF(COUNTIF(prod_ref,A1584)=0,"Produit inconnu",IF(B1584="","Matière manquante",IF(ISNA(MATCH(B1584,mat_ref,0)),"Matière inconnue",IF(INDEX(mat_check,MATCH(B1584,mat_ref,0))&lt;&gt;"OK","Matière à corriger",IF(OR(NOT(ISNUMBER(E1584)),N(E1584)&lt;=0),"Quantité invalide",IF(AND(F1584&lt;&gt;"",OR(NOT(ISNUMBER(F1584)),N(F1584)&lt;0,N(F1584)&gt;=1)),"Perte entre 0 et 99 %",IF(COUNTIFS(bom_prod,A1584,bom_mat,B1584)&gt;1,"Matière en double","OK")))))))))</f>
        <v/>
      </c>
      <c r="K1584" s="71" t="str">
        <f>IF(AND(fiche_sel&lt;&gt;"",A1584=fiche_sel),COUNTIF(A$6:A1584,fiche_sel),"")</f>
        <v/>
      </c>
    </row>
    <row r="1585">
      <c r="A1585" s="60" t="n"/>
      <c r="B1585" s="60" t="n"/>
      <c r="C1585" s="71" t="str">
        <f>IF(B1585="","",IFERROR(INDEX(mat_des,MATCH(B1585,mat_ref,0))&amp;"","Matière inconnue"))</f>
        <v/>
      </c>
      <c r="D1585" s="69" t="str">
        <f>IF(B1585="","",IFERROR(INDEX(mat_unit,MATCH(B1585,mat_ref,0))&amp;"",""))</f>
        <v/>
      </c>
      <c r="E1585" s="72" t="n"/>
      <c r="F1585" s="65" t="n"/>
      <c r="G1585" s="68" t="str">
        <f>IF(J1585&lt;&gt;"OK","",IF(F1585="",N(INDEX(mat_loss,MATCH(B1585,mat_ref,0))),F1585))</f>
        <v/>
      </c>
      <c r="H1585" s="66" t="str">
        <f>IF(J1585&lt;&gt;"OK","",INDEX(mat_price,MATCH(B1585,mat_ref,0)))</f>
        <v/>
      </c>
      <c r="I1585" s="66" t="str">
        <f>IF(J1585&lt;&gt;"OK","",E1585*(1+G1585)*H1585)</f>
        <v/>
      </c>
      <c r="J1585" s="69" t="str">
        <f>IF(AND(A1585="",B1585=""),"",IF(A1585="","Produit manquant",IF(COUNTIF(prod_ref,A1585)=0,"Produit inconnu",IF(B1585="","Matière manquante",IF(ISNA(MATCH(B1585,mat_ref,0)),"Matière inconnue",IF(INDEX(mat_check,MATCH(B1585,mat_ref,0))&lt;&gt;"OK","Matière à corriger",IF(OR(NOT(ISNUMBER(E1585)),N(E1585)&lt;=0),"Quantité invalide",IF(AND(F1585&lt;&gt;"",OR(NOT(ISNUMBER(F1585)),N(F1585)&lt;0,N(F1585)&gt;=1)),"Perte entre 0 et 99 %",IF(COUNTIFS(bom_prod,A1585,bom_mat,B1585)&gt;1,"Matière en double","OK")))))))))</f>
        <v/>
      </c>
      <c r="K1585" s="71" t="str">
        <f>IF(AND(fiche_sel&lt;&gt;"",A1585=fiche_sel),COUNTIF(A$6:A1585,fiche_sel),"")</f>
        <v/>
      </c>
    </row>
    <row r="1586">
      <c r="A1586" s="60" t="n"/>
      <c r="B1586" s="60" t="n"/>
      <c r="C1586" s="71" t="str">
        <f>IF(B1586="","",IFERROR(INDEX(mat_des,MATCH(B1586,mat_ref,0))&amp;"","Matière inconnue"))</f>
        <v/>
      </c>
      <c r="D1586" s="69" t="str">
        <f>IF(B1586="","",IFERROR(INDEX(mat_unit,MATCH(B1586,mat_ref,0))&amp;"",""))</f>
        <v/>
      </c>
      <c r="E1586" s="72" t="n"/>
      <c r="F1586" s="65" t="n"/>
      <c r="G1586" s="68" t="str">
        <f>IF(J1586&lt;&gt;"OK","",IF(F1586="",N(INDEX(mat_loss,MATCH(B1586,mat_ref,0))),F1586))</f>
        <v/>
      </c>
      <c r="H1586" s="66" t="str">
        <f>IF(J1586&lt;&gt;"OK","",INDEX(mat_price,MATCH(B1586,mat_ref,0)))</f>
        <v/>
      </c>
      <c r="I1586" s="66" t="str">
        <f>IF(J1586&lt;&gt;"OK","",E1586*(1+G1586)*H1586)</f>
        <v/>
      </c>
      <c r="J1586" s="69" t="str">
        <f>IF(AND(A1586="",B1586=""),"",IF(A1586="","Produit manquant",IF(COUNTIF(prod_ref,A1586)=0,"Produit inconnu",IF(B1586="","Matière manquante",IF(ISNA(MATCH(B1586,mat_ref,0)),"Matière inconnue",IF(INDEX(mat_check,MATCH(B1586,mat_ref,0))&lt;&gt;"OK","Matière à corriger",IF(OR(NOT(ISNUMBER(E1586)),N(E1586)&lt;=0),"Quantité invalide",IF(AND(F1586&lt;&gt;"",OR(NOT(ISNUMBER(F1586)),N(F1586)&lt;0,N(F1586)&gt;=1)),"Perte entre 0 et 99 %",IF(COUNTIFS(bom_prod,A1586,bom_mat,B1586)&gt;1,"Matière en double","OK")))))))))</f>
        <v/>
      </c>
      <c r="K1586" s="71" t="str">
        <f>IF(AND(fiche_sel&lt;&gt;"",A1586=fiche_sel),COUNTIF(A$6:A1586,fiche_sel),"")</f>
        <v/>
      </c>
    </row>
    <row r="1587">
      <c r="A1587" s="60" t="n"/>
      <c r="B1587" s="60" t="n"/>
      <c r="C1587" s="71" t="str">
        <f>IF(B1587="","",IFERROR(INDEX(mat_des,MATCH(B1587,mat_ref,0))&amp;"","Matière inconnue"))</f>
        <v/>
      </c>
      <c r="D1587" s="69" t="str">
        <f>IF(B1587="","",IFERROR(INDEX(mat_unit,MATCH(B1587,mat_ref,0))&amp;"",""))</f>
        <v/>
      </c>
      <c r="E1587" s="72" t="n"/>
      <c r="F1587" s="65" t="n"/>
      <c r="G1587" s="68" t="str">
        <f>IF(J1587&lt;&gt;"OK","",IF(F1587="",N(INDEX(mat_loss,MATCH(B1587,mat_ref,0))),F1587))</f>
        <v/>
      </c>
      <c r="H1587" s="66" t="str">
        <f>IF(J1587&lt;&gt;"OK","",INDEX(mat_price,MATCH(B1587,mat_ref,0)))</f>
        <v/>
      </c>
      <c r="I1587" s="66" t="str">
        <f>IF(J1587&lt;&gt;"OK","",E1587*(1+G1587)*H1587)</f>
        <v/>
      </c>
      <c r="J1587" s="69" t="str">
        <f>IF(AND(A1587="",B1587=""),"",IF(A1587="","Produit manquant",IF(COUNTIF(prod_ref,A1587)=0,"Produit inconnu",IF(B1587="","Matière manquante",IF(ISNA(MATCH(B1587,mat_ref,0)),"Matière inconnue",IF(INDEX(mat_check,MATCH(B1587,mat_ref,0))&lt;&gt;"OK","Matière à corriger",IF(OR(NOT(ISNUMBER(E1587)),N(E1587)&lt;=0),"Quantité invalide",IF(AND(F1587&lt;&gt;"",OR(NOT(ISNUMBER(F1587)),N(F1587)&lt;0,N(F1587)&gt;=1)),"Perte entre 0 et 99 %",IF(COUNTIFS(bom_prod,A1587,bom_mat,B1587)&gt;1,"Matière en double","OK")))))))))</f>
        <v/>
      </c>
      <c r="K1587" s="71" t="str">
        <f>IF(AND(fiche_sel&lt;&gt;"",A1587=fiche_sel),COUNTIF(A$6:A1587,fiche_sel),"")</f>
        <v/>
      </c>
    </row>
    <row r="1588">
      <c r="A1588" s="60" t="n"/>
      <c r="B1588" s="60" t="n"/>
      <c r="C1588" s="71" t="str">
        <f>IF(B1588="","",IFERROR(INDEX(mat_des,MATCH(B1588,mat_ref,0))&amp;"","Matière inconnue"))</f>
        <v/>
      </c>
      <c r="D1588" s="69" t="str">
        <f>IF(B1588="","",IFERROR(INDEX(mat_unit,MATCH(B1588,mat_ref,0))&amp;"",""))</f>
        <v/>
      </c>
      <c r="E1588" s="72" t="n"/>
      <c r="F1588" s="65" t="n"/>
      <c r="G1588" s="68" t="str">
        <f>IF(J1588&lt;&gt;"OK","",IF(F1588="",N(INDEX(mat_loss,MATCH(B1588,mat_ref,0))),F1588))</f>
        <v/>
      </c>
      <c r="H1588" s="66" t="str">
        <f>IF(J1588&lt;&gt;"OK","",INDEX(mat_price,MATCH(B1588,mat_ref,0)))</f>
        <v/>
      </c>
      <c r="I1588" s="66" t="str">
        <f>IF(J1588&lt;&gt;"OK","",E1588*(1+G1588)*H1588)</f>
        <v/>
      </c>
      <c r="J1588" s="69" t="str">
        <f>IF(AND(A1588="",B1588=""),"",IF(A1588="","Produit manquant",IF(COUNTIF(prod_ref,A1588)=0,"Produit inconnu",IF(B1588="","Matière manquante",IF(ISNA(MATCH(B1588,mat_ref,0)),"Matière inconnue",IF(INDEX(mat_check,MATCH(B1588,mat_ref,0))&lt;&gt;"OK","Matière à corriger",IF(OR(NOT(ISNUMBER(E1588)),N(E1588)&lt;=0),"Quantité invalide",IF(AND(F1588&lt;&gt;"",OR(NOT(ISNUMBER(F1588)),N(F1588)&lt;0,N(F1588)&gt;=1)),"Perte entre 0 et 99 %",IF(COUNTIFS(bom_prod,A1588,bom_mat,B1588)&gt;1,"Matière en double","OK")))))))))</f>
        <v/>
      </c>
      <c r="K1588" s="71" t="str">
        <f>IF(AND(fiche_sel&lt;&gt;"",A1588=fiche_sel),COUNTIF(A$6:A1588,fiche_sel),"")</f>
        <v/>
      </c>
    </row>
    <row r="1589">
      <c r="A1589" s="60" t="n"/>
      <c r="B1589" s="60" t="n"/>
      <c r="C1589" s="71" t="str">
        <f>IF(B1589="","",IFERROR(INDEX(mat_des,MATCH(B1589,mat_ref,0))&amp;"","Matière inconnue"))</f>
        <v/>
      </c>
      <c r="D1589" s="69" t="str">
        <f>IF(B1589="","",IFERROR(INDEX(mat_unit,MATCH(B1589,mat_ref,0))&amp;"",""))</f>
        <v/>
      </c>
      <c r="E1589" s="72" t="n"/>
      <c r="F1589" s="65" t="n"/>
      <c r="G1589" s="68" t="str">
        <f>IF(J1589&lt;&gt;"OK","",IF(F1589="",N(INDEX(mat_loss,MATCH(B1589,mat_ref,0))),F1589))</f>
        <v/>
      </c>
      <c r="H1589" s="66" t="str">
        <f>IF(J1589&lt;&gt;"OK","",INDEX(mat_price,MATCH(B1589,mat_ref,0)))</f>
        <v/>
      </c>
      <c r="I1589" s="66" t="str">
        <f>IF(J1589&lt;&gt;"OK","",E1589*(1+G1589)*H1589)</f>
        <v/>
      </c>
      <c r="J1589" s="69" t="str">
        <f>IF(AND(A1589="",B1589=""),"",IF(A1589="","Produit manquant",IF(COUNTIF(prod_ref,A1589)=0,"Produit inconnu",IF(B1589="","Matière manquante",IF(ISNA(MATCH(B1589,mat_ref,0)),"Matière inconnue",IF(INDEX(mat_check,MATCH(B1589,mat_ref,0))&lt;&gt;"OK","Matière à corriger",IF(OR(NOT(ISNUMBER(E1589)),N(E1589)&lt;=0),"Quantité invalide",IF(AND(F1589&lt;&gt;"",OR(NOT(ISNUMBER(F1589)),N(F1589)&lt;0,N(F1589)&gt;=1)),"Perte entre 0 et 99 %",IF(COUNTIFS(bom_prod,A1589,bom_mat,B1589)&gt;1,"Matière en double","OK")))))))))</f>
        <v/>
      </c>
      <c r="K1589" s="71" t="str">
        <f>IF(AND(fiche_sel&lt;&gt;"",A1589=fiche_sel),COUNTIF(A$6:A1589,fiche_sel),"")</f>
        <v/>
      </c>
    </row>
    <row r="1590">
      <c r="A1590" s="60" t="n"/>
      <c r="B1590" s="60" t="n"/>
      <c r="C1590" s="71" t="str">
        <f>IF(B1590="","",IFERROR(INDEX(mat_des,MATCH(B1590,mat_ref,0))&amp;"","Matière inconnue"))</f>
        <v/>
      </c>
      <c r="D1590" s="69" t="str">
        <f>IF(B1590="","",IFERROR(INDEX(mat_unit,MATCH(B1590,mat_ref,0))&amp;"",""))</f>
        <v/>
      </c>
      <c r="E1590" s="72" t="n"/>
      <c r="F1590" s="65" t="n"/>
      <c r="G1590" s="68" t="str">
        <f>IF(J1590&lt;&gt;"OK","",IF(F1590="",N(INDEX(mat_loss,MATCH(B1590,mat_ref,0))),F1590))</f>
        <v/>
      </c>
      <c r="H1590" s="66" t="str">
        <f>IF(J1590&lt;&gt;"OK","",INDEX(mat_price,MATCH(B1590,mat_ref,0)))</f>
        <v/>
      </c>
      <c r="I1590" s="66" t="str">
        <f>IF(J1590&lt;&gt;"OK","",E1590*(1+G1590)*H1590)</f>
        <v/>
      </c>
      <c r="J1590" s="69" t="str">
        <f>IF(AND(A1590="",B1590=""),"",IF(A1590="","Produit manquant",IF(COUNTIF(prod_ref,A1590)=0,"Produit inconnu",IF(B1590="","Matière manquante",IF(ISNA(MATCH(B1590,mat_ref,0)),"Matière inconnue",IF(INDEX(mat_check,MATCH(B1590,mat_ref,0))&lt;&gt;"OK","Matière à corriger",IF(OR(NOT(ISNUMBER(E1590)),N(E1590)&lt;=0),"Quantité invalide",IF(AND(F1590&lt;&gt;"",OR(NOT(ISNUMBER(F1590)),N(F1590)&lt;0,N(F1590)&gt;=1)),"Perte entre 0 et 99 %",IF(COUNTIFS(bom_prod,A1590,bom_mat,B1590)&gt;1,"Matière en double","OK")))))))))</f>
        <v/>
      </c>
      <c r="K1590" s="71" t="str">
        <f>IF(AND(fiche_sel&lt;&gt;"",A1590=fiche_sel),COUNTIF(A$6:A1590,fiche_sel),"")</f>
        <v/>
      </c>
    </row>
    <row r="1591">
      <c r="A1591" s="60" t="n"/>
      <c r="B1591" s="60" t="n"/>
      <c r="C1591" s="71" t="str">
        <f>IF(B1591="","",IFERROR(INDEX(mat_des,MATCH(B1591,mat_ref,0))&amp;"","Matière inconnue"))</f>
        <v/>
      </c>
      <c r="D1591" s="69" t="str">
        <f>IF(B1591="","",IFERROR(INDEX(mat_unit,MATCH(B1591,mat_ref,0))&amp;"",""))</f>
        <v/>
      </c>
      <c r="E1591" s="72" t="n"/>
      <c r="F1591" s="65" t="n"/>
      <c r="G1591" s="68" t="str">
        <f>IF(J1591&lt;&gt;"OK","",IF(F1591="",N(INDEX(mat_loss,MATCH(B1591,mat_ref,0))),F1591))</f>
        <v/>
      </c>
      <c r="H1591" s="66" t="str">
        <f>IF(J1591&lt;&gt;"OK","",INDEX(mat_price,MATCH(B1591,mat_ref,0)))</f>
        <v/>
      </c>
      <c r="I1591" s="66" t="str">
        <f>IF(J1591&lt;&gt;"OK","",E1591*(1+G1591)*H1591)</f>
        <v/>
      </c>
      <c r="J1591" s="69" t="str">
        <f>IF(AND(A1591="",B1591=""),"",IF(A1591="","Produit manquant",IF(COUNTIF(prod_ref,A1591)=0,"Produit inconnu",IF(B1591="","Matière manquante",IF(ISNA(MATCH(B1591,mat_ref,0)),"Matière inconnue",IF(INDEX(mat_check,MATCH(B1591,mat_ref,0))&lt;&gt;"OK","Matière à corriger",IF(OR(NOT(ISNUMBER(E1591)),N(E1591)&lt;=0),"Quantité invalide",IF(AND(F1591&lt;&gt;"",OR(NOT(ISNUMBER(F1591)),N(F1591)&lt;0,N(F1591)&gt;=1)),"Perte entre 0 et 99 %",IF(COUNTIFS(bom_prod,A1591,bom_mat,B1591)&gt;1,"Matière en double","OK")))))))))</f>
        <v/>
      </c>
      <c r="K1591" s="71" t="str">
        <f>IF(AND(fiche_sel&lt;&gt;"",A1591=fiche_sel),COUNTIF(A$6:A1591,fiche_sel),"")</f>
        <v/>
      </c>
    </row>
    <row r="1592">
      <c r="A1592" s="60" t="n"/>
      <c r="B1592" s="60" t="n"/>
      <c r="C1592" s="71" t="str">
        <f>IF(B1592="","",IFERROR(INDEX(mat_des,MATCH(B1592,mat_ref,0))&amp;"","Matière inconnue"))</f>
        <v/>
      </c>
      <c r="D1592" s="69" t="str">
        <f>IF(B1592="","",IFERROR(INDEX(mat_unit,MATCH(B1592,mat_ref,0))&amp;"",""))</f>
        <v/>
      </c>
      <c r="E1592" s="72" t="n"/>
      <c r="F1592" s="65" t="n"/>
      <c r="G1592" s="68" t="str">
        <f>IF(J1592&lt;&gt;"OK","",IF(F1592="",N(INDEX(mat_loss,MATCH(B1592,mat_ref,0))),F1592))</f>
        <v/>
      </c>
      <c r="H1592" s="66" t="str">
        <f>IF(J1592&lt;&gt;"OK","",INDEX(mat_price,MATCH(B1592,mat_ref,0)))</f>
        <v/>
      </c>
      <c r="I1592" s="66" t="str">
        <f>IF(J1592&lt;&gt;"OK","",E1592*(1+G1592)*H1592)</f>
        <v/>
      </c>
      <c r="J1592" s="69" t="str">
        <f>IF(AND(A1592="",B1592=""),"",IF(A1592="","Produit manquant",IF(COUNTIF(prod_ref,A1592)=0,"Produit inconnu",IF(B1592="","Matière manquante",IF(ISNA(MATCH(B1592,mat_ref,0)),"Matière inconnue",IF(INDEX(mat_check,MATCH(B1592,mat_ref,0))&lt;&gt;"OK","Matière à corriger",IF(OR(NOT(ISNUMBER(E1592)),N(E1592)&lt;=0),"Quantité invalide",IF(AND(F1592&lt;&gt;"",OR(NOT(ISNUMBER(F1592)),N(F1592)&lt;0,N(F1592)&gt;=1)),"Perte entre 0 et 99 %",IF(COUNTIFS(bom_prod,A1592,bom_mat,B1592)&gt;1,"Matière en double","OK")))))))))</f>
        <v/>
      </c>
      <c r="K1592" s="71" t="str">
        <f>IF(AND(fiche_sel&lt;&gt;"",A1592=fiche_sel),COUNTIF(A$6:A1592,fiche_sel),"")</f>
        <v/>
      </c>
    </row>
    <row r="1593">
      <c r="A1593" s="60" t="n"/>
      <c r="B1593" s="60" t="n"/>
      <c r="C1593" s="71" t="str">
        <f>IF(B1593="","",IFERROR(INDEX(mat_des,MATCH(B1593,mat_ref,0))&amp;"","Matière inconnue"))</f>
        <v/>
      </c>
      <c r="D1593" s="69" t="str">
        <f>IF(B1593="","",IFERROR(INDEX(mat_unit,MATCH(B1593,mat_ref,0))&amp;"",""))</f>
        <v/>
      </c>
      <c r="E1593" s="72" t="n"/>
      <c r="F1593" s="65" t="n"/>
      <c r="G1593" s="68" t="str">
        <f>IF(J1593&lt;&gt;"OK","",IF(F1593="",N(INDEX(mat_loss,MATCH(B1593,mat_ref,0))),F1593))</f>
        <v/>
      </c>
      <c r="H1593" s="66" t="str">
        <f>IF(J1593&lt;&gt;"OK","",INDEX(mat_price,MATCH(B1593,mat_ref,0)))</f>
        <v/>
      </c>
      <c r="I1593" s="66" t="str">
        <f>IF(J1593&lt;&gt;"OK","",E1593*(1+G1593)*H1593)</f>
        <v/>
      </c>
      <c r="J1593" s="69" t="str">
        <f>IF(AND(A1593="",B1593=""),"",IF(A1593="","Produit manquant",IF(COUNTIF(prod_ref,A1593)=0,"Produit inconnu",IF(B1593="","Matière manquante",IF(ISNA(MATCH(B1593,mat_ref,0)),"Matière inconnue",IF(INDEX(mat_check,MATCH(B1593,mat_ref,0))&lt;&gt;"OK","Matière à corriger",IF(OR(NOT(ISNUMBER(E1593)),N(E1593)&lt;=0),"Quantité invalide",IF(AND(F1593&lt;&gt;"",OR(NOT(ISNUMBER(F1593)),N(F1593)&lt;0,N(F1593)&gt;=1)),"Perte entre 0 et 99 %",IF(COUNTIFS(bom_prod,A1593,bom_mat,B1593)&gt;1,"Matière en double","OK")))))))))</f>
        <v/>
      </c>
      <c r="K1593" s="71" t="str">
        <f>IF(AND(fiche_sel&lt;&gt;"",A1593=fiche_sel),COUNTIF(A$6:A1593,fiche_sel),"")</f>
        <v/>
      </c>
    </row>
    <row r="1594">
      <c r="A1594" s="60" t="n"/>
      <c r="B1594" s="60" t="n"/>
      <c r="C1594" s="71" t="str">
        <f>IF(B1594="","",IFERROR(INDEX(mat_des,MATCH(B1594,mat_ref,0))&amp;"","Matière inconnue"))</f>
        <v/>
      </c>
      <c r="D1594" s="69" t="str">
        <f>IF(B1594="","",IFERROR(INDEX(mat_unit,MATCH(B1594,mat_ref,0))&amp;"",""))</f>
        <v/>
      </c>
      <c r="E1594" s="72" t="n"/>
      <c r="F1594" s="65" t="n"/>
      <c r="G1594" s="68" t="str">
        <f>IF(J1594&lt;&gt;"OK","",IF(F1594="",N(INDEX(mat_loss,MATCH(B1594,mat_ref,0))),F1594))</f>
        <v/>
      </c>
      <c r="H1594" s="66" t="str">
        <f>IF(J1594&lt;&gt;"OK","",INDEX(mat_price,MATCH(B1594,mat_ref,0)))</f>
        <v/>
      </c>
      <c r="I1594" s="66" t="str">
        <f>IF(J1594&lt;&gt;"OK","",E1594*(1+G1594)*H1594)</f>
        <v/>
      </c>
      <c r="J1594" s="69" t="str">
        <f>IF(AND(A1594="",B1594=""),"",IF(A1594="","Produit manquant",IF(COUNTIF(prod_ref,A1594)=0,"Produit inconnu",IF(B1594="","Matière manquante",IF(ISNA(MATCH(B1594,mat_ref,0)),"Matière inconnue",IF(INDEX(mat_check,MATCH(B1594,mat_ref,0))&lt;&gt;"OK","Matière à corriger",IF(OR(NOT(ISNUMBER(E1594)),N(E1594)&lt;=0),"Quantité invalide",IF(AND(F1594&lt;&gt;"",OR(NOT(ISNUMBER(F1594)),N(F1594)&lt;0,N(F1594)&gt;=1)),"Perte entre 0 et 99 %",IF(COUNTIFS(bom_prod,A1594,bom_mat,B1594)&gt;1,"Matière en double","OK")))))))))</f>
        <v/>
      </c>
      <c r="K1594" s="71" t="str">
        <f>IF(AND(fiche_sel&lt;&gt;"",A1594=fiche_sel),COUNTIF(A$6:A1594,fiche_sel),"")</f>
        <v/>
      </c>
    </row>
    <row r="1595">
      <c r="A1595" s="60" t="n"/>
      <c r="B1595" s="60" t="n"/>
      <c r="C1595" s="71" t="str">
        <f>IF(B1595="","",IFERROR(INDEX(mat_des,MATCH(B1595,mat_ref,0))&amp;"","Matière inconnue"))</f>
        <v/>
      </c>
      <c r="D1595" s="69" t="str">
        <f>IF(B1595="","",IFERROR(INDEX(mat_unit,MATCH(B1595,mat_ref,0))&amp;"",""))</f>
        <v/>
      </c>
      <c r="E1595" s="72" t="n"/>
      <c r="F1595" s="65" t="n"/>
      <c r="G1595" s="68" t="str">
        <f>IF(J1595&lt;&gt;"OK","",IF(F1595="",N(INDEX(mat_loss,MATCH(B1595,mat_ref,0))),F1595))</f>
        <v/>
      </c>
      <c r="H1595" s="66" t="str">
        <f>IF(J1595&lt;&gt;"OK","",INDEX(mat_price,MATCH(B1595,mat_ref,0)))</f>
        <v/>
      </c>
      <c r="I1595" s="66" t="str">
        <f>IF(J1595&lt;&gt;"OK","",E1595*(1+G1595)*H1595)</f>
        <v/>
      </c>
      <c r="J1595" s="69" t="str">
        <f>IF(AND(A1595="",B1595=""),"",IF(A1595="","Produit manquant",IF(COUNTIF(prod_ref,A1595)=0,"Produit inconnu",IF(B1595="","Matière manquante",IF(ISNA(MATCH(B1595,mat_ref,0)),"Matière inconnue",IF(INDEX(mat_check,MATCH(B1595,mat_ref,0))&lt;&gt;"OK","Matière à corriger",IF(OR(NOT(ISNUMBER(E1595)),N(E1595)&lt;=0),"Quantité invalide",IF(AND(F1595&lt;&gt;"",OR(NOT(ISNUMBER(F1595)),N(F1595)&lt;0,N(F1595)&gt;=1)),"Perte entre 0 et 99 %",IF(COUNTIFS(bom_prod,A1595,bom_mat,B1595)&gt;1,"Matière en double","OK")))))))))</f>
        <v/>
      </c>
      <c r="K1595" s="71" t="str">
        <f>IF(AND(fiche_sel&lt;&gt;"",A1595=fiche_sel),COUNTIF(A$6:A1595,fiche_sel),"")</f>
        <v/>
      </c>
    </row>
    <row r="1596">
      <c r="A1596" s="60" t="n"/>
      <c r="B1596" s="60" t="n"/>
      <c r="C1596" s="71" t="str">
        <f>IF(B1596="","",IFERROR(INDEX(mat_des,MATCH(B1596,mat_ref,0))&amp;"","Matière inconnue"))</f>
        <v/>
      </c>
      <c r="D1596" s="69" t="str">
        <f>IF(B1596="","",IFERROR(INDEX(mat_unit,MATCH(B1596,mat_ref,0))&amp;"",""))</f>
        <v/>
      </c>
      <c r="E1596" s="72" t="n"/>
      <c r="F1596" s="65" t="n"/>
      <c r="G1596" s="68" t="str">
        <f>IF(J1596&lt;&gt;"OK","",IF(F1596="",N(INDEX(mat_loss,MATCH(B1596,mat_ref,0))),F1596))</f>
        <v/>
      </c>
      <c r="H1596" s="66" t="str">
        <f>IF(J1596&lt;&gt;"OK","",INDEX(mat_price,MATCH(B1596,mat_ref,0)))</f>
        <v/>
      </c>
      <c r="I1596" s="66" t="str">
        <f>IF(J1596&lt;&gt;"OK","",E1596*(1+G1596)*H1596)</f>
        <v/>
      </c>
      <c r="J1596" s="69" t="str">
        <f>IF(AND(A1596="",B1596=""),"",IF(A1596="","Produit manquant",IF(COUNTIF(prod_ref,A1596)=0,"Produit inconnu",IF(B1596="","Matière manquante",IF(ISNA(MATCH(B1596,mat_ref,0)),"Matière inconnue",IF(INDEX(mat_check,MATCH(B1596,mat_ref,0))&lt;&gt;"OK","Matière à corriger",IF(OR(NOT(ISNUMBER(E1596)),N(E1596)&lt;=0),"Quantité invalide",IF(AND(F1596&lt;&gt;"",OR(NOT(ISNUMBER(F1596)),N(F1596)&lt;0,N(F1596)&gt;=1)),"Perte entre 0 et 99 %",IF(COUNTIFS(bom_prod,A1596,bom_mat,B1596)&gt;1,"Matière en double","OK")))))))))</f>
        <v/>
      </c>
      <c r="K1596" s="71" t="str">
        <f>IF(AND(fiche_sel&lt;&gt;"",A1596=fiche_sel),COUNTIF(A$6:A1596,fiche_sel),"")</f>
        <v/>
      </c>
    </row>
    <row r="1597">
      <c r="A1597" s="60" t="n"/>
      <c r="B1597" s="60" t="n"/>
      <c r="C1597" s="71" t="str">
        <f>IF(B1597="","",IFERROR(INDEX(mat_des,MATCH(B1597,mat_ref,0))&amp;"","Matière inconnue"))</f>
        <v/>
      </c>
      <c r="D1597" s="69" t="str">
        <f>IF(B1597="","",IFERROR(INDEX(mat_unit,MATCH(B1597,mat_ref,0))&amp;"",""))</f>
        <v/>
      </c>
      <c r="E1597" s="72" t="n"/>
      <c r="F1597" s="65" t="n"/>
      <c r="G1597" s="68" t="str">
        <f>IF(J1597&lt;&gt;"OK","",IF(F1597="",N(INDEX(mat_loss,MATCH(B1597,mat_ref,0))),F1597))</f>
        <v/>
      </c>
      <c r="H1597" s="66" t="str">
        <f>IF(J1597&lt;&gt;"OK","",INDEX(mat_price,MATCH(B1597,mat_ref,0)))</f>
        <v/>
      </c>
      <c r="I1597" s="66" t="str">
        <f>IF(J1597&lt;&gt;"OK","",E1597*(1+G1597)*H1597)</f>
        <v/>
      </c>
      <c r="J1597" s="69" t="str">
        <f>IF(AND(A1597="",B1597=""),"",IF(A1597="","Produit manquant",IF(COUNTIF(prod_ref,A1597)=0,"Produit inconnu",IF(B1597="","Matière manquante",IF(ISNA(MATCH(B1597,mat_ref,0)),"Matière inconnue",IF(INDEX(mat_check,MATCH(B1597,mat_ref,0))&lt;&gt;"OK","Matière à corriger",IF(OR(NOT(ISNUMBER(E1597)),N(E1597)&lt;=0),"Quantité invalide",IF(AND(F1597&lt;&gt;"",OR(NOT(ISNUMBER(F1597)),N(F1597)&lt;0,N(F1597)&gt;=1)),"Perte entre 0 et 99 %",IF(COUNTIFS(bom_prod,A1597,bom_mat,B1597)&gt;1,"Matière en double","OK")))))))))</f>
        <v/>
      </c>
      <c r="K1597" s="71" t="str">
        <f>IF(AND(fiche_sel&lt;&gt;"",A1597=fiche_sel),COUNTIF(A$6:A1597,fiche_sel),"")</f>
        <v/>
      </c>
    </row>
    <row r="1598">
      <c r="A1598" s="60" t="n"/>
      <c r="B1598" s="60" t="n"/>
      <c r="C1598" s="71" t="str">
        <f>IF(B1598="","",IFERROR(INDEX(mat_des,MATCH(B1598,mat_ref,0))&amp;"","Matière inconnue"))</f>
        <v/>
      </c>
      <c r="D1598" s="69" t="str">
        <f>IF(B1598="","",IFERROR(INDEX(mat_unit,MATCH(B1598,mat_ref,0))&amp;"",""))</f>
        <v/>
      </c>
      <c r="E1598" s="72" t="n"/>
      <c r="F1598" s="65" t="n"/>
      <c r="G1598" s="68" t="str">
        <f>IF(J1598&lt;&gt;"OK","",IF(F1598="",N(INDEX(mat_loss,MATCH(B1598,mat_ref,0))),F1598))</f>
        <v/>
      </c>
      <c r="H1598" s="66" t="str">
        <f>IF(J1598&lt;&gt;"OK","",INDEX(mat_price,MATCH(B1598,mat_ref,0)))</f>
        <v/>
      </c>
      <c r="I1598" s="66" t="str">
        <f>IF(J1598&lt;&gt;"OK","",E1598*(1+G1598)*H1598)</f>
        <v/>
      </c>
      <c r="J1598" s="69" t="str">
        <f>IF(AND(A1598="",B1598=""),"",IF(A1598="","Produit manquant",IF(COUNTIF(prod_ref,A1598)=0,"Produit inconnu",IF(B1598="","Matière manquante",IF(ISNA(MATCH(B1598,mat_ref,0)),"Matière inconnue",IF(INDEX(mat_check,MATCH(B1598,mat_ref,0))&lt;&gt;"OK","Matière à corriger",IF(OR(NOT(ISNUMBER(E1598)),N(E1598)&lt;=0),"Quantité invalide",IF(AND(F1598&lt;&gt;"",OR(NOT(ISNUMBER(F1598)),N(F1598)&lt;0,N(F1598)&gt;=1)),"Perte entre 0 et 99 %",IF(COUNTIFS(bom_prod,A1598,bom_mat,B1598)&gt;1,"Matière en double","OK")))))))))</f>
        <v/>
      </c>
      <c r="K1598" s="71" t="str">
        <f>IF(AND(fiche_sel&lt;&gt;"",A1598=fiche_sel),COUNTIF(A$6:A1598,fiche_sel),"")</f>
        <v/>
      </c>
    </row>
    <row r="1599">
      <c r="A1599" s="60" t="n"/>
      <c r="B1599" s="60" t="n"/>
      <c r="C1599" s="71" t="str">
        <f>IF(B1599="","",IFERROR(INDEX(mat_des,MATCH(B1599,mat_ref,0))&amp;"","Matière inconnue"))</f>
        <v/>
      </c>
      <c r="D1599" s="69" t="str">
        <f>IF(B1599="","",IFERROR(INDEX(mat_unit,MATCH(B1599,mat_ref,0))&amp;"",""))</f>
        <v/>
      </c>
      <c r="E1599" s="72" t="n"/>
      <c r="F1599" s="65" t="n"/>
      <c r="G1599" s="68" t="str">
        <f>IF(J1599&lt;&gt;"OK","",IF(F1599="",N(INDEX(mat_loss,MATCH(B1599,mat_ref,0))),F1599))</f>
        <v/>
      </c>
      <c r="H1599" s="66" t="str">
        <f>IF(J1599&lt;&gt;"OK","",INDEX(mat_price,MATCH(B1599,mat_ref,0)))</f>
        <v/>
      </c>
      <c r="I1599" s="66" t="str">
        <f>IF(J1599&lt;&gt;"OK","",E1599*(1+G1599)*H1599)</f>
        <v/>
      </c>
      <c r="J1599" s="69" t="str">
        <f>IF(AND(A1599="",B1599=""),"",IF(A1599="","Produit manquant",IF(COUNTIF(prod_ref,A1599)=0,"Produit inconnu",IF(B1599="","Matière manquante",IF(ISNA(MATCH(B1599,mat_ref,0)),"Matière inconnue",IF(INDEX(mat_check,MATCH(B1599,mat_ref,0))&lt;&gt;"OK","Matière à corriger",IF(OR(NOT(ISNUMBER(E1599)),N(E1599)&lt;=0),"Quantité invalide",IF(AND(F1599&lt;&gt;"",OR(NOT(ISNUMBER(F1599)),N(F1599)&lt;0,N(F1599)&gt;=1)),"Perte entre 0 et 99 %",IF(COUNTIFS(bom_prod,A1599,bom_mat,B1599)&gt;1,"Matière en double","OK")))))))))</f>
        <v/>
      </c>
      <c r="K1599" s="71" t="str">
        <f>IF(AND(fiche_sel&lt;&gt;"",A1599=fiche_sel),COUNTIF(A$6:A1599,fiche_sel),"")</f>
        <v/>
      </c>
    </row>
    <row r="1600">
      <c r="A1600" s="60" t="n"/>
      <c r="B1600" s="60" t="n"/>
      <c r="C1600" s="71" t="str">
        <f>IF(B1600="","",IFERROR(INDEX(mat_des,MATCH(B1600,mat_ref,0))&amp;"","Matière inconnue"))</f>
        <v/>
      </c>
      <c r="D1600" s="69" t="str">
        <f>IF(B1600="","",IFERROR(INDEX(mat_unit,MATCH(B1600,mat_ref,0))&amp;"",""))</f>
        <v/>
      </c>
      <c r="E1600" s="72" t="n"/>
      <c r="F1600" s="65" t="n"/>
      <c r="G1600" s="68" t="str">
        <f>IF(J1600&lt;&gt;"OK","",IF(F1600="",N(INDEX(mat_loss,MATCH(B1600,mat_ref,0))),F1600))</f>
        <v/>
      </c>
      <c r="H1600" s="66" t="str">
        <f>IF(J1600&lt;&gt;"OK","",INDEX(mat_price,MATCH(B1600,mat_ref,0)))</f>
        <v/>
      </c>
      <c r="I1600" s="66" t="str">
        <f>IF(J1600&lt;&gt;"OK","",E1600*(1+G1600)*H1600)</f>
        <v/>
      </c>
      <c r="J1600" s="69" t="str">
        <f>IF(AND(A1600="",B1600=""),"",IF(A1600="","Produit manquant",IF(COUNTIF(prod_ref,A1600)=0,"Produit inconnu",IF(B1600="","Matière manquante",IF(ISNA(MATCH(B1600,mat_ref,0)),"Matière inconnue",IF(INDEX(mat_check,MATCH(B1600,mat_ref,0))&lt;&gt;"OK","Matière à corriger",IF(OR(NOT(ISNUMBER(E1600)),N(E1600)&lt;=0),"Quantité invalide",IF(AND(F1600&lt;&gt;"",OR(NOT(ISNUMBER(F1600)),N(F1600)&lt;0,N(F1600)&gt;=1)),"Perte entre 0 et 99 %",IF(COUNTIFS(bom_prod,A1600,bom_mat,B1600)&gt;1,"Matière en double","OK")))))))))</f>
        <v/>
      </c>
      <c r="K1600" s="71" t="str">
        <f>IF(AND(fiche_sel&lt;&gt;"",A1600=fiche_sel),COUNTIF(A$6:A1600,fiche_sel),"")</f>
        <v/>
      </c>
    </row>
    <row r="1601">
      <c r="A1601" s="60" t="n"/>
      <c r="B1601" s="60" t="n"/>
      <c r="C1601" s="71" t="str">
        <f>IF(B1601="","",IFERROR(INDEX(mat_des,MATCH(B1601,mat_ref,0))&amp;"","Matière inconnue"))</f>
        <v/>
      </c>
      <c r="D1601" s="69" t="str">
        <f>IF(B1601="","",IFERROR(INDEX(mat_unit,MATCH(B1601,mat_ref,0))&amp;"",""))</f>
        <v/>
      </c>
      <c r="E1601" s="72" t="n"/>
      <c r="F1601" s="65" t="n"/>
      <c r="G1601" s="68" t="str">
        <f>IF(J1601&lt;&gt;"OK","",IF(F1601="",N(INDEX(mat_loss,MATCH(B1601,mat_ref,0))),F1601))</f>
        <v/>
      </c>
      <c r="H1601" s="66" t="str">
        <f>IF(J1601&lt;&gt;"OK","",INDEX(mat_price,MATCH(B1601,mat_ref,0)))</f>
        <v/>
      </c>
      <c r="I1601" s="66" t="str">
        <f>IF(J1601&lt;&gt;"OK","",E1601*(1+G1601)*H1601)</f>
        <v/>
      </c>
      <c r="J1601" s="69" t="str">
        <f>IF(AND(A1601="",B1601=""),"",IF(A1601="","Produit manquant",IF(COUNTIF(prod_ref,A1601)=0,"Produit inconnu",IF(B1601="","Matière manquante",IF(ISNA(MATCH(B1601,mat_ref,0)),"Matière inconnue",IF(INDEX(mat_check,MATCH(B1601,mat_ref,0))&lt;&gt;"OK","Matière à corriger",IF(OR(NOT(ISNUMBER(E1601)),N(E1601)&lt;=0),"Quantité invalide",IF(AND(F1601&lt;&gt;"",OR(NOT(ISNUMBER(F1601)),N(F1601)&lt;0,N(F1601)&gt;=1)),"Perte entre 0 et 99 %",IF(COUNTIFS(bom_prod,A1601,bom_mat,B1601)&gt;1,"Matière en double","OK")))))))))</f>
        <v/>
      </c>
      <c r="K1601" s="71" t="str">
        <f>IF(AND(fiche_sel&lt;&gt;"",A1601=fiche_sel),COUNTIF(A$6:A1601,fiche_sel),"")</f>
        <v/>
      </c>
    </row>
    <row r="1602">
      <c r="A1602" s="60" t="n"/>
      <c r="B1602" s="60" t="n"/>
      <c r="C1602" s="71" t="str">
        <f>IF(B1602="","",IFERROR(INDEX(mat_des,MATCH(B1602,mat_ref,0))&amp;"","Matière inconnue"))</f>
        <v/>
      </c>
      <c r="D1602" s="69" t="str">
        <f>IF(B1602="","",IFERROR(INDEX(mat_unit,MATCH(B1602,mat_ref,0))&amp;"",""))</f>
        <v/>
      </c>
      <c r="E1602" s="72" t="n"/>
      <c r="F1602" s="65" t="n"/>
      <c r="G1602" s="68" t="str">
        <f>IF(J1602&lt;&gt;"OK","",IF(F1602="",N(INDEX(mat_loss,MATCH(B1602,mat_ref,0))),F1602))</f>
        <v/>
      </c>
      <c r="H1602" s="66" t="str">
        <f>IF(J1602&lt;&gt;"OK","",INDEX(mat_price,MATCH(B1602,mat_ref,0)))</f>
        <v/>
      </c>
      <c r="I1602" s="66" t="str">
        <f>IF(J1602&lt;&gt;"OK","",E1602*(1+G1602)*H1602)</f>
        <v/>
      </c>
      <c r="J1602" s="69" t="str">
        <f>IF(AND(A1602="",B1602=""),"",IF(A1602="","Produit manquant",IF(COUNTIF(prod_ref,A1602)=0,"Produit inconnu",IF(B1602="","Matière manquante",IF(ISNA(MATCH(B1602,mat_ref,0)),"Matière inconnue",IF(INDEX(mat_check,MATCH(B1602,mat_ref,0))&lt;&gt;"OK","Matière à corriger",IF(OR(NOT(ISNUMBER(E1602)),N(E1602)&lt;=0),"Quantité invalide",IF(AND(F1602&lt;&gt;"",OR(NOT(ISNUMBER(F1602)),N(F1602)&lt;0,N(F1602)&gt;=1)),"Perte entre 0 et 99 %",IF(COUNTIFS(bom_prod,A1602,bom_mat,B1602)&gt;1,"Matière en double","OK")))))))))</f>
        <v/>
      </c>
      <c r="K1602" s="71" t="str">
        <f>IF(AND(fiche_sel&lt;&gt;"",A1602=fiche_sel),COUNTIF(A$6:A1602,fiche_sel),"")</f>
        <v/>
      </c>
    </row>
    <row r="1603">
      <c r="A1603" s="60" t="n"/>
      <c r="B1603" s="60" t="n"/>
      <c r="C1603" s="71" t="str">
        <f>IF(B1603="","",IFERROR(INDEX(mat_des,MATCH(B1603,mat_ref,0))&amp;"","Matière inconnue"))</f>
        <v/>
      </c>
      <c r="D1603" s="69" t="str">
        <f>IF(B1603="","",IFERROR(INDEX(mat_unit,MATCH(B1603,mat_ref,0))&amp;"",""))</f>
        <v/>
      </c>
      <c r="E1603" s="72" t="n"/>
      <c r="F1603" s="65" t="n"/>
      <c r="G1603" s="68" t="str">
        <f>IF(J1603&lt;&gt;"OK","",IF(F1603="",N(INDEX(mat_loss,MATCH(B1603,mat_ref,0))),F1603))</f>
        <v/>
      </c>
      <c r="H1603" s="66" t="str">
        <f>IF(J1603&lt;&gt;"OK","",INDEX(mat_price,MATCH(B1603,mat_ref,0)))</f>
        <v/>
      </c>
      <c r="I1603" s="66" t="str">
        <f>IF(J1603&lt;&gt;"OK","",E1603*(1+G1603)*H1603)</f>
        <v/>
      </c>
      <c r="J1603" s="69" t="str">
        <f>IF(AND(A1603="",B1603=""),"",IF(A1603="","Produit manquant",IF(COUNTIF(prod_ref,A1603)=0,"Produit inconnu",IF(B1603="","Matière manquante",IF(ISNA(MATCH(B1603,mat_ref,0)),"Matière inconnue",IF(INDEX(mat_check,MATCH(B1603,mat_ref,0))&lt;&gt;"OK","Matière à corriger",IF(OR(NOT(ISNUMBER(E1603)),N(E1603)&lt;=0),"Quantité invalide",IF(AND(F1603&lt;&gt;"",OR(NOT(ISNUMBER(F1603)),N(F1603)&lt;0,N(F1603)&gt;=1)),"Perte entre 0 et 99 %",IF(COUNTIFS(bom_prod,A1603,bom_mat,B1603)&gt;1,"Matière en double","OK")))))))))</f>
        <v/>
      </c>
      <c r="K1603" s="71" t="str">
        <f>IF(AND(fiche_sel&lt;&gt;"",A1603=fiche_sel),COUNTIF(A$6:A1603,fiche_sel),"")</f>
        <v/>
      </c>
    </row>
    <row r="1604">
      <c r="A1604" s="60" t="n"/>
      <c r="B1604" s="60" t="n"/>
      <c r="C1604" s="71" t="str">
        <f>IF(B1604="","",IFERROR(INDEX(mat_des,MATCH(B1604,mat_ref,0))&amp;"","Matière inconnue"))</f>
        <v/>
      </c>
      <c r="D1604" s="69" t="str">
        <f>IF(B1604="","",IFERROR(INDEX(mat_unit,MATCH(B1604,mat_ref,0))&amp;"",""))</f>
        <v/>
      </c>
      <c r="E1604" s="72" t="n"/>
      <c r="F1604" s="65" t="n"/>
      <c r="G1604" s="68" t="str">
        <f>IF(J1604&lt;&gt;"OK","",IF(F1604="",N(INDEX(mat_loss,MATCH(B1604,mat_ref,0))),F1604))</f>
        <v/>
      </c>
      <c r="H1604" s="66" t="str">
        <f>IF(J1604&lt;&gt;"OK","",INDEX(mat_price,MATCH(B1604,mat_ref,0)))</f>
        <v/>
      </c>
      <c r="I1604" s="66" t="str">
        <f>IF(J1604&lt;&gt;"OK","",E1604*(1+G1604)*H1604)</f>
        <v/>
      </c>
      <c r="J1604" s="69" t="str">
        <f>IF(AND(A1604="",B1604=""),"",IF(A1604="","Produit manquant",IF(COUNTIF(prod_ref,A1604)=0,"Produit inconnu",IF(B1604="","Matière manquante",IF(ISNA(MATCH(B1604,mat_ref,0)),"Matière inconnue",IF(INDEX(mat_check,MATCH(B1604,mat_ref,0))&lt;&gt;"OK","Matière à corriger",IF(OR(NOT(ISNUMBER(E1604)),N(E1604)&lt;=0),"Quantité invalide",IF(AND(F1604&lt;&gt;"",OR(NOT(ISNUMBER(F1604)),N(F1604)&lt;0,N(F1604)&gt;=1)),"Perte entre 0 et 99 %",IF(COUNTIFS(bom_prod,A1604,bom_mat,B1604)&gt;1,"Matière en double","OK")))))))))</f>
        <v/>
      </c>
      <c r="K1604" s="71" t="str">
        <f>IF(AND(fiche_sel&lt;&gt;"",A1604=fiche_sel),COUNTIF(A$6:A1604,fiche_sel),"")</f>
        <v/>
      </c>
    </row>
    <row r="1605">
      <c r="A1605" s="60" t="n"/>
      <c r="B1605" s="60" t="n"/>
      <c r="C1605" s="71" t="str">
        <f>IF(B1605="","",IFERROR(INDEX(mat_des,MATCH(B1605,mat_ref,0))&amp;"","Matière inconnue"))</f>
        <v/>
      </c>
      <c r="D1605" s="69" t="str">
        <f>IF(B1605="","",IFERROR(INDEX(mat_unit,MATCH(B1605,mat_ref,0))&amp;"",""))</f>
        <v/>
      </c>
      <c r="E1605" s="72" t="n"/>
      <c r="F1605" s="65" t="n"/>
      <c r="G1605" s="68" t="str">
        <f>IF(J1605&lt;&gt;"OK","",IF(F1605="",N(INDEX(mat_loss,MATCH(B1605,mat_ref,0))),F1605))</f>
        <v/>
      </c>
      <c r="H1605" s="66" t="str">
        <f>IF(J1605&lt;&gt;"OK","",INDEX(mat_price,MATCH(B1605,mat_ref,0)))</f>
        <v/>
      </c>
      <c r="I1605" s="66" t="str">
        <f>IF(J1605&lt;&gt;"OK","",E1605*(1+G1605)*H1605)</f>
        <v/>
      </c>
      <c r="J1605" s="69" t="str">
        <f>IF(AND(A1605="",B1605=""),"",IF(A1605="","Produit manquant",IF(COUNTIF(prod_ref,A1605)=0,"Produit inconnu",IF(B1605="","Matière manquante",IF(ISNA(MATCH(B1605,mat_ref,0)),"Matière inconnue",IF(INDEX(mat_check,MATCH(B1605,mat_ref,0))&lt;&gt;"OK","Matière à corriger",IF(OR(NOT(ISNUMBER(E1605)),N(E1605)&lt;=0),"Quantité invalide",IF(AND(F1605&lt;&gt;"",OR(NOT(ISNUMBER(F1605)),N(F1605)&lt;0,N(F1605)&gt;=1)),"Perte entre 0 et 99 %",IF(COUNTIFS(bom_prod,A1605,bom_mat,B1605)&gt;1,"Matière en double","OK")))))))))</f>
        <v/>
      </c>
      <c r="K1605" s="71" t="str">
        <f>IF(AND(fiche_sel&lt;&gt;"",A1605=fiche_sel),COUNTIF(A$6:A1605,fiche_sel),"")</f>
        <v/>
      </c>
    </row>
    <row r="1606">
      <c r="A1606" s="60" t="n"/>
      <c r="B1606" s="60" t="n"/>
      <c r="C1606" s="71" t="str">
        <f>IF(B1606="","",IFERROR(INDEX(mat_des,MATCH(B1606,mat_ref,0))&amp;"","Matière inconnue"))</f>
        <v/>
      </c>
      <c r="D1606" s="69" t="str">
        <f>IF(B1606="","",IFERROR(INDEX(mat_unit,MATCH(B1606,mat_ref,0))&amp;"",""))</f>
        <v/>
      </c>
      <c r="E1606" s="72" t="n"/>
      <c r="F1606" s="65" t="n"/>
      <c r="G1606" s="68" t="str">
        <f>IF(J1606&lt;&gt;"OK","",IF(F1606="",N(INDEX(mat_loss,MATCH(B1606,mat_ref,0))),F1606))</f>
        <v/>
      </c>
      <c r="H1606" s="66" t="str">
        <f>IF(J1606&lt;&gt;"OK","",INDEX(mat_price,MATCH(B1606,mat_ref,0)))</f>
        <v/>
      </c>
      <c r="I1606" s="66" t="str">
        <f>IF(J1606&lt;&gt;"OK","",E1606*(1+G1606)*H1606)</f>
        <v/>
      </c>
      <c r="J1606" s="69" t="str">
        <f>IF(AND(A1606="",B1606=""),"",IF(A1606="","Produit manquant",IF(COUNTIF(prod_ref,A1606)=0,"Produit inconnu",IF(B1606="","Matière manquante",IF(ISNA(MATCH(B1606,mat_ref,0)),"Matière inconnue",IF(INDEX(mat_check,MATCH(B1606,mat_ref,0))&lt;&gt;"OK","Matière à corriger",IF(OR(NOT(ISNUMBER(E1606)),N(E1606)&lt;=0),"Quantité invalide",IF(AND(F1606&lt;&gt;"",OR(NOT(ISNUMBER(F1606)),N(F1606)&lt;0,N(F1606)&gt;=1)),"Perte entre 0 et 99 %",IF(COUNTIFS(bom_prod,A1606,bom_mat,B1606)&gt;1,"Matière en double","OK")))))))))</f>
        <v/>
      </c>
      <c r="K1606" s="71" t="str">
        <f>IF(AND(fiche_sel&lt;&gt;"",A1606=fiche_sel),COUNTIF(A$6:A1606,fiche_sel),"")</f>
        <v/>
      </c>
    </row>
    <row r="1607">
      <c r="A1607" s="60" t="n"/>
      <c r="B1607" s="60" t="n"/>
      <c r="C1607" s="71" t="str">
        <f>IF(B1607="","",IFERROR(INDEX(mat_des,MATCH(B1607,mat_ref,0))&amp;"","Matière inconnue"))</f>
        <v/>
      </c>
      <c r="D1607" s="69" t="str">
        <f>IF(B1607="","",IFERROR(INDEX(mat_unit,MATCH(B1607,mat_ref,0))&amp;"",""))</f>
        <v/>
      </c>
      <c r="E1607" s="72" t="n"/>
      <c r="F1607" s="65" t="n"/>
      <c r="G1607" s="68" t="str">
        <f>IF(J1607&lt;&gt;"OK","",IF(F1607="",N(INDEX(mat_loss,MATCH(B1607,mat_ref,0))),F1607))</f>
        <v/>
      </c>
      <c r="H1607" s="66" t="str">
        <f>IF(J1607&lt;&gt;"OK","",INDEX(mat_price,MATCH(B1607,mat_ref,0)))</f>
        <v/>
      </c>
      <c r="I1607" s="66" t="str">
        <f>IF(J1607&lt;&gt;"OK","",E1607*(1+G1607)*H1607)</f>
        <v/>
      </c>
      <c r="J1607" s="69" t="str">
        <f>IF(AND(A1607="",B1607=""),"",IF(A1607="","Produit manquant",IF(COUNTIF(prod_ref,A1607)=0,"Produit inconnu",IF(B1607="","Matière manquante",IF(ISNA(MATCH(B1607,mat_ref,0)),"Matière inconnue",IF(INDEX(mat_check,MATCH(B1607,mat_ref,0))&lt;&gt;"OK","Matière à corriger",IF(OR(NOT(ISNUMBER(E1607)),N(E1607)&lt;=0),"Quantité invalide",IF(AND(F1607&lt;&gt;"",OR(NOT(ISNUMBER(F1607)),N(F1607)&lt;0,N(F1607)&gt;=1)),"Perte entre 0 et 99 %",IF(COUNTIFS(bom_prod,A1607,bom_mat,B1607)&gt;1,"Matière en double","OK")))))))))</f>
        <v/>
      </c>
      <c r="K1607" s="71" t="str">
        <f>IF(AND(fiche_sel&lt;&gt;"",A1607=fiche_sel),COUNTIF(A$6:A1607,fiche_sel),"")</f>
        <v/>
      </c>
    </row>
    <row r="1608">
      <c r="A1608" s="60" t="n"/>
      <c r="B1608" s="60" t="n"/>
      <c r="C1608" s="71" t="str">
        <f>IF(B1608="","",IFERROR(INDEX(mat_des,MATCH(B1608,mat_ref,0))&amp;"","Matière inconnue"))</f>
        <v/>
      </c>
      <c r="D1608" s="69" t="str">
        <f>IF(B1608="","",IFERROR(INDEX(mat_unit,MATCH(B1608,mat_ref,0))&amp;"",""))</f>
        <v/>
      </c>
      <c r="E1608" s="72" t="n"/>
      <c r="F1608" s="65" t="n"/>
      <c r="G1608" s="68" t="str">
        <f>IF(J1608&lt;&gt;"OK","",IF(F1608="",N(INDEX(mat_loss,MATCH(B1608,mat_ref,0))),F1608))</f>
        <v/>
      </c>
      <c r="H1608" s="66" t="str">
        <f>IF(J1608&lt;&gt;"OK","",INDEX(mat_price,MATCH(B1608,mat_ref,0)))</f>
        <v/>
      </c>
      <c r="I1608" s="66" t="str">
        <f>IF(J1608&lt;&gt;"OK","",E1608*(1+G1608)*H1608)</f>
        <v/>
      </c>
      <c r="J1608" s="69" t="str">
        <f>IF(AND(A1608="",B1608=""),"",IF(A1608="","Produit manquant",IF(COUNTIF(prod_ref,A1608)=0,"Produit inconnu",IF(B1608="","Matière manquante",IF(ISNA(MATCH(B1608,mat_ref,0)),"Matière inconnue",IF(INDEX(mat_check,MATCH(B1608,mat_ref,0))&lt;&gt;"OK","Matière à corriger",IF(OR(NOT(ISNUMBER(E1608)),N(E1608)&lt;=0),"Quantité invalide",IF(AND(F1608&lt;&gt;"",OR(NOT(ISNUMBER(F1608)),N(F1608)&lt;0,N(F1608)&gt;=1)),"Perte entre 0 et 99 %",IF(COUNTIFS(bom_prod,A1608,bom_mat,B1608)&gt;1,"Matière en double","OK")))))))))</f>
        <v/>
      </c>
      <c r="K1608" s="71" t="str">
        <f>IF(AND(fiche_sel&lt;&gt;"",A1608=fiche_sel),COUNTIF(A$6:A1608,fiche_sel),"")</f>
        <v/>
      </c>
    </row>
    <row r="1609">
      <c r="A1609" s="60" t="n"/>
      <c r="B1609" s="60" t="n"/>
      <c r="C1609" s="71" t="str">
        <f>IF(B1609="","",IFERROR(INDEX(mat_des,MATCH(B1609,mat_ref,0))&amp;"","Matière inconnue"))</f>
        <v/>
      </c>
      <c r="D1609" s="69" t="str">
        <f>IF(B1609="","",IFERROR(INDEX(mat_unit,MATCH(B1609,mat_ref,0))&amp;"",""))</f>
        <v/>
      </c>
      <c r="E1609" s="72" t="n"/>
      <c r="F1609" s="65" t="n"/>
      <c r="G1609" s="68" t="str">
        <f>IF(J1609&lt;&gt;"OK","",IF(F1609="",N(INDEX(mat_loss,MATCH(B1609,mat_ref,0))),F1609))</f>
        <v/>
      </c>
      <c r="H1609" s="66" t="str">
        <f>IF(J1609&lt;&gt;"OK","",INDEX(mat_price,MATCH(B1609,mat_ref,0)))</f>
        <v/>
      </c>
      <c r="I1609" s="66" t="str">
        <f>IF(J1609&lt;&gt;"OK","",E1609*(1+G1609)*H1609)</f>
        <v/>
      </c>
      <c r="J1609" s="69" t="str">
        <f>IF(AND(A1609="",B1609=""),"",IF(A1609="","Produit manquant",IF(COUNTIF(prod_ref,A1609)=0,"Produit inconnu",IF(B1609="","Matière manquante",IF(ISNA(MATCH(B1609,mat_ref,0)),"Matière inconnue",IF(INDEX(mat_check,MATCH(B1609,mat_ref,0))&lt;&gt;"OK","Matière à corriger",IF(OR(NOT(ISNUMBER(E1609)),N(E1609)&lt;=0),"Quantité invalide",IF(AND(F1609&lt;&gt;"",OR(NOT(ISNUMBER(F1609)),N(F1609)&lt;0,N(F1609)&gt;=1)),"Perte entre 0 et 99 %",IF(COUNTIFS(bom_prod,A1609,bom_mat,B1609)&gt;1,"Matière en double","OK")))))))))</f>
        <v/>
      </c>
      <c r="K1609" s="71" t="str">
        <f>IF(AND(fiche_sel&lt;&gt;"",A1609=fiche_sel),COUNTIF(A$6:A1609,fiche_sel),"")</f>
        <v/>
      </c>
    </row>
    <row r="1610">
      <c r="A1610" s="60" t="n"/>
      <c r="B1610" s="60" t="n"/>
      <c r="C1610" s="71" t="str">
        <f>IF(B1610="","",IFERROR(INDEX(mat_des,MATCH(B1610,mat_ref,0))&amp;"","Matière inconnue"))</f>
        <v/>
      </c>
      <c r="D1610" s="69" t="str">
        <f>IF(B1610="","",IFERROR(INDEX(mat_unit,MATCH(B1610,mat_ref,0))&amp;"",""))</f>
        <v/>
      </c>
      <c r="E1610" s="72" t="n"/>
      <c r="F1610" s="65" t="n"/>
      <c r="G1610" s="68" t="str">
        <f>IF(J1610&lt;&gt;"OK","",IF(F1610="",N(INDEX(mat_loss,MATCH(B1610,mat_ref,0))),F1610))</f>
        <v/>
      </c>
      <c r="H1610" s="66" t="str">
        <f>IF(J1610&lt;&gt;"OK","",INDEX(mat_price,MATCH(B1610,mat_ref,0)))</f>
        <v/>
      </c>
      <c r="I1610" s="66" t="str">
        <f>IF(J1610&lt;&gt;"OK","",E1610*(1+G1610)*H1610)</f>
        <v/>
      </c>
      <c r="J1610" s="69" t="str">
        <f>IF(AND(A1610="",B1610=""),"",IF(A1610="","Produit manquant",IF(COUNTIF(prod_ref,A1610)=0,"Produit inconnu",IF(B1610="","Matière manquante",IF(ISNA(MATCH(B1610,mat_ref,0)),"Matière inconnue",IF(INDEX(mat_check,MATCH(B1610,mat_ref,0))&lt;&gt;"OK","Matière à corriger",IF(OR(NOT(ISNUMBER(E1610)),N(E1610)&lt;=0),"Quantité invalide",IF(AND(F1610&lt;&gt;"",OR(NOT(ISNUMBER(F1610)),N(F1610)&lt;0,N(F1610)&gt;=1)),"Perte entre 0 et 99 %",IF(COUNTIFS(bom_prod,A1610,bom_mat,B1610)&gt;1,"Matière en double","OK")))))))))</f>
        <v/>
      </c>
      <c r="K1610" s="71" t="str">
        <f>IF(AND(fiche_sel&lt;&gt;"",A1610=fiche_sel),COUNTIF(A$6:A1610,fiche_sel),"")</f>
        <v/>
      </c>
    </row>
    <row r="1611">
      <c r="A1611" s="60" t="n"/>
      <c r="B1611" s="60" t="n"/>
      <c r="C1611" s="71" t="str">
        <f>IF(B1611="","",IFERROR(INDEX(mat_des,MATCH(B1611,mat_ref,0))&amp;"","Matière inconnue"))</f>
        <v/>
      </c>
      <c r="D1611" s="69" t="str">
        <f>IF(B1611="","",IFERROR(INDEX(mat_unit,MATCH(B1611,mat_ref,0))&amp;"",""))</f>
        <v/>
      </c>
      <c r="E1611" s="72" t="n"/>
      <c r="F1611" s="65" t="n"/>
      <c r="G1611" s="68" t="str">
        <f>IF(J1611&lt;&gt;"OK","",IF(F1611="",N(INDEX(mat_loss,MATCH(B1611,mat_ref,0))),F1611))</f>
        <v/>
      </c>
      <c r="H1611" s="66" t="str">
        <f>IF(J1611&lt;&gt;"OK","",INDEX(mat_price,MATCH(B1611,mat_ref,0)))</f>
        <v/>
      </c>
      <c r="I1611" s="66" t="str">
        <f>IF(J1611&lt;&gt;"OK","",E1611*(1+G1611)*H1611)</f>
        <v/>
      </c>
      <c r="J1611" s="69" t="str">
        <f>IF(AND(A1611="",B1611=""),"",IF(A1611="","Produit manquant",IF(COUNTIF(prod_ref,A1611)=0,"Produit inconnu",IF(B1611="","Matière manquante",IF(ISNA(MATCH(B1611,mat_ref,0)),"Matière inconnue",IF(INDEX(mat_check,MATCH(B1611,mat_ref,0))&lt;&gt;"OK","Matière à corriger",IF(OR(NOT(ISNUMBER(E1611)),N(E1611)&lt;=0),"Quantité invalide",IF(AND(F1611&lt;&gt;"",OR(NOT(ISNUMBER(F1611)),N(F1611)&lt;0,N(F1611)&gt;=1)),"Perte entre 0 et 99 %",IF(COUNTIFS(bom_prod,A1611,bom_mat,B1611)&gt;1,"Matière en double","OK")))))))))</f>
        <v/>
      </c>
      <c r="K1611" s="71" t="str">
        <f>IF(AND(fiche_sel&lt;&gt;"",A1611=fiche_sel),COUNTIF(A$6:A1611,fiche_sel),"")</f>
        <v/>
      </c>
    </row>
    <row r="1612">
      <c r="A1612" s="60" t="n"/>
      <c r="B1612" s="60" t="n"/>
      <c r="C1612" s="71" t="str">
        <f>IF(B1612="","",IFERROR(INDEX(mat_des,MATCH(B1612,mat_ref,0))&amp;"","Matière inconnue"))</f>
        <v/>
      </c>
      <c r="D1612" s="69" t="str">
        <f>IF(B1612="","",IFERROR(INDEX(mat_unit,MATCH(B1612,mat_ref,0))&amp;"",""))</f>
        <v/>
      </c>
      <c r="E1612" s="72" t="n"/>
      <c r="F1612" s="65" t="n"/>
      <c r="G1612" s="68" t="str">
        <f>IF(J1612&lt;&gt;"OK","",IF(F1612="",N(INDEX(mat_loss,MATCH(B1612,mat_ref,0))),F1612))</f>
        <v/>
      </c>
      <c r="H1612" s="66" t="str">
        <f>IF(J1612&lt;&gt;"OK","",INDEX(mat_price,MATCH(B1612,mat_ref,0)))</f>
        <v/>
      </c>
      <c r="I1612" s="66" t="str">
        <f>IF(J1612&lt;&gt;"OK","",E1612*(1+G1612)*H1612)</f>
        <v/>
      </c>
      <c r="J1612" s="69" t="str">
        <f>IF(AND(A1612="",B1612=""),"",IF(A1612="","Produit manquant",IF(COUNTIF(prod_ref,A1612)=0,"Produit inconnu",IF(B1612="","Matière manquante",IF(ISNA(MATCH(B1612,mat_ref,0)),"Matière inconnue",IF(INDEX(mat_check,MATCH(B1612,mat_ref,0))&lt;&gt;"OK","Matière à corriger",IF(OR(NOT(ISNUMBER(E1612)),N(E1612)&lt;=0),"Quantité invalide",IF(AND(F1612&lt;&gt;"",OR(NOT(ISNUMBER(F1612)),N(F1612)&lt;0,N(F1612)&gt;=1)),"Perte entre 0 et 99 %",IF(COUNTIFS(bom_prod,A1612,bom_mat,B1612)&gt;1,"Matière en double","OK")))))))))</f>
        <v/>
      </c>
      <c r="K1612" s="71" t="str">
        <f>IF(AND(fiche_sel&lt;&gt;"",A1612=fiche_sel),COUNTIF(A$6:A1612,fiche_sel),"")</f>
        <v/>
      </c>
    </row>
    <row r="1613">
      <c r="A1613" s="60" t="n"/>
      <c r="B1613" s="60" t="n"/>
      <c r="C1613" s="71" t="str">
        <f>IF(B1613="","",IFERROR(INDEX(mat_des,MATCH(B1613,mat_ref,0))&amp;"","Matière inconnue"))</f>
        <v/>
      </c>
      <c r="D1613" s="69" t="str">
        <f>IF(B1613="","",IFERROR(INDEX(mat_unit,MATCH(B1613,mat_ref,0))&amp;"",""))</f>
        <v/>
      </c>
      <c r="E1613" s="72" t="n"/>
      <c r="F1613" s="65" t="n"/>
      <c r="G1613" s="68" t="str">
        <f>IF(J1613&lt;&gt;"OK","",IF(F1613="",N(INDEX(mat_loss,MATCH(B1613,mat_ref,0))),F1613))</f>
        <v/>
      </c>
      <c r="H1613" s="66" t="str">
        <f>IF(J1613&lt;&gt;"OK","",INDEX(mat_price,MATCH(B1613,mat_ref,0)))</f>
        <v/>
      </c>
      <c r="I1613" s="66" t="str">
        <f>IF(J1613&lt;&gt;"OK","",E1613*(1+G1613)*H1613)</f>
        <v/>
      </c>
      <c r="J1613" s="69" t="str">
        <f>IF(AND(A1613="",B1613=""),"",IF(A1613="","Produit manquant",IF(COUNTIF(prod_ref,A1613)=0,"Produit inconnu",IF(B1613="","Matière manquante",IF(ISNA(MATCH(B1613,mat_ref,0)),"Matière inconnue",IF(INDEX(mat_check,MATCH(B1613,mat_ref,0))&lt;&gt;"OK","Matière à corriger",IF(OR(NOT(ISNUMBER(E1613)),N(E1613)&lt;=0),"Quantité invalide",IF(AND(F1613&lt;&gt;"",OR(NOT(ISNUMBER(F1613)),N(F1613)&lt;0,N(F1613)&gt;=1)),"Perte entre 0 et 99 %",IF(COUNTIFS(bom_prod,A1613,bom_mat,B1613)&gt;1,"Matière en double","OK")))))))))</f>
        <v/>
      </c>
      <c r="K1613" s="71" t="str">
        <f>IF(AND(fiche_sel&lt;&gt;"",A1613=fiche_sel),COUNTIF(A$6:A1613,fiche_sel),"")</f>
        <v/>
      </c>
    </row>
    <row r="1614">
      <c r="A1614" s="60" t="n"/>
      <c r="B1614" s="60" t="n"/>
      <c r="C1614" s="71" t="str">
        <f>IF(B1614="","",IFERROR(INDEX(mat_des,MATCH(B1614,mat_ref,0))&amp;"","Matière inconnue"))</f>
        <v/>
      </c>
      <c r="D1614" s="69" t="str">
        <f>IF(B1614="","",IFERROR(INDEX(mat_unit,MATCH(B1614,mat_ref,0))&amp;"",""))</f>
        <v/>
      </c>
      <c r="E1614" s="72" t="n"/>
      <c r="F1614" s="65" t="n"/>
      <c r="G1614" s="68" t="str">
        <f>IF(J1614&lt;&gt;"OK","",IF(F1614="",N(INDEX(mat_loss,MATCH(B1614,mat_ref,0))),F1614))</f>
        <v/>
      </c>
      <c r="H1614" s="66" t="str">
        <f>IF(J1614&lt;&gt;"OK","",INDEX(mat_price,MATCH(B1614,mat_ref,0)))</f>
        <v/>
      </c>
      <c r="I1614" s="66" t="str">
        <f>IF(J1614&lt;&gt;"OK","",E1614*(1+G1614)*H1614)</f>
        <v/>
      </c>
      <c r="J1614" s="69" t="str">
        <f>IF(AND(A1614="",B1614=""),"",IF(A1614="","Produit manquant",IF(COUNTIF(prod_ref,A1614)=0,"Produit inconnu",IF(B1614="","Matière manquante",IF(ISNA(MATCH(B1614,mat_ref,0)),"Matière inconnue",IF(INDEX(mat_check,MATCH(B1614,mat_ref,0))&lt;&gt;"OK","Matière à corriger",IF(OR(NOT(ISNUMBER(E1614)),N(E1614)&lt;=0),"Quantité invalide",IF(AND(F1614&lt;&gt;"",OR(NOT(ISNUMBER(F1614)),N(F1614)&lt;0,N(F1614)&gt;=1)),"Perte entre 0 et 99 %",IF(COUNTIFS(bom_prod,A1614,bom_mat,B1614)&gt;1,"Matière en double","OK")))))))))</f>
        <v/>
      </c>
      <c r="K1614" s="71" t="str">
        <f>IF(AND(fiche_sel&lt;&gt;"",A1614=fiche_sel),COUNTIF(A$6:A1614,fiche_sel),"")</f>
        <v/>
      </c>
    </row>
    <row r="1615">
      <c r="A1615" s="60" t="n"/>
      <c r="B1615" s="60" t="n"/>
      <c r="C1615" s="71" t="str">
        <f>IF(B1615="","",IFERROR(INDEX(mat_des,MATCH(B1615,mat_ref,0))&amp;"","Matière inconnue"))</f>
        <v/>
      </c>
      <c r="D1615" s="69" t="str">
        <f>IF(B1615="","",IFERROR(INDEX(mat_unit,MATCH(B1615,mat_ref,0))&amp;"",""))</f>
        <v/>
      </c>
      <c r="E1615" s="72" t="n"/>
      <c r="F1615" s="65" t="n"/>
      <c r="G1615" s="68" t="str">
        <f>IF(J1615&lt;&gt;"OK","",IF(F1615="",N(INDEX(mat_loss,MATCH(B1615,mat_ref,0))),F1615))</f>
        <v/>
      </c>
      <c r="H1615" s="66" t="str">
        <f>IF(J1615&lt;&gt;"OK","",INDEX(mat_price,MATCH(B1615,mat_ref,0)))</f>
        <v/>
      </c>
      <c r="I1615" s="66" t="str">
        <f>IF(J1615&lt;&gt;"OK","",E1615*(1+G1615)*H1615)</f>
        <v/>
      </c>
      <c r="J1615" s="69" t="str">
        <f>IF(AND(A1615="",B1615=""),"",IF(A1615="","Produit manquant",IF(COUNTIF(prod_ref,A1615)=0,"Produit inconnu",IF(B1615="","Matière manquante",IF(ISNA(MATCH(B1615,mat_ref,0)),"Matière inconnue",IF(INDEX(mat_check,MATCH(B1615,mat_ref,0))&lt;&gt;"OK","Matière à corriger",IF(OR(NOT(ISNUMBER(E1615)),N(E1615)&lt;=0),"Quantité invalide",IF(AND(F1615&lt;&gt;"",OR(NOT(ISNUMBER(F1615)),N(F1615)&lt;0,N(F1615)&gt;=1)),"Perte entre 0 et 99 %",IF(COUNTIFS(bom_prod,A1615,bom_mat,B1615)&gt;1,"Matière en double","OK")))))))))</f>
        <v/>
      </c>
      <c r="K1615" s="71" t="str">
        <f>IF(AND(fiche_sel&lt;&gt;"",A1615=fiche_sel),COUNTIF(A$6:A1615,fiche_sel),"")</f>
        <v/>
      </c>
    </row>
    <row r="1616">
      <c r="A1616" s="60" t="n"/>
      <c r="B1616" s="60" t="n"/>
      <c r="C1616" s="71" t="str">
        <f>IF(B1616="","",IFERROR(INDEX(mat_des,MATCH(B1616,mat_ref,0))&amp;"","Matière inconnue"))</f>
        <v/>
      </c>
      <c r="D1616" s="69" t="str">
        <f>IF(B1616="","",IFERROR(INDEX(mat_unit,MATCH(B1616,mat_ref,0))&amp;"",""))</f>
        <v/>
      </c>
      <c r="E1616" s="72" t="n"/>
      <c r="F1616" s="65" t="n"/>
      <c r="G1616" s="68" t="str">
        <f>IF(J1616&lt;&gt;"OK","",IF(F1616="",N(INDEX(mat_loss,MATCH(B1616,mat_ref,0))),F1616))</f>
        <v/>
      </c>
      <c r="H1616" s="66" t="str">
        <f>IF(J1616&lt;&gt;"OK","",INDEX(mat_price,MATCH(B1616,mat_ref,0)))</f>
        <v/>
      </c>
      <c r="I1616" s="66" t="str">
        <f>IF(J1616&lt;&gt;"OK","",E1616*(1+G1616)*H1616)</f>
        <v/>
      </c>
      <c r="J1616" s="69" t="str">
        <f>IF(AND(A1616="",B1616=""),"",IF(A1616="","Produit manquant",IF(COUNTIF(prod_ref,A1616)=0,"Produit inconnu",IF(B1616="","Matière manquante",IF(ISNA(MATCH(B1616,mat_ref,0)),"Matière inconnue",IF(INDEX(mat_check,MATCH(B1616,mat_ref,0))&lt;&gt;"OK","Matière à corriger",IF(OR(NOT(ISNUMBER(E1616)),N(E1616)&lt;=0),"Quantité invalide",IF(AND(F1616&lt;&gt;"",OR(NOT(ISNUMBER(F1616)),N(F1616)&lt;0,N(F1616)&gt;=1)),"Perte entre 0 et 99 %",IF(COUNTIFS(bom_prod,A1616,bom_mat,B1616)&gt;1,"Matière en double","OK")))))))))</f>
        <v/>
      </c>
      <c r="K1616" s="71" t="str">
        <f>IF(AND(fiche_sel&lt;&gt;"",A1616=fiche_sel),COUNTIF(A$6:A1616,fiche_sel),"")</f>
        <v/>
      </c>
    </row>
    <row r="1617">
      <c r="A1617" s="60" t="n"/>
      <c r="B1617" s="60" t="n"/>
      <c r="C1617" s="71" t="str">
        <f>IF(B1617="","",IFERROR(INDEX(mat_des,MATCH(B1617,mat_ref,0))&amp;"","Matière inconnue"))</f>
        <v/>
      </c>
      <c r="D1617" s="69" t="str">
        <f>IF(B1617="","",IFERROR(INDEX(mat_unit,MATCH(B1617,mat_ref,0))&amp;"",""))</f>
        <v/>
      </c>
      <c r="E1617" s="72" t="n"/>
      <c r="F1617" s="65" t="n"/>
      <c r="G1617" s="68" t="str">
        <f>IF(J1617&lt;&gt;"OK","",IF(F1617="",N(INDEX(mat_loss,MATCH(B1617,mat_ref,0))),F1617))</f>
        <v/>
      </c>
      <c r="H1617" s="66" t="str">
        <f>IF(J1617&lt;&gt;"OK","",INDEX(mat_price,MATCH(B1617,mat_ref,0)))</f>
        <v/>
      </c>
      <c r="I1617" s="66" t="str">
        <f>IF(J1617&lt;&gt;"OK","",E1617*(1+G1617)*H1617)</f>
        <v/>
      </c>
      <c r="J1617" s="69" t="str">
        <f>IF(AND(A1617="",B1617=""),"",IF(A1617="","Produit manquant",IF(COUNTIF(prod_ref,A1617)=0,"Produit inconnu",IF(B1617="","Matière manquante",IF(ISNA(MATCH(B1617,mat_ref,0)),"Matière inconnue",IF(INDEX(mat_check,MATCH(B1617,mat_ref,0))&lt;&gt;"OK","Matière à corriger",IF(OR(NOT(ISNUMBER(E1617)),N(E1617)&lt;=0),"Quantité invalide",IF(AND(F1617&lt;&gt;"",OR(NOT(ISNUMBER(F1617)),N(F1617)&lt;0,N(F1617)&gt;=1)),"Perte entre 0 et 99 %",IF(COUNTIFS(bom_prod,A1617,bom_mat,B1617)&gt;1,"Matière en double","OK")))))))))</f>
        <v/>
      </c>
      <c r="K1617" s="71" t="str">
        <f>IF(AND(fiche_sel&lt;&gt;"",A1617=fiche_sel),COUNTIF(A$6:A1617,fiche_sel),"")</f>
        <v/>
      </c>
    </row>
    <row r="1618">
      <c r="A1618" s="60" t="n"/>
      <c r="B1618" s="60" t="n"/>
      <c r="C1618" s="71" t="str">
        <f>IF(B1618="","",IFERROR(INDEX(mat_des,MATCH(B1618,mat_ref,0))&amp;"","Matière inconnue"))</f>
        <v/>
      </c>
      <c r="D1618" s="69" t="str">
        <f>IF(B1618="","",IFERROR(INDEX(mat_unit,MATCH(B1618,mat_ref,0))&amp;"",""))</f>
        <v/>
      </c>
      <c r="E1618" s="72" t="n"/>
      <c r="F1618" s="65" t="n"/>
      <c r="G1618" s="68" t="str">
        <f>IF(J1618&lt;&gt;"OK","",IF(F1618="",N(INDEX(mat_loss,MATCH(B1618,mat_ref,0))),F1618))</f>
        <v/>
      </c>
      <c r="H1618" s="66" t="str">
        <f>IF(J1618&lt;&gt;"OK","",INDEX(mat_price,MATCH(B1618,mat_ref,0)))</f>
        <v/>
      </c>
      <c r="I1618" s="66" t="str">
        <f>IF(J1618&lt;&gt;"OK","",E1618*(1+G1618)*H1618)</f>
        <v/>
      </c>
      <c r="J1618" s="69" t="str">
        <f>IF(AND(A1618="",B1618=""),"",IF(A1618="","Produit manquant",IF(COUNTIF(prod_ref,A1618)=0,"Produit inconnu",IF(B1618="","Matière manquante",IF(ISNA(MATCH(B1618,mat_ref,0)),"Matière inconnue",IF(INDEX(mat_check,MATCH(B1618,mat_ref,0))&lt;&gt;"OK","Matière à corriger",IF(OR(NOT(ISNUMBER(E1618)),N(E1618)&lt;=0),"Quantité invalide",IF(AND(F1618&lt;&gt;"",OR(NOT(ISNUMBER(F1618)),N(F1618)&lt;0,N(F1618)&gt;=1)),"Perte entre 0 et 99 %",IF(COUNTIFS(bom_prod,A1618,bom_mat,B1618)&gt;1,"Matière en double","OK")))))))))</f>
        <v/>
      </c>
      <c r="K1618" s="71" t="str">
        <f>IF(AND(fiche_sel&lt;&gt;"",A1618=fiche_sel),COUNTIF(A$6:A1618,fiche_sel),"")</f>
        <v/>
      </c>
    </row>
    <row r="1619">
      <c r="A1619" s="60" t="n"/>
      <c r="B1619" s="60" t="n"/>
      <c r="C1619" s="71" t="str">
        <f>IF(B1619="","",IFERROR(INDEX(mat_des,MATCH(B1619,mat_ref,0))&amp;"","Matière inconnue"))</f>
        <v/>
      </c>
      <c r="D1619" s="69" t="str">
        <f>IF(B1619="","",IFERROR(INDEX(mat_unit,MATCH(B1619,mat_ref,0))&amp;"",""))</f>
        <v/>
      </c>
      <c r="E1619" s="72" t="n"/>
      <c r="F1619" s="65" t="n"/>
      <c r="G1619" s="68" t="str">
        <f>IF(J1619&lt;&gt;"OK","",IF(F1619="",N(INDEX(mat_loss,MATCH(B1619,mat_ref,0))),F1619))</f>
        <v/>
      </c>
      <c r="H1619" s="66" t="str">
        <f>IF(J1619&lt;&gt;"OK","",INDEX(mat_price,MATCH(B1619,mat_ref,0)))</f>
        <v/>
      </c>
      <c r="I1619" s="66" t="str">
        <f>IF(J1619&lt;&gt;"OK","",E1619*(1+G1619)*H1619)</f>
        <v/>
      </c>
      <c r="J1619" s="69" t="str">
        <f>IF(AND(A1619="",B1619=""),"",IF(A1619="","Produit manquant",IF(COUNTIF(prod_ref,A1619)=0,"Produit inconnu",IF(B1619="","Matière manquante",IF(ISNA(MATCH(B1619,mat_ref,0)),"Matière inconnue",IF(INDEX(mat_check,MATCH(B1619,mat_ref,0))&lt;&gt;"OK","Matière à corriger",IF(OR(NOT(ISNUMBER(E1619)),N(E1619)&lt;=0),"Quantité invalide",IF(AND(F1619&lt;&gt;"",OR(NOT(ISNUMBER(F1619)),N(F1619)&lt;0,N(F1619)&gt;=1)),"Perte entre 0 et 99 %",IF(COUNTIFS(bom_prod,A1619,bom_mat,B1619)&gt;1,"Matière en double","OK")))))))))</f>
        <v/>
      </c>
      <c r="K1619" s="71" t="str">
        <f>IF(AND(fiche_sel&lt;&gt;"",A1619=fiche_sel),COUNTIF(A$6:A1619,fiche_sel),"")</f>
        <v/>
      </c>
    </row>
    <row r="1620">
      <c r="A1620" s="60" t="n"/>
      <c r="B1620" s="60" t="n"/>
      <c r="C1620" s="71" t="str">
        <f>IF(B1620="","",IFERROR(INDEX(mat_des,MATCH(B1620,mat_ref,0))&amp;"","Matière inconnue"))</f>
        <v/>
      </c>
      <c r="D1620" s="69" t="str">
        <f>IF(B1620="","",IFERROR(INDEX(mat_unit,MATCH(B1620,mat_ref,0))&amp;"",""))</f>
        <v/>
      </c>
      <c r="E1620" s="72" t="n"/>
      <c r="F1620" s="65" t="n"/>
      <c r="G1620" s="68" t="str">
        <f>IF(J1620&lt;&gt;"OK","",IF(F1620="",N(INDEX(mat_loss,MATCH(B1620,mat_ref,0))),F1620))</f>
        <v/>
      </c>
      <c r="H1620" s="66" t="str">
        <f>IF(J1620&lt;&gt;"OK","",INDEX(mat_price,MATCH(B1620,mat_ref,0)))</f>
        <v/>
      </c>
      <c r="I1620" s="66" t="str">
        <f>IF(J1620&lt;&gt;"OK","",E1620*(1+G1620)*H1620)</f>
        <v/>
      </c>
      <c r="J1620" s="69" t="str">
        <f>IF(AND(A1620="",B1620=""),"",IF(A1620="","Produit manquant",IF(COUNTIF(prod_ref,A1620)=0,"Produit inconnu",IF(B1620="","Matière manquante",IF(ISNA(MATCH(B1620,mat_ref,0)),"Matière inconnue",IF(INDEX(mat_check,MATCH(B1620,mat_ref,0))&lt;&gt;"OK","Matière à corriger",IF(OR(NOT(ISNUMBER(E1620)),N(E1620)&lt;=0),"Quantité invalide",IF(AND(F1620&lt;&gt;"",OR(NOT(ISNUMBER(F1620)),N(F1620)&lt;0,N(F1620)&gt;=1)),"Perte entre 0 et 99 %",IF(COUNTIFS(bom_prod,A1620,bom_mat,B1620)&gt;1,"Matière en double","OK")))))))))</f>
        <v/>
      </c>
      <c r="K1620" s="71" t="str">
        <f>IF(AND(fiche_sel&lt;&gt;"",A1620=fiche_sel),COUNTIF(A$6:A1620,fiche_sel),"")</f>
        <v/>
      </c>
    </row>
    <row r="1621">
      <c r="A1621" s="60" t="n"/>
      <c r="B1621" s="60" t="n"/>
      <c r="C1621" s="71" t="str">
        <f>IF(B1621="","",IFERROR(INDEX(mat_des,MATCH(B1621,mat_ref,0))&amp;"","Matière inconnue"))</f>
        <v/>
      </c>
      <c r="D1621" s="69" t="str">
        <f>IF(B1621="","",IFERROR(INDEX(mat_unit,MATCH(B1621,mat_ref,0))&amp;"",""))</f>
        <v/>
      </c>
      <c r="E1621" s="72" t="n"/>
      <c r="F1621" s="65" t="n"/>
      <c r="G1621" s="68" t="str">
        <f>IF(J1621&lt;&gt;"OK","",IF(F1621="",N(INDEX(mat_loss,MATCH(B1621,mat_ref,0))),F1621))</f>
        <v/>
      </c>
      <c r="H1621" s="66" t="str">
        <f>IF(J1621&lt;&gt;"OK","",INDEX(mat_price,MATCH(B1621,mat_ref,0)))</f>
        <v/>
      </c>
      <c r="I1621" s="66" t="str">
        <f>IF(J1621&lt;&gt;"OK","",E1621*(1+G1621)*H1621)</f>
        <v/>
      </c>
      <c r="J1621" s="69" t="str">
        <f>IF(AND(A1621="",B1621=""),"",IF(A1621="","Produit manquant",IF(COUNTIF(prod_ref,A1621)=0,"Produit inconnu",IF(B1621="","Matière manquante",IF(ISNA(MATCH(B1621,mat_ref,0)),"Matière inconnue",IF(INDEX(mat_check,MATCH(B1621,mat_ref,0))&lt;&gt;"OK","Matière à corriger",IF(OR(NOT(ISNUMBER(E1621)),N(E1621)&lt;=0),"Quantité invalide",IF(AND(F1621&lt;&gt;"",OR(NOT(ISNUMBER(F1621)),N(F1621)&lt;0,N(F1621)&gt;=1)),"Perte entre 0 et 99 %",IF(COUNTIFS(bom_prod,A1621,bom_mat,B1621)&gt;1,"Matière en double","OK")))))))))</f>
        <v/>
      </c>
      <c r="K1621" s="71" t="str">
        <f>IF(AND(fiche_sel&lt;&gt;"",A1621=fiche_sel),COUNTIF(A$6:A1621,fiche_sel),"")</f>
        <v/>
      </c>
    </row>
    <row r="1622">
      <c r="A1622" s="60" t="n"/>
      <c r="B1622" s="60" t="n"/>
      <c r="C1622" s="71" t="str">
        <f>IF(B1622="","",IFERROR(INDEX(mat_des,MATCH(B1622,mat_ref,0))&amp;"","Matière inconnue"))</f>
        <v/>
      </c>
      <c r="D1622" s="69" t="str">
        <f>IF(B1622="","",IFERROR(INDEX(mat_unit,MATCH(B1622,mat_ref,0))&amp;"",""))</f>
        <v/>
      </c>
      <c r="E1622" s="72" t="n"/>
      <c r="F1622" s="65" t="n"/>
      <c r="G1622" s="68" t="str">
        <f>IF(J1622&lt;&gt;"OK","",IF(F1622="",N(INDEX(mat_loss,MATCH(B1622,mat_ref,0))),F1622))</f>
        <v/>
      </c>
      <c r="H1622" s="66" t="str">
        <f>IF(J1622&lt;&gt;"OK","",INDEX(mat_price,MATCH(B1622,mat_ref,0)))</f>
        <v/>
      </c>
      <c r="I1622" s="66" t="str">
        <f>IF(J1622&lt;&gt;"OK","",E1622*(1+G1622)*H1622)</f>
        <v/>
      </c>
      <c r="J1622" s="69" t="str">
        <f>IF(AND(A1622="",B1622=""),"",IF(A1622="","Produit manquant",IF(COUNTIF(prod_ref,A1622)=0,"Produit inconnu",IF(B1622="","Matière manquante",IF(ISNA(MATCH(B1622,mat_ref,0)),"Matière inconnue",IF(INDEX(mat_check,MATCH(B1622,mat_ref,0))&lt;&gt;"OK","Matière à corriger",IF(OR(NOT(ISNUMBER(E1622)),N(E1622)&lt;=0),"Quantité invalide",IF(AND(F1622&lt;&gt;"",OR(NOT(ISNUMBER(F1622)),N(F1622)&lt;0,N(F1622)&gt;=1)),"Perte entre 0 et 99 %",IF(COUNTIFS(bom_prod,A1622,bom_mat,B1622)&gt;1,"Matière en double","OK")))))))))</f>
        <v/>
      </c>
      <c r="K1622" s="71" t="str">
        <f>IF(AND(fiche_sel&lt;&gt;"",A1622=fiche_sel),COUNTIF(A$6:A1622,fiche_sel),"")</f>
        <v/>
      </c>
    </row>
    <row r="1623">
      <c r="A1623" s="60" t="n"/>
      <c r="B1623" s="60" t="n"/>
      <c r="C1623" s="71" t="str">
        <f>IF(B1623="","",IFERROR(INDEX(mat_des,MATCH(B1623,mat_ref,0))&amp;"","Matière inconnue"))</f>
        <v/>
      </c>
      <c r="D1623" s="69" t="str">
        <f>IF(B1623="","",IFERROR(INDEX(mat_unit,MATCH(B1623,mat_ref,0))&amp;"",""))</f>
        <v/>
      </c>
      <c r="E1623" s="72" t="n"/>
      <c r="F1623" s="65" t="n"/>
      <c r="G1623" s="68" t="str">
        <f>IF(J1623&lt;&gt;"OK","",IF(F1623="",N(INDEX(mat_loss,MATCH(B1623,mat_ref,0))),F1623))</f>
        <v/>
      </c>
      <c r="H1623" s="66" t="str">
        <f>IF(J1623&lt;&gt;"OK","",INDEX(mat_price,MATCH(B1623,mat_ref,0)))</f>
        <v/>
      </c>
      <c r="I1623" s="66" t="str">
        <f>IF(J1623&lt;&gt;"OK","",E1623*(1+G1623)*H1623)</f>
        <v/>
      </c>
      <c r="J1623" s="69" t="str">
        <f>IF(AND(A1623="",B1623=""),"",IF(A1623="","Produit manquant",IF(COUNTIF(prod_ref,A1623)=0,"Produit inconnu",IF(B1623="","Matière manquante",IF(ISNA(MATCH(B1623,mat_ref,0)),"Matière inconnue",IF(INDEX(mat_check,MATCH(B1623,mat_ref,0))&lt;&gt;"OK","Matière à corriger",IF(OR(NOT(ISNUMBER(E1623)),N(E1623)&lt;=0),"Quantité invalide",IF(AND(F1623&lt;&gt;"",OR(NOT(ISNUMBER(F1623)),N(F1623)&lt;0,N(F1623)&gt;=1)),"Perte entre 0 et 99 %",IF(COUNTIFS(bom_prod,A1623,bom_mat,B1623)&gt;1,"Matière en double","OK")))))))))</f>
        <v/>
      </c>
      <c r="K1623" s="71" t="str">
        <f>IF(AND(fiche_sel&lt;&gt;"",A1623=fiche_sel),COUNTIF(A$6:A1623,fiche_sel),"")</f>
        <v/>
      </c>
    </row>
    <row r="1624">
      <c r="A1624" s="60" t="n"/>
      <c r="B1624" s="60" t="n"/>
      <c r="C1624" s="71" t="str">
        <f>IF(B1624="","",IFERROR(INDEX(mat_des,MATCH(B1624,mat_ref,0))&amp;"","Matière inconnue"))</f>
        <v/>
      </c>
      <c r="D1624" s="69" t="str">
        <f>IF(B1624="","",IFERROR(INDEX(mat_unit,MATCH(B1624,mat_ref,0))&amp;"",""))</f>
        <v/>
      </c>
      <c r="E1624" s="72" t="n"/>
      <c r="F1624" s="65" t="n"/>
      <c r="G1624" s="68" t="str">
        <f>IF(J1624&lt;&gt;"OK","",IF(F1624="",N(INDEX(mat_loss,MATCH(B1624,mat_ref,0))),F1624))</f>
        <v/>
      </c>
      <c r="H1624" s="66" t="str">
        <f>IF(J1624&lt;&gt;"OK","",INDEX(mat_price,MATCH(B1624,mat_ref,0)))</f>
        <v/>
      </c>
      <c r="I1624" s="66" t="str">
        <f>IF(J1624&lt;&gt;"OK","",E1624*(1+G1624)*H1624)</f>
        <v/>
      </c>
      <c r="J1624" s="69" t="str">
        <f>IF(AND(A1624="",B1624=""),"",IF(A1624="","Produit manquant",IF(COUNTIF(prod_ref,A1624)=0,"Produit inconnu",IF(B1624="","Matière manquante",IF(ISNA(MATCH(B1624,mat_ref,0)),"Matière inconnue",IF(INDEX(mat_check,MATCH(B1624,mat_ref,0))&lt;&gt;"OK","Matière à corriger",IF(OR(NOT(ISNUMBER(E1624)),N(E1624)&lt;=0),"Quantité invalide",IF(AND(F1624&lt;&gt;"",OR(NOT(ISNUMBER(F1624)),N(F1624)&lt;0,N(F1624)&gt;=1)),"Perte entre 0 et 99 %",IF(COUNTIFS(bom_prod,A1624,bom_mat,B1624)&gt;1,"Matière en double","OK")))))))))</f>
        <v/>
      </c>
      <c r="K1624" s="71" t="str">
        <f>IF(AND(fiche_sel&lt;&gt;"",A1624=fiche_sel),COUNTIF(A$6:A1624,fiche_sel),"")</f>
        <v/>
      </c>
    </row>
    <row r="1625">
      <c r="A1625" s="60" t="n"/>
      <c r="B1625" s="60" t="n"/>
      <c r="C1625" s="71" t="str">
        <f>IF(B1625="","",IFERROR(INDEX(mat_des,MATCH(B1625,mat_ref,0))&amp;"","Matière inconnue"))</f>
        <v/>
      </c>
      <c r="D1625" s="69" t="str">
        <f>IF(B1625="","",IFERROR(INDEX(mat_unit,MATCH(B1625,mat_ref,0))&amp;"",""))</f>
        <v/>
      </c>
      <c r="E1625" s="72" t="n"/>
      <c r="F1625" s="65" t="n"/>
      <c r="G1625" s="68" t="str">
        <f>IF(J1625&lt;&gt;"OK","",IF(F1625="",N(INDEX(mat_loss,MATCH(B1625,mat_ref,0))),F1625))</f>
        <v/>
      </c>
      <c r="H1625" s="66" t="str">
        <f>IF(J1625&lt;&gt;"OK","",INDEX(mat_price,MATCH(B1625,mat_ref,0)))</f>
        <v/>
      </c>
      <c r="I1625" s="66" t="str">
        <f>IF(J1625&lt;&gt;"OK","",E1625*(1+G1625)*H1625)</f>
        <v/>
      </c>
      <c r="J1625" s="69" t="str">
        <f>IF(AND(A1625="",B1625=""),"",IF(A1625="","Produit manquant",IF(COUNTIF(prod_ref,A1625)=0,"Produit inconnu",IF(B1625="","Matière manquante",IF(ISNA(MATCH(B1625,mat_ref,0)),"Matière inconnue",IF(INDEX(mat_check,MATCH(B1625,mat_ref,0))&lt;&gt;"OK","Matière à corriger",IF(OR(NOT(ISNUMBER(E1625)),N(E1625)&lt;=0),"Quantité invalide",IF(AND(F1625&lt;&gt;"",OR(NOT(ISNUMBER(F1625)),N(F1625)&lt;0,N(F1625)&gt;=1)),"Perte entre 0 et 99 %",IF(COUNTIFS(bom_prod,A1625,bom_mat,B1625)&gt;1,"Matière en double","OK")))))))))</f>
        <v/>
      </c>
      <c r="K1625" s="71" t="str">
        <f>IF(AND(fiche_sel&lt;&gt;"",A1625=fiche_sel),COUNTIF(A$6:A1625,fiche_sel),"")</f>
        <v/>
      </c>
    </row>
    <row r="1626">
      <c r="A1626" s="60" t="n"/>
      <c r="B1626" s="60" t="n"/>
      <c r="C1626" s="71" t="str">
        <f>IF(B1626="","",IFERROR(INDEX(mat_des,MATCH(B1626,mat_ref,0))&amp;"","Matière inconnue"))</f>
        <v/>
      </c>
      <c r="D1626" s="69" t="str">
        <f>IF(B1626="","",IFERROR(INDEX(mat_unit,MATCH(B1626,mat_ref,0))&amp;"",""))</f>
        <v/>
      </c>
      <c r="E1626" s="72" t="n"/>
      <c r="F1626" s="65" t="n"/>
      <c r="G1626" s="68" t="str">
        <f>IF(J1626&lt;&gt;"OK","",IF(F1626="",N(INDEX(mat_loss,MATCH(B1626,mat_ref,0))),F1626))</f>
        <v/>
      </c>
      <c r="H1626" s="66" t="str">
        <f>IF(J1626&lt;&gt;"OK","",INDEX(mat_price,MATCH(B1626,mat_ref,0)))</f>
        <v/>
      </c>
      <c r="I1626" s="66" t="str">
        <f>IF(J1626&lt;&gt;"OK","",E1626*(1+G1626)*H1626)</f>
        <v/>
      </c>
      <c r="J1626" s="69" t="str">
        <f>IF(AND(A1626="",B1626=""),"",IF(A1626="","Produit manquant",IF(COUNTIF(prod_ref,A1626)=0,"Produit inconnu",IF(B1626="","Matière manquante",IF(ISNA(MATCH(B1626,mat_ref,0)),"Matière inconnue",IF(INDEX(mat_check,MATCH(B1626,mat_ref,0))&lt;&gt;"OK","Matière à corriger",IF(OR(NOT(ISNUMBER(E1626)),N(E1626)&lt;=0),"Quantité invalide",IF(AND(F1626&lt;&gt;"",OR(NOT(ISNUMBER(F1626)),N(F1626)&lt;0,N(F1626)&gt;=1)),"Perte entre 0 et 99 %",IF(COUNTIFS(bom_prod,A1626,bom_mat,B1626)&gt;1,"Matière en double","OK")))))))))</f>
        <v/>
      </c>
      <c r="K1626" s="71" t="str">
        <f>IF(AND(fiche_sel&lt;&gt;"",A1626=fiche_sel),COUNTIF(A$6:A1626,fiche_sel),"")</f>
        <v/>
      </c>
    </row>
    <row r="1627">
      <c r="A1627" s="60" t="n"/>
      <c r="B1627" s="60" t="n"/>
      <c r="C1627" s="71" t="str">
        <f>IF(B1627="","",IFERROR(INDEX(mat_des,MATCH(B1627,mat_ref,0))&amp;"","Matière inconnue"))</f>
        <v/>
      </c>
      <c r="D1627" s="69" t="str">
        <f>IF(B1627="","",IFERROR(INDEX(mat_unit,MATCH(B1627,mat_ref,0))&amp;"",""))</f>
        <v/>
      </c>
      <c r="E1627" s="72" t="n"/>
      <c r="F1627" s="65" t="n"/>
      <c r="G1627" s="68" t="str">
        <f>IF(J1627&lt;&gt;"OK","",IF(F1627="",N(INDEX(mat_loss,MATCH(B1627,mat_ref,0))),F1627))</f>
        <v/>
      </c>
      <c r="H1627" s="66" t="str">
        <f>IF(J1627&lt;&gt;"OK","",INDEX(mat_price,MATCH(B1627,mat_ref,0)))</f>
        <v/>
      </c>
      <c r="I1627" s="66" t="str">
        <f>IF(J1627&lt;&gt;"OK","",E1627*(1+G1627)*H1627)</f>
        <v/>
      </c>
      <c r="J1627" s="69" t="str">
        <f>IF(AND(A1627="",B1627=""),"",IF(A1627="","Produit manquant",IF(COUNTIF(prod_ref,A1627)=0,"Produit inconnu",IF(B1627="","Matière manquante",IF(ISNA(MATCH(B1627,mat_ref,0)),"Matière inconnue",IF(INDEX(mat_check,MATCH(B1627,mat_ref,0))&lt;&gt;"OK","Matière à corriger",IF(OR(NOT(ISNUMBER(E1627)),N(E1627)&lt;=0),"Quantité invalide",IF(AND(F1627&lt;&gt;"",OR(NOT(ISNUMBER(F1627)),N(F1627)&lt;0,N(F1627)&gt;=1)),"Perte entre 0 et 99 %",IF(COUNTIFS(bom_prod,A1627,bom_mat,B1627)&gt;1,"Matière en double","OK")))))))))</f>
        <v/>
      </c>
      <c r="K1627" s="71" t="str">
        <f>IF(AND(fiche_sel&lt;&gt;"",A1627=fiche_sel),COUNTIF(A$6:A1627,fiche_sel),"")</f>
        <v/>
      </c>
    </row>
    <row r="1628">
      <c r="A1628" s="60" t="n"/>
      <c r="B1628" s="60" t="n"/>
      <c r="C1628" s="71" t="str">
        <f>IF(B1628="","",IFERROR(INDEX(mat_des,MATCH(B1628,mat_ref,0))&amp;"","Matière inconnue"))</f>
        <v/>
      </c>
      <c r="D1628" s="69" t="str">
        <f>IF(B1628="","",IFERROR(INDEX(mat_unit,MATCH(B1628,mat_ref,0))&amp;"",""))</f>
        <v/>
      </c>
      <c r="E1628" s="72" t="n"/>
      <c r="F1628" s="65" t="n"/>
      <c r="G1628" s="68" t="str">
        <f>IF(J1628&lt;&gt;"OK","",IF(F1628="",N(INDEX(mat_loss,MATCH(B1628,mat_ref,0))),F1628))</f>
        <v/>
      </c>
      <c r="H1628" s="66" t="str">
        <f>IF(J1628&lt;&gt;"OK","",INDEX(mat_price,MATCH(B1628,mat_ref,0)))</f>
        <v/>
      </c>
      <c r="I1628" s="66" t="str">
        <f>IF(J1628&lt;&gt;"OK","",E1628*(1+G1628)*H1628)</f>
        <v/>
      </c>
      <c r="J1628" s="69" t="str">
        <f>IF(AND(A1628="",B1628=""),"",IF(A1628="","Produit manquant",IF(COUNTIF(prod_ref,A1628)=0,"Produit inconnu",IF(B1628="","Matière manquante",IF(ISNA(MATCH(B1628,mat_ref,0)),"Matière inconnue",IF(INDEX(mat_check,MATCH(B1628,mat_ref,0))&lt;&gt;"OK","Matière à corriger",IF(OR(NOT(ISNUMBER(E1628)),N(E1628)&lt;=0),"Quantité invalide",IF(AND(F1628&lt;&gt;"",OR(NOT(ISNUMBER(F1628)),N(F1628)&lt;0,N(F1628)&gt;=1)),"Perte entre 0 et 99 %",IF(COUNTIFS(bom_prod,A1628,bom_mat,B1628)&gt;1,"Matière en double","OK")))))))))</f>
        <v/>
      </c>
      <c r="K1628" s="71" t="str">
        <f>IF(AND(fiche_sel&lt;&gt;"",A1628=fiche_sel),COUNTIF(A$6:A1628,fiche_sel),"")</f>
        <v/>
      </c>
    </row>
    <row r="1629">
      <c r="A1629" s="60" t="n"/>
      <c r="B1629" s="60" t="n"/>
      <c r="C1629" s="71" t="str">
        <f>IF(B1629="","",IFERROR(INDEX(mat_des,MATCH(B1629,mat_ref,0))&amp;"","Matière inconnue"))</f>
        <v/>
      </c>
      <c r="D1629" s="69" t="str">
        <f>IF(B1629="","",IFERROR(INDEX(mat_unit,MATCH(B1629,mat_ref,0))&amp;"",""))</f>
        <v/>
      </c>
      <c r="E1629" s="72" t="n"/>
      <c r="F1629" s="65" t="n"/>
      <c r="G1629" s="68" t="str">
        <f>IF(J1629&lt;&gt;"OK","",IF(F1629="",N(INDEX(mat_loss,MATCH(B1629,mat_ref,0))),F1629))</f>
        <v/>
      </c>
      <c r="H1629" s="66" t="str">
        <f>IF(J1629&lt;&gt;"OK","",INDEX(mat_price,MATCH(B1629,mat_ref,0)))</f>
        <v/>
      </c>
      <c r="I1629" s="66" t="str">
        <f>IF(J1629&lt;&gt;"OK","",E1629*(1+G1629)*H1629)</f>
        <v/>
      </c>
      <c r="J1629" s="69" t="str">
        <f>IF(AND(A1629="",B1629=""),"",IF(A1629="","Produit manquant",IF(COUNTIF(prod_ref,A1629)=0,"Produit inconnu",IF(B1629="","Matière manquante",IF(ISNA(MATCH(B1629,mat_ref,0)),"Matière inconnue",IF(INDEX(mat_check,MATCH(B1629,mat_ref,0))&lt;&gt;"OK","Matière à corriger",IF(OR(NOT(ISNUMBER(E1629)),N(E1629)&lt;=0),"Quantité invalide",IF(AND(F1629&lt;&gt;"",OR(NOT(ISNUMBER(F1629)),N(F1629)&lt;0,N(F1629)&gt;=1)),"Perte entre 0 et 99 %",IF(COUNTIFS(bom_prod,A1629,bom_mat,B1629)&gt;1,"Matière en double","OK")))))))))</f>
        <v/>
      </c>
      <c r="K1629" s="71" t="str">
        <f>IF(AND(fiche_sel&lt;&gt;"",A1629=fiche_sel),COUNTIF(A$6:A1629,fiche_sel),"")</f>
        <v/>
      </c>
    </row>
    <row r="1630">
      <c r="A1630" s="60" t="n"/>
      <c r="B1630" s="60" t="n"/>
      <c r="C1630" s="71" t="str">
        <f>IF(B1630="","",IFERROR(INDEX(mat_des,MATCH(B1630,mat_ref,0))&amp;"","Matière inconnue"))</f>
        <v/>
      </c>
      <c r="D1630" s="69" t="str">
        <f>IF(B1630="","",IFERROR(INDEX(mat_unit,MATCH(B1630,mat_ref,0))&amp;"",""))</f>
        <v/>
      </c>
      <c r="E1630" s="72" t="n"/>
      <c r="F1630" s="65" t="n"/>
      <c r="G1630" s="68" t="str">
        <f>IF(J1630&lt;&gt;"OK","",IF(F1630="",N(INDEX(mat_loss,MATCH(B1630,mat_ref,0))),F1630))</f>
        <v/>
      </c>
      <c r="H1630" s="66" t="str">
        <f>IF(J1630&lt;&gt;"OK","",INDEX(mat_price,MATCH(B1630,mat_ref,0)))</f>
        <v/>
      </c>
      <c r="I1630" s="66" t="str">
        <f>IF(J1630&lt;&gt;"OK","",E1630*(1+G1630)*H1630)</f>
        <v/>
      </c>
      <c r="J1630" s="69" t="str">
        <f>IF(AND(A1630="",B1630=""),"",IF(A1630="","Produit manquant",IF(COUNTIF(prod_ref,A1630)=0,"Produit inconnu",IF(B1630="","Matière manquante",IF(ISNA(MATCH(B1630,mat_ref,0)),"Matière inconnue",IF(INDEX(mat_check,MATCH(B1630,mat_ref,0))&lt;&gt;"OK","Matière à corriger",IF(OR(NOT(ISNUMBER(E1630)),N(E1630)&lt;=0),"Quantité invalide",IF(AND(F1630&lt;&gt;"",OR(NOT(ISNUMBER(F1630)),N(F1630)&lt;0,N(F1630)&gt;=1)),"Perte entre 0 et 99 %",IF(COUNTIFS(bom_prod,A1630,bom_mat,B1630)&gt;1,"Matière en double","OK")))))))))</f>
        <v/>
      </c>
      <c r="K1630" s="71" t="str">
        <f>IF(AND(fiche_sel&lt;&gt;"",A1630=fiche_sel),COUNTIF(A$6:A1630,fiche_sel),"")</f>
        <v/>
      </c>
    </row>
    <row r="1631">
      <c r="A1631" s="60" t="n"/>
      <c r="B1631" s="60" t="n"/>
      <c r="C1631" s="71" t="str">
        <f>IF(B1631="","",IFERROR(INDEX(mat_des,MATCH(B1631,mat_ref,0))&amp;"","Matière inconnue"))</f>
        <v/>
      </c>
      <c r="D1631" s="69" t="str">
        <f>IF(B1631="","",IFERROR(INDEX(mat_unit,MATCH(B1631,mat_ref,0))&amp;"",""))</f>
        <v/>
      </c>
      <c r="E1631" s="72" t="n"/>
      <c r="F1631" s="65" t="n"/>
      <c r="G1631" s="68" t="str">
        <f>IF(J1631&lt;&gt;"OK","",IF(F1631="",N(INDEX(mat_loss,MATCH(B1631,mat_ref,0))),F1631))</f>
        <v/>
      </c>
      <c r="H1631" s="66" t="str">
        <f>IF(J1631&lt;&gt;"OK","",INDEX(mat_price,MATCH(B1631,mat_ref,0)))</f>
        <v/>
      </c>
      <c r="I1631" s="66" t="str">
        <f>IF(J1631&lt;&gt;"OK","",E1631*(1+G1631)*H1631)</f>
        <v/>
      </c>
      <c r="J1631" s="69" t="str">
        <f>IF(AND(A1631="",B1631=""),"",IF(A1631="","Produit manquant",IF(COUNTIF(prod_ref,A1631)=0,"Produit inconnu",IF(B1631="","Matière manquante",IF(ISNA(MATCH(B1631,mat_ref,0)),"Matière inconnue",IF(INDEX(mat_check,MATCH(B1631,mat_ref,0))&lt;&gt;"OK","Matière à corriger",IF(OR(NOT(ISNUMBER(E1631)),N(E1631)&lt;=0),"Quantité invalide",IF(AND(F1631&lt;&gt;"",OR(NOT(ISNUMBER(F1631)),N(F1631)&lt;0,N(F1631)&gt;=1)),"Perte entre 0 et 99 %",IF(COUNTIFS(bom_prod,A1631,bom_mat,B1631)&gt;1,"Matière en double","OK")))))))))</f>
        <v/>
      </c>
      <c r="K1631" s="71" t="str">
        <f>IF(AND(fiche_sel&lt;&gt;"",A1631=fiche_sel),COUNTIF(A$6:A1631,fiche_sel),"")</f>
        <v/>
      </c>
    </row>
    <row r="1632">
      <c r="A1632" s="60" t="n"/>
      <c r="B1632" s="60" t="n"/>
      <c r="C1632" s="71" t="str">
        <f>IF(B1632="","",IFERROR(INDEX(mat_des,MATCH(B1632,mat_ref,0))&amp;"","Matière inconnue"))</f>
        <v/>
      </c>
      <c r="D1632" s="69" t="str">
        <f>IF(B1632="","",IFERROR(INDEX(mat_unit,MATCH(B1632,mat_ref,0))&amp;"",""))</f>
        <v/>
      </c>
      <c r="E1632" s="72" t="n"/>
      <c r="F1632" s="65" t="n"/>
      <c r="G1632" s="68" t="str">
        <f>IF(J1632&lt;&gt;"OK","",IF(F1632="",N(INDEX(mat_loss,MATCH(B1632,mat_ref,0))),F1632))</f>
        <v/>
      </c>
      <c r="H1632" s="66" t="str">
        <f>IF(J1632&lt;&gt;"OK","",INDEX(mat_price,MATCH(B1632,mat_ref,0)))</f>
        <v/>
      </c>
      <c r="I1632" s="66" t="str">
        <f>IF(J1632&lt;&gt;"OK","",E1632*(1+G1632)*H1632)</f>
        <v/>
      </c>
      <c r="J1632" s="69" t="str">
        <f>IF(AND(A1632="",B1632=""),"",IF(A1632="","Produit manquant",IF(COUNTIF(prod_ref,A1632)=0,"Produit inconnu",IF(B1632="","Matière manquante",IF(ISNA(MATCH(B1632,mat_ref,0)),"Matière inconnue",IF(INDEX(mat_check,MATCH(B1632,mat_ref,0))&lt;&gt;"OK","Matière à corriger",IF(OR(NOT(ISNUMBER(E1632)),N(E1632)&lt;=0),"Quantité invalide",IF(AND(F1632&lt;&gt;"",OR(NOT(ISNUMBER(F1632)),N(F1632)&lt;0,N(F1632)&gt;=1)),"Perte entre 0 et 99 %",IF(COUNTIFS(bom_prod,A1632,bom_mat,B1632)&gt;1,"Matière en double","OK")))))))))</f>
        <v/>
      </c>
      <c r="K1632" s="71" t="str">
        <f>IF(AND(fiche_sel&lt;&gt;"",A1632=fiche_sel),COUNTIF(A$6:A1632,fiche_sel),"")</f>
        <v/>
      </c>
    </row>
    <row r="1633">
      <c r="A1633" s="60" t="n"/>
      <c r="B1633" s="60" t="n"/>
      <c r="C1633" s="71" t="str">
        <f>IF(B1633="","",IFERROR(INDEX(mat_des,MATCH(B1633,mat_ref,0))&amp;"","Matière inconnue"))</f>
        <v/>
      </c>
      <c r="D1633" s="69" t="str">
        <f>IF(B1633="","",IFERROR(INDEX(mat_unit,MATCH(B1633,mat_ref,0))&amp;"",""))</f>
        <v/>
      </c>
      <c r="E1633" s="72" t="n"/>
      <c r="F1633" s="65" t="n"/>
      <c r="G1633" s="68" t="str">
        <f>IF(J1633&lt;&gt;"OK","",IF(F1633="",N(INDEX(mat_loss,MATCH(B1633,mat_ref,0))),F1633))</f>
        <v/>
      </c>
      <c r="H1633" s="66" t="str">
        <f>IF(J1633&lt;&gt;"OK","",INDEX(mat_price,MATCH(B1633,mat_ref,0)))</f>
        <v/>
      </c>
      <c r="I1633" s="66" t="str">
        <f>IF(J1633&lt;&gt;"OK","",E1633*(1+G1633)*H1633)</f>
        <v/>
      </c>
      <c r="J1633" s="69" t="str">
        <f>IF(AND(A1633="",B1633=""),"",IF(A1633="","Produit manquant",IF(COUNTIF(prod_ref,A1633)=0,"Produit inconnu",IF(B1633="","Matière manquante",IF(ISNA(MATCH(B1633,mat_ref,0)),"Matière inconnue",IF(INDEX(mat_check,MATCH(B1633,mat_ref,0))&lt;&gt;"OK","Matière à corriger",IF(OR(NOT(ISNUMBER(E1633)),N(E1633)&lt;=0),"Quantité invalide",IF(AND(F1633&lt;&gt;"",OR(NOT(ISNUMBER(F1633)),N(F1633)&lt;0,N(F1633)&gt;=1)),"Perte entre 0 et 99 %",IF(COUNTIFS(bom_prod,A1633,bom_mat,B1633)&gt;1,"Matière en double","OK")))))))))</f>
        <v/>
      </c>
      <c r="K1633" s="71" t="str">
        <f>IF(AND(fiche_sel&lt;&gt;"",A1633=fiche_sel),COUNTIF(A$6:A1633,fiche_sel),"")</f>
        <v/>
      </c>
    </row>
    <row r="1634">
      <c r="A1634" s="60" t="n"/>
      <c r="B1634" s="60" t="n"/>
      <c r="C1634" s="71" t="str">
        <f>IF(B1634="","",IFERROR(INDEX(mat_des,MATCH(B1634,mat_ref,0))&amp;"","Matière inconnue"))</f>
        <v/>
      </c>
      <c r="D1634" s="69" t="str">
        <f>IF(B1634="","",IFERROR(INDEX(mat_unit,MATCH(B1634,mat_ref,0))&amp;"",""))</f>
        <v/>
      </c>
      <c r="E1634" s="72" t="n"/>
      <c r="F1634" s="65" t="n"/>
      <c r="G1634" s="68" t="str">
        <f>IF(J1634&lt;&gt;"OK","",IF(F1634="",N(INDEX(mat_loss,MATCH(B1634,mat_ref,0))),F1634))</f>
        <v/>
      </c>
      <c r="H1634" s="66" t="str">
        <f>IF(J1634&lt;&gt;"OK","",INDEX(mat_price,MATCH(B1634,mat_ref,0)))</f>
        <v/>
      </c>
      <c r="I1634" s="66" t="str">
        <f>IF(J1634&lt;&gt;"OK","",E1634*(1+G1634)*H1634)</f>
        <v/>
      </c>
      <c r="J1634" s="69" t="str">
        <f>IF(AND(A1634="",B1634=""),"",IF(A1634="","Produit manquant",IF(COUNTIF(prod_ref,A1634)=0,"Produit inconnu",IF(B1634="","Matière manquante",IF(ISNA(MATCH(B1634,mat_ref,0)),"Matière inconnue",IF(INDEX(mat_check,MATCH(B1634,mat_ref,0))&lt;&gt;"OK","Matière à corriger",IF(OR(NOT(ISNUMBER(E1634)),N(E1634)&lt;=0),"Quantité invalide",IF(AND(F1634&lt;&gt;"",OR(NOT(ISNUMBER(F1634)),N(F1634)&lt;0,N(F1634)&gt;=1)),"Perte entre 0 et 99 %",IF(COUNTIFS(bom_prod,A1634,bom_mat,B1634)&gt;1,"Matière en double","OK")))))))))</f>
        <v/>
      </c>
      <c r="K1634" s="71" t="str">
        <f>IF(AND(fiche_sel&lt;&gt;"",A1634=fiche_sel),COUNTIF(A$6:A1634,fiche_sel),"")</f>
        <v/>
      </c>
    </row>
    <row r="1635">
      <c r="A1635" s="60" t="n"/>
      <c r="B1635" s="60" t="n"/>
      <c r="C1635" s="71" t="str">
        <f>IF(B1635="","",IFERROR(INDEX(mat_des,MATCH(B1635,mat_ref,0))&amp;"","Matière inconnue"))</f>
        <v/>
      </c>
      <c r="D1635" s="69" t="str">
        <f>IF(B1635="","",IFERROR(INDEX(mat_unit,MATCH(B1635,mat_ref,0))&amp;"",""))</f>
        <v/>
      </c>
      <c r="E1635" s="72" t="n"/>
      <c r="F1635" s="65" t="n"/>
      <c r="G1635" s="68" t="str">
        <f>IF(J1635&lt;&gt;"OK","",IF(F1635="",N(INDEX(mat_loss,MATCH(B1635,mat_ref,0))),F1635))</f>
        <v/>
      </c>
      <c r="H1635" s="66" t="str">
        <f>IF(J1635&lt;&gt;"OK","",INDEX(mat_price,MATCH(B1635,mat_ref,0)))</f>
        <v/>
      </c>
      <c r="I1635" s="66" t="str">
        <f>IF(J1635&lt;&gt;"OK","",E1635*(1+G1635)*H1635)</f>
        <v/>
      </c>
      <c r="J1635" s="69" t="str">
        <f>IF(AND(A1635="",B1635=""),"",IF(A1635="","Produit manquant",IF(COUNTIF(prod_ref,A1635)=0,"Produit inconnu",IF(B1635="","Matière manquante",IF(ISNA(MATCH(B1635,mat_ref,0)),"Matière inconnue",IF(INDEX(mat_check,MATCH(B1635,mat_ref,0))&lt;&gt;"OK","Matière à corriger",IF(OR(NOT(ISNUMBER(E1635)),N(E1635)&lt;=0),"Quantité invalide",IF(AND(F1635&lt;&gt;"",OR(NOT(ISNUMBER(F1635)),N(F1635)&lt;0,N(F1635)&gt;=1)),"Perte entre 0 et 99 %",IF(COUNTIFS(bom_prod,A1635,bom_mat,B1635)&gt;1,"Matière en double","OK")))))))))</f>
        <v/>
      </c>
      <c r="K1635" s="71" t="str">
        <f>IF(AND(fiche_sel&lt;&gt;"",A1635=fiche_sel),COUNTIF(A$6:A1635,fiche_sel),"")</f>
        <v/>
      </c>
    </row>
    <row r="1636">
      <c r="A1636" s="60" t="n"/>
      <c r="B1636" s="60" t="n"/>
      <c r="C1636" s="71" t="str">
        <f>IF(B1636="","",IFERROR(INDEX(mat_des,MATCH(B1636,mat_ref,0))&amp;"","Matière inconnue"))</f>
        <v/>
      </c>
      <c r="D1636" s="69" t="str">
        <f>IF(B1636="","",IFERROR(INDEX(mat_unit,MATCH(B1636,mat_ref,0))&amp;"",""))</f>
        <v/>
      </c>
      <c r="E1636" s="72" t="n"/>
      <c r="F1636" s="65" t="n"/>
      <c r="G1636" s="68" t="str">
        <f>IF(J1636&lt;&gt;"OK","",IF(F1636="",N(INDEX(mat_loss,MATCH(B1636,mat_ref,0))),F1636))</f>
        <v/>
      </c>
      <c r="H1636" s="66" t="str">
        <f>IF(J1636&lt;&gt;"OK","",INDEX(mat_price,MATCH(B1636,mat_ref,0)))</f>
        <v/>
      </c>
      <c r="I1636" s="66" t="str">
        <f>IF(J1636&lt;&gt;"OK","",E1636*(1+G1636)*H1636)</f>
        <v/>
      </c>
      <c r="J1636" s="69" t="str">
        <f>IF(AND(A1636="",B1636=""),"",IF(A1636="","Produit manquant",IF(COUNTIF(prod_ref,A1636)=0,"Produit inconnu",IF(B1636="","Matière manquante",IF(ISNA(MATCH(B1636,mat_ref,0)),"Matière inconnue",IF(INDEX(mat_check,MATCH(B1636,mat_ref,0))&lt;&gt;"OK","Matière à corriger",IF(OR(NOT(ISNUMBER(E1636)),N(E1636)&lt;=0),"Quantité invalide",IF(AND(F1636&lt;&gt;"",OR(NOT(ISNUMBER(F1636)),N(F1636)&lt;0,N(F1636)&gt;=1)),"Perte entre 0 et 99 %",IF(COUNTIFS(bom_prod,A1636,bom_mat,B1636)&gt;1,"Matière en double","OK")))))))))</f>
        <v/>
      </c>
      <c r="K1636" s="71" t="str">
        <f>IF(AND(fiche_sel&lt;&gt;"",A1636=fiche_sel),COUNTIF(A$6:A1636,fiche_sel),"")</f>
        <v/>
      </c>
    </row>
    <row r="1637">
      <c r="A1637" s="60" t="n"/>
      <c r="B1637" s="60" t="n"/>
      <c r="C1637" s="71" t="str">
        <f>IF(B1637="","",IFERROR(INDEX(mat_des,MATCH(B1637,mat_ref,0))&amp;"","Matière inconnue"))</f>
        <v/>
      </c>
      <c r="D1637" s="69" t="str">
        <f>IF(B1637="","",IFERROR(INDEX(mat_unit,MATCH(B1637,mat_ref,0))&amp;"",""))</f>
        <v/>
      </c>
      <c r="E1637" s="72" t="n"/>
      <c r="F1637" s="65" t="n"/>
      <c r="G1637" s="68" t="str">
        <f>IF(J1637&lt;&gt;"OK","",IF(F1637="",N(INDEX(mat_loss,MATCH(B1637,mat_ref,0))),F1637))</f>
        <v/>
      </c>
      <c r="H1637" s="66" t="str">
        <f>IF(J1637&lt;&gt;"OK","",INDEX(mat_price,MATCH(B1637,mat_ref,0)))</f>
        <v/>
      </c>
      <c r="I1637" s="66" t="str">
        <f>IF(J1637&lt;&gt;"OK","",E1637*(1+G1637)*H1637)</f>
        <v/>
      </c>
      <c r="J1637" s="69" t="str">
        <f>IF(AND(A1637="",B1637=""),"",IF(A1637="","Produit manquant",IF(COUNTIF(prod_ref,A1637)=0,"Produit inconnu",IF(B1637="","Matière manquante",IF(ISNA(MATCH(B1637,mat_ref,0)),"Matière inconnue",IF(INDEX(mat_check,MATCH(B1637,mat_ref,0))&lt;&gt;"OK","Matière à corriger",IF(OR(NOT(ISNUMBER(E1637)),N(E1637)&lt;=0),"Quantité invalide",IF(AND(F1637&lt;&gt;"",OR(NOT(ISNUMBER(F1637)),N(F1637)&lt;0,N(F1637)&gt;=1)),"Perte entre 0 et 99 %",IF(COUNTIFS(bom_prod,A1637,bom_mat,B1637)&gt;1,"Matière en double","OK")))))))))</f>
        <v/>
      </c>
      <c r="K1637" s="71" t="str">
        <f>IF(AND(fiche_sel&lt;&gt;"",A1637=fiche_sel),COUNTIF(A$6:A1637,fiche_sel),"")</f>
        <v/>
      </c>
    </row>
    <row r="1638">
      <c r="A1638" s="60" t="n"/>
      <c r="B1638" s="60" t="n"/>
      <c r="C1638" s="71" t="str">
        <f>IF(B1638="","",IFERROR(INDEX(mat_des,MATCH(B1638,mat_ref,0))&amp;"","Matière inconnue"))</f>
        <v/>
      </c>
      <c r="D1638" s="69" t="str">
        <f>IF(B1638="","",IFERROR(INDEX(mat_unit,MATCH(B1638,mat_ref,0))&amp;"",""))</f>
        <v/>
      </c>
      <c r="E1638" s="72" t="n"/>
      <c r="F1638" s="65" t="n"/>
      <c r="G1638" s="68" t="str">
        <f>IF(J1638&lt;&gt;"OK","",IF(F1638="",N(INDEX(mat_loss,MATCH(B1638,mat_ref,0))),F1638))</f>
        <v/>
      </c>
      <c r="H1638" s="66" t="str">
        <f>IF(J1638&lt;&gt;"OK","",INDEX(mat_price,MATCH(B1638,mat_ref,0)))</f>
        <v/>
      </c>
      <c r="I1638" s="66" t="str">
        <f>IF(J1638&lt;&gt;"OK","",E1638*(1+G1638)*H1638)</f>
        <v/>
      </c>
      <c r="J1638" s="69" t="str">
        <f>IF(AND(A1638="",B1638=""),"",IF(A1638="","Produit manquant",IF(COUNTIF(prod_ref,A1638)=0,"Produit inconnu",IF(B1638="","Matière manquante",IF(ISNA(MATCH(B1638,mat_ref,0)),"Matière inconnue",IF(INDEX(mat_check,MATCH(B1638,mat_ref,0))&lt;&gt;"OK","Matière à corriger",IF(OR(NOT(ISNUMBER(E1638)),N(E1638)&lt;=0),"Quantité invalide",IF(AND(F1638&lt;&gt;"",OR(NOT(ISNUMBER(F1638)),N(F1638)&lt;0,N(F1638)&gt;=1)),"Perte entre 0 et 99 %",IF(COUNTIFS(bom_prod,A1638,bom_mat,B1638)&gt;1,"Matière en double","OK")))))))))</f>
        <v/>
      </c>
      <c r="K1638" s="71" t="str">
        <f>IF(AND(fiche_sel&lt;&gt;"",A1638=fiche_sel),COUNTIF(A$6:A1638,fiche_sel),"")</f>
        <v/>
      </c>
    </row>
    <row r="1639">
      <c r="A1639" s="60" t="n"/>
      <c r="B1639" s="60" t="n"/>
      <c r="C1639" s="71" t="str">
        <f>IF(B1639="","",IFERROR(INDEX(mat_des,MATCH(B1639,mat_ref,0))&amp;"","Matière inconnue"))</f>
        <v/>
      </c>
      <c r="D1639" s="69" t="str">
        <f>IF(B1639="","",IFERROR(INDEX(mat_unit,MATCH(B1639,mat_ref,0))&amp;"",""))</f>
        <v/>
      </c>
      <c r="E1639" s="72" t="n"/>
      <c r="F1639" s="65" t="n"/>
      <c r="G1639" s="68" t="str">
        <f>IF(J1639&lt;&gt;"OK","",IF(F1639="",N(INDEX(mat_loss,MATCH(B1639,mat_ref,0))),F1639))</f>
        <v/>
      </c>
      <c r="H1639" s="66" t="str">
        <f>IF(J1639&lt;&gt;"OK","",INDEX(mat_price,MATCH(B1639,mat_ref,0)))</f>
        <v/>
      </c>
      <c r="I1639" s="66" t="str">
        <f>IF(J1639&lt;&gt;"OK","",E1639*(1+G1639)*H1639)</f>
        <v/>
      </c>
      <c r="J1639" s="69" t="str">
        <f>IF(AND(A1639="",B1639=""),"",IF(A1639="","Produit manquant",IF(COUNTIF(prod_ref,A1639)=0,"Produit inconnu",IF(B1639="","Matière manquante",IF(ISNA(MATCH(B1639,mat_ref,0)),"Matière inconnue",IF(INDEX(mat_check,MATCH(B1639,mat_ref,0))&lt;&gt;"OK","Matière à corriger",IF(OR(NOT(ISNUMBER(E1639)),N(E1639)&lt;=0),"Quantité invalide",IF(AND(F1639&lt;&gt;"",OR(NOT(ISNUMBER(F1639)),N(F1639)&lt;0,N(F1639)&gt;=1)),"Perte entre 0 et 99 %",IF(COUNTIFS(bom_prod,A1639,bom_mat,B1639)&gt;1,"Matière en double","OK")))))))))</f>
        <v/>
      </c>
      <c r="K1639" s="71" t="str">
        <f>IF(AND(fiche_sel&lt;&gt;"",A1639=fiche_sel),COUNTIF(A$6:A1639,fiche_sel),"")</f>
        <v/>
      </c>
    </row>
    <row r="1640">
      <c r="A1640" s="60" t="n"/>
      <c r="B1640" s="60" t="n"/>
      <c r="C1640" s="71" t="str">
        <f>IF(B1640="","",IFERROR(INDEX(mat_des,MATCH(B1640,mat_ref,0))&amp;"","Matière inconnue"))</f>
        <v/>
      </c>
      <c r="D1640" s="69" t="str">
        <f>IF(B1640="","",IFERROR(INDEX(mat_unit,MATCH(B1640,mat_ref,0))&amp;"",""))</f>
        <v/>
      </c>
      <c r="E1640" s="72" t="n"/>
      <c r="F1640" s="65" t="n"/>
      <c r="G1640" s="68" t="str">
        <f>IF(J1640&lt;&gt;"OK","",IF(F1640="",N(INDEX(mat_loss,MATCH(B1640,mat_ref,0))),F1640))</f>
        <v/>
      </c>
      <c r="H1640" s="66" t="str">
        <f>IF(J1640&lt;&gt;"OK","",INDEX(mat_price,MATCH(B1640,mat_ref,0)))</f>
        <v/>
      </c>
      <c r="I1640" s="66" t="str">
        <f>IF(J1640&lt;&gt;"OK","",E1640*(1+G1640)*H1640)</f>
        <v/>
      </c>
      <c r="J1640" s="69" t="str">
        <f>IF(AND(A1640="",B1640=""),"",IF(A1640="","Produit manquant",IF(COUNTIF(prod_ref,A1640)=0,"Produit inconnu",IF(B1640="","Matière manquante",IF(ISNA(MATCH(B1640,mat_ref,0)),"Matière inconnue",IF(INDEX(mat_check,MATCH(B1640,mat_ref,0))&lt;&gt;"OK","Matière à corriger",IF(OR(NOT(ISNUMBER(E1640)),N(E1640)&lt;=0),"Quantité invalide",IF(AND(F1640&lt;&gt;"",OR(NOT(ISNUMBER(F1640)),N(F1640)&lt;0,N(F1640)&gt;=1)),"Perte entre 0 et 99 %",IF(COUNTIFS(bom_prod,A1640,bom_mat,B1640)&gt;1,"Matière en double","OK")))))))))</f>
        <v/>
      </c>
      <c r="K1640" s="71" t="str">
        <f>IF(AND(fiche_sel&lt;&gt;"",A1640=fiche_sel),COUNTIF(A$6:A1640,fiche_sel),"")</f>
        <v/>
      </c>
    </row>
    <row r="1641">
      <c r="A1641" s="60" t="n"/>
      <c r="B1641" s="60" t="n"/>
      <c r="C1641" s="71" t="str">
        <f>IF(B1641="","",IFERROR(INDEX(mat_des,MATCH(B1641,mat_ref,0))&amp;"","Matière inconnue"))</f>
        <v/>
      </c>
      <c r="D1641" s="69" t="str">
        <f>IF(B1641="","",IFERROR(INDEX(mat_unit,MATCH(B1641,mat_ref,0))&amp;"",""))</f>
        <v/>
      </c>
      <c r="E1641" s="72" t="n"/>
      <c r="F1641" s="65" t="n"/>
      <c r="G1641" s="68" t="str">
        <f>IF(J1641&lt;&gt;"OK","",IF(F1641="",N(INDEX(mat_loss,MATCH(B1641,mat_ref,0))),F1641))</f>
        <v/>
      </c>
      <c r="H1641" s="66" t="str">
        <f>IF(J1641&lt;&gt;"OK","",INDEX(mat_price,MATCH(B1641,mat_ref,0)))</f>
        <v/>
      </c>
      <c r="I1641" s="66" t="str">
        <f>IF(J1641&lt;&gt;"OK","",E1641*(1+G1641)*H1641)</f>
        <v/>
      </c>
      <c r="J1641" s="69" t="str">
        <f>IF(AND(A1641="",B1641=""),"",IF(A1641="","Produit manquant",IF(COUNTIF(prod_ref,A1641)=0,"Produit inconnu",IF(B1641="","Matière manquante",IF(ISNA(MATCH(B1641,mat_ref,0)),"Matière inconnue",IF(INDEX(mat_check,MATCH(B1641,mat_ref,0))&lt;&gt;"OK","Matière à corriger",IF(OR(NOT(ISNUMBER(E1641)),N(E1641)&lt;=0),"Quantité invalide",IF(AND(F1641&lt;&gt;"",OR(NOT(ISNUMBER(F1641)),N(F1641)&lt;0,N(F1641)&gt;=1)),"Perte entre 0 et 99 %",IF(COUNTIFS(bom_prod,A1641,bom_mat,B1641)&gt;1,"Matière en double","OK")))))))))</f>
        <v/>
      </c>
      <c r="K1641" s="71" t="str">
        <f>IF(AND(fiche_sel&lt;&gt;"",A1641=fiche_sel),COUNTIF(A$6:A1641,fiche_sel),"")</f>
        <v/>
      </c>
    </row>
    <row r="1642">
      <c r="A1642" s="60" t="n"/>
      <c r="B1642" s="60" t="n"/>
      <c r="C1642" s="71" t="str">
        <f>IF(B1642="","",IFERROR(INDEX(mat_des,MATCH(B1642,mat_ref,0))&amp;"","Matière inconnue"))</f>
        <v/>
      </c>
      <c r="D1642" s="69" t="str">
        <f>IF(B1642="","",IFERROR(INDEX(mat_unit,MATCH(B1642,mat_ref,0))&amp;"",""))</f>
        <v/>
      </c>
      <c r="E1642" s="72" t="n"/>
      <c r="F1642" s="65" t="n"/>
      <c r="G1642" s="68" t="str">
        <f>IF(J1642&lt;&gt;"OK","",IF(F1642="",N(INDEX(mat_loss,MATCH(B1642,mat_ref,0))),F1642))</f>
        <v/>
      </c>
      <c r="H1642" s="66" t="str">
        <f>IF(J1642&lt;&gt;"OK","",INDEX(mat_price,MATCH(B1642,mat_ref,0)))</f>
        <v/>
      </c>
      <c r="I1642" s="66" t="str">
        <f>IF(J1642&lt;&gt;"OK","",E1642*(1+G1642)*H1642)</f>
        <v/>
      </c>
      <c r="J1642" s="69" t="str">
        <f>IF(AND(A1642="",B1642=""),"",IF(A1642="","Produit manquant",IF(COUNTIF(prod_ref,A1642)=0,"Produit inconnu",IF(B1642="","Matière manquante",IF(ISNA(MATCH(B1642,mat_ref,0)),"Matière inconnue",IF(INDEX(mat_check,MATCH(B1642,mat_ref,0))&lt;&gt;"OK","Matière à corriger",IF(OR(NOT(ISNUMBER(E1642)),N(E1642)&lt;=0),"Quantité invalide",IF(AND(F1642&lt;&gt;"",OR(NOT(ISNUMBER(F1642)),N(F1642)&lt;0,N(F1642)&gt;=1)),"Perte entre 0 et 99 %",IF(COUNTIFS(bom_prod,A1642,bom_mat,B1642)&gt;1,"Matière en double","OK")))))))))</f>
        <v/>
      </c>
      <c r="K1642" s="71" t="str">
        <f>IF(AND(fiche_sel&lt;&gt;"",A1642=fiche_sel),COUNTIF(A$6:A1642,fiche_sel),"")</f>
        <v/>
      </c>
    </row>
    <row r="1643">
      <c r="A1643" s="60" t="n"/>
      <c r="B1643" s="60" t="n"/>
      <c r="C1643" s="71" t="str">
        <f>IF(B1643="","",IFERROR(INDEX(mat_des,MATCH(B1643,mat_ref,0))&amp;"","Matière inconnue"))</f>
        <v/>
      </c>
      <c r="D1643" s="69" t="str">
        <f>IF(B1643="","",IFERROR(INDEX(mat_unit,MATCH(B1643,mat_ref,0))&amp;"",""))</f>
        <v/>
      </c>
      <c r="E1643" s="72" t="n"/>
      <c r="F1643" s="65" t="n"/>
      <c r="G1643" s="68" t="str">
        <f>IF(J1643&lt;&gt;"OK","",IF(F1643="",N(INDEX(mat_loss,MATCH(B1643,mat_ref,0))),F1643))</f>
        <v/>
      </c>
      <c r="H1643" s="66" t="str">
        <f>IF(J1643&lt;&gt;"OK","",INDEX(mat_price,MATCH(B1643,mat_ref,0)))</f>
        <v/>
      </c>
      <c r="I1643" s="66" t="str">
        <f>IF(J1643&lt;&gt;"OK","",E1643*(1+G1643)*H1643)</f>
        <v/>
      </c>
      <c r="J1643" s="69" t="str">
        <f>IF(AND(A1643="",B1643=""),"",IF(A1643="","Produit manquant",IF(COUNTIF(prod_ref,A1643)=0,"Produit inconnu",IF(B1643="","Matière manquante",IF(ISNA(MATCH(B1643,mat_ref,0)),"Matière inconnue",IF(INDEX(mat_check,MATCH(B1643,mat_ref,0))&lt;&gt;"OK","Matière à corriger",IF(OR(NOT(ISNUMBER(E1643)),N(E1643)&lt;=0),"Quantité invalide",IF(AND(F1643&lt;&gt;"",OR(NOT(ISNUMBER(F1643)),N(F1643)&lt;0,N(F1643)&gt;=1)),"Perte entre 0 et 99 %",IF(COUNTIFS(bom_prod,A1643,bom_mat,B1643)&gt;1,"Matière en double","OK")))))))))</f>
        <v/>
      </c>
      <c r="K1643" s="71" t="str">
        <f>IF(AND(fiche_sel&lt;&gt;"",A1643=fiche_sel),COUNTIF(A$6:A1643,fiche_sel),"")</f>
        <v/>
      </c>
    </row>
    <row r="1644">
      <c r="A1644" s="60" t="n"/>
      <c r="B1644" s="60" t="n"/>
      <c r="C1644" s="71" t="str">
        <f>IF(B1644="","",IFERROR(INDEX(mat_des,MATCH(B1644,mat_ref,0))&amp;"","Matière inconnue"))</f>
        <v/>
      </c>
      <c r="D1644" s="69" t="str">
        <f>IF(B1644="","",IFERROR(INDEX(mat_unit,MATCH(B1644,mat_ref,0))&amp;"",""))</f>
        <v/>
      </c>
      <c r="E1644" s="72" t="n"/>
      <c r="F1644" s="65" t="n"/>
      <c r="G1644" s="68" t="str">
        <f>IF(J1644&lt;&gt;"OK","",IF(F1644="",N(INDEX(mat_loss,MATCH(B1644,mat_ref,0))),F1644))</f>
        <v/>
      </c>
      <c r="H1644" s="66" t="str">
        <f>IF(J1644&lt;&gt;"OK","",INDEX(mat_price,MATCH(B1644,mat_ref,0)))</f>
        <v/>
      </c>
      <c r="I1644" s="66" t="str">
        <f>IF(J1644&lt;&gt;"OK","",E1644*(1+G1644)*H1644)</f>
        <v/>
      </c>
      <c r="J1644" s="69" t="str">
        <f>IF(AND(A1644="",B1644=""),"",IF(A1644="","Produit manquant",IF(COUNTIF(prod_ref,A1644)=0,"Produit inconnu",IF(B1644="","Matière manquante",IF(ISNA(MATCH(B1644,mat_ref,0)),"Matière inconnue",IF(INDEX(mat_check,MATCH(B1644,mat_ref,0))&lt;&gt;"OK","Matière à corriger",IF(OR(NOT(ISNUMBER(E1644)),N(E1644)&lt;=0),"Quantité invalide",IF(AND(F1644&lt;&gt;"",OR(NOT(ISNUMBER(F1644)),N(F1644)&lt;0,N(F1644)&gt;=1)),"Perte entre 0 et 99 %",IF(COUNTIFS(bom_prod,A1644,bom_mat,B1644)&gt;1,"Matière en double","OK")))))))))</f>
        <v/>
      </c>
      <c r="K1644" s="71" t="str">
        <f>IF(AND(fiche_sel&lt;&gt;"",A1644=fiche_sel),COUNTIF(A$6:A1644,fiche_sel),"")</f>
        <v/>
      </c>
    </row>
    <row r="1645">
      <c r="A1645" s="60" t="n"/>
      <c r="B1645" s="60" t="n"/>
      <c r="C1645" s="71" t="str">
        <f>IF(B1645="","",IFERROR(INDEX(mat_des,MATCH(B1645,mat_ref,0))&amp;"","Matière inconnue"))</f>
        <v/>
      </c>
      <c r="D1645" s="69" t="str">
        <f>IF(B1645="","",IFERROR(INDEX(mat_unit,MATCH(B1645,mat_ref,0))&amp;"",""))</f>
        <v/>
      </c>
      <c r="E1645" s="72" t="n"/>
      <c r="F1645" s="65" t="n"/>
      <c r="G1645" s="68" t="str">
        <f>IF(J1645&lt;&gt;"OK","",IF(F1645="",N(INDEX(mat_loss,MATCH(B1645,mat_ref,0))),F1645))</f>
        <v/>
      </c>
      <c r="H1645" s="66" t="str">
        <f>IF(J1645&lt;&gt;"OK","",INDEX(mat_price,MATCH(B1645,mat_ref,0)))</f>
        <v/>
      </c>
      <c r="I1645" s="66" t="str">
        <f>IF(J1645&lt;&gt;"OK","",E1645*(1+G1645)*H1645)</f>
        <v/>
      </c>
      <c r="J1645" s="69" t="str">
        <f>IF(AND(A1645="",B1645=""),"",IF(A1645="","Produit manquant",IF(COUNTIF(prod_ref,A1645)=0,"Produit inconnu",IF(B1645="","Matière manquante",IF(ISNA(MATCH(B1645,mat_ref,0)),"Matière inconnue",IF(INDEX(mat_check,MATCH(B1645,mat_ref,0))&lt;&gt;"OK","Matière à corriger",IF(OR(NOT(ISNUMBER(E1645)),N(E1645)&lt;=0),"Quantité invalide",IF(AND(F1645&lt;&gt;"",OR(NOT(ISNUMBER(F1645)),N(F1645)&lt;0,N(F1645)&gt;=1)),"Perte entre 0 et 99 %",IF(COUNTIFS(bom_prod,A1645,bom_mat,B1645)&gt;1,"Matière en double","OK")))))))))</f>
        <v/>
      </c>
      <c r="K1645" s="71" t="str">
        <f>IF(AND(fiche_sel&lt;&gt;"",A1645=fiche_sel),COUNTIF(A$6:A1645,fiche_sel),"")</f>
        <v/>
      </c>
    </row>
    <row r="1646">
      <c r="A1646" s="60" t="n"/>
      <c r="B1646" s="60" t="n"/>
      <c r="C1646" s="71" t="str">
        <f>IF(B1646="","",IFERROR(INDEX(mat_des,MATCH(B1646,mat_ref,0))&amp;"","Matière inconnue"))</f>
        <v/>
      </c>
      <c r="D1646" s="69" t="str">
        <f>IF(B1646="","",IFERROR(INDEX(mat_unit,MATCH(B1646,mat_ref,0))&amp;"",""))</f>
        <v/>
      </c>
      <c r="E1646" s="72" t="n"/>
      <c r="F1646" s="65" t="n"/>
      <c r="G1646" s="68" t="str">
        <f>IF(J1646&lt;&gt;"OK","",IF(F1646="",N(INDEX(mat_loss,MATCH(B1646,mat_ref,0))),F1646))</f>
        <v/>
      </c>
      <c r="H1646" s="66" t="str">
        <f>IF(J1646&lt;&gt;"OK","",INDEX(mat_price,MATCH(B1646,mat_ref,0)))</f>
        <v/>
      </c>
      <c r="I1646" s="66" t="str">
        <f>IF(J1646&lt;&gt;"OK","",E1646*(1+G1646)*H1646)</f>
        <v/>
      </c>
      <c r="J1646" s="69" t="str">
        <f>IF(AND(A1646="",B1646=""),"",IF(A1646="","Produit manquant",IF(COUNTIF(prod_ref,A1646)=0,"Produit inconnu",IF(B1646="","Matière manquante",IF(ISNA(MATCH(B1646,mat_ref,0)),"Matière inconnue",IF(INDEX(mat_check,MATCH(B1646,mat_ref,0))&lt;&gt;"OK","Matière à corriger",IF(OR(NOT(ISNUMBER(E1646)),N(E1646)&lt;=0),"Quantité invalide",IF(AND(F1646&lt;&gt;"",OR(NOT(ISNUMBER(F1646)),N(F1646)&lt;0,N(F1646)&gt;=1)),"Perte entre 0 et 99 %",IF(COUNTIFS(bom_prod,A1646,bom_mat,B1646)&gt;1,"Matière en double","OK")))))))))</f>
        <v/>
      </c>
      <c r="K1646" s="71" t="str">
        <f>IF(AND(fiche_sel&lt;&gt;"",A1646=fiche_sel),COUNTIF(A$6:A1646,fiche_sel),"")</f>
        <v/>
      </c>
    </row>
    <row r="1647">
      <c r="A1647" s="60" t="n"/>
      <c r="B1647" s="60" t="n"/>
      <c r="C1647" s="71" t="str">
        <f>IF(B1647="","",IFERROR(INDEX(mat_des,MATCH(B1647,mat_ref,0))&amp;"","Matière inconnue"))</f>
        <v/>
      </c>
      <c r="D1647" s="69" t="str">
        <f>IF(B1647="","",IFERROR(INDEX(mat_unit,MATCH(B1647,mat_ref,0))&amp;"",""))</f>
        <v/>
      </c>
      <c r="E1647" s="72" t="n"/>
      <c r="F1647" s="65" t="n"/>
      <c r="G1647" s="68" t="str">
        <f>IF(J1647&lt;&gt;"OK","",IF(F1647="",N(INDEX(mat_loss,MATCH(B1647,mat_ref,0))),F1647))</f>
        <v/>
      </c>
      <c r="H1647" s="66" t="str">
        <f>IF(J1647&lt;&gt;"OK","",INDEX(mat_price,MATCH(B1647,mat_ref,0)))</f>
        <v/>
      </c>
      <c r="I1647" s="66" t="str">
        <f>IF(J1647&lt;&gt;"OK","",E1647*(1+G1647)*H1647)</f>
        <v/>
      </c>
      <c r="J1647" s="69" t="str">
        <f>IF(AND(A1647="",B1647=""),"",IF(A1647="","Produit manquant",IF(COUNTIF(prod_ref,A1647)=0,"Produit inconnu",IF(B1647="","Matière manquante",IF(ISNA(MATCH(B1647,mat_ref,0)),"Matière inconnue",IF(INDEX(mat_check,MATCH(B1647,mat_ref,0))&lt;&gt;"OK","Matière à corriger",IF(OR(NOT(ISNUMBER(E1647)),N(E1647)&lt;=0),"Quantité invalide",IF(AND(F1647&lt;&gt;"",OR(NOT(ISNUMBER(F1647)),N(F1647)&lt;0,N(F1647)&gt;=1)),"Perte entre 0 et 99 %",IF(COUNTIFS(bom_prod,A1647,bom_mat,B1647)&gt;1,"Matière en double","OK")))))))))</f>
        <v/>
      </c>
      <c r="K1647" s="71" t="str">
        <f>IF(AND(fiche_sel&lt;&gt;"",A1647=fiche_sel),COUNTIF(A$6:A1647,fiche_sel),"")</f>
        <v/>
      </c>
    </row>
    <row r="1648">
      <c r="A1648" s="60" t="n"/>
      <c r="B1648" s="60" t="n"/>
      <c r="C1648" s="71" t="str">
        <f>IF(B1648="","",IFERROR(INDEX(mat_des,MATCH(B1648,mat_ref,0))&amp;"","Matière inconnue"))</f>
        <v/>
      </c>
      <c r="D1648" s="69" t="str">
        <f>IF(B1648="","",IFERROR(INDEX(mat_unit,MATCH(B1648,mat_ref,0))&amp;"",""))</f>
        <v/>
      </c>
      <c r="E1648" s="72" t="n"/>
      <c r="F1648" s="65" t="n"/>
      <c r="G1648" s="68" t="str">
        <f>IF(J1648&lt;&gt;"OK","",IF(F1648="",N(INDEX(mat_loss,MATCH(B1648,mat_ref,0))),F1648))</f>
        <v/>
      </c>
      <c r="H1648" s="66" t="str">
        <f>IF(J1648&lt;&gt;"OK","",INDEX(mat_price,MATCH(B1648,mat_ref,0)))</f>
        <v/>
      </c>
      <c r="I1648" s="66" t="str">
        <f>IF(J1648&lt;&gt;"OK","",E1648*(1+G1648)*H1648)</f>
        <v/>
      </c>
      <c r="J1648" s="69" t="str">
        <f>IF(AND(A1648="",B1648=""),"",IF(A1648="","Produit manquant",IF(COUNTIF(prod_ref,A1648)=0,"Produit inconnu",IF(B1648="","Matière manquante",IF(ISNA(MATCH(B1648,mat_ref,0)),"Matière inconnue",IF(INDEX(mat_check,MATCH(B1648,mat_ref,0))&lt;&gt;"OK","Matière à corriger",IF(OR(NOT(ISNUMBER(E1648)),N(E1648)&lt;=0),"Quantité invalide",IF(AND(F1648&lt;&gt;"",OR(NOT(ISNUMBER(F1648)),N(F1648)&lt;0,N(F1648)&gt;=1)),"Perte entre 0 et 99 %",IF(COUNTIFS(bom_prod,A1648,bom_mat,B1648)&gt;1,"Matière en double","OK")))))))))</f>
        <v/>
      </c>
      <c r="K1648" s="71" t="str">
        <f>IF(AND(fiche_sel&lt;&gt;"",A1648=fiche_sel),COUNTIF(A$6:A1648,fiche_sel),"")</f>
        <v/>
      </c>
    </row>
    <row r="1649">
      <c r="A1649" s="60" t="n"/>
      <c r="B1649" s="60" t="n"/>
      <c r="C1649" s="71" t="str">
        <f>IF(B1649="","",IFERROR(INDEX(mat_des,MATCH(B1649,mat_ref,0))&amp;"","Matière inconnue"))</f>
        <v/>
      </c>
      <c r="D1649" s="69" t="str">
        <f>IF(B1649="","",IFERROR(INDEX(mat_unit,MATCH(B1649,mat_ref,0))&amp;"",""))</f>
        <v/>
      </c>
      <c r="E1649" s="72" t="n"/>
      <c r="F1649" s="65" t="n"/>
      <c r="G1649" s="68" t="str">
        <f>IF(J1649&lt;&gt;"OK","",IF(F1649="",N(INDEX(mat_loss,MATCH(B1649,mat_ref,0))),F1649))</f>
        <v/>
      </c>
      <c r="H1649" s="66" t="str">
        <f>IF(J1649&lt;&gt;"OK","",INDEX(mat_price,MATCH(B1649,mat_ref,0)))</f>
        <v/>
      </c>
      <c r="I1649" s="66" t="str">
        <f>IF(J1649&lt;&gt;"OK","",E1649*(1+G1649)*H1649)</f>
        <v/>
      </c>
      <c r="J1649" s="69" t="str">
        <f>IF(AND(A1649="",B1649=""),"",IF(A1649="","Produit manquant",IF(COUNTIF(prod_ref,A1649)=0,"Produit inconnu",IF(B1649="","Matière manquante",IF(ISNA(MATCH(B1649,mat_ref,0)),"Matière inconnue",IF(INDEX(mat_check,MATCH(B1649,mat_ref,0))&lt;&gt;"OK","Matière à corriger",IF(OR(NOT(ISNUMBER(E1649)),N(E1649)&lt;=0),"Quantité invalide",IF(AND(F1649&lt;&gt;"",OR(NOT(ISNUMBER(F1649)),N(F1649)&lt;0,N(F1649)&gt;=1)),"Perte entre 0 et 99 %",IF(COUNTIFS(bom_prod,A1649,bom_mat,B1649)&gt;1,"Matière en double","OK")))))))))</f>
        <v/>
      </c>
      <c r="K1649" s="71" t="str">
        <f>IF(AND(fiche_sel&lt;&gt;"",A1649=fiche_sel),COUNTIF(A$6:A1649,fiche_sel),"")</f>
        <v/>
      </c>
    </row>
    <row r="1650">
      <c r="A1650" s="60" t="n"/>
      <c r="B1650" s="60" t="n"/>
      <c r="C1650" s="71" t="str">
        <f>IF(B1650="","",IFERROR(INDEX(mat_des,MATCH(B1650,mat_ref,0))&amp;"","Matière inconnue"))</f>
        <v/>
      </c>
      <c r="D1650" s="69" t="str">
        <f>IF(B1650="","",IFERROR(INDEX(mat_unit,MATCH(B1650,mat_ref,0))&amp;"",""))</f>
        <v/>
      </c>
      <c r="E1650" s="72" t="n"/>
      <c r="F1650" s="65" t="n"/>
      <c r="G1650" s="68" t="str">
        <f>IF(J1650&lt;&gt;"OK","",IF(F1650="",N(INDEX(mat_loss,MATCH(B1650,mat_ref,0))),F1650))</f>
        <v/>
      </c>
      <c r="H1650" s="66" t="str">
        <f>IF(J1650&lt;&gt;"OK","",INDEX(mat_price,MATCH(B1650,mat_ref,0)))</f>
        <v/>
      </c>
      <c r="I1650" s="66" t="str">
        <f>IF(J1650&lt;&gt;"OK","",E1650*(1+G1650)*H1650)</f>
        <v/>
      </c>
      <c r="J1650" s="69" t="str">
        <f>IF(AND(A1650="",B1650=""),"",IF(A1650="","Produit manquant",IF(COUNTIF(prod_ref,A1650)=0,"Produit inconnu",IF(B1650="","Matière manquante",IF(ISNA(MATCH(B1650,mat_ref,0)),"Matière inconnue",IF(INDEX(mat_check,MATCH(B1650,mat_ref,0))&lt;&gt;"OK","Matière à corriger",IF(OR(NOT(ISNUMBER(E1650)),N(E1650)&lt;=0),"Quantité invalide",IF(AND(F1650&lt;&gt;"",OR(NOT(ISNUMBER(F1650)),N(F1650)&lt;0,N(F1650)&gt;=1)),"Perte entre 0 et 99 %",IF(COUNTIFS(bom_prod,A1650,bom_mat,B1650)&gt;1,"Matière en double","OK")))))))))</f>
        <v/>
      </c>
      <c r="K1650" s="71" t="str">
        <f>IF(AND(fiche_sel&lt;&gt;"",A1650=fiche_sel),COUNTIF(A$6:A1650,fiche_sel),"")</f>
        <v/>
      </c>
    </row>
    <row r="1651">
      <c r="A1651" s="60" t="n"/>
      <c r="B1651" s="60" t="n"/>
      <c r="C1651" s="71" t="str">
        <f>IF(B1651="","",IFERROR(INDEX(mat_des,MATCH(B1651,mat_ref,0))&amp;"","Matière inconnue"))</f>
        <v/>
      </c>
      <c r="D1651" s="69" t="str">
        <f>IF(B1651="","",IFERROR(INDEX(mat_unit,MATCH(B1651,mat_ref,0))&amp;"",""))</f>
        <v/>
      </c>
      <c r="E1651" s="72" t="n"/>
      <c r="F1651" s="65" t="n"/>
      <c r="G1651" s="68" t="str">
        <f>IF(J1651&lt;&gt;"OK","",IF(F1651="",N(INDEX(mat_loss,MATCH(B1651,mat_ref,0))),F1651))</f>
        <v/>
      </c>
      <c r="H1651" s="66" t="str">
        <f>IF(J1651&lt;&gt;"OK","",INDEX(mat_price,MATCH(B1651,mat_ref,0)))</f>
        <v/>
      </c>
      <c r="I1651" s="66" t="str">
        <f>IF(J1651&lt;&gt;"OK","",E1651*(1+G1651)*H1651)</f>
        <v/>
      </c>
      <c r="J1651" s="69" t="str">
        <f>IF(AND(A1651="",B1651=""),"",IF(A1651="","Produit manquant",IF(COUNTIF(prod_ref,A1651)=0,"Produit inconnu",IF(B1651="","Matière manquante",IF(ISNA(MATCH(B1651,mat_ref,0)),"Matière inconnue",IF(INDEX(mat_check,MATCH(B1651,mat_ref,0))&lt;&gt;"OK","Matière à corriger",IF(OR(NOT(ISNUMBER(E1651)),N(E1651)&lt;=0),"Quantité invalide",IF(AND(F1651&lt;&gt;"",OR(NOT(ISNUMBER(F1651)),N(F1651)&lt;0,N(F1651)&gt;=1)),"Perte entre 0 et 99 %",IF(COUNTIFS(bom_prod,A1651,bom_mat,B1651)&gt;1,"Matière en double","OK")))))))))</f>
        <v/>
      </c>
      <c r="K1651" s="71" t="str">
        <f>IF(AND(fiche_sel&lt;&gt;"",A1651=fiche_sel),COUNTIF(A$6:A1651,fiche_sel),"")</f>
        <v/>
      </c>
    </row>
    <row r="1652">
      <c r="A1652" s="60" t="n"/>
      <c r="B1652" s="60" t="n"/>
      <c r="C1652" s="71" t="str">
        <f>IF(B1652="","",IFERROR(INDEX(mat_des,MATCH(B1652,mat_ref,0))&amp;"","Matière inconnue"))</f>
        <v/>
      </c>
      <c r="D1652" s="69" t="str">
        <f>IF(B1652="","",IFERROR(INDEX(mat_unit,MATCH(B1652,mat_ref,0))&amp;"",""))</f>
        <v/>
      </c>
      <c r="E1652" s="72" t="n"/>
      <c r="F1652" s="65" t="n"/>
      <c r="G1652" s="68" t="str">
        <f>IF(J1652&lt;&gt;"OK","",IF(F1652="",N(INDEX(mat_loss,MATCH(B1652,mat_ref,0))),F1652))</f>
        <v/>
      </c>
      <c r="H1652" s="66" t="str">
        <f>IF(J1652&lt;&gt;"OK","",INDEX(mat_price,MATCH(B1652,mat_ref,0)))</f>
        <v/>
      </c>
      <c r="I1652" s="66" t="str">
        <f>IF(J1652&lt;&gt;"OK","",E1652*(1+G1652)*H1652)</f>
        <v/>
      </c>
      <c r="J1652" s="69" t="str">
        <f>IF(AND(A1652="",B1652=""),"",IF(A1652="","Produit manquant",IF(COUNTIF(prod_ref,A1652)=0,"Produit inconnu",IF(B1652="","Matière manquante",IF(ISNA(MATCH(B1652,mat_ref,0)),"Matière inconnue",IF(INDEX(mat_check,MATCH(B1652,mat_ref,0))&lt;&gt;"OK","Matière à corriger",IF(OR(NOT(ISNUMBER(E1652)),N(E1652)&lt;=0),"Quantité invalide",IF(AND(F1652&lt;&gt;"",OR(NOT(ISNUMBER(F1652)),N(F1652)&lt;0,N(F1652)&gt;=1)),"Perte entre 0 et 99 %",IF(COUNTIFS(bom_prod,A1652,bom_mat,B1652)&gt;1,"Matière en double","OK")))))))))</f>
        <v/>
      </c>
      <c r="K1652" s="71" t="str">
        <f>IF(AND(fiche_sel&lt;&gt;"",A1652=fiche_sel),COUNTIF(A$6:A1652,fiche_sel),"")</f>
        <v/>
      </c>
    </row>
    <row r="1653">
      <c r="A1653" s="60" t="n"/>
      <c r="B1653" s="60" t="n"/>
      <c r="C1653" s="71" t="str">
        <f>IF(B1653="","",IFERROR(INDEX(mat_des,MATCH(B1653,mat_ref,0))&amp;"","Matière inconnue"))</f>
        <v/>
      </c>
      <c r="D1653" s="69" t="str">
        <f>IF(B1653="","",IFERROR(INDEX(mat_unit,MATCH(B1653,mat_ref,0))&amp;"",""))</f>
        <v/>
      </c>
      <c r="E1653" s="72" t="n"/>
      <c r="F1653" s="65" t="n"/>
      <c r="G1653" s="68" t="str">
        <f>IF(J1653&lt;&gt;"OK","",IF(F1653="",N(INDEX(mat_loss,MATCH(B1653,mat_ref,0))),F1653))</f>
        <v/>
      </c>
      <c r="H1653" s="66" t="str">
        <f>IF(J1653&lt;&gt;"OK","",INDEX(mat_price,MATCH(B1653,mat_ref,0)))</f>
        <v/>
      </c>
      <c r="I1653" s="66" t="str">
        <f>IF(J1653&lt;&gt;"OK","",E1653*(1+G1653)*H1653)</f>
        <v/>
      </c>
      <c r="J1653" s="69" t="str">
        <f>IF(AND(A1653="",B1653=""),"",IF(A1653="","Produit manquant",IF(COUNTIF(prod_ref,A1653)=0,"Produit inconnu",IF(B1653="","Matière manquante",IF(ISNA(MATCH(B1653,mat_ref,0)),"Matière inconnue",IF(INDEX(mat_check,MATCH(B1653,mat_ref,0))&lt;&gt;"OK","Matière à corriger",IF(OR(NOT(ISNUMBER(E1653)),N(E1653)&lt;=0),"Quantité invalide",IF(AND(F1653&lt;&gt;"",OR(NOT(ISNUMBER(F1653)),N(F1653)&lt;0,N(F1653)&gt;=1)),"Perte entre 0 et 99 %",IF(COUNTIFS(bom_prod,A1653,bom_mat,B1653)&gt;1,"Matière en double","OK")))))))))</f>
        <v/>
      </c>
      <c r="K1653" s="71" t="str">
        <f>IF(AND(fiche_sel&lt;&gt;"",A1653=fiche_sel),COUNTIF(A$6:A1653,fiche_sel),"")</f>
        <v/>
      </c>
    </row>
    <row r="1654">
      <c r="A1654" s="60" t="n"/>
      <c r="B1654" s="60" t="n"/>
      <c r="C1654" s="71" t="str">
        <f>IF(B1654="","",IFERROR(INDEX(mat_des,MATCH(B1654,mat_ref,0))&amp;"","Matière inconnue"))</f>
        <v/>
      </c>
      <c r="D1654" s="69" t="str">
        <f>IF(B1654="","",IFERROR(INDEX(mat_unit,MATCH(B1654,mat_ref,0))&amp;"",""))</f>
        <v/>
      </c>
      <c r="E1654" s="72" t="n"/>
      <c r="F1654" s="65" t="n"/>
      <c r="G1654" s="68" t="str">
        <f>IF(J1654&lt;&gt;"OK","",IF(F1654="",N(INDEX(mat_loss,MATCH(B1654,mat_ref,0))),F1654))</f>
        <v/>
      </c>
      <c r="H1654" s="66" t="str">
        <f>IF(J1654&lt;&gt;"OK","",INDEX(mat_price,MATCH(B1654,mat_ref,0)))</f>
        <v/>
      </c>
      <c r="I1654" s="66" t="str">
        <f>IF(J1654&lt;&gt;"OK","",E1654*(1+G1654)*H1654)</f>
        <v/>
      </c>
      <c r="J1654" s="69" t="str">
        <f>IF(AND(A1654="",B1654=""),"",IF(A1654="","Produit manquant",IF(COUNTIF(prod_ref,A1654)=0,"Produit inconnu",IF(B1654="","Matière manquante",IF(ISNA(MATCH(B1654,mat_ref,0)),"Matière inconnue",IF(INDEX(mat_check,MATCH(B1654,mat_ref,0))&lt;&gt;"OK","Matière à corriger",IF(OR(NOT(ISNUMBER(E1654)),N(E1654)&lt;=0),"Quantité invalide",IF(AND(F1654&lt;&gt;"",OR(NOT(ISNUMBER(F1654)),N(F1654)&lt;0,N(F1654)&gt;=1)),"Perte entre 0 et 99 %",IF(COUNTIFS(bom_prod,A1654,bom_mat,B1654)&gt;1,"Matière en double","OK")))))))))</f>
        <v/>
      </c>
      <c r="K1654" s="71" t="str">
        <f>IF(AND(fiche_sel&lt;&gt;"",A1654=fiche_sel),COUNTIF(A$6:A1654,fiche_sel),"")</f>
        <v/>
      </c>
    </row>
    <row r="1655">
      <c r="A1655" s="60" t="n"/>
      <c r="B1655" s="60" t="n"/>
      <c r="C1655" s="71" t="str">
        <f>IF(B1655="","",IFERROR(INDEX(mat_des,MATCH(B1655,mat_ref,0))&amp;"","Matière inconnue"))</f>
        <v/>
      </c>
      <c r="D1655" s="69" t="str">
        <f>IF(B1655="","",IFERROR(INDEX(mat_unit,MATCH(B1655,mat_ref,0))&amp;"",""))</f>
        <v/>
      </c>
      <c r="E1655" s="72" t="n"/>
      <c r="F1655" s="65" t="n"/>
      <c r="G1655" s="68" t="str">
        <f>IF(J1655&lt;&gt;"OK","",IF(F1655="",N(INDEX(mat_loss,MATCH(B1655,mat_ref,0))),F1655))</f>
        <v/>
      </c>
      <c r="H1655" s="66" t="str">
        <f>IF(J1655&lt;&gt;"OK","",INDEX(mat_price,MATCH(B1655,mat_ref,0)))</f>
        <v/>
      </c>
      <c r="I1655" s="66" t="str">
        <f>IF(J1655&lt;&gt;"OK","",E1655*(1+G1655)*H1655)</f>
        <v/>
      </c>
      <c r="J1655" s="69" t="str">
        <f>IF(AND(A1655="",B1655=""),"",IF(A1655="","Produit manquant",IF(COUNTIF(prod_ref,A1655)=0,"Produit inconnu",IF(B1655="","Matière manquante",IF(ISNA(MATCH(B1655,mat_ref,0)),"Matière inconnue",IF(INDEX(mat_check,MATCH(B1655,mat_ref,0))&lt;&gt;"OK","Matière à corriger",IF(OR(NOT(ISNUMBER(E1655)),N(E1655)&lt;=0),"Quantité invalide",IF(AND(F1655&lt;&gt;"",OR(NOT(ISNUMBER(F1655)),N(F1655)&lt;0,N(F1655)&gt;=1)),"Perte entre 0 et 99 %",IF(COUNTIFS(bom_prod,A1655,bom_mat,B1655)&gt;1,"Matière en double","OK")))))))))</f>
        <v/>
      </c>
      <c r="K1655" s="71" t="str">
        <f>IF(AND(fiche_sel&lt;&gt;"",A1655=fiche_sel),COUNTIF(A$6:A1655,fiche_sel),"")</f>
        <v/>
      </c>
    </row>
    <row r="1656">
      <c r="A1656" s="60" t="n"/>
      <c r="B1656" s="60" t="n"/>
      <c r="C1656" s="71" t="str">
        <f>IF(B1656="","",IFERROR(INDEX(mat_des,MATCH(B1656,mat_ref,0))&amp;"","Matière inconnue"))</f>
        <v/>
      </c>
      <c r="D1656" s="69" t="str">
        <f>IF(B1656="","",IFERROR(INDEX(mat_unit,MATCH(B1656,mat_ref,0))&amp;"",""))</f>
        <v/>
      </c>
      <c r="E1656" s="72" t="n"/>
      <c r="F1656" s="65" t="n"/>
      <c r="G1656" s="68" t="str">
        <f>IF(J1656&lt;&gt;"OK","",IF(F1656="",N(INDEX(mat_loss,MATCH(B1656,mat_ref,0))),F1656))</f>
        <v/>
      </c>
      <c r="H1656" s="66" t="str">
        <f>IF(J1656&lt;&gt;"OK","",INDEX(mat_price,MATCH(B1656,mat_ref,0)))</f>
        <v/>
      </c>
      <c r="I1656" s="66" t="str">
        <f>IF(J1656&lt;&gt;"OK","",E1656*(1+G1656)*H1656)</f>
        <v/>
      </c>
      <c r="J1656" s="69" t="str">
        <f>IF(AND(A1656="",B1656=""),"",IF(A1656="","Produit manquant",IF(COUNTIF(prod_ref,A1656)=0,"Produit inconnu",IF(B1656="","Matière manquante",IF(ISNA(MATCH(B1656,mat_ref,0)),"Matière inconnue",IF(INDEX(mat_check,MATCH(B1656,mat_ref,0))&lt;&gt;"OK","Matière à corriger",IF(OR(NOT(ISNUMBER(E1656)),N(E1656)&lt;=0),"Quantité invalide",IF(AND(F1656&lt;&gt;"",OR(NOT(ISNUMBER(F1656)),N(F1656)&lt;0,N(F1656)&gt;=1)),"Perte entre 0 et 99 %",IF(COUNTIFS(bom_prod,A1656,bom_mat,B1656)&gt;1,"Matière en double","OK")))))))))</f>
        <v/>
      </c>
      <c r="K1656" s="71" t="str">
        <f>IF(AND(fiche_sel&lt;&gt;"",A1656=fiche_sel),COUNTIF(A$6:A1656,fiche_sel),"")</f>
        <v/>
      </c>
    </row>
    <row r="1657">
      <c r="A1657" s="60" t="n"/>
      <c r="B1657" s="60" t="n"/>
      <c r="C1657" s="71" t="str">
        <f>IF(B1657="","",IFERROR(INDEX(mat_des,MATCH(B1657,mat_ref,0))&amp;"","Matière inconnue"))</f>
        <v/>
      </c>
      <c r="D1657" s="69" t="str">
        <f>IF(B1657="","",IFERROR(INDEX(mat_unit,MATCH(B1657,mat_ref,0))&amp;"",""))</f>
        <v/>
      </c>
      <c r="E1657" s="72" t="n"/>
      <c r="F1657" s="65" t="n"/>
      <c r="G1657" s="68" t="str">
        <f>IF(J1657&lt;&gt;"OK","",IF(F1657="",N(INDEX(mat_loss,MATCH(B1657,mat_ref,0))),F1657))</f>
        <v/>
      </c>
      <c r="H1657" s="66" t="str">
        <f>IF(J1657&lt;&gt;"OK","",INDEX(mat_price,MATCH(B1657,mat_ref,0)))</f>
        <v/>
      </c>
      <c r="I1657" s="66" t="str">
        <f>IF(J1657&lt;&gt;"OK","",E1657*(1+G1657)*H1657)</f>
        <v/>
      </c>
      <c r="J1657" s="69" t="str">
        <f>IF(AND(A1657="",B1657=""),"",IF(A1657="","Produit manquant",IF(COUNTIF(prod_ref,A1657)=0,"Produit inconnu",IF(B1657="","Matière manquante",IF(ISNA(MATCH(B1657,mat_ref,0)),"Matière inconnue",IF(INDEX(mat_check,MATCH(B1657,mat_ref,0))&lt;&gt;"OK","Matière à corriger",IF(OR(NOT(ISNUMBER(E1657)),N(E1657)&lt;=0),"Quantité invalide",IF(AND(F1657&lt;&gt;"",OR(NOT(ISNUMBER(F1657)),N(F1657)&lt;0,N(F1657)&gt;=1)),"Perte entre 0 et 99 %",IF(COUNTIFS(bom_prod,A1657,bom_mat,B1657)&gt;1,"Matière en double","OK")))))))))</f>
        <v/>
      </c>
      <c r="K1657" s="71" t="str">
        <f>IF(AND(fiche_sel&lt;&gt;"",A1657=fiche_sel),COUNTIF(A$6:A1657,fiche_sel),"")</f>
        <v/>
      </c>
    </row>
    <row r="1658">
      <c r="A1658" s="60" t="n"/>
      <c r="B1658" s="60" t="n"/>
      <c r="C1658" s="71" t="str">
        <f>IF(B1658="","",IFERROR(INDEX(mat_des,MATCH(B1658,mat_ref,0))&amp;"","Matière inconnue"))</f>
        <v/>
      </c>
      <c r="D1658" s="69" t="str">
        <f>IF(B1658="","",IFERROR(INDEX(mat_unit,MATCH(B1658,mat_ref,0))&amp;"",""))</f>
        <v/>
      </c>
      <c r="E1658" s="72" t="n"/>
      <c r="F1658" s="65" t="n"/>
      <c r="G1658" s="68" t="str">
        <f>IF(J1658&lt;&gt;"OK","",IF(F1658="",N(INDEX(mat_loss,MATCH(B1658,mat_ref,0))),F1658))</f>
        <v/>
      </c>
      <c r="H1658" s="66" t="str">
        <f>IF(J1658&lt;&gt;"OK","",INDEX(mat_price,MATCH(B1658,mat_ref,0)))</f>
        <v/>
      </c>
      <c r="I1658" s="66" t="str">
        <f>IF(J1658&lt;&gt;"OK","",E1658*(1+G1658)*H1658)</f>
        <v/>
      </c>
      <c r="J1658" s="69" t="str">
        <f>IF(AND(A1658="",B1658=""),"",IF(A1658="","Produit manquant",IF(COUNTIF(prod_ref,A1658)=0,"Produit inconnu",IF(B1658="","Matière manquante",IF(ISNA(MATCH(B1658,mat_ref,0)),"Matière inconnue",IF(INDEX(mat_check,MATCH(B1658,mat_ref,0))&lt;&gt;"OK","Matière à corriger",IF(OR(NOT(ISNUMBER(E1658)),N(E1658)&lt;=0),"Quantité invalide",IF(AND(F1658&lt;&gt;"",OR(NOT(ISNUMBER(F1658)),N(F1658)&lt;0,N(F1658)&gt;=1)),"Perte entre 0 et 99 %",IF(COUNTIFS(bom_prod,A1658,bom_mat,B1658)&gt;1,"Matière en double","OK")))))))))</f>
        <v/>
      </c>
      <c r="K1658" s="71" t="str">
        <f>IF(AND(fiche_sel&lt;&gt;"",A1658=fiche_sel),COUNTIF(A$6:A1658,fiche_sel),"")</f>
        <v/>
      </c>
    </row>
    <row r="1659">
      <c r="A1659" s="60" t="n"/>
      <c r="B1659" s="60" t="n"/>
      <c r="C1659" s="71" t="str">
        <f>IF(B1659="","",IFERROR(INDEX(mat_des,MATCH(B1659,mat_ref,0))&amp;"","Matière inconnue"))</f>
        <v/>
      </c>
      <c r="D1659" s="69" t="str">
        <f>IF(B1659="","",IFERROR(INDEX(mat_unit,MATCH(B1659,mat_ref,0))&amp;"",""))</f>
        <v/>
      </c>
      <c r="E1659" s="72" t="n"/>
      <c r="F1659" s="65" t="n"/>
      <c r="G1659" s="68" t="str">
        <f>IF(J1659&lt;&gt;"OK","",IF(F1659="",N(INDEX(mat_loss,MATCH(B1659,mat_ref,0))),F1659))</f>
        <v/>
      </c>
      <c r="H1659" s="66" t="str">
        <f>IF(J1659&lt;&gt;"OK","",INDEX(mat_price,MATCH(B1659,mat_ref,0)))</f>
        <v/>
      </c>
      <c r="I1659" s="66" t="str">
        <f>IF(J1659&lt;&gt;"OK","",E1659*(1+G1659)*H1659)</f>
        <v/>
      </c>
      <c r="J1659" s="69" t="str">
        <f>IF(AND(A1659="",B1659=""),"",IF(A1659="","Produit manquant",IF(COUNTIF(prod_ref,A1659)=0,"Produit inconnu",IF(B1659="","Matière manquante",IF(ISNA(MATCH(B1659,mat_ref,0)),"Matière inconnue",IF(INDEX(mat_check,MATCH(B1659,mat_ref,0))&lt;&gt;"OK","Matière à corriger",IF(OR(NOT(ISNUMBER(E1659)),N(E1659)&lt;=0),"Quantité invalide",IF(AND(F1659&lt;&gt;"",OR(NOT(ISNUMBER(F1659)),N(F1659)&lt;0,N(F1659)&gt;=1)),"Perte entre 0 et 99 %",IF(COUNTIFS(bom_prod,A1659,bom_mat,B1659)&gt;1,"Matière en double","OK")))))))))</f>
        <v/>
      </c>
      <c r="K1659" s="71" t="str">
        <f>IF(AND(fiche_sel&lt;&gt;"",A1659=fiche_sel),COUNTIF(A$6:A1659,fiche_sel),"")</f>
        <v/>
      </c>
    </row>
    <row r="1660">
      <c r="A1660" s="60" t="n"/>
      <c r="B1660" s="60" t="n"/>
      <c r="C1660" s="71" t="str">
        <f>IF(B1660="","",IFERROR(INDEX(mat_des,MATCH(B1660,mat_ref,0))&amp;"","Matière inconnue"))</f>
        <v/>
      </c>
      <c r="D1660" s="69" t="str">
        <f>IF(B1660="","",IFERROR(INDEX(mat_unit,MATCH(B1660,mat_ref,0))&amp;"",""))</f>
        <v/>
      </c>
      <c r="E1660" s="72" t="n"/>
      <c r="F1660" s="65" t="n"/>
      <c r="G1660" s="68" t="str">
        <f>IF(J1660&lt;&gt;"OK","",IF(F1660="",N(INDEX(mat_loss,MATCH(B1660,mat_ref,0))),F1660))</f>
        <v/>
      </c>
      <c r="H1660" s="66" t="str">
        <f>IF(J1660&lt;&gt;"OK","",INDEX(mat_price,MATCH(B1660,mat_ref,0)))</f>
        <v/>
      </c>
      <c r="I1660" s="66" t="str">
        <f>IF(J1660&lt;&gt;"OK","",E1660*(1+G1660)*H1660)</f>
        <v/>
      </c>
      <c r="J1660" s="69" t="str">
        <f>IF(AND(A1660="",B1660=""),"",IF(A1660="","Produit manquant",IF(COUNTIF(prod_ref,A1660)=0,"Produit inconnu",IF(B1660="","Matière manquante",IF(ISNA(MATCH(B1660,mat_ref,0)),"Matière inconnue",IF(INDEX(mat_check,MATCH(B1660,mat_ref,0))&lt;&gt;"OK","Matière à corriger",IF(OR(NOT(ISNUMBER(E1660)),N(E1660)&lt;=0),"Quantité invalide",IF(AND(F1660&lt;&gt;"",OR(NOT(ISNUMBER(F1660)),N(F1660)&lt;0,N(F1660)&gt;=1)),"Perte entre 0 et 99 %",IF(COUNTIFS(bom_prod,A1660,bom_mat,B1660)&gt;1,"Matière en double","OK")))))))))</f>
        <v/>
      </c>
      <c r="K1660" s="71" t="str">
        <f>IF(AND(fiche_sel&lt;&gt;"",A1660=fiche_sel),COUNTIF(A$6:A1660,fiche_sel),"")</f>
        <v/>
      </c>
    </row>
    <row r="1661">
      <c r="A1661" s="60" t="n"/>
      <c r="B1661" s="60" t="n"/>
      <c r="C1661" s="71" t="str">
        <f>IF(B1661="","",IFERROR(INDEX(mat_des,MATCH(B1661,mat_ref,0))&amp;"","Matière inconnue"))</f>
        <v/>
      </c>
      <c r="D1661" s="69" t="str">
        <f>IF(B1661="","",IFERROR(INDEX(mat_unit,MATCH(B1661,mat_ref,0))&amp;"",""))</f>
        <v/>
      </c>
      <c r="E1661" s="72" t="n"/>
      <c r="F1661" s="65" t="n"/>
      <c r="G1661" s="68" t="str">
        <f>IF(J1661&lt;&gt;"OK","",IF(F1661="",N(INDEX(mat_loss,MATCH(B1661,mat_ref,0))),F1661))</f>
        <v/>
      </c>
      <c r="H1661" s="66" t="str">
        <f>IF(J1661&lt;&gt;"OK","",INDEX(mat_price,MATCH(B1661,mat_ref,0)))</f>
        <v/>
      </c>
      <c r="I1661" s="66" t="str">
        <f>IF(J1661&lt;&gt;"OK","",E1661*(1+G1661)*H1661)</f>
        <v/>
      </c>
      <c r="J1661" s="69" t="str">
        <f>IF(AND(A1661="",B1661=""),"",IF(A1661="","Produit manquant",IF(COUNTIF(prod_ref,A1661)=0,"Produit inconnu",IF(B1661="","Matière manquante",IF(ISNA(MATCH(B1661,mat_ref,0)),"Matière inconnue",IF(INDEX(mat_check,MATCH(B1661,mat_ref,0))&lt;&gt;"OK","Matière à corriger",IF(OR(NOT(ISNUMBER(E1661)),N(E1661)&lt;=0),"Quantité invalide",IF(AND(F1661&lt;&gt;"",OR(NOT(ISNUMBER(F1661)),N(F1661)&lt;0,N(F1661)&gt;=1)),"Perte entre 0 et 99 %",IF(COUNTIFS(bom_prod,A1661,bom_mat,B1661)&gt;1,"Matière en double","OK")))))))))</f>
        <v/>
      </c>
      <c r="K1661" s="71" t="str">
        <f>IF(AND(fiche_sel&lt;&gt;"",A1661=fiche_sel),COUNTIF(A$6:A1661,fiche_sel),"")</f>
        <v/>
      </c>
    </row>
    <row r="1662">
      <c r="A1662" s="60" t="n"/>
      <c r="B1662" s="60" t="n"/>
      <c r="C1662" s="71" t="str">
        <f>IF(B1662="","",IFERROR(INDEX(mat_des,MATCH(B1662,mat_ref,0))&amp;"","Matière inconnue"))</f>
        <v/>
      </c>
      <c r="D1662" s="69" t="str">
        <f>IF(B1662="","",IFERROR(INDEX(mat_unit,MATCH(B1662,mat_ref,0))&amp;"",""))</f>
        <v/>
      </c>
      <c r="E1662" s="72" t="n"/>
      <c r="F1662" s="65" t="n"/>
      <c r="G1662" s="68" t="str">
        <f>IF(J1662&lt;&gt;"OK","",IF(F1662="",N(INDEX(mat_loss,MATCH(B1662,mat_ref,0))),F1662))</f>
        <v/>
      </c>
      <c r="H1662" s="66" t="str">
        <f>IF(J1662&lt;&gt;"OK","",INDEX(mat_price,MATCH(B1662,mat_ref,0)))</f>
        <v/>
      </c>
      <c r="I1662" s="66" t="str">
        <f>IF(J1662&lt;&gt;"OK","",E1662*(1+G1662)*H1662)</f>
        <v/>
      </c>
      <c r="J1662" s="69" t="str">
        <f>IF(AND(A1662="",B1662=""),"",IF(A1662="","Produit manquant",IF(COUNTIF(prod_ref,A1662)=0,"Produit inconnu",IF(B1662="","Matière manquante",IF(ISNA(MATCH(B1662,mat_ref,0)),"Matière inconnue",IF(INDEX(mat_check,MATCH(B1662,mat_ref,0))&lt;&gt;"OK","Matière à corriger",IF(OR(NOT(ISNUMBER(E1662)),N(E1662)&lt;=0),"Quantité invalide",IF(AND(F1662&lt;&gt;"",OR(NOT(ISNUMBER(F1662)),N(F1662)&lt;0,N(F1662)&gt;=1)),"Perte entre 0 et 99 %",IF(COUNTIFS(bom_prod,A1662,bom_mat,B1662)&gt;1,"Matière en double","OK")))))))))</f>
        <v/>
      </c>
      <c r="K1662" s="71" t="str">
        <f>IF(AND(fiche_sel&lt;&gt;"",A1662=fiche_sel),COUNTIF(A$6:A1662,fiche_sel),"")</f>
        <v/>
      </c>
    </row>
    <row r="1663">
      <c r="A1663" s="60" t="n"/>
      <c r="B1663" s="60" t="n"/>
      <c r="C1663" s="71" t="str">
        <f>IF(B1663="","",IFERROR(INDEX(mat_des,MATCH(B1663,mat_ref,0))&amp;"","Matière inconnue"))</f>
        <v/>
      </c>
      <c r="D1663" s="69" t="str">
        <f>IF(B1663="","",IFERROR(INDEX(mat_unit,MATCH(B1663,mat_ref,0))&amp;"",""))</f>
        <v/>
      </c>
      <c r="E1663" s="72" t="n"/>
      <c r="F1663" s="65" t="n"/>
      <c r="G1663" s="68" t="str">
        <f>IF(J1663&lt;&gt;"OK","",IF(F1663="",N(INDEX(mat_loss,MATCH(B1663,mat_ref,0))),F1663))</f>
        <v/>
      </c>
      <c r="H1663" s="66" t="str">
        <f>IF(J1663&lt;&gt;"OK","",INDEX(mat_price,MATCH(B1663,mat_ref,0)))</f>
        <v/>
      </c>
      <c r="I1663" s="66" t="str">
        <f>IF(J1663&lt;&gt;"OK","",E1663*(1+G1663)*H1663)</f>
        <v/>
      </c>
      <c r="J1663" s="69" t="str">
        <f>IF(AND(A1663="",B1663=""),"",IF(A1663="","Produit manquant",IF(COUNTIF(prod_ref,A1663)=0,"Produit inconnu",IF(B1663="","Matière manquante",IF(ISNA(MATCH(B1663,mat_ref,0)),"Matière inconnue",IF(INDEX(mat_check,MATCH(B1663,mat_ref,0))&lt;&gt;"OK","Matière à corriger",IF(OR(NOT(ISNUMBER(E1663)),N(E1663)&lt;=0),"Quantité invalide",IF(AND(F1663&lt;&gt;"",OR(NOT(ISNUMBER(F1663)),N(F1663)&lt;0,N(F1663)&gt;=1)),"Perte entre 0 et 99 %",IF(COUNTIFS(bom_prod,A1663,bom_mat,B1663)&gt;1,"Matière en double","OK")))))))))</f>
        <v/>
      </c>
      <c r="K1663" s="71" t="str">
        <f>IF(AND(fiche_sel&lt;&gt;"",A1663=fiche_sel),COUNTIF(A$6:A1663,fiche_sel),"")</f>
        <v/>
      </c>
    </row>
    <row r="1664">
      <c r="A1664" s="60" t="n"/>
      <c r="B1664" s="60" t="n"/>
      <c r="C1664" s="71" t="str">
        <f>IF(B1664="","",IFERROR(INDEX(mat_des,MATCH(B1664,mat_ref,0))&amp;"","Matière inconnue"))</f>
        <v/>
      </c>
      <c r="D1664" s="69" t="str">
        <f>IF(B1664="","",IFERROR(INDEX(mat_unit,MATCH(B1664,mat_ref,0))&amp;"",""))</f>
        <v/>
      </c>
      <c r="E1664" s="72" t="n"/>
      <c r="F1664" s="65" t="n"/>
      <c r="G1664" s="68" t="str">
        <f>IF(J1664&lt;&gt;"OK","",IF(F1664="",N(INDEX(mat_loss,MATCH(B1664,mat_ref,0))),F1664))</f>
        <v/>
      </c>
      <c r="H1664" s="66" t="str">
        <f>IF(J1664&lt;&gt;"OK","",INDEX(mat_price,MATCH(B1664,mat_ref,0)))</f>
        <v/>
      </c>
      <c r="I1664" s="66" t="str">
        <f>IF(J1664&lt;&gt;"OK","",E1664*(1+G1664)*H1664)</f>
        <v/>
      </c>
      <c r="J1664" s="69" t="str">
        <f>IF(AND(A1664="",B1664=""),"",IF(A1664="","Produit manquant",IF(COUNTIF(prod_ref,A1664)=0,"Produit inconnu",IF(B1664="","Matière manquante",IF(ISNA(MATCH(B1664,mat_ref,0)),"Matière inconnue",IF(INDEX(mat_check,MATCH(B1664,mat_ref,0))&lt;&gt;"OK","Matière à corriger",IF(OR(NOT(ISNUMBER(E1664)),N(E1664)&lt;=0),"Quantité invalide",IF(AND(F1664&lt;&gt;"",OR(NOT(ISNUMBER(F1664)),N(F1664)&lt;0,N(F1664)&gt;=1)),"Perte entre 0 et 99 %",IF(COUNTIFS(bom_prod,A1664,bom_mat,B1664)&gt;1,"Matière en double","OK")))))))))</f>
        <v/>
      </c>
      <c r="K1664" s="71" t="str">
        <f>IF(AND(fiche_sel&lt;&gt;"",A1664=fiche_sel),COUNTIF(A$6:A1664,fiche_sel),"")</f>
        <v/>
      </c>
    </row>
    <row r="1665">
      <c r="A1665" s="60" t="n"/>
      <c r="B1665" s="60" t="n"/>
      <c r="C1665" s="71" t="str">
        <f>IF(B1665="","",IFERROR(INDEX(mat_des,MATCH(B1665,mat_ref,0))&amp;"","Matière inconnue"))</f>
        <v/>
      </c>
      <c r="D1665" s="69" t="str">
        <f>IF(B1665="","",IFERROR(INDEX(mat_unit,MATCH(B1665,mat_ref,0))&amp;"",""))</f>
        <v/>
      </c>
      <c r="E1665" s="72" t="n"/>
      <c r="F1665" s="65" t="n"/>
      <c r="G1665" s="68" t="str">
        <f>IF(J1665&lt;&gt;"OK","",IF(F1665="",N(INDEX(mat_loss,MATCH(B1665,mat_ref,0))),F1665))</f>
        <v/>
      </c>
      <c r="H1665" s="66" t="str">
        <f>IF(J1665&lt;&gt;"OK","",INDEX(mat_price,MATCH(B1665,mat_ref,0)))</f>
        <v/>
      </c>
      <c r="I1665" s="66" t="str">
        <f>IF(J1665&lt;&gt;"OK","",E1665*(1+G1665)*H1665)</f>
        <v/>
      </c>
      <c r="J1665" s="69" t="str">
        <f>IF(AND(A1665="",B1665=""),"",IF(A1665="","Produit manquant",IF(COUNTIF(prod_ref,A1665)=0,"Produit inconnu",IF(B1665="","Matière manquante",IF(ISNA(MATCH(B1665,mat_ref,0)),"Matière inconnue",IF(INDEX(mat_check,MATCH(B1665,mat_ref,0))&lt;&gt;"OK","Matière à corriger",IF(OR(NOT(ISNUMBER(E1665)),N(E1665)&lt;=0),"Quantité invalide",IF(AND(F1665&lt;&gt;"",OR(NOT(ISNUMBER(F1665)),N(F1665)&lt;0,N(F1665)&gt;=1)),"Perte entre 0 et 99 %",IF(COUNTIFS(bom_prod,A1665,bom_mat,B1665)&gt;1,"Matière en double","OK")))))))))</f>
        <v/>
      </c>
      <c r="K1665" s="71" t="str">
        <f>IF(AND(fiche_sel&lt;&gt;"",A1665=fiche_sel),COUNTIF(A$6:A1665,fiche_sel),"")</f>
        <v/>
      </c>
    </row>
    <row r="1666">
      <c r="A1666" s="60" t="n"/>
      <c r="B1666" s="60" t="n"/>
      <c r="C1666" s="71" t="str">
        <f>IF(B1666="","",IFERROR(INDEX(mat_des,MATCH(B1666,mat_ref,0))&amp;"","Matière inconnue"))</f>
        <v/>
      </c>
      <c r="D1666" s="69" t="str">
        <f>IF(B1666="","",IFERROR(INDEX(mat_unit,MATCH(B1666,mat_ref,0))&amp;"",""))</f>
        <v/>
      </c>
      <c r="E1666" s="72" t="n"/>
      <c r="F1666" s="65" t="n"/>
      <c r="G1666" s="68" t="str">
        <f>IF(J1666&lt;&gt;"OK","",IF(F1666="",N(INDEX(mat_loss,MATCH(B1666,mat_ref,0))),F1666))</f>
        <v/>
      </c>
      <c r="H1666" s="66" t="str">
        <f>IF(J1666&lt;&gt;"OK","",INDEX(mat_price,MATCH(B1666,mat_ref,0)))</f>
        <v/>
      </c>
      <c r="I1666" s="66" t="str">
        <f>IF(J1666&lt;&gt;"OK","",E1666*(1+G1666)*H1666)</f>
        <v/>
      </c>
      <c r="J1666" s="69" t="str">
        <f>IF(AND(A1666="",B1666=""),"",IF(A1666="","Produit manquant",IF(COUNTIF(prod_ref,A1666)=0,"Produit inconnu",IF(B1666="","Matière manquante",IF(ISNA(MATCH(B1666,mat_ref,0)),"Matière inconnue",IF(INDEX(mat_check,MATCH(B1666,mat_ref,0))&lt;&gt;"OK","Matière à corriger",IF(OR(NOT(ISNUMBER(E1666)),N(E1666)&lt;=0),"Quantité invalide",IF(AND(F1666&lt;&gt;"",OR(NOT(ISNUMBER(F1666)),N(F1666)&lt;0,N(F1666)&gt;=1)),"Perte entre 0 et 99 %",IF(COUNTIFS(bom_prod,A1666,bom_mat,B1666)&gt;1,"Matière en double","OK")))))))))</f>
        <v/>
      </c>
      <c r="K1666" s="71" t="str">
        <f>IF(AND(fiche_sel&lt;&gt;"",A1666=fiche_sel),COUNTIF(A$6:A1666,fiche_sel),"")</f>
        <v/>
      </c>
    </row>
    <row r="1667">
      <c r="A1667" s="60" t="n"/>
      <c r="B1667" s="60" t="n"/>
      <c r="C1667" s="71" t="str">
        <f>IF(B1667="","",IFERROR(INDEX(mat_des,MATCH(B1667,mat_ref,0))&amp;"","Matière inconnue"))</f>
        <v/>
      </c>
      <c r="D1667" s="69" t="str">
        <f>IF(B1667="","",IFERROR(INDEX(mat_unit,MATCH(B1667,mat_ref,0))&amp;"",""))</f>
        <v/>
      </c>
      <c r="E1667" s="72" t="n"/>
      <c r="F1667" s="65" t="n"/>
      <c r="G1667" s="68" t="str">
        <f>IF(J1667&lt;&gt;"OK","",IF(F1667="",N(INDEX(mat_loss,MATCH(B1667,mat_ref,0))),F1667))</f>
        <v/>
      </c>
      <c r="H1667" s="66" t="str">
        <f>IF(J1667&lt;&gt;"OK","",INDEX(mat_price,MATCH(B1667,mat_ref,0)))</f>
        <v/>
      </c>
      <c r="I1667" s="66" t="str">
        <f>IF(J1667&lt;&gt;"OK","",E1667*(1+G1667)*H1667)</f>
        <v/>
      </c>
      <c r="J1667" s="69" t="str">
        <f>IF(AND(A1667="",B1667=""),"",IF(A1667="","Produit manquant",IF(COUNTIF(prod_ref,A1667)=0,"Produit inconnu",IF(B1667="","Matière manquante",IF(ISNA(MATCH(B1667,mat_ref,0)),"Matière inconnue",IF(INDEX(mat_check,MATCH(B1667,mat_ref,0))&lt;&gt;"OK","Matière à corriger",IF(OR(NOT(ISNUMBER(E1667)),N(E1667)&lt;=0),"Quantité invalide",IF(AND(F1667&lt;&gt;"",OR(NOT(ISNUMBER(F1667)),N(F1667)&lt;0,N(F1667)&gt;=1)),"Perte entre 0 et 99 %",IF(COUNTIFS(bom_prod,A1667,bom_mat,B1667)&gt;1,"Matière en double","OK")))))))))</f>
        <v/>
      </c>
      <c r="K1667" s="71" t="str">
        <f>IF(AND(fiche_sel&lt;&gt;"",A1667=fiche_sel),COUNTIF(A$6:A1667,fiche_sel),"")</f>
        <v/>
      </c>
    </row>
    <row r="1668">
      <c r="A1668" s="60" t="n"/>
      <c r="B1668" s="60" t="n"/>
      <c r="C1668" s="71" t="str">
        <f>IF(B1668="","",IFERROR(INDEX(mat_des,MATCH(B1668,mat_ref,0))&amp;"","Matière inconnue"))</f>
        <v/>
      </c>
      <c r="D1668" s="69" t="str">
        <f>IF(B1668="","",IFERROR(INDEX(mat_unit,MATCH(B1668,mat_ref,0))&amp;"",""))</f>
        <v/>
      </c>
      <c r="E1668" s="72" t="n"/>
      <c r="F1668" s="65" t="n"/>
      <c r="G1668" s="68" t="str">
        <f>IF(J1668&lt;&gt;"OK","",IF(F1668="",N(INDEX(mat_loss,MATCH(B1668,mat_ref,0))),F1668))</f>
        <v/>
      </c>
      <c r="H1668" s="66" t="str">
        <f>IF(J1668&lt;&gt;"OK","",INDEX(mat_price,MATCH(B1668,mat_ref,0)))</f>
        <v/>
      </c>
      <c r="I1668" s="66" t="str">
        <f>IF(J1668&lt;&gt;"OK","",E1668*(1+G1668)*H1668)</f>
        <v/>
      </c>
      <c r="J1668" s="69" t="str">
        <f>IF(AND(A1668="",B1668=""),"",IF(A1668="","Produit manquant",IF(COUNTIF(prod_ref,A1668)=0,"Produit inconnu",IF(B1668="","Matière manquante",IF(ISNA(MATCH(B1668,mat_ref,0)),"Matière inconnue",IF(INDEX(mat_check,MATCH(B1668,mat_ref,0))&lt;&gt;"OK","Matière à corriger",IF(OR(NOT(ISNUMBER(E1668)),N(E1668)&lt;=0),"Quantité invalide",IF(AND(F1668&lt;&gt;"",OR(NOT(ISNUMBER(F1668)),N(F1668)&lt;0,N(F1668)&gt;=1)),"Perte entre 0 et 99 %",IF(COUNTIFS(bom_prod,A1668,bom_mat,B1668)&gt;1,"Matière en double","OK")))))))))</f>
        <v/>
      </c>
      <c r="K1668" s="71" t="str">
        <f>IF(AND(fiche_sel&lt;&gt;"",A1668=fiche_sel),COUNTIF(A$6:A1668,fiche_sel),"")</f>
        <v/>
      </c>
    </row>
    <row r="1669">
      <c r="A1669" s="60" t="n"/>
      <c r="B1669" s="60" t="n"/>
      <c r="C1669" s="71" t="str">
        <f>IF(B1669="","",IFERROR(INDEX(mat_des,MATCH(B1669,mat_ref,0))&amp;"","Matière inconnue"))</f>
        <v/>
      </c>
      <c r="D1669" s="69" t="str">
        <f>IF(B1669="","",IFERROR(INDEX(mat_unit,MATCH(B1669,mat_ref,0))&amp;"",""))</f>
        <v/>
      </c>
      <c r="E1669" s="72" t="n"/>
      <c r="F1669" s="65" t="n"/>
      <c r="G1669" s="68" t="str">
        <f>IF(J1669&lt;&gt;"OK","",IF(F1669="",N(INDEX(mat_loss,MATCH(B1669,mat_ref,0))),F1669))</f>
        <v/>
      </c>
      <c r="H1669" s="66" t="str">
        <f>IF(J1669&lt;&gt;"OK","",INDEX(mat_price,MATCH(B1669,mat_ref,0)))</f>
        <v/>
      </c>
      <c r="I1669" s="66" t="str">
        <f>IF(J1669&lt;&gt;"OK","",E1669*(1+G1669)*H1669)</f>
        <v/>
      </c>
      <c r="J1669" s="69" t="str">
        <f>IF(AND(A1669="",B1669=""),"",IF(A1669="","Produit manquant",IF(COUNTIF(prod_ref,A1669)=0,"Produit inconnu",IF(B1669="","Matière manquante",IF(ISNA(MATCH(B1669,mat_ref,0)),"Matière inconnue",IF(INDEX(mat_check,MATCH(B1669,mat_ref,0))&lt;&gt;"OK","Matière à corriger",IF(OR(NOT(ISNUMBER(E1669)),N(E1669)&lt;=0),"Quantité invalide",IF(AND(F1669&lt;&gt;"",OR(NOT(ISNUMBER(F1669)),N(F1669)&lt;0,N(F1669)&gt;=1)),"Perte entre 0 et 99 %",IF(COUNTIFS(bom_prod,A1669,bom_mat,B1669)&gt;1,"Matière en double","OK")))))))))</f>
        <v/>
      </c>
      <c r="K1669" s="71" t="str">
        <f>IF(AND(fiche_sel&lt;&gt;"",A1669=fiche_sel),COUNTIF(A$6:A1669,fiche_sel),"")</f>
        <v/>
      </c>
    </row>
    <row r="1670">
      <c r="A1670" s="60" t="n"/>
      <c r="B1670" s="60" t="n"/>
      <c r="C1670" s="71" t="str">
        <f>IF(B1670="","",IFERROR(INDEX(mat_des,MATCH(B1670,mat_ref,0))&amp;"","Matière inconnue"))</f>
        <v/>
      </c>
      <c r="D1670" s="69" t="str">
        <f>IF(B1670="","",IFERROR(INDEX(mat_unit,MATCH(B1670,mat_ref,0))&amp;"",""))</f>
        <v/>
      </c>
      <c r="E1670" s="72" t="n"/>
      <c r="F1670" s="65" t="n"/>
      <c r="G1670" s="68" t="str">
        <f>IF(J1670&lt;&gt;"OK","",IF(F1670="",N(INDEX(mat_loss,MATCH(B1670,mat_ref,0))),F1670))</f>
        <v/>
      </c>
      <c r="H1670" s="66" t="str">
        <f>IF(J1670&lt;&gt;"OK","",INDEX(mat_price,MATCH(B1670,mat_ref,0)))</f>
        <v/>
      </c>
      <c r="I1670" s="66" t="str">
        <f>IF(J1670&lt;&gt;"OK","",E1670*(1+G1670)*H1670)</f>
        <v/>
      </c>
      <c r="J1670" s="69" t="str">
        <f>IF(AND(A1670="",B1670=""),"",IF(A1670="","Produit manquant",IF(COUNTIF(prod_ref,A1670)=0,"Produit inconnu",IF(B1670="","Matière manquante",IF(ISNA(MATCH(B1670,mat_ref,0)),"Matière inconnue",IF(INDEX(mat_check,MATCH(B1670,mat_ref,0))&lt;&gt;"OK","Matière à corriger",IF(OR(NOT(ISNUMBER(E1670)),N(E1670)&lt;=0),"Quantité invalide",IF(AND(F1670&lt;&gt;"",OR(NOT(ISNUMBER(F1670)),N(F1670)&lt;0,N(F1670)&gt;=1)),"Perte entre 0 et 99 %",IF(COUNTIFS(bom_prod,A1670,bom_mat,B1670)&gt;1,"Matière en double","OK")))))))))</f>
        <v/>
      </c>
      <c r="K1670" s="71" t="str">
        <f>IF(AND(fiche_sel&lt;&gt;"",A1670=fiche_sel),COUNTIF(A$6:A1670,fiche_sel),"")</f>
        <v/>
      </c>
    </row>
    <row r="1671">
      <c r="A1671" s="60" t="n"/>
      <c r="B1671" s="60" t="n"/>
      <c r="C1671" s="71" t="str">
        <f>IF(B1671="","",IFERROR(INDEX(mat_des,MATCH(B1671,mat_ref,0))&amp;"","Matière inconnue"))</f>
        <v/>
      </c>
      <c r="D1671" s="69" t="str">
        <f>IF(B1671="","",IFERROR(INDEX(mat_unit,MATCH(B1671,mat_ref,0))&amp;"",""))</f>
        <v/>
      </c>
      <c r="E1671" s="72" t="n"/>
      <c r="F1671" s="65" t="n"/>
      <c r="G1671" s="68" t="str">
        <f>IF(J1671&lt;&gt;"OK","",IF(F1671="",N(INDEX(mat_loss,MATCH(B1671,mat_ref,0))),F1671))</f>
        <v/>
      </c>
      <c r="H1671" s="66" t="str">
        <f>IF(J1671&lt;&gt;"OK","",INDEX(mat_price,MATCH(B1671,mat_ref,0)))</f>
        <v/>
      </c>
      <c r="I1671" s="66" t="str">
        <f>IF(J1671&lt;&gt;"OK","",E1671*(1+G1671)*H1671)</f>
        <v/>
      </c>
      <c r="J1671" s="69" t="str">
        <f>IF(AND(A1671="",B1671=""),"",IF(A1671="","Produit manquant",IF(COUNTIF(prod_ref,A1671)=0,"Produit inconnu",IF(B1671="","Matière manquante",IF(ISNA(MATCH(B1671,mat_ref,0)),"Matière inconnue",IF(INDEX(mat_check,MATCH(B1671,mat_ref,0))&lt;&gt;"OK","Matière à corriger",IF(OR(NOT(ISNUMBER(E1671)),N(E1671)&lt;=0),"Quantité invalide",IF(AND(F1671&lt;&gt;"",OR(NOT(ISNUMBER(F1671)),N(F1671)&lt;0,N(F1671)&gt;=1)),"Perte entre 0 et 99 %",IF(COUNTIFS(bom_prod,A1671,bom_mat,B1671)&gt;1,"Matière en double","OK")))))))))</f>
        <v/>
      </c>
      <c r="K1671" s="71" t="str">
        <f>IF(AND(fiche_sel&lt;&gt;"",A1671=fiche_sel),COUNTIF(A$6:A1671,fiche_sel),"")</f>
        <v/>
      </c>
    </row>
    <row r="1672">
      <c r="A1672" s="60" t="n"/>
      <c r="B1672" s="60" t="n"/>
      <c r="C1672" s="71" t="str">
        <f>IF(B1672="","",IFERROR(INDEX(mat_des,MATCH(B1672,mat_ref,0))&amp;"","Matière inconnue"))</f>
        <v/>
      </c>
      <c r="D1672" s="69" t="str">
        <f>IF(B1672="","",IFERROR(INDEX(mat_unit,MATCH(B1672,mat_ref,0))&amp;"",""))</f>
        <v/>
      </c>
      <c r="E1672" s="72" t="n"/>
      <c r="F1672" s="65" t="n"/>
      <c r="G1672" s="68" t="str">
        <f>IF(J1672&lt;&gt;"OK","",IF(F1672="",N(INDEX(mat_loss,MATCH(B1672,mat_ref,0))),F1672))</f>
        <v/>
      </c>
      <c r="H1672" s="66" t="str">
        <f>IF(J1672&lt;&gt;"OK","",INDEX(mat_price,MATCH(B1672,mat_ref,0)))</f>
        <v/>
      </c>
      <c r="I1672" s="66" t="str">
        <f>IF(J1672&lt;&gt;"OK","",E1672*(1+G1672)*H1672)</f>
        <v/>
      </c>
      <c r="J1672" s="69" t="str">
        <f>IF(AND(A1672="",B1672=""),"",IF(A1672="","Produit manquant",IF(COUNTIF(prod_ref,A1672)=0,"Produit inconnu",IF(B1672="","Matière manquante",IF(ISNA(MATCH(B1672,mat_ref,0)),"Matière inconnue",IF(INDEX(mat_check,MATCH(B1672,mat_ref,0))&lt;&gt;"OK","Matière à corriger",IF(OR(NOT(ISNUMBER(E1672)),N(E1672)&lt;=0),"Quantité invalide",IF(AND(F1672&lt;&gt;"",OR(NOT(ISNUMBER(F1672)),N(F1672)&lt;0,N(F1672)&gt;=1)),"Perte entre 0 et 99 %",IF(COUNTIFS(bom_prod,A1672,bom_mat,B1672)&gt;1,"Matière en double","OK")))))))))</f>
        <v/>
      </c>
      <c r="K1672" s="71" t="str">
        <f>IF(AND(fiche_sel&lt;&gt;"",A1672=fiche_sel),COUNTIF(A$6:A1672,fiche_sel),"")</f>
        <v/>
      </c>
    </row>
    <row r="1673">
      <c r="A1673" s="60" t="n"/>
      <c r="B1673" s="60" t="n"/>
      <c r="C1673" s="71" t="str">
        <f>IF(B1673="","",IFERROR(INDEX(mat_des,MATCH(B1673,mat_ref,0))&amp;"","Matière inconnue"))</f>
        <v/>
      </c>
      <c r="D1673" s="69" t="str">
        <f>IF(B1673="","",IFERROR(INDEX(mat_unit,MATCH(B1673,mat_ref,0))&amp;"",""))</f>
        <v/>
      </c>
      <c r="E1673" s="72" t="n"/>
      <c r="F1673" s="65" t="n"/>
      <c r="G1673" s="68" t="str">
        <f>IF(J1673&lt;&gt;"OK","",IF(F1673="",N(INDEX(mat_loss,MATCH(B1673,mat_ref,0))),F1673))</f>
        <v/>
      </c>
      <c r="H1673" s="66" t="str">
        <f>IF(J1673&lt;&gt;"OK","",INDEX(mat_price,MATCH(B1673,mat_ref,0)))</f>
        <v/>
      </c>
      <c r="I1673" s="66" t="str">
        <f>IF(J1673&lt;&gt;"OK","",E1673*(1+G1673)*H1673)</f>
        <v/>
      </c>
      <c r="J1673" s="69" t="str">
        <f>IF(AND(A1673="",B1673=""),"",IF(A1673="","Produit manquant",IF(COUNTIF(prod_ref,A1673)=0,"Produit inconnu",IF(B1673="","Matière manquante",IF(ISNA(MATCH(B1673,mat_ref,0)),"Matière inconnue",IF(INDEX(mat_check,MATCH(B1673,mat_ref,0))&lt;&gt;"OK","Matière à corriger",IF(OR(NOT(ISNUMBER(E1673)),N(E1673)&lt;=0),"Quantité invalide",IF(AND(F1673&lt;&gt;"",OR(NOT(ISNUMBER(F1673)),N(F1673)&lt;0,N(F1673)&gt;=1)),"Perte entre 0 et 99 %",IF(COUNTIFS(bom_prod,A1673,bom_mat,B1673)&gt;1,"Matière en double","OK")))))))))</f>
        <v/>
      </c>
      <c r="K1673" s="71" t="str">
        <f>IF(AND(fiche_sel&lt;&gt;"",A1673=fiche_sel),COUNTIF(A$6:A1673,fiche_sel),"")</f>
        <v/>
      </c>
    </row>
    <row r="1674">
      <c r="A1674" s="60" t="n"/>
      <c r="B1674" s="60" t="n"/>
      <c r="C1674" s="71" t="str">
        <f>IF(B1674="","",IFERROR(INDEX(mat_des,MATCH(B1674,mat_ref,0))&amp;"","Matière inconnue"))</f>
        <v/>
      </c>
      <c r="D1674" s="69" t="str">
        <f>IF(B1674="","",IFERROR(INDEX(mat_unit,MATCH(B1674,mat_ref,0))&amp;"",""))</f>
        <v/>
      </c>
      <c r="E1674" s="72" t="n"/>
      <c r="F1674" s="65" t="n"/>
      <c r="G1674" s="68" t="str">
        <f>IF(J1674&lt;&gt;"OK","",IF(F1674="",N(INDEX(mat_loss,MATCH(B1674,mat_ref,0))),F1674))</f>
        <v/>
      </c>
      <c r="H1674" s="66" t="str">
        <f>IF(J1674&lt;&gt;"OK","",INDEX(mat_price,MATCH(B1674,mat_ref,0)))</f>
        <v/>
      </c>
      <c r="I1674" s="66" t="str">
        <f>IF(J1674&lt;&gt;"OK","",E1674*(1+G1674)*H1674)</f>
        <v/>
      </c>
      <c r="J1674" s="69" t="str">
        <f>IF(AND(A1674="",B1674=""),"",IF(A1674="","Produit manquant",IF(COUNTIF(prod_ref,A1674)=0,"Produit inconnu",IF(B1674="","Matière manquante",IF(ISNA(MATCH(B1674,mat_ref,0)),"Matière inconnue",IF(INDEX(mat_check,MATCH(B1674,mat_ref,0))&lt;&gt;"OK","Matière à corriger",IF(OR(NOT(ISNUMBER(E1674)),N(E1674)&lt;=0),"Quantité invalide",IF(AND(F1674&lt;&gt;"",OR(NOT(ISNUMBER(F1674)),N(F1674)&lt;0,N(F1674)&gt;=1)),"Perte entre 0 et 99 %",IF(COUNTIFS(bom_prod,A1674,bom_mat,B1674)&gt;1,"Matière en double","OK")))))))))</f>
        <v/>
      </c>
      <c r="K1674" s="71" t="str">
        <f>IF(AND(fiche_sel&lt;&gt;"",A1674=fiche_sel),COUNTIF(A$6:A1674,fiche_sel),"")</f>
        <v/>
      </c>
    </row>
    <row r="1675">
      <c r="A1675" s="60" t="n"/>
      <c r="B1675" s="60" t="n"/>
      <c r="C1675" s="71" t="str">
        <f>IF(B1675="","",IFERROR(INDEX(mat_des,MATCH(B1675,mat_ref,0))&amp;"","Matière inconnue"))</f>
        <v/>
      </c>
      <c r="D1675" s="69" t="str">
        <f>IF(B1675="","",IFERROR(INDEX(mat_unit,MATCH(B1675,mat_ref,0))&amp;"",""))</f>
        <v/>
      </c>
      <c r="E1675" s="72" t="n"/>
      <c r="F1675" s="65" t="n"/>
      <c r="G1675" s="68" t="str">
        <f>IF(J1675&lt;&gt;"OK","",IF(F1675="",N(INDEX(mat_loss,MATCH(B1675,mat_ref,0))),F1675))</f>
        <v/>
      </c>
      <c r="H1675" s="66" t="str">
        <f>IF(J1675&lt;&gt;"OK","",INDEX(mat_price,MATCH(B1675,mat_ref,0)))</f>
        <v/>
      </c>
      <c r="I1675" s="66" t="str">
        <f>IF(J1675&lt;&gt;"OK","",E1675*(1+G1675)*H1675)</f>
        <v/>
      </c>
      <c r="J1675" s="69" t="str">
        <f>IF(AND(A1675="",B1675=""),"",IF(A1675="","Produit manquant",IF(COUNTIF(prod_ref,A1675)=0,"Produit inconnu",IF(B1675="","Matière manquante",IF(ISNA(MATCH(B1675,mat_ref,0)),"Matière inconnue",IF(INDEX(mat_check,MATCH(B1675,mat_ref,0))&lt;&gt;"OK","Matière à corriger",IF(OR(NOT(ISNUMBER(E1675)),N(E1675)&lt;=0),"Quantité invalide",IF(AND(F1675&lt;&gt;"",OR(NOT(ISNUMBER(F1675)),N(F1675)&lt;0,N(F1675)&gt;=1)),"Perte entre 0 et 99 %",IF(COUNTIFS(bom_prod,A1675,bom_mat,B1675)&gt;1,"Matière en double","OK")))))))))</f>
        <v/>
      </c>
      <c r="K1675" s="71" t="str">
        <f>IF(AND(fiche_sel&lt;&gt;"",A1675=fiche_sel),COUNTIF(A$6:A1675,fiche_sel),"")</f>
        <v/>
      </c>
    </row>
    <row r="1676">
      <c r="A1676" s="60" t="n"/>
      <c r="B1676" s="60" t="n"/>
      <c r="C1676" s="71" t="str">
        <f>IF(B1676="","",IFERROR(INDEX(mat_des,MATCH(B1676,mat_ref,0))&amp;"","Matière inconnue"))</f>
        <v/>
      </c>
      <c r="D1676" s="69" t="str">
        <f>IF(B1676="","",IFERROR(INDEX(mat_unit,MATCH(B1676,mat_ref,0))&amp;"",""))</f>
        <v/>
      </c>
      <c r="E1676" s="72" t="n"/>
      <c r="F1676" s="65" t="n"/>
      <c r="G1676" s="68" t="str">
        <f>IF(J1676&lt;&gt;"OK","",IF(F1676="",N(INDEX(mat_loss,MATCH(B1676,mat_ref,0))),F1676))</f>
        <v/>
      </c>
      <c r="H1676" s="66" t="str">
        <f>IF(J1676&lt;&gt;"OK","",INDEX(mat_price,MATCH(B1676,mat_ref,0)))</f>
        <v/>
      </c>
      <c r="I1676" s="66" t="str">
        <f>IF(J1676&lt;&gt;"OK","",E1676*(1+G1676)*H1676)</f>
        <v/>
      </c>
      <c r="J1676" s="69" t="str">
        <f>IF(AND(A1676="",B1676=""),"",IF(A1676="","Produit manquant",IF(COUNTIF(prod_ref,A1676)=0,"Produit inconnu",IF(B1676="","Matière manquante",IF(ISNA(MATCH(B1676,mat_ref,0)),"Matière inconnue",IF(INDEX(mat_check,MATCH(B1676,mat_ref,0))&lt;&gt;"OK","Matière à corriger",IF(OR(NOT(ISNUMBER(E1676)),N(E1676)&lt;=0),"Quantité invalide",IF(AND(F1676&lt;&gt;"",OR(NOT(ISNUMBER(F1676)),N(F1676)&lt;0,N(F1676)&gt;=1)),"Perte entre 0 et 99 %",IF(COUNTIFS(bom_prod,A1676,bom_mat,B1676)&gt;1,"Matière en double","OK")))))))))</f>
        <v/>
      </c>
      <c r="K1676" s="71" t="str">
        <f>IF(AND(fiche_sel&lt;&gt;"",A1676=fiche_sel),COUNTIF(A$6:A1676,fiche_sel),"")</f>
        <v/>
      </c>
    </row>
    <row r="1677">
      <c r="A1677" s="60" t="n"/>
      <c r="B1677" s="60" t="n"/>
      <c r="C1677" s="71" t="str">
        <f>IF(B1677="","",IFERROR(INDEX(mat_des,MATCH(B1677,mat_ref,0))&amp;"","Matière inconnue"))</f>
        <v/>
      </c>
      <c r="D1677" s="69" t="str">
        <f>IF(B1677="","",IFERROR(INDEX(mat_unit,MATCH(B1677,mat_ref,0))&amp;"",""))</f>
        <v/>
      </c>
      <c r="E1677" s="72" t="n"/>
      <c r="F1677" s="65" t="n"/>
      <c r="G1677" s="68" t="str">
        <f>IF(J1677&lt;&gt;"OK","",IF(F1677="",N(INDEX(mat_loss,MATCH(B1677,mat_ref,0))),F1677))</f>
        <v/>
      </c>
      <c r="H1677" s="66" t="str">
        <f>IF(J1677&lt;&gt;"OK","",INDEX(mat_price,MATCH(B1677,mat_ref,0)))</f>
        <v/>
      </c>
      <c r="I1677" s="66" t="str">
        <f>IF(J1677&lt;&gt;"OK","",E1677*(1+G1677)*H1677)</f>
        <v/>
      </c>
      <c r="J1677" s="69" t="str">
        <f>IF(AND(A1677="",B1677=""),"",IF(A1677="","Produit manquant",IF(COUNTIF(prod_ref,A1677)=0,"Produit inconnu",IF(B1677="","Matière manquante",IF(ISNA(MATCH(B1677,mat_ref,0)),"Matière inconnue",IF(INDEX(mat_check,MATCH(B1677,mat_ref,0))&lt;&gt;"OK","Matière à corriger",IF(OR(NOT(ISNUMBER(E1677)),N(E1677)&lt;=0),"Quantité invalide",IF(AND(F1677&lt;&gt;"",OR(NOT(ISNUMBER(F1677)),N(F1677)&lt;0,N(F1677)&gt;=1)),"Perte entre 0 et 99 %",IF(COUNTIFS(bom_prod,A1677,bom_mat,B1677)&gt;1,"Matière en double","OK")))))))))</f>
        <v/>
      </c>
      <c r="K1677" s="71" t="str">
        <f>IF(AND(fiche_sel&lt;&gt;"",A1677=fiche_sel),COUNTIF(A$6:A1677,fiche_sel),"")</f>
        <v/>
      </c>
    </row>
    <row r="1678">
      <c r="A1678" s="60" t="n"/>
      <c r="B1678" s="60" t="n"/>
      <c r="C1678" s="71" t="str">
        <f>IF(B1678="","",IFERROR(INDEX(mat_des,MATCH(B1678,mat_ref,0))&amp;"","Matière inconnue"))</f>
        <v/>
      </c>
      <c r="D1678" s="69" t="str">
        <f>IF(B1678="","",IFERROR(INDEX(mat_unit,MATCH(B1678,mat_ref,0))&amp;"",""))</f>
        <v/>
      </c>
      <c r="E1678" s="72" t="n"/>
      <c r="F1678" s="65" t="n"/>
      <c r="G1678" s="68" t="str">
        <f>IF(J1678&lt;&gt;"OK","",IF(F1678="",N(INDEX(mat_loss,MATCH(B1678,mat_ref,0))),F1678))</f>
        <v/>
      </c>
      <c r="H1678" s="66" t="str">
        <f>IF(J1678&lt;&gt;"OK","",INDEX(mat_price,MATCH(B1678,mat_ref,0)))</f>
        <v/>
      </c>
      <c r="I1678" s="66" t="str">
        <f>IF(J1678&lt;&gt;"OK","",E1678*(1+G1678)*H1678)</f>
        <v/>
      </c>
      <c r="J1678" s="69" t="str">
        <f>IF(AND(A1678="",B1678=""),"",IF(A1678="","Produit manquant",IF(COUNTIF(prod_ref,A1678)=0,"Produit inconnu",IF(B1678="","Matière manquante",IF(ISNA(MATCH(B1678,mat_ref,0)),"Matière inconnue",IF(INDEX(mat_check,MATCH(B1678,mat_ref,0))&lt;&gt;"OK","Matière à corriger",IF(OR(NOT(ISNUMBER(E1678)),N(E1678)&lt;=0),"Quantité invalide",IF(AND(F1678&lt;&gt;"",OR(NOT(ISNUMBER(F1678)),N(F1678)&lt;0,N(F1678)&gt;=1)),"Perte entre 0 et 99 %",IF(COUNTIFS(bom_prod,A1678,bom_mat,B1678)&gt;1,"Matière en double","OK")))))))))</f>
        <v/>
      </c>
      <c r="K1678" s="71" t="str">
        <f>IF(AND(fiche_sel&lt;&gt;"",A1678=fiche_sel),COUNTIF(A$6:A1678,fiche_sel),"")</f>
        <v/>
      </c>
    </row>
    <row r="1679">
      <c r="A1679" s="60" t="n"/>
      <c r="B1679" s="60" t="n"/>
      <c r="C1679" s="71" t="str">
        <f>IF(B1679="","",IFERROR(INDEX(mat_des,MATCH(B1679,mat_ref,0))&amp;"","Matière inconnue"))</f>
        <v/>
      </c>
      <c r="D1679" s="69" t="str">
        <f>IF(B1679="","",IFERROR(INDEX(mat_unit,MATCH(B1679,mat_ref,0))&amp;"",""))</f>
        <v/>
      </c>
      <c r="E1679" s="72" t="n"/>
      <c r="F1679" s="65" t="n"/>
      <c r="G1679" s="68" t="str">
        <f>IF(J1679&lt;&gt;"OK","",IF(F1679="",N(INDEX(mat_loss,MATCH(B1679,mat_ref,0))),F1679))</f>
        <v/>
      </c>
      <c r="H1679" s="66" t="str">
        <f>IF(J1679&lt;&gt;"OK","",INDEX(mat_price,MATCH(B1679,mat_ref,0)))</f>
        <v/>
      </c>
      <c r="I1679" s="66" t="str">
        <f>IF(J1679&lt;&gt;"OK","",E1679*(1+G1679)*H1679)</f>
        <v/>
      </c>
      <c r="J1679" s="69" t="str">
        <f>IF(AND(A1679="",B1679=""),"",IF(A1679="","Produit manquant",IF(COUNTIF(prod_ref,A1679)=0,"Produit inconnu",IF(B1679="","Matière manquante",IF(ISNA(MATCH(B1679,mat_ref,0)),"Matière inconnue",IF(INDEX(mat_check,MATCH(B1679,mat_ref,0))&lt;&gt;"OK","Matière à corriger",IF(OR(NOT(ISNUMBER(E1679)),N(E1679)&lt;=0),"Quantité invalide",IF(AND(F1679&lt;&gt;"",OR(NOT(ISNUMBER(F1679)),N(F1679)&lt;0,N(F1679)&gt;=1)),"Perte entre 0 et 99 %",IF(COUNTIFS(bom_prod,A1679,bom_mat,B1679)&gt;1,"Matière en double","OK")))))))))</f>
        <v/>
      </c>
      <c r="K1679" s="71" t="str">
        <f>IF(AND(fiche_sel&lt;&gt;"",A1679=fiche_sel),COUNTIF(A$6:A1679,fiche_sel),"")</f>
        <v/>
      </c>
    </row>
    <row r="1680">
      <c r="A1680" s="60" t="n"/>
      <c r="B1680" s="60" t="n"/>
      <c r="C1680" s="71" t="str">
        <f>IF(B1680="","",IFERROR(INDEX(mat_des,MATCH(B1680,mat_ref,0))&amp;"","Matière inconnue"))</f>
        <v/>
      </c>
      <c r="D1680" s="69" t="str">
        <f>IF(B1680="","",IFERROR(INDEX(mat_unit,MATCH(B1680,mat_ref,0))&amp;"",""))</f>
        <v/>
      </c>
      <c r="E1680" s="72" t="n"/>
      <c r="F1680" s="65" t="n"/>
      <c r="G1680" s="68" t="str">
        <f>IF(J1680&lt;&gt;"OK","",IF(F1680="",N(INDEX(mat_loss,MATCH(B1680,mat_ref,0))),F1680))</f>
        <v/>
      </c>
      <c r="H1680" s="66" t="str">
        <f>IF(J1680&lt;&gt;"OK","",INDEX(mat_price,MATCH(B1680,mat_ref,0)))</f>
        <v/>
      </c>
      <c r="I1680" s="66" t="str">
        <f>IF(J1680&lt;&gt;"OK","",E1680*(1+G1680)*H1680)</f>
        <v/>
      </c>
      <c r="J1680" s="69" t="str">
        <f>IF(AND(A1680="",B1680=""),"",IF(A1680="","Produit manquant",IF(COUNTIF(prod_ref,A1680)=0,"Produit inconnu",IF(B1680="","Matière manquante",IF(ISNA(MATCH(B1680,mat_ref,0)),"Matière inconnue",IF(INDEX(mat_check,MATCH(B1680,mat_ref,0))&lt;&gt;"OK","Matière à corriger",IF(OR(NOT(ISNUMBER(E1680)),N(E1680)&lt;=0),"Quantité invalide",IF(AND(F1680&lt;&gt;"",OR(NOT(ISNUMBER(F1680)),N(F1680)&lt;0,N(F1680)&gt;=1)),"Perte entre 0 et 99 %",IF(COUNTIFS(bom_prod,A1680,bom_mat,B1680)&gt;1,"Matière en double","OK")))))))))</f>
        <v/>
      </c>
      <c r="K1680" s="71" t="str">
        <f>IF(AND(fiche_sel&lt;&gt;"",A1680=fiche_sel),COUNTIF(A$6:A1680,fiche_sel),"")</f>
        <v/>
      </c>
    </row>
    <row r="1681">
      <c r="A1681" s="60" t="n"/>
      <c r="B1681" s="60" t="n"/>
      <c r="C1681" s="71" t="str">
        <f>IF(B1681="","",IFERROR(INDEX(mat_des,MATCH(B1681,mat_ref,0))&amp;"","Matière inconnue"))</f>
        <v/>
      </c>
      <c r="D1681" s="69" t="str">
        <f>IF(B1681="","",IFERROR(INDEX(mat_unit,MATCH(B1681,mat_ref,0))&amp;"",""))</f>
        <v/>
      </c>
      <c r="E1681" s="72" t="n"/>
      <c r="F1681" s="65" t="n"/>
      <c r="G1681" s="68" t="str">
        <f>IF(J1681&lt;&gt;"OK","",IF(F1681="",N(INDEX(mat_loss,MATCH(B1681,mat_ref,0))),F1681))</f>
        <v/>
      </c>
      <c r="H1681" s="66" t="str">
        <f>IF(J1681&lt;&gt;"OK","",INDEX(mat_price,MATCH(B1681,mat_ref,0)))</f>
        <v/>
      </c>
      <c r="I1681" s="66" t="str">
        <f>IF(J1681&lt;&gt;"OK","",E1681*(1+G1681)*H1681)</f>
        <v/>
      </c>
      <c r="J1681" s="69" t="str">
        <f>IF(AND(A1681="",B1681=""),"",IF(A1681="","Produit manquant",IF(COUNTIF(prod_ref,A1681)=0,"Produit inconnu",IF(B1681="","Matière manquante",IF(ISNA(MATCH(B1681,mat_ref,0)),"Matière inconnue",IF(INDEX(mat_check,MATCH(B1681,mat_ref,0))&lt;&gt;"OK","Matière à corriger",IF(OR(NOT(ISNUMBER(E1681)),N(E1681)&lt;=0),"Quantité invalide",IF(AND(F1681&lt;&gt;"",OR(NOT(ISNUMBER(F1681)),N(F1681)&lt;0,N(F1681)&gt;=1)),"Perte entre 0 et 99 %",IF(COUNTIFS(bom_prod,A1681,bom_mat,B1681)&gt;1,"Matière en double","OK")))))))))</f>
        <v/>
      </c>
      <c r="K1681" s="71" t="str">
        <f>IF(AND(fiche_sel&lt;&gt;"",A1681=fiche_sel),COUNTIF(A$6:A1681,fiche_sel),"")</f>
        <v/>
      </c>
    </row>
    <row r="1682">
      <c r="A1682" s="60" t="n"/>
      <c r="B1682" s="60" t="n"/>
      <c r="C1682" s="71" t="str">
        <f>IF(B1682="","",IFERROR(INDEX(mat_des,MATCH(B1682,mat_ref,0))&amp;"","Matière inconnue"))</f>
        <v/>
      </c>
      <c r="D1682" s="69" t="str">
        <f>IF(B1682="","",IFERROR(INDEX(mat_unit,MATCH(B1682,mat_ref,0))&amp;"",""))</f>
        <v/>
      </c>
      <c r="E1682" s="72" t="n"/>
      <c r="F1682" s="65" t="n"/>
      <c r="G1682" s="68" t="str">
        <f>IF(J1682&lt;&gt;"OK","",IF(F1682="",N(INDEX(mat_loss,MATCH(B1682,mat_ref,0))),F1682))</f>
        <v/>
      </c>
      <c r="H1682" s="66" t="str">
        <f>IF(J1682&lt;&gt;"OK","",INDEX(mat_price,MATCH(B1682,mat_ref,0)))</f>
        <v/>
      </c>
      <c r="I1682" s="66" t="str">
        <f>IF(J1682&lt;&gt;"OK","",E1682*(1+G1682)*H1682)</f>
        <v/>
      </c>
      <c r="J1682" s="69" t="str">
        <f>IF(AND(A1682="",B1682=""),"",IF(A1682="","Produit manquant",IF(COUNTIF(prod_ref,A1682)=0,"Produit inconnu",IF(B1682="","Matière manquante",IF(ISNA(MATCH(B1682,mat_ref,0)),"Matière inconnue",IF(INDEX(mat_check,MATCH(B1682,mat_ref,0))&lt;&gt;"OK","Matière à corriger",IF(OR(NOT(ISNUMBER(E1682)),N(E1682)&lt;=0),"Quantité invalide",IF(AND(F1682&lt;&gt;"",OR(NOT(ISNUMBER(F1682)),N(F1682)&lt;0,N(F1682)&gt;=1)),"Perte entre 0 et 99 %",IF(COUNTIFS(bom_prod,A1682,bom_mat,B1682)&gt;1,"Matière en double","OK")))))))))</f>
        <v/>
      </c>
      <c r="K1682" s="71" t="str">
        <f>IF(AND(fiche_sel&lt;&gt;"",A1682=fiche_sel),COUNTIF(A$6:A1682,fiche_sel),"")</f>
        <v/>
      </c>
    </row>
    <row r="1683">
      <c r="A1683" s="60" t="n"/>
      <c r="B1683" s="60" t="n"/>
      <c r="C1683" s="71" t="str">
        <f>IF(B1683="","",IFERROR(INDEX(mat_des,MATCH(B1683,mat_ref,0))&amp;"","Matière inconnue"))</f>
        <v/>
      </c>
      <c r="D1683" s="69" t="str">
        <f>IF(B1683="","",IFERROR(INDEX(mat_unit,MATCH(B1683,mat_ref,0))&amp;"",""))</f>
        <v/>
      </c>
      <c r="E1683" s="72" t="n"/>
      <c r="F1683" s="65" t="n"/>
      <c r="G1683" s="68" t="str">
        <f>IF(J1683&lt;&gt;"OK","",IF(F1683="",N(INDEX(mat_loss,MATCH(B1683,mat_ref,0))),F1683))</f>
        <v/>
      </c>
      <c r="H1683" s="66" t="str">
        <f>IF(J1683&lt;&gt;"OK","",INDEX(mat_price,MATCH(B1683,mat_ref,0)))</f>
        <v/>
      </c>
      <c r="I1683" s="66" t="str">
        <f>IF(J1683&lt;&gt;"OK","",E1683*(1+G1683)*H1683)</f>
        <v/>
      </c>
      <c r="J1683" s="69" t="str">
        <f>IF(AND(A1683="",B1683=""),"",IF(A1683="","Produit manquant",IF(COUNTIF(prod_ref,A1683)=0,"Produit inconnu",IF(B1683="","Matière manquante",IF(ISNA(MATCH(B1683,mat_ref,0)),"Matière inconnue",IF(INDEX(mat_check,MATCH(B1683,mat_ref,0))&lt;&gt;"OK","Matière à corriger",IF(OR(NOT(ISNUMBER(E1683)),N(E1683)&lt;=0),"Quantité invalide",IF(AND(F1683&lt;&gt;"",OR(NOT(ISNUMBER(F1683)),N(F1683)&lt;0,N(F1683)&gt;=1)),"Perte entre 0 et 99 %",IF(COUNTIFS(bom_prod,A1683,bom_mat,B1683)&gt;1,"Matière en double","OK")))))))))</f>
        <v/>
      </c>
      <c r="K1683" s="71" t="str">
        <f>IF(AND(fiche_sel&lt;&gt;"",A1683=fiche_sel),COUNTIF(A$6:A1683,fiche_sel),"")</f>
        <v/>
      </c>
    </row>
    <row r="1684">
      <c r="A1684" s="60" t="n"/>
      <c r="B1684" s="60" t="n"/>
      <c r="C1684" s="71" t="str">
        <f>IF(B1684="","",IFERROR(INDEX(mat_des,MATCH(B1684,mat_ref,0))&amp;"","Matière inconnue"))</f>
        <v/>
      </c>
      <c r="D1684" s="69" t="str">
        <f>IF(B1684="","",IFERROR(INDEX(mat_unit,MATCH(B1684,mat_ref,0))&amp;"",""))</f>
        <v/>
      </c>
      <c r="E1684" s="72" t="n"/>
      <c r="F1684" s="65" t="n"/>
      <c r="G1684" s="68" t="str">
        <f>IF(J1684&lt;&gt;"OK","",IF(F1684="",N(INDEX(mat_loss,MATCH(B1684,mat_ref,0))),F1684))</f>
        <v/>
      </c>
      <c r="H1684" s="66" t="str">
        <f>IF(J1684&lt;&gt;"OK","",INDEX(mat_price,MATCH(B1684,mat_ref,0)))</f>
        <v/>
      </c>
      <c r="I1684" s="66" t="str">
        <f>IF(J1684&lt;&gt;"OK","",E1684*(1+G1684)*H1684)</f>
        <v/>
      </c>
      <c r="J1684" s="69" t="str">
        <f>IF(AND(A1684="",B1684=""),"",IF(A1684="","Produit manquant",IF(COUNTIF(prod_ref,A1684)=0,"Produit inconnu",IF(B1684="","Matière manquante",IF(ISNA(MATCH(B1684,mat_ref,0)),"Matière inconnue",IF(INDEX(mat_check,MATCH(B1684,mat_ref,0))&lt;&gt;"OK","Matière à corriger",IF(OR(NOT(ISNUMBER(E1684)),N(E1684)&lt;=0),"Quantité invalide",IF(AND(F1684&lt;&gt;"",OR(NOT(ISNUMBER(F1684)),N(F1684)&lt;0,N(F1684)&gt;=1)),"Perte entre 0 et 99 %",IF(COUNTIFS(bom_prod,A1684,bom_mat,B1684)&gt;1,"Matière en double","OK")))))))))</f>
        <v/>
      </c>
      <c r="K1684" s="71" t="str">
        <f>IF(AND(fiche_sel&lt;&gt;"",A1684=fiche_sel),COUNTIF(A$6:A1684,fiche_sel),"")</f>
        <v/>
      </c>
    </row>
    <row r="1685">
      <c r="A1685" s="60" t="n"/>
      <c r="B1685" s="60" t="n"/>
      <c r="C1685" s="71" t="str">
        <f>IF(B1685="","",IFERROR(INDEX(mat_des,MATCH(B1685,mat_ref,0))&amp;"","Matière inconnue"))</f>
        <v/>
      </c>
      <c r="D1685" s="69" t="str">
        <f>IF(B1685="","",IFERROR(INDEX(mat_unit,MATCH(B1685,mat_ref,0))&amp;"",""))</f>
        <v/>
      </c>
      <c r="E1685" s="72" t="n"/>
      <c r="F1685" s="65" t="n"/>
      <c r="G1685" s="68" t="str">
        <f>IF(J1685&lt;&gt;"OK","",IF(F1685="",N(INDEX(mat_loss,MATCH(B1685,mat_ref,0))),F1685))</f>
        <v/>
      </c>
      <c r="H1685" s="66" t="str">
        <f>IF(J1685&lt;&gt;"OK","",INDEX(mat_price,MATCH(B1685,mat_ref,0)))</f>
        <v/>
      </c>
      <c r="I1685" s="66" t="str">
        <f>IF(J1685&lt;&gt;"OK","",E1685*(1+G1685)*H1685)</f>
        <v/>
      </c>
      <c r="J1685" s="69" t="str">
        <f>IF(AND(A1685="",B1685=""),"",IF(A1685="","Produit manquant",IF(COUNTIF(prod_ref,A1685)=0,"Produit inconnu",IF(B1685="","Matière manquante",IF(ISNA(MATCH(B1685,mat_ref,0)),"Matière inconnue",IF(INDEX(mat_check,MATCH(B1685,mat_ref,0))&lt;&gt;"OK","Matière à corriger",IF(OR(NOT(ISNUMBER(E1685)),N(E1685)&lt;=0),"Quantité invalide",IF(AND(F1685&lt;&gt;"",OR(NOT(ISNUMBER(F1685)),N(F1685)&lt;0,N(F1685)&gt;=1)),"Perte entre 0 et 99 %",IF(COUNTIFS(bom_prod,A1685,bom_mat,B1685)&gt;1,"Matière en double","OK")))))))))</f>
        <v/>
      </c>
      <c r="K1685" s="71" t="str">
        <f>IF(AND(fiche_sel&lt;&gt;"",A1685=fiche_sel),COUNTIF(A$6:A1685,fiche_sel),"")</f>
        <v/>
      </c>
    </row>
    <row r="1686">
      <c r="A1686" s="60" t="n"/>
      <c r="B1686" s="60" t="n"/>
      <c r="C1686" s="71" t="str">
        <f>IF(B1686="","",IFERROR(INDEX(mat_des,MATCH(B1686,mat_ref,0))&amp;"","Matière inconnue"))</f>
        <v/>
      </c>
      <c r="D1686" s="69" t="str">
        <f>IF(B1686="","",IFERROR(INDEX(mat_unit,MATCH(B1686,mat_ref,0))&amp;"",""))</f>
        <v/>
      </c>
      <c r="E1686" s="72" t="n"/>
      <c r="F1686" s="65" t="n"/>
      <c r="G1686" s="68" t="str">
        <f>IF(J1686&lt;&gt;"OK","",IF(F1686="",N(INDEX(mat_loss,MATCH(B1686,mat_ref,0))),F1686))</f>
        <v/>
      </c>
      <c r="H1686" s="66" t="str">
        <f>IF(J1686&lt;&gt;"OK","",INDEX(mat_price,MATCH(B1686,mat_ref,0)))</f>
        <v/>
      </c>
      <c r="I1686" s="66" t="str">
        <f>IF(J1686&lt;&gt;"OK","",E1686*(1+G1686)*H1686)</f>
        <v/>
      </c>
      <c r="J1686" s="69" t="str">
        <f>IF(AND(A1686="",B1686=""),"",IF(A1686="","Produit manquant",IF(COUNTIF(prod_ref,A1686)=0,"Produit inconnu",IF(B1686="","Matière manquante",IF(ISNA(MATCH(B1686,mat_ref,0)),"Matière inconnue",IF(INDEX(mat_check,MATCH(B1686,mat_ref,0))&lt;&gt;"OK","Matière à corriger",IF(OR(NOT(ISNUMBER(E1686)),N(E1686)&lt;=0),"Quantité invalide",IF(AND(F1686&lt;&gt;"",OR(NOT(ISNUMBER(F1686)),N(F1686)&lt;0,N(F1686)&gt;=1)),"Perte entre 0 et 99 %",IF(COUNTIFS(bom_prod,A1686,bom_mat,B1686)&gt;1,"Matière en double","OK")))))))))</f>
        <v/>
      </c>
      <c r="K1686" s="71" t="str">
        <f>IF(AND(fiche_sel&lt;&gt;"",A1686=fiche_sel),COUNTIF(A$6:A1686,fiche_sel),"")</f>
        <v/>
      </c>
    </row>
    <row r="1687">
      <c r="A1687" s="60" t="n"/>
      <c r="B1687" s="60" t="n"/>
      <c r="C1687" s="71" t="str">
        <f>IF(B1687="","",IFERROR(INDEX(mat_des,MATCH(B1687,mat_ref,0))&amp;"","Matière inconnue"))</f>
        <v/>
      </c>
      <c r="D1687" s="69" t="str">
        <f>IF(B1687="","",IFERROR(INDEX(mat_unit,MATCH(B1687,mat_ref,0))&amp;"",""))</f>
        <v/>
      </c>
      <c r="E1687" s="72" t="n"/>
      <c r="F1687" s="65" t="n"/>
      <c r="G1687" s="68" t="str">
        <f>IF(J1687&lt;&gt;"OK","",IF(F1687="",N(INDEX(mat_loss,MATCH(B1687,mat_ref,0))),F1687))</f>
        <v/>
      </c>
      <c r="H1687" s="66" t="str">
        <f>IF(J1687&lt;&gt;"OK","",INDEX(mat_price,MATCH(B1687,mat_ref,0)))</f>
        <v/>
      </c>
      <c r="I1687" s="66" t="str">
        <f>IF(J1687&lt;&gt;"OK","",E1687*(1+G1687)*H1687)</f>
        <v/>
      </c>
      <c r="J1687" s="69" t="str">
        <f>IF(AND(A1687="",B1687=""),"",IF(A1687="","Produit manquant",IF(COUNTIF(prod_ref,A1687)=0,"Produit inconnu",IF(B1687="","Matière manquante",IF(ISNA(MATCH(B1687,mat_ref,0)),"Matière inconnue",IF(INDEX(mat_check,MATCH(B1687,mat_ref,0))&lt;&gt;"OK","Matière à corriger",IF(OR(NOT(ISNUMBER(E1687)),N(E1687)&lt;=0),"Quantité invalide",IF(AND(F1687&lt;&gt;"",OR(NOT(ISNUMBER(F1687)),N(F1687)&lt;0,N(F1687)&gt;=1)),"Perte entre 0 et 99 %",IF(COUNTIFS(bom_prod,A1687,bom_mat,B1687)&gt;1,"Matière en double","OK")))))))))</f>
        <v/>
      </c>
      <c r="K1687" s="71" t="str">
        <f>IF(AND(fiche_sel&lt;&gt;"",A1687=fiche_sel),COUNTIF(A$6:A1687,fiche_sel),"")</f>
        <v/>
      </c>
    </row>
    <row r="1688">
      <c r="A1688" s="60" t="n"/>
      <c r="B1688" s="60" t="n"/>
      <c r="C1688" s="71" t="str">
        <f>IF(B1688="","",IFERROR(INDEX(mat_des,MATCH(B1688,mat_ref,0))&amp;"","Matière inconnue"))</f>
        <v/>
      </c>
      <c r="D1688" s="69" t="str">
        <f>IF(B1688="","",IFERROR(INDEX(mat_unit,MATCH(B1688,mat_ref,0))&amp;"",""))</f>
        <v/>
      </c>
      <c r="E1688" s="72" t="n"/>
      <c r="F1688" s="65" t="n"/>
      <c r="G1688" s="68" t="str">
        <f>IF(J1688&lt;&gt;"OK","",IF(F1688="",N(INDEX(mat_loss,MATCH(B1688,mat_ref,0))),F1688))</f>
        <v/>
      </c>
      <c r="H1688" s="66" t="str">
        <f>IF(J1688&lt;&gt;"OK","",INDEX(mat_price,MATCH(B1688,mat_ref,0)))</f>
        <v/>
      </c>
      <c r="I1688" s="66" t="str">
        <f>IF(J1688&lt;&gt;"OK","",E1688*(1+G1688)*H1688)</f>
        <v/>
      </c>
      <c r="J1688" s="69" t="str">
        <f>IF(AND(A1688="",B1688=""),"",IF(A1688="","Produit manquant",IF(COUNTIF(prod_ref,A1688)=0,"Produit inconnu",IF(B1688="","Matière manquante",IF(ISNA(MATCH(B1688,mat_ref,0)),"Matière inconnue",IF(INDEX(mat_check,MATCH(B1688,mat_ref,0))&lt;&gt;"OK","Matière à corriger",IF(OR(NOT(ISNUMBER(E1688)),N(E1688)&lt;=0),"Quantité invalide",IF(AND(F1688&lt;&gt;"",OR(NOT(ISNUMBER(F1688)),N(F1688)&lt;0,N(F1688)&gt;=1)),"Perte entre 0 et 99 %",IF(COUNTIFS(bom_prod,A1688,bom_mat,B1688)&gt;1,"Matière en double","OK")))))))))</f>
        <v/>
      </c>
      <c r="K1688" s="71" t="str">
        <f>IF(AND(fiche_sel&lt;&gt;"",A1688=fiche_sel),COUNTIF(A$6:A1688,fiche_sel),"")</f>
        <v/>
      </c>
    </row>
    <row r="1689">
      <c r="A1689" s="60" t="n"/>
      <c r="B1689" s="60" t="n"/>
      <c r="C1689" s="71" t="str">
        <f>IF(B1689="","",IFERROR(INDEX(mat_des,MATCH(B1689,mat_ref,0))&amp;"","Matière inconnue"))</f>
        <v/>
      </c>
      <c r="D1689" s="69" t="str">
        <f>IF(B1689="","",IFERROR(INDEX(mat_unit,MATCH(B1689,mat_ref,0))&amp;"",""))</f>
        <v/>
      </c>
      <c r="E1689" s="72" t="n"/>
      <c r="F1689" s="65" t="n"/>
      <c r="G1689" s="68" t="str">
        <f>IF(J1689&lt;&gt;"OK","",IF(F1689="",N(INDEX(mat_loss,MATCH(B1689,mat_ref,0))),F1689))</f>
        <v/>
      </c>
      <c r="H1689" s="66" t="str">
        <f>IF(J1689&lt;&gt;"OK","",INDEX(mat_price,MATCH(B1689,mat_ref,0)))</f>
        <v/>
      </c>
      <c r="I1689" s="66" t="str">
        <f>IF(J1689&lt;&gt;"OK","",E1689*(1+G1689)*H1689)</f>
        <v/>
      </c>
      <c r="J1689" s="69" t="str">
        <f>IF(AND(A1689="",B1689=""),"",IF(A1689="","Produit manquant",IF(COUNTIF(prod_ref,A1689)=0,"Produit inconnu",IF(B1689="","Matière manquante",IF(ISNA(MATCH(B1689,mat_ref,0)),"Matière inconnue",IF(INDEX(mat_check,MATCH(B1689,mat_ref,0))&lt;&gt;"OK","Matière à corriger",IF(OR(NOT(ISNUMBER(E1689)),N(E1689)&lt;=0),"Quantité invalide",IF(AND(F1689&lt;&gt;"",OR(NOT(ISNUMBER(F1689)),N(F1689)&lt;0,N(F1689)&gt;=1)),"Perte entre 0 et 99 %",IF(COUNTIFS(bom_prod,A1689,bom_mat,B1689)&gt;1,"Matière en double","OK")))))))))</f>
        <v/>
      </c>
      <c r="K1689" s="71" t="str">
        <f>IF(AND(fiche_sel&lt;&gt;"",A1689=fiche_sel),COUNTIF(A$6:A1689,fiche_sel),"")</f>
        <v/>
      </c>
    </row>
    <row r="1690">
      <c r="A1690" s="60" t="n"/>
      <c r="B1690" s="60" t="n"/>
      <c r="C1690" s="71" t="str">
        <f>IF(B1690="","",IFERROR(INDEX(mat_des,MATCH(B1690,mat_ref,0))&amp;"","Matière inconnue"))</f>
        <v/>
      </c>
      <c r="D1690" s="69" t="str">
        <f>IF(B1690="","",IFERROR(INDEX(mat_unit,MATCH(B1690,mat_ref,0))&amp;"",""))</f>
        <v/>
      </c>
      <c r="E1690" s="72" t="n"/>
      <c r="F1690" s="65" t="n"/>
      <c r="G1690" s="68" t="str">
        <f>IF(J1690&lt;&gt;"OK","",IF(F1690="",N(INDEX(mat_loss,MATCH(B1690,mat_ref,0))),F1690))</f>
        <v/>
      </c>
      <c r="H1690" s="66" t="str">
        <f>IF(J1690&lt;&gt;"OK","",INDEX(mat_price,MATCH(B1690,mat_ref,0)))</f>
        <v/>
      </c>
      <c r="I1690" s="66" t="str">
        <f>IF(J1690&lt;&gt;"OK","",E1690*(1+G1690)*H1690)</f>
        <v/>
      </c>
      <c r="J1690" s="69" t="str">
        <f>IF(AND(A1690="",B1690=""),"",IF(A1690="","Produit manquant",IF(COUNTIF(prod_ref,A1690)=0,"Produit inconnu",IF(B1690="","Matière manquante",IF(ISNA(MATCH(B1690,mat_ref,0)),"Matière inconnue",IF(INDEX(mat_check,MATCH(B1690,mat_ref,0))&lt;&gt;"OK","Matière à corriger",IF(OR(NOT(ISNUMBER(E1690)),N(E1690)&lt;=0),"Quantité invalide",IF(AND(F1690&lt;&gt;"",OR(NOT(ISNUMBER(F1690)),N(F1690)&lt;0,N(F1690)&gt;=1)),"Perte entre 0 et 99 %",IF(COUNTIFS(bom_prod,A1690,bom_mat,B1690)&gt;1,"Matière en double","OK")))))))))</f>
        <v/>
      </c>
      <c r="K1690" s="71" t="str">
        <f>IF(AND(fiche_sel&lt;&gt;"",A1690=fiche_sel),COUNTIF(A$6:A1690,fiche_sel),"")</f>
        <v/>
      </c>
    </row>
    <row r="1691">
      <c r="A1691" s="60" t="n"/>
      <c r="B1691" s="60" t="n"/>
      <c r="C1691" s="71" t="str">
        <f>IF(B1691="","",IFERROR(INDEX(mat_des,MATCH(B1691,mat_ref,0))&amp;"","Matière inconnue"))</f>
        <v/>
      </c>
      <c r="D1691" s="69" t="str">
        <f>IF(B1691="","",IFERROR(INDEX(mat_unit,MATCH(B1691,mat_ref,0))&amp;"",""))</f>
        <v/>
      </c>
      <c r="E1691" s="72" t="n"/>
      <c r="F1691" s="65" t="n"/>
      <c r="G1691" s="68" t="str">
        <f>IF(J1691&lt;&gt;"OK","",IF(F1691="",N(INDEX(mat_loss,MATCH(B1691,mat_ref,0))),F1691))</f>
        <v/>
      </c>
      <c r="H1691" s="66" t="str">
        <f>IF(J1691&lt;&gt;"OK","",INDEX(mat_price,MATCH(B1691,mat_ref,0)))</f>
        <v/>
      </c>
      <c r="I1691" s="66" t="str">
        <f>IF(J1691&lt;&gt;"OK","",E1691*(1+G1691)*H1691)</f>
        <v/>
      </c>
      <c r="J1691" s="69" t="str">
        <f>IF(AND(A1691="",B1691=""),"",IF(A1691="","Produit manquant",IF(COUNTIF(prod_ref,A1691)=0,"Produit inconnu",IF(B1691="","Matière manquante",IF(ISNA(MATCH(B1691,mat_ref,0)),"Matière inconnue",IF(INDEX(mat_check,MATCH(B1691,mat_ref,0))&lt;&gt;"OK","Matière à corriger",IF(OR(NOT(ISNUMBER(E1691)),N(E1691)&lt;=0),"Quantité invalide",IF(AND(F1691&lt;&gt;"",OR(NOT(ISNUMBER(F1691)),N(F1691)&lt;0,N(F1691)&gt;=1)),"Perte entre 0 et 99 %",IF(COUNTIFS(bom_prod,A1691,bom_mat,B1691)&gt;1,"Matière en double","OK")))))))))</f>
        <v/>
      </c>
      <c r="K1691" s="71" t="str">
        <f>IF(AND(fiche_sel&lt;&gt;"",A1691=fiche_sel),COUNTIF(A$6:A1691,fiche_sel),"")</f>
        <v/>
      </c>
    </row>
    <row r="1692">
      <c r="A1692" s="60" t="n"/>
      <c r="B1692" s="60" t="n"/>
      <c r="C1692" s="71" t="str">
        <f>IF(B1692="","",IFERROR(INDEX(mat_des,MATCH(B1692,mat_ref,0))&amp;"","Matière inconnue"))</f>
        <v/>
      </c>
      <c r="D1692" s="69" t="str">
        <f>IF(B1692="","",IFERROR(INDEX(mat_unit,MATCH(B1692,mat_ref,0))&amp;"",""))</f>
        <v/>
      </c>
      <c r="E1692" s="72" t="n"/>
      <c r="F1692" s="65" t="n"/>
      <c r="G1692" s="68" t="str">
        <f>IF(J1692&lt;&gt;"OK","",IF(F1692="",N(INDEX(mat_loss,MATCH(B1692,mat_ref,0))),F1692))</f>
        <v/>
      </c>
      <c r="H1692" s="66" t="str">
        <f>IF(J1692&lt;&gt;"OK","",INDEX(mat_price,MATCH(B1692,mat_ref,0)))</f>
        <v/>
      </c>
      <c r="I1692" s="66" t="str">
        <f>IF(J1692&lt;&gt;"OK","",E1692*(1+G1692)*H1692)</f>
        <v/>
      </c>
      <c r="J1692" s="69" t="str">
        <f>IF(AND(A1692="",B1692=""),"",IF(A1692="","Produit manquant",IF(COUNTIF(prod_ref,A1692)=0,"Produit inconnu",IF(B1692="","Matière manquante",IF(ISNA(MATCH(B1692,mat_ref,0)),"Matière inconnue",IF(INDEX(mat_check,MATCH(B1692,mat_ref,0))&lt;&gt;"OK","Matière à corriger",IF(OR(NOT(ISNUMBER(E1692)),N(E1692)&lt;=0),"Quantité invalide",IF(AND(F1692&lt;&gt;"",OR(NOT(ISNUMBER(F1692)),N(F1692)&lt;0,N(F1692)&gt;=1)),"Perte entre 0 et 99 %",IF(COUNTIFS(bom_prod,A1692,bom_mat,B1692)&gt;1,"Matière en double","OK")))))))))</f>
        <v/>
      </c>
      <c r="K1692" s="71" t="str">
        <f>IF(AND(fiche_sel&lt;&gt;"",A1692=fiche_sel),COUNTIF(A$6:A1692,fiche_sel),"")</f>
        <v/>
      </c>
    </row>
    <row r="1693">
      <c r="A1693" s="60" t="n"/>
      <c r="B1693" s="60" t="n"/>
      <c r="C1693" s="71" t="str">
        <f>IF(B1693="","",IFERROR(INDEX(mat_des,MATCH(B1693,mat_ref,0))&amp;"","Matière inconnue"))</f>
        <v/>
      </c>
      <c r="D1693" s="69" t="str">
        <f>IF(B1693="","",IFERROR(INDEX(mat_unit,MATCH(B1693,mat_ref,0))&amp;"",""))</f>
        <v/>
      </c>
      <c r="E1693" s="72" t="n"/>
      <c r="F1693" s="65" t="n"/>
      <c r="G1693" s="68" t="str">
        <f>IF(J1693&lt;&gt;"OK","",IF(F1693="",N(INDEX(mat_loss,MATCH(B1693,mat_ref,0))),F1693))</f>
        <v/>
      </c>
      <c r="H1693" s="66" t="str">
        <f>IF(J1693&lt;&gt;"OK","",INDEX(mat_price,MATCH(B1693,mat_ref,0)))</f>
        <v/>
      </c>
      <c r="I1693" s="66" t="str">
        <f>IF(J1693&lt;&gt;"OK","",E1693*(1+G1693)*H1693)</f>
        <v/>
      </c>
      <c r="J1693" s="69" t="str">
        <f>IF(AND(A1693="",B1693=""),"",IF(A1693="","Produit manquant",IF(COUNTIF(prod_ref,A1693)=0,"Produit inconnu",IF(B1693="","Matière manquante",IF(ISNA(MATCH(B1693,mat_ref,0)),"Matière inconnue",IF(INDEX(mat_check,MATCH(B1693,mat_ref,0))&lt;&gt;"OK","Matière à corriger",IF(OR(NOT(ISNUMBER(E1693)),N(E1693)&lt;=0),"Quantité invalide",IF(AND(F1693&lt;&gt;"",OR(NOT(ISNUMBER(F1693)),N(F1693)&lt;0,N(F1693)&gt;=1)),"Perte entre 0 et 99 %",IF(COUNTIFS(bom_prod,A1693,bom_mat,B1693)&gt;1,"Matière en double","OK")))))))))</f>
        <v/>
      </c>
      <c r="K1693" s="71" t="str">
        <f>IF(AND(fiche_sel&lt;&gt;"",A1693=fiche_sel),COUNTIF(A$6:A1693,fiche_sel),"")</f>
        <v/>
      </c>
    </row>
    <row r="1694">
      <c r="A1694" s="60" t="n"/>
      <c r="B1694" s="60" t="n"/>
      <c r="C1694" s="71" t="str">
        <f>IF(B1694="","",IFERROR(INDEX(mat_des,MATCH(B1694,mat_ref,0))&amp;"","Matière inconnue"))</f>
        <v/>
      </c>
      <c r="D1694" s="69" t="str">
        <f>IF(B1694="","",IFERROR(INDEX(mat_unit,MATCH(B1694,mat_ref,0))&amp;"",""))</f>
        <v/>
      </c>
      <c r="E1694" s="72" t="n"/>
      <c r="F1694" s="65" t="n"/>
      <c r="G1694" s="68" t="str">
        <f>IF(J1694&lt;&gt;"OK","",IF(F1694="",N(INDEX(mat_loss,MATCH(B1694,mat_ref,0))),F1694))</f>
        <v/>
      </c>
      <c r="H1694" s="66" t="str">
        <f>IF(J1694&lt;&gt;"OK","",INDEX(mat_price,MATCH(B1694,mat_ref,0)))</f>
        <v/>
      </c>
      <c r="I1694" s="66" t="str">
        <f>IF(J1694&lt;&gt;"OK","",E1694*(1+G1694)*H1694)</f>
        <v/>
      </c>
      <c r="J1694" s="69" t="str">
        <f>IF(AND(A1694="",B1694=""),"",IF(A1694="","Produit manquant",IF(COUNTIF(prod_ref,A1694)=0,"Produit inconnu",IF(B1694="","Matière manquante",IF(ISNA(MATCH(B1694,mat_ref,0)),"Matière inconnue",IF(INDEX(mat_check,MATCH(B1694,mat_ref,0))&lt;&gt;"OK","Matière à corriger",IF(OR(NOT(ISNUMBER(E1694)),N(E1694)&lt;=0),"Quantité invalide",IF(AND(F1694&lt;&gt;"",OR(NOT(ISNUMBER(F1694)),N(F1694)&lt;0,N(F1694)&gt;=1)),"Perte entre 0 et 99 %",IF(COUNTIFS(bom_prod,A1694,bom_mat,B1694)&gt;1,"Matière en double","OK")))))))))</f>
        <v/>
      </c>
      <c r="K1694" s="71" t="str">
        <f>IF(AND(fiche_sel&lt;&gt;"",A1694=fiche_sel),COUNTIF(A$6:A1694,fiche_sel),"")</f>
        <v/>
      </c>
    </row>
    <row r="1695">
      <c r="A1695" s="60" t="n"/>
      <c r="B1695" s="60" t="n"/>
      <c r="C1695" s="71" t="str">
        <f>IF(B1695="","",IFERROR(INDEX(mat_des,MATCH(B1695,mat_ref,0))&amp;"","Matière inconnue"))</f>
        <v/>
      </c>
      <c r="D1695" s="69" t="str">
        <f>IF(B1695="","",IFERROR(INDEX(mat_unit,MATCH(B1695,mat_ref,0))&amp;"",""))</f>
        <v/>
      </c>
      <c r="E1695" s="72" t="n"/>
      <c r="F1695" s="65" t="n"/>
      <c r="G1695" s="68" t="str">
        <f>IF(J1695&lt;&gt;"OK","",IF(F1695="",N(INDEX(mat_loss,MATCH(B1695,mat_ref,0))),F1695))</f>
        <v/>
      </c>
      <c r="H1695" s="66" t="str">
        <f>IF(J1695&lt;&gt;"OK","",INDEX(mat_price,MATCH(B1695,mat_ref,0)))</f>
        <v/>
      </c>
      <c r="I1695" s="66" t="str">
        <f>IF(J1695&lt;&gt;"OK","",E1695*(1+G1695)*H1695)</f>
        <v/>
      </c>
      <c r="J1695" s="69" t="str">
        <f>IF(AND(A1695="",B1695=""),"",IF(A1695="","Produit manquant",IF(COUNTIF(prod_ref,A1695)=0,"Produit inconnu",IF(B1695="","Matière manquante",IF(ISNA(MATCH(B1695,mat_ref,0)),"Matière inconnue",IF(INDEX(mat_check,MATCH(B1695,mat_ref,0))&lt;&gt;"OK","Matière à corriger",IF(OR(NOT(ISNUMBER(E1695)),N(E1695)&lt;=0),"Quantité invalide",IF(AND(F1695&lt;&gt;"",OR(NOT(ISNUMBER(F1695)),N(F1695)&lt;0,N(F1695)&gt;=1)),"Perte entre 0 et 99 %",IF(COUNTIFS(bom_prod,A1695,bom_mat,B1695)&gt;1,"Matière en double","OK")))))))))</f>
        <v/>
      </c>
      <c r="K1695" s="71" t="str">
        <f>IF(AND(fiche_sel&lt;&gt;"",A1695=fiche_sel),COUNTIF(A$6:A1695,fiche_sel),"")</f>
        <v/>
      </c>
    </row>
    <row r="1696">
      <c r="A1696" s="60" t="n"/>
      <c r="B1696" s="60" t="n"/>
      <c r="C1696" s="71" t="str">
        <f>IF(B1696="","",IFERROR(INDEX(mat_des,MATCH(B1696,mat_ref,0))&amp;"","Matière inconnue"))</f>
        <v/>
      </c>
      <c r="D1696" s="69" t="str">
        <f>IF(B1696="","",IFERROR(INDEX(mat_unit,MATCH(B1696,mat_ref,0))&amp;"",""))</f>
        <v/>
      </c>
      <c r="E1696" s="72" t="n"/>
      <c r="F1696" s="65" t="n"/>
      <c r="G1696" s="68" t="str">
        <f>IF(J1696&lt;&gt;"OK","",IF(F1696="",N(INDEX(mat_loss,MATCH(B1696,mat_ref,0))),F1696))</f>
        <v/>
      </c>
      <c r="H1696" s="66" t="str">
        <f>IF(J1696&lt;&gt;"OK","",INDEX(mat_price,MATCH(B1696,mat_ref,0)))</f>
        <v/>
      </c>
      <c r="I1696" s="66" t="str">
        <f>IF(J1696&lt;&gt;"OK","",E1696*(1+G1696)*H1696)</f>
        <v/>
      </c>
      <c r="J1696" s="69" t="str">
        <f>IF(AND(A1696="",B1696=""),"",IF(A1696="","Produit manquant",IF(COUNTIF(prod_ref,A1696)=0,"Produit inconnu",IF(B1696="","Matière manquante",IF(ISNA(MATCH(B1696,mat_ref,0)),"Matière inconnue",IF(INDEX(mat_check,MATCH(B1696,mat_ref,0))&lt;&gt;"OK","Matière à corriger",IF(OR(NOT(ISNUMBER(E1696)),N(E1696)&lt;=0),"Quantité invalide",IF(AND(F1696&lt;&gt;"",OR(NOT(ISNUMBER(F1696)),N(F1696)&lt;0,N(F1696)&gt;=1)),"Perte entre 0 et 99 %",IF(COUNTIFS(bom_prod,A1696,bom_mat,B1696)&gt;1,"Matière en double","OK")))))))))</f>
        <v/>
      </c>
      <c r="K1696" s="71" t="str">
        <f>IF(AND(fiche_sel&lt;&gt;"",A1696=fiche_sel),COUNTIF(A$6:A1696,fiche_sel),"")</f>
        <v/>
      </c>
    </row>
    <row r="1697">
      <c r="A1697" s="60" t="n"/>
      <c r="B1697" s="60" t="n"/>
      <c r="C1697" s="71" t="str">
        <f>IF(B1697="","",IFERROR(INDEX(mat_des,MATCH(B1697,mat_ref,0))&amp;"","Matière inconnue"))</f>
        <v/>
      </c>
      <c r="D1697" s="69" t="str">
        <f>IF(B1697="","",IFERROR(INDEX(mat_unit,MATCH(B1697,mat_ref,0))&amp;"",""))</f>
        <v/>
      </c>
      <c r="E1697" s="72" t="n"/>
      <c r="F1697" s="65" t="n"/>
      <c r="G1697" s="68" t="str">
        <f>IF(J1697&lt;&gt;"OK","",IF(F1697="",N(INDEX(mat_loss,MATCH(B1697,mat_ref,0))),F1697))</f>
        <v/>
      </c>
      <c r="H1697" s="66" t="str">
        <f>IF(J1697&lt;&gt;"OK","",INDEX(mat_price,MATCH(B1697,mat_ref,0)))</f>
        <v/>
      </c>
      <c r="I1697" s="66" t="str">
        <f>IF(J1697&lt;&gt;"OK","",E1697*(1+G1697)*H1697)</f>
        <v/>
      </c>
      <c r="J1697" s="69" t="str">
        <f>IF(AND(A1697="",B1697=""),"",IF(A1697="","Produit manquant",IF(COUNTIF(prod_ref,A1697)=0,"Produit inconnu",IF(B1697="","Matière manquante",IF(ISNA(MATCH(B1697,mat_ref,0)),"Matière inconnue",IF(INDEX(mat_check,MATCH(B1697,mat_ref,0))&lt;&gt;"OK","Matière à corriger",IF(OR(NOT(ISNUMBER(E1697)),N(E1697)&lt;=0),"Quantité invalide",IF(AND(F1697&lt;&gt;"",OR(NOT(ISNUMBER(F1697)),N(F1697)&lt;0,N(F1697)&gt;=1)),"Perte entre 0 et 99 %",IF(COUNTIFS(bom_prod,A1697,bom_mat,B1697)&gt;1,"Matière en double","OK")))))))))</f>
        <v/>
      </c>
      <c r="K1697" s="71" t="str">
        <f>IF(AND(fiche_sel&lt;&gt;"",A1697=fiche_sel),COUNTIF(A$6:A1697,fiche_sel),"")</f>
        <v/>
      </c>
    </row>
    <row r="1698">
      <c r="A1698" s="60" t="n"/>
      <c r="B1698" s="60" t="n"/>
      <c r="C1698" s="71" t="str">
        <f>IF(B1698="","",IFERROR(INDEX(mat_des,MATCH(B1698,mat_ref,0))&amp;"","Matière inconnue"))</f>
        <v/>
      </c>
      <c r="D1698" s="69" t="str">
        <f>IF(B1698="","",IFERROR(INDEX(mat_unit,MATCH(B1698,mat_ref,0))&amp;"",""))</f>
        <v/>
      </c>
      <c r="E1698" s="72" t="n"/>
      <c r="F1698" s="65" t="n"/>
      <c r="G1698" s="68" t="str">
        <f>IF(J1698&lt;&gt;"OK","",IF(F1698="",N(INDEX(mat_loss,MATCH(B1698,mat_ref,0))),F1698))</f>
        <v/>
      </c>
      <c r="H1698" s="66" t="str">
        <f>IF(J1698&lt;&gt;"OK","",INDEX(mat_price,MATCH(B1698,mat_ref,0)))</f>
        <v/>
      </c>
      <c r="I1698" s="66" t="str">
        <f>IF(J1698&lt;&gt;"OK","",E1698*(1+G1698)*H1698)</f>
        <v/>
      </c>
      <c r="J1698" s="69" t="str">
        <f>IF(AND(A1698="",B1698=""),"",IF(A1698="","Produit manquant",IF(COUNTIF(prod_ref,A1698)=0,"Produit inconnu",IF(B1698="","Matière manquante",IF(ISNA(MATCH(B1698,mat_ref,0)),"Matière inconnue",IF(INDEX(mat_check,MATCH(B1698,mat_ref,0))&lt;&gt;"OK","Matière à corriger",IF(OR(NOT(ISNUMBER(E1698)),N(E1698)&lt;=0),"Quantité invalide",IF(AND(F1698&lt;&gt;"",OR(NOT(ISNUMBER(F1698)),N(F1698)&lt;0,N(F1698)&gt;=1)),"Perte entre 0 et 99 %",IF(COUNTIFS(bom_prod,A1698,bom_mat,B1698)&gt;1,"Matière en double","OK")))))))))</f>
        <v/>
      </c>
      <c r="K1698" s="71" t="str">
        <f>IF(AND(fiche_sel&lt;&gt;"",A1698=fiche_sel),COUNTIF(A$6:A1698,fiche_sel),"")</f>
        <v/>
      </c>
    </row>
    <row r="1699">
      <c r="A1699" s="60" t="n"/>
      <c r="B1699" s="60" t="n"/>
      <c r="C1699" s="71" t="str">
        <f>IF(B1699="","",IFERROR(INDEX(mat_des,MATCH(B1699,mat_ref,0))&amp;"","Matière inconnue"))</f>
        <v/>
      </c>
      <c r="D1699" s="69" t="str">
        <f>IF(B1699="","",IFERROR(INDEX(mat_unit,MATCH(B1699,mat_ref,0))&amp;"",""))</f>
        <v/>
      </c>
      <c r="E1699" s="72" t="n"/>
      <c r="F1699" s="65" t="n"/>
      <c r="G1699" s="68" t="str">
        <f>IF(J1699&lt;&gt;"OK","",IF(F1699="",N(INDEX(mat_loss,MATCH(B1699,mat_ref,0))),F1699))</f>
        <v/>
      </c>
      <c r="H1699" s="66" t="str">
        <f>IF(J1699&lt;&gt;"OK","",INDEX(mat_price,MATCH(B1699,mat_ref,0)))</f>
        <v/>
      </c>
      <c r="I1699" s="66" t="str">
        <f>IF(J1699&lt;&gt;"OK","",E1699*(1+G1699)*H1699)</f>
        <v/>
      </c>
      <c r="J1699" s="69" t="str">
        <f>IF(AND(A1699="",B1699=""),"",IF(A1699="","Produit manquant",IF(COUNTIF(prod_ref,A1699)=0,"Produit inconnu",IF(B1699="","Matière manquante",IF(ISNA(MATCH(B1699,mat_ref,0)),"Matière inconnue",IF(INDEX(mat_check,MATCH(B1699,mat_ref,0))&lt;&gt;"OK","Matière à corriger",IF(OR(NOT(ISNUMBER(E1699)),N(E1699)&lt;=0),"Quantité invalide",IF(AND(F1699&lt;&gt;"",OR(NOT(ISNUMBER(F1699)),N(F1699)&lt;0,N(F1699)&gt;=1)),"Perte entre 0 et 99 %",IF(COUNTIFS(bom_prod,A1699,bom_mat,B1699)&gt;1,"Matière en double","OK")))))))))</f>
        <v/>
      </c>
      <c r="K1699" s="71" t="str">
        <f>IF(AND(fiche_sel&lt;&gt;"",A1699=fiche_sel),COUNTIF(A$6:A1699,fiche_sel),"")</f>
        <v/>
      </c>
    </row>
    <row r="1700">
      <c r="A1700" s="60" t="n"/>
      <c r="B1700" s="60" t="n"/>
      <c r="C1700" s="71" t="str">
        <f>IF(B1700="","",IFERROR(INDEX(mat_des,MATCH(B1700,mat_ref,0))&amp;"","Matière inconnue"))</f>
        <v/>
      </c>
      <c r="D1700" s="69" t="str">
        <f>IF(B1700="","",IFERROR(INDEX(mat_unit,MATCH(B1700,mat_ref,0))&amp;"",""))</f>
        <v/>
      </c>
      <c r="E1700" s="72" t="n"/>
      <c r="F1700" s="65" t="n"/>
      <c r="G1700" s="68" t="str">
        <f>IF(J1700&lt;&gt;"OK","",IF(F1700="",N(INDEX(mat_loss,MATCH(B1700,mat_ref,0))),F1700))</f>
        <v/>
      </c>
      <c r="H1700" s="66" t="str">
        <f>IF(J1700&lt;&gt;"OK","",INDEX(mat_price,MATCH(B1700,mat_ref,0)))</f>
        <v/>
      </c>
      <c r="I1700" s="66" t="str">
        <f>IF(J1700&lt;&gt;"OK","",E1700*(1+G1700)*H1700)</f>
        <v/>
      </c>
      <c r="J1700" s="69" t="str">
        <f>IF(AND(A1700="",B1700=""),"",IF(A1700="","Produit manquant",IF(COUNTIF(prod_ref,A1700)=0,"Produit inconnu",IF(B1700="","Matière manquante",IF(ISNA(MATCH(B1700,mat_ref,0)),"Matière inconnue",IF(INDEX(mat_check,MATCH(B1700,mat_ref,0))&lt;&gt;"OK","Matière à corriger",IF(OR(NOT(ISNUMBER(E1700)),N(E1700)&lt;=0),"Quantité invalide",IF(AND(F1700&lt;&gt;"",OR(NOT(ISNUMBER(F1700)),N(F1700)&lt;0,N(F1700)&gt;=1)),"Perte entre 0 et 99 %",IF(COUNTIFS(bom_prod,A1700,bom_mat,B1700)&gt;1,"Matière en double","OK")))))))))</f>
        <v/>
      </c>
      <c r="K1700" s="71" t="str">
        <f>IF(AND(fiche_sel&lt;&gt;"",A1700=fiche_sel),COUNTIF(A$6:A1700,fiche_sel),"")</f>
        <v/>
      </c>
    </row>
    <row r="1701">
      <c r="A1701" s="60" t="n"/>
      <c r="B1701" s="60" t="n"/>
      <c r="C1701" s="71" t="str">
        <f>IF(B1701="","",IFERROR(INDEX(mat_des,MATCH(B1701,mat_ref,0))&amp;"","Matière inconnue"))</f>
        <v/>
      </c>
      <c r="D1701" s="69" t="str">
        <f>IF(B1701="","",IFERROR(INDEX(mat_unit,MATCH(B1701,mat_ref,0))&amp;"",""))</f>
        <v/>
      </c>
      <c r="E1701" s="72" t="n"/>
      <c r="F1701" s="65" t="n"/>
      <c r="G1701" s="68" t="str">
        <f>IF(J1701&lt;&gt;"OK","",IF(F1701="",N(INDEX(mat_loss,MATCH(B1701,mat_ref,0))),F1701))</f>
        <v/>
      </c>
      <c r="H1701" s="66" t="str">
        <f>IF(J1701&lt;&gt;"OK","",INDEX(mat_price,MATCH(B1701,mat_ref,0)))</f>
        <v/>
      </c>
      <c r="I1701" s="66" t="str">
        <f>IF(J1701&lt;&gt;"OK","",E1701*(1+G1701)*H1701)</f>
        <v/>
      </c>
      <c r="J1701" s="69" t="str">
        <f>IF(AND(A1701="",B1701=""),"",IF(A1701="","Produit manquant",IF(COUNTIF(prod_ref,A1701)=0,"Produit inconnu",IF(B1701="","Matière manquante",IF(ISNA(MATCH(B1701,mat_ref,0)),"Matière inconnue",IF(INDEX(mat_check,MATCH(B1701,mat_ref,0))&lt;&gt;"OK","Matière à corriger",IF(OR(NOT(ISNUMBER(E1701)),N(E1701)&lt;=0),"Quantité invalide",IF(AND(F1701&lt;&gt;"",OR(NOT(ISNUMBER(F1701)),N(F1701)&lt;0,N(F1701)&gt;=1)),"Perte entre 0 et 99 %",IF(COUNTIFS(bom_prod,A1701,bom_mat,B1701)&gt;1,"Matière en double","OK")))))))))</f>
        <v/>
      </c>
      <c r="K1701" s="71" t="str">
        <f>IF(AND(fiche_sel&lt;&gt;"",A1701=fiche_sel),COUNTIF(A$6:A1701,fiche_sel),"")</f>
        <v/>
      </c>
    </row>
    <row r="1702">
      <c r="A1702" s="60" t="n"/>
      <c r="B1702" s="60" t="n"/>
      <c r="C1702" s="71" t="str">
        <f>IF(B1702="","",IFERROR(INDEX(mat_des,MATCH(B1702,mat_ref,0))&amp;"","Matière inconnue"))</f>
        <v/>
      </c>
      <c r="D1702" s="69" t="str">
        <f>IF(B1702="","",IFERROR(INDEX(mat_unit,MATCH(B1702,mat_ref,0))&amp;"",""))</f>
        <v/>
      </c>
      <c r="E1702" s="72" t="n"/>
      <c r="F1702" s="65" t="n"/>
      <c r="G1702" s="68" t="str">
        <f>IF(J1702&lt;&gt;"OK","",IF(F1702="",N(INDEX(mat_loss,MATCH(B1702,mat_ref,0))),F1702))</f>
        <v/>
      </c>
      <c r="H1702" s="66" t="str">
        <f>IF(J1702&lt;&gt;"OK","",INDEX(mat_price,MATCH(B1702,mat_ref,0)))</f>
        <v/>
      </c>
      <c r="I1702" s="66" t="str">
        <f>IF(J1702&lt;&gt;"OK","",E1702*(1+G1702)*H1702)</f>
        <v/>
      </c>
      <c r="J1702" s="69" t="str">
        <f>IF(AND(A1702="",B1702=""),"",IF(A1702="","Produit manquant",IF(COUNTIF(prod_ref,A1702)=0,"Produit inconnu",IF(B1702="","Matière manquante",IF(ISNA(MATCH(B1702,mat_ref,0)),"Matière inconnue",IF(INDEX(mat_check,MATCH(B1702,mat_ref,0))&lt;&gt;"OK","Matière à corriger",IF(OR(NOT(ISNUMBER(E1702)),N(E1702)&lt;=0),"Quantité invalide",IF(AND(F1702&lt;&gt;"",OR(NOT(ISNUMBER(F1702)),N(F1702)&lt;0,N(F1702)&gt;=1)),"Perte entre 0 et 99 %",IF(COUNTIFS(bom_prod,A1702,bom_mat,B1702)&gt;1,"Matière en double","OK")))))))))</f>
        <v/>
      </c>
      <c r="K1702" s="71" t="str">
        <f>IF(AND(fiche_sel&lt;&gt;"",A1702=fiche_sel),COUNTIF(A$6:A1702,fiche_sel),"")</f>
        <v/>
      </c>
    </row>
    <row r="1703">
      <c r="A1703" s="60" t="n"/>
      <c r="B1703" s="60" t="n"/>
      <c r="C1703" s="71" t="str">
        <f>IF(B1703="","",IFERROR(INDEX(mat_des,MATCH(B1703,mat_ref,0))&amp;"","Matière inconnue"))</f>
        <v/>
      </c>
      <c r="D1703" s="69" t="str">
        <f>IF(B1703="","",IFERROR(INDEX(mat_unit,MATCH(B1703,mat_ref,0))&amp;"",""))</f>
        <v/>
      </c>
      <c r="E1703" s="72" t="n"/>
      <c r="F1703" s="65" t="n"/>
      <c r="G1703" s="68" t="str">
        <f>IF(J1703&lt;&gt;"OK","",IF(F1703="",N(INDEX(mat_loss,MATCH(B1703,mat_ref,0))),F1703))</f>
        <v/>
      </c>
      <c r="H1703" s="66" t="str">
        <f>IF(J1703&lt;&gt;"OK","",INDEX(mat_price,MATCH(B1703,mat_ref,0)))</f>
        <v/>
      </c>
      <c r="I1703" s="66" t="str">
        <f>IF(J1703&lt;&gt;"OK","",E1703*(1+G1703)*H1703)</f>
        <v/>
      </c>
      <c r="J1703" s="69" t="str">
        <f>IF(AND(A1703="",B1703=""),"",IF(A1703="","Produit manquant",IF(COUNTIF(prod_ref,A1703)=0,"Produit inconnu",IF(B1703="","Matière manquante",IF(ISNA(MATCH(B1703,mat_ref,0)),"Matière inconnue",IF(INDEX(mat_check,MATCH(B1703,mat_ref,0))&lt;&gt;"OK","Matière à corriger",IF(OR(NOT(ISNUMBER(E1703)),N(E1703)&lt;=0),"Quantité invalide",IF(AND(F1703&lt;&gt;"",OR(NOT(ISNUMBER(F1703)),N(F1703)&lt;0,N(F1703)&gt;=1)),"Perte entre 0 et 99 %",IF(COUNTIFS(bom_prod,A1703,bom_mat,B1703)&gt;1,"Matière en double","OK")))))))))</f>
        <v/>
      </c>
      <c r="K1703" s="71" t="str">
        <f>IF(AND(fiche_sel&lt;&gt;"",A1703=fiche_sel),COUNTIF(A$6:A1703,fiche_sel),"")</f>
        <v/>
      </c>
    </row>
    <row r="1704">
      <c r="A1704" s="60" t="n"/>
      <c r="B1704" s="60" t="n"/>
      <c r="C1704" s="71" t="str">
        <f>IF(B1704="","",IFERROR(INDEX(mat_des,MATCH(B1704,mat_ref,0))&amp;"","Matière inconnue"))</f>
        <v/>
      </c>
      <c r="D1704" s="69" t="str">
        <f>IF(B1704="","",IFERROR(INDEX(mat_unit,MATCH(B1704,mat_ref,0))&amp;"",""))</f>
        <v/>
      </c>
      <c r="E1704" s="72" t="n"/>
      <c r="F1704" s="65" t="n"/>
      <c r="G1704" s="68" t="str">
        <f>IF(J1704&lt;&gt;"OK","",IF(F1704="",N(INDEX(mat_loss,MATCH(B1704,mat_ref,0))),F1704))</f>
        <v/>
      </c>
      <c r="H1704" s="66" t="str">
        <f>IF(J1704&lt;&gt;"OK","",INDEX(mat_price,MATCH(B1704,mat_ref,0)))</f>
        <v/>
      </c>
      <c r="I1704" s="66" t="str">
        <f>IF(J1704&lt;&gt;"OK","",E1704*(1+G1704)*H1704)</f>
        <v/>
      </c>
      <c r="J1704" s="69" t="str">
        <f>IF(AND(A1704="",B1704=""),"",IF(A1704="","Produit manquant",IF(COUNTIF(prod_ref,A1704)=0,"Produit inconnu",IF(B1704="","Matière manquante",IF(ISNA(MATCH(B1704,mat_ref,0)),"Matière inconnue",IF(INDEX(mat_check,MATCH(B1704,mat_ref,0))&lt;&gt;"OK","Matière à corriger",IF(OR(NOT(ISNUMBER(E1704)),N(E1704)&lt;=0),"Quantité invalide",IF(AND(F1704&lt;&gt;"",OR(NOT(ISNUMBER(F1704)),N(F1704)&lt;0,N(F1704)&gt;=1)),"Perte entre 0 et 99 %",IF(COUNTIFS(bom_prod,A1704,bom_mat,B1704)&gt;1,"Matière en double","OK")))))))))</f>
        <v/>
      </c>
      <c r="K1704" s="71" t="str">
        <f>IF(AND(fiche_sel&lt;&gt;"",A1704=fiche_sel),COUNTIF(A$6:A1704,fiche_sel),"")</f>
        <v/>
      </c>
    </row>
    <row r="1705">
      <c r="A1705" s="60" t="n"/>
      <c r="B1705" s="60" t="n"/>
      <c r="C1705" s="71" t="str">
        <f>IF(B1705="","",IFERROR(INDEX(mat_des,MATCH(B1705,mat_ref,0))&amp;"","Matière inconnue"))</f>
        <v/>
      </c>
      <c r="D1705" s="69" t="str">
        <f>IF(B1705="","",IFERROR(INDEX(mat_unit,MATCH(B1705,mat_ref,0))&amp;"",""))</f>
        <v/>
      </c>
      <c r="E1705" s="72" t="n"/>
      <c r="F1705" s="65" t="n"/>
      <c r="G1705" s="68" t="str">
        <f>IF(J1705&lt;&gt;"OK","",IF(F1705="",N(INDEX(mat_loss,MATCH(B1705,mat_ref,0))),F1705))</f>
        <v/>
      </c>
      <c r="H1705" s="66" t="str">
        <f>IF(J1705&lt;&gt;"OK","",INDEX(mat_price,MATCH(B1705,mat_ref,0)))</f>
        <v/>
      </c>
      <c r="I1705" s="66" t="str">
        <f>IF(J1705&lt;&gt;"OK","",E1705*(1+G1705)*H1705)</f>
        <v/>
      </c>
      <c r="J1705" s="69" t="str">
        <f>IF(AND(A1705="",B1705=""),"",IF(A1705="","Produit manquant",IF(COUNTIF(prod_ref,A1705)=0,"Produit inconnu",IF(B1705="","Matière manquante",IF(ISNA(MATCH(B1705,mat_ref,0)),"Matière inconnue",IF(INDEX(mat_check,MATCH(B1705,mat_ref,0))&lt;&gt;"OK","Matière à corriger",IF(OR(NOT(ISNUMBER(E1705)),N(E1705)&lt;=0),"Quantité invalide",IF(AND(F1705&lt;&gt;"",OR(NOT(ISNUMBER(F1705)),N(F1705)&lt;0,N(F1705)&gt;=1)),"Perte entre 0 et 99 %",IF(COUNTIFS(bom_prod,A1705,bom_mat,B1705)&gt;1,"Matière en double","OK")))))))))</f>
        <v/>
      </c>
      <c r="K1705" s="71" t="str">
        <f>IF(AND(fiche_sel&lt;&gt;"",A1705=fiche_sel),COUNTIF(A$6:A1705,fiche_sel),"")</f>
        <v/>
      </c>
    </row>
    <row r="1706">
      <c r="A1706" s="60" t="n"/>
      <c r="B1706" s="60" t="n"/>
      <c r="C1706" s="71" t="str">
        <f>IF(B1706="","",IFERROR(INDEX(mat_des,MATCH(B1706,mat_ref,0))&amp;"","Matière inconnue"))</f>
        <v/>
      </c>
      <c r="D1706" s="69" t="str">
        <f>IF(B1706="","",IFERROR(INDEX(mat_unit,MATCH(B1706,mat_ref,0))&amp;"",""))</f>
        <v/>
      </c>
      <c r="E1706" s="72" t="n"/>
      <c r="F1706" s="65" t="n"/>
      <c r="G1706" s="68" t="str">
        <f>IF(J1706&lt;&gt;"OK","",IF(F1706="",N(INDEX(mat_loss,MATCH(B1706,mat_ref,0))),F1706))</f>
        <v/>
      </c>
      <c r="H1706" s="66" t="str">
        <f>IF(J1706&lt;&gt;"OK","",INDEX(mat_price,MATCH(B1706,mat_ref,0)))</f>
        <v/>
      </c>
      <c r="I1706" s="66" t="str">
        <f>IF(J1706&lt;&gt;"OK","",E1706*(1+G1706)*H1706)</f>
        <v/>
      </c>
      <c r="J1706" s="69" t="str">
        <f>IF(AND(A1706="",B1706=""),"",IF(A1706="","Produit manquant",IF(COUNTIF(prod_ref,A1706)=0,"Produit inconnu",IF(B1706="","Matière manquante",IF(ISNA(MATCH(B1706,mat_ref,0)),"Matière inconnue",IF(INDEX(mat_check,MATCH(B1706,mat_ref,0))&lt;&gt;"OK","Matière à corriger",IF(OR(NOT(ISNUMBER(E1706)),N(E1706)&lt;=0),"Quantité invalide",IF(AND(F1706&lt;&gt;"",OR(NOT(ISNUMBER(F1706)),N(F1706)&lt;0,N(F1706)&gt;=1)),"Perte entre 0 et 99 %",IF(COUNTIFS(bom_prod,A1706,bom_mat,B1706)&gt;1,"Matière en double","OK")))))))))</f>
        <v/>
      </c>
      <c r="K1706" s="71" t="str">
        <f>IF(AND(fiche_sel&lt;&gt;"",A1706=fiche_sel),COUNTIF(A$6:A1706,fiche_sel),"")</f>
        <v/>
      </c>
    </row>
    <row r="1707">
      <c r="A1707" s="60" t="n"/>
      <c r="B1707" s="60" t="n"/>
      <c r="C1707" s="71" t="str">
        <f>IF(B1707="","",IFERROR(INDEX(mat_des,MATCH(B1707,mat_ref,0))&amp;"","Matière inconnue"))</f>
        <v/>
      </c>
      <c r="D1707" s="69" t="str">
        <f>IF(B1707="","",IFERROR(INDEX(mat_unit,MATCH(B1707,mat_ref,0))&amp;"",""))</f>
        <v/>
      </c>
      <c r="E1707" s="72" t="n"/>
      <c r="F1707" s="65" t="n"/>
      <c r="G1707" s="68" t="str">
        <f>IF(J1707&lt;&gt;"OK","",IF(F1707="",N(INDEX(mat_loss,MATCH(B1707,mat_ref,0))),F1707))</f>
        <v/>
      </c>
      <c r="H1707" s="66" t="str">
        <f>IF(J1707&lt;&gt;"OK","",INDEX(mat_price,MATCH(B1707,mat_ref,0)))</f>
        <v/>
      </c>
      <c r="I1707" s="66" t="str">
        <f>IF(J1707&lt;&gt;"OK","",E1707*(1+G1707)*H1707)</f>
        <v/>
      </c>
      <c r="J1707" s="69" t="str">
        <f>IF(AND(A1707="",B1707=""),"",IF(A1707="","Produit manquant",IF(COUNTIF(prod_ref,A1707)=0,"Produit inconnu",IF(B1707="","Matière manquante",IF(ISNA(MATCH(B1707,mat_ref,0)),"Matière inconnue",IF(INDEX(mat_check,MATCH(B1707,mat_ref,0))&lt;&gt;"OK","Matière à corriger",IF(OR(NOT(ISNUMBER(E1707)),N(E1707)&lt;=0),"Quantité invalide",IF(AND(F1707&lt;&gt;"",OR(NOT(ISNUMBER(F1707)),N(F1707)&lt;0,N(F1707)&gt;=1)),"Perte entre 0 et 99 %",IF(COUNTIFS(bom_prod,A1707,bom_mat,B1707)&gt;1,"Matière en double","OK")))))))))</f>
        <v/>
      </c>
      <c r="K1707" s="71" t="str">
        <f>IF(AND(fiche_sel&lt;&gt;"",A1707=fiche_sel),COUNTIF(A$6:A1707,fiche_sel),"")</f>
        <v/>
      </c>
    </row>
    <row r="1708">
      <c r="A1708" s="60" t="n"/>
      <c r="B1708" s="60" t="n"/>
      <c r="C1708" s="71" t="str">
        <f>IF(B1708="","",IFERROR(INDEX(mat_des,MATCH(B1708,mat_ref,0))&amp;"","Matière inconnue"))</f>
        <v/>
      </c>
      <c r="D1708" s="69" t="str">
        <f>IF(B1708="","",IFERROR(INDEX(mat_unit,MATCH(B1708,mat_ref,0))&amp;"",""))</f>
        <v/>
      </c>
      <c r="E1708" s="72" t="n"/>
      <c r="F1708" s="65" t="n"/>
      <c r="G1708" s="68" t="str">
        <f>IF(J1708&lt;&gt;"OK","",IF(F1708="",N(INDEX(mat_loss,MATCH(B1708,mat_ref,0))),F1708))</f>
        <v/>
      </c>
      <c r="H1708" s="66" t="str">
        <f>IF(J1708&lt;&gt;"OK","",INDEX(mat_price,MATCH(B1708,mat_ref,0)))</f>
        <v/>
      </c>
      <c r="I1708" s="66" t="str">
        <f>IF(J1708&lt;&gt;"OK","",E1708*(1+G1708)*H1708)</f>
        <v/>
      </c>
      <c r="J1708" s="69" t="str">
        <f>IF(AND(A1708="",B1708=""),"",IF(A1708="","Produit manquant",IF(COUNTIF(prod_ref,A1708)=0,"Produit inconnu",IF(B1708="","Matière manquante",IF(ISNA(MATCH(B1708,mat_ref,0)),"Matière inconnue",IF(INDEX(mat_check,MATCH(B1708,mat_ref,0))&lt;&gt;"OK","Matière à corriger",IF(OR(NOT(ISNUMBER(E1708)),N(E1708)&lt;=0),"Quantité invalide",IF(AND(F1708&lt;&gt;"",OR(NOT(ISNUMBER(F1708)),N(F1708)&lt;0,N(F1708)&gt;=1)),"Perte entre 0 et 99 %",IF(COUNTIFS(bom_prod,A1708,bom_mat,B1708)&gt;1,"Matière en double","OK")))))))))</f>
        <v/>
      </c>
      <c r="K1708" s="71" t="str">
        <f>IF(AND(fiche_sel&lt;&gt;"",A1708=fiche_sel),COUNTIF(A$6:A1708,fiche_sel),"")</f>
        <v/>
      </c>
    </row>
    <row r="1709">
      <c r="A1709" s="60" t="n"/>
      <c r="B1709" s="60" t="n"/>
      <c r="C1709" s="71" t="str">
        <f>IF(B1709="","",IFERROR(INDEX(mat_des,MATCH(B1709,mat_ref,0))&amp;"","Matière inconnue"))</f>
        <v/>
      </c>
      <c r="D1709" s="69" t="str">
        <f>IF(B1709="","",IFERROR(INDEX(mat_unit,MATCH(B1709,mat_ref,0))&amp;"",""))</f>
        <v/>
      </c>
      <c r="E1709" s="72" t="n"/>
      <c r="F1709" s="65" t="n"/>
      <c r="G1709" s="68" t="str">
        <f>IF(J1709&lt;&gt;"OK","",IF(F1709="",N(INDEX(mat_loss,MATCH(B1709,mat_ref,0))),F1709))</f>
        <v/>
      </c>
      <c r="H1709" s="66" t="str">
        <f>IF(J1709&lt;&gt;"OK","",INDEX(mat_price,MATCH(B1709,mat_ref,0)))</f>
        <v/>
      </c>
      <c r="I1709" s="66" t="str">
        <f>IF(J1709&lt;&gt;"OK","",E1709*(1+G1709)*H1709)</f>
        <v/>
      </c>
      <c r="J1709" s="69" t="str">
        <f>IF(AND(A1709="",B1709=""),"",IF(A1709="","Produit manquant",IF(COUNTIF(prod_ref,A1709)=0,"Produit inconnu",IF(B1709="","Matière manquante",IF(ISNA(MATCH(B1709,mat_ref,0)),"Matière inconnue",IF(INDEX(mat_check,MATCH(B1709,mat_ref,0))&lt;&gt;"OK","Matière à corriger",IF(OR(NOT(ISNUMBER(E1709)),N(E1709)&lt;=0),"Quantité invalide",IF(AND(F1709&lt;&gt;"",OR(NOT(ISNUMBER(F1709)),N(F1709)&lt;0,N(F1709)&gt;=1)),"Perte entre 0 et 99 %",IF(COUNTIFS(bom_prod,A1709,bom_mat,B1709)&gt;1,"Matière en double","OK")))))))))</f>
        <v/>
      </c>
      <c r="K1709" s="71" t="str">
        <f>IF(AND(fiche_sel&lt;&gt;"",A1709=fiche_sel),COUNTIF(A$6:A1709,fiche_sel),"")</f>
        <v/>
      </c>
    </row>
    <row r="1710">
      <c r="A1710" s="60" t="n"/>
      <c r="B1710" s="60" t="n"/>
      <c r="C1710" s="71" t="str">
        <f>IF(B1710="","",IFERROR(INDEX(mat_des,MATCH(B1710,mat_ref,0))&amp;"","Matière inconnue"))</f>
        <v/>
      </c>
      <c r="D1710" s="69" t="str">
        <f>IF(B1710="","",IFERROR(INDEX(mat_unit,MATCH(B1710,mat_ref,0))&amp;"",""))</f>
        <v/>
      </c>
      <c r="E1710" s="72" t="n"/>
      <c r="F1710" s="65" t="n"/>
      <c r="G1710" s="68" t="str">
        <f>IF(J1710&lt;&gt;"OK","",IF(F1710="",N(INDEX(mat_loss,MATCH(B1710,mat_ref,0))),F1710))</f>
        <v/>
      </c>
      <c r="H1710" s="66" t="str">
        <f>IF(J1710&lt;&gt;"OK","",INDEX(mat_price,MATCH(B1710,mat_ref,0)))</f>
        <v/>
      </c>
      <c r="I1710" s="66" t="str">
        <f>IF(J1710&lt;&gt;"OK","",E1710*(1+G1710)*H1710)</f>
        <v/>
      </c>
      <c r="J1710" s="69" t="str">
        <f>IF(AND(A1710="",B1710=""),"",IF(A1710="","Produit manquant",IF(COUNTIF(prod_ref,A1710)=0,"Produit inconnu",IF(B1710="","Matière manquante",IF(ISNA(MATCH(B1710,mat_ref,0)),"Matière inconnue",IF(INDEX(mat_check,MATCH(B1710,mat_ref,0))&lt;&gt;"OK","Matière à corriger",IF(OR(NOT(ISNUMBER(E1710)),N(E1710)&lt;=0),"Quantité invalide",IF(AND(F1710&lt;&gt;"",OR(NOT(ISNUMBER(F1710)),N(F1710)&lt;0,N(F1710)&gt;=1)),"Perte entre 0 et 99 %",IF(COUNTIFS(bom_prod,A1710,bom_mat,B1710)&gt;1,"Matière en double","OK")))))))))</f>
        <v/>
      </c>
      <c r="K1710" s="71" t="str">
        <f>IF(AND(fiche_sel&lt;&gt;"",A1710=fiche_sel),COUNTIF(A$6:A1710,fiche_sel),"")</f>
        <v/>
      </c>
    </row>
    <row r="1711">
      <c r="A1711" s="60" t="n"/>
      <c r="B1711" s="60" t="n"/>
      <c r="C1711" s="71" t="str">
        <f>IF(B1711="","",IFERROR(INDEX(mat_des,MATCH(B1711,mat_ref,0))&amp;"","Matière inconnue"))</f>
        <v/>
      </c>
      <c r="D1711" s="69" t="str">
        <f>IF(B1711="","",IFERROR(INDEX(mat_unit,MATCH(B1711,mat_ref,0))&amp;"",""))</f>
        <v/>
      </c>
      <c r="E1711" s="72" t="n"/>
      <c r="F1711" s="65" t="n"/>
      <c r="G1711" s="68" t="str">
        <f>IF(J1711&lt;&gt;"OK","",IF(F1711="",N(INDEX(mat_loss,MATCH(B1711,mat_ref,0))),F1711))</f>
        <v/>
      </c>
      <c r="H1711" s="66" t="str">
        <f>IF(J1711&lt;&gt;"OK","",INDEX(mat_price,MATCH(B1711,mat_ref,0)))</f>
        <v/>
      </c>
      <c r="I1711" s="66" t="str">
        <f>IF(J1711&lt;&gt;"OK","",E1711*(1+G1711)*H1711)</f>
        <v/>
      </c>
      <c r="J1711" s="69" t="str">
        <f>IF(AND(A1711="",B1711=""),"",IF(A1711="","Produit manquant",IF(COUNTIF(prod_ref,A1711)=0,"Produit inconnu",IF(B1711="","Matière manquante",IF(ISNA(MATCH(B1711,mat_ref,0)),"Matière inconnue",IF(INDEX(mat_check,MATCH(B1711,mat_ref,0))&lt;&gt;"OK","Matière à corriger",IF(OR(NOT(ISNUMBER(E1711)),N(E1711)&lt;=0),"Quantité invalide",IF(AND(F1711&lt;&gt;"",OR(NOT(ISNUMBER(F1711)),N(F1711)&lt;0,N(F1711)&gt;=1)),"Perte entre 0 et 99 %",IF(COUNTIFS(bom_prod,A1711,bom_mat,B1711)&gt;1,"Matière en double","OK")))))))))</f>
        <v/>
      </c>
      <c r="K1711" s="71" t="str">
        <f>IF(AND(fiche_sel&lt;&gt;"",A1711=fiche_sel),COUNTIF(A$6:A1711,fiche_sel),"")</f>
        <v/>
      </c>
    </row>
    <row r="1712">
      <c r="A1712" s="60" t="n"/>
      <c r="B1712" s="60" t="n"/>
      <c r="C1712" s="71" t="str">
        <f>IF(B1712="","",IFERROR(INDEX(mat_des,MATCH(B1712,mat_ref,0))&amp;"","Matière inconnue"))</f>
        <v/>
      </c>
      <c r="D1712" s="69" t="str">
        <f>IF(B1712="","",IFERROR(INDEX(mat_unit,MATCH(B1712,mat_ref,0))&amp;"",""))</f>
        <v/>
      </c>
      <c r="E1712" s="72" t="n"/>
      <c r="F1712" s="65" t="n"/>
      <c r="G1712" s="68" t="str">
        <f>IF(J1712&lt;&gt;"OK","",IF(F1712="",N(INDEX(mat_loss,MATCH(B1712,mat_ref,0))),F1712))</f>
        <v/>
      </c>
      <c r="H1712" s="66" t="str">
        <f>IF(J1712&lt;&gt;"OK","",INDEX(mat_price,MATCH(B1712,mat_ref,0)))</f>
        <v/>
      </c>
      <c r="I1712" s="66" t="str">
        <f>IF(J1712&lt;&gt;"OK","",E1712*(1+G1712)*H1712)</f>
        <v/>
      </c>
      <c r="J1712" s="69" t="str">
        <f>IF(AND(A1712="",B1712=""),"",IF(A1712="","Produit manquant",IF(COUNTIF(prod_ref,A1712)=0,"Produit inconnu",IF(B1712="","Matière manquante",IF(ISNA(MATCH(B1712,mat_ref,0)),"Matière inconnue",IF(INDEX(mat_check,MATCH(B1712,mat_ref,0))&lt;&gt;"OK","Matière à corriger",IF(OR(NOT(ISNUMBER(E1712)),N(E1712)&lt;=0),"Quantité invalide",IF(AND(F1712&lt;&gt;"",OR(NOT(ISNUMBER(F1712)),N(F1712)&lt;0,N(F1712)&gt;=1)),"Perte entre 0 et 99 %",IF(COUNTIFS(bom_prod,A1712,bom_mat,B1712)&gt;1,"Matière en double","OK")))))))))</f>
        <v/>
      </c>
      <c r="K1712" s="71" t="str">
        <f>IF(AND(fiche_sel&lt;&gt;"",A1712=fiche_sel),COUNTIF(A$6:A1712,fiche_sel),"")</f>
        <v/>
      </c>
    </row>
    <row r="1713">
      <c r="A1713" s="60" t="n"/>
      <c r="B1713" s="60" t="n"/>
      <c r="C1713" s="71" t="str">
        <f>IF(B1713="","",IFERROR(INDEX(mat_des,MATCH(B1713,mat_ref,0))&amp;"","Matière inconnue"))</f>
        <v/>
      </c>
      <c r="D1713" s="69" t="str">
        <f>IF(B1713="","",IFERROR(INDEX(mat_unit,MATCH(B1713,mat_ref,0))&amp;"",""))</f>
        <v/>
      </c>
      <c r="E1713" s="72" t="n"/>
      <c r="F1713" s="65" t="n"/>
      <c r="G1713" s="68" t="str">
        <f>IF(J1713&lt;&gt;"OK","",IF(F1713="",N(INDEX(mat_loss,MATCH(B1713,mat_ref,0))),F1713))</f>
        <v/>
      </c>
      <c r="H1713" s="66" t="str">
        <f>IF(J1713&lt;&gt;"OK","",INDEX(mat_price,MATCH(B1713,mat_ref,0)))</f>
        <v/>
      </c>
      <c r="I1713" s="66" t="str">
        <f>IF(J1713&lt;&gt;"OK","",E1713*(1+G1713)*H1713)</f>
        <v/>
      </c>
      <c r="J1713" s="69" t="str">
        <f>IF(AND(A1713="",B1713=""),"",IF(A1713="","Produit manquant",IF(COUNTIF(prod_ref,A1713)=0,"Produit inconnu",IF(B1713="","Matière manquante",IF(ISNA(MATCH(B1713,mat_ref,0)),"Matière inconnue",IF(INDEX(mat_check,MATCH(B1713,mat_ref,0))&lt;&gt;"OK","Matière à corriger",IF(OR(NOT(ISNUMBER(E1713)),N(E1713)&lt;=0),"Quantité invalide",IF(AND(F1713&lt;&gt;"",OR(NOT(ISNUMBER(F1713)),N(F1713)&lt;0,N(F1713)&gt;=1)),"Perte entre 0 et 99 %",IF(COUNTIFS(bom_prod,A1713,bom_mat,B1713)&gt;1,"Matière en double","OK")))))))))</f>
        <v/>
      </c>
      <c r="K1713" s="71" t="str">
        <f>IF(AND(fiche_sel&lt;&gt;"",A1713=fiche_sel),COUNTIF(A$6:A1713,fiche_sel),"")</f>
        <v/>
      </c>
    </row>
    <row r="1714">
      <c r="A1714" s="60" t="n"/>
      <c r="B1714" s="60" t="n"/>
      <c r="C1714" s="71" t="str">
        <f>IF(B1714="","",IFERROR(INDEX(mat_des,MATCH(B1714,mat_ref,0))&amp;"","Matière inconnue"))</f>
        <v/>
      </c>
      <c r="D1714" s="69" t="str">
        <f>IF(B1714="","",IFERROR(INDEX(mat_unit,MATCH(B1714,mat_ref,0))&amp;"",""))</f>
        <v/>
      </c>
      <c r="E1714" s="72" t="n"/>
      <c r="F1714" s="65" t="n"/>
      <c r="G1714" s="68" t="str">
        <f>IF(J1714&lt;&gt;"OK","",IF(F1714="",N(INDEX(mat_loss,MATCH(B1714,mat_ref,0))),F1714))</f>
        <v/>
      </c>
      <c r="H1714" s="66" t="str">
        <f>IF(J1714&lt;&gt;"OK","",INDEX(mat_price,MATCH(B1714,mat_ref,0)))</f>
        <v/>
      </c>
      <c r="I1714" s="66" t="str">
        <f>IF(J1714&lt;&gt;"OK","",E1714*(1+G1714)*H1714)</f>
        <v/>
      </c>
      <c r="J1714" s="69" t="str">
        <f>IF(AND(A1714="",B1714=""),"",IF(A1714="","Produit manquant",IF(COUNTIF(prod_ref,A1714)=0,"Produit inconnu",IF(B1714="","Matière manquante",IF(ISNA(MATCH(B1714,mat_ref,0)),"Matière inconnue",IF(INDEX(mat_check,MATCH(B1714,mat_ref,0))&lt;&gt;"OK","Matière à corriger",IF(OR(NOT(ISNUMBER(E1714)),N(E1714)&lt;=0),"Quantité invalide",IF(AND(F1714&lt;&gt;"",OR(NOT(ISNUMBER(F1714)),N(F1714)&lt;0,N(F1714)&gt;=1)),"Perte entre 0 et 99 %",IF(COUNTIFS(bom_prod,A1714,bom_mat,B1714)&gt;1,"Matière en double","OK")))))))))</f>
        <v/>
      </c>
      <c r="K1714" s="71" t="str">
        <f>IF(AND(fiche_sel&lt;&gt;"",A1714=fiche_sel),COUNTIF(A$6:A1714,fiche_sel),"")</f>
        <v/>
      </c>
    </row>
    <row r="1715">
      <c r="A1715" s="60" t="n"/>
      <c r="B1715" s="60" t="n"/>
      <c r="C1715" s="71" t="str">
        <f>IF(B1715="","",IFERROR(INDEX(mat_des,MATCH(B1715,mat_ref,0))&amp;"","Matière inconnue"))</f>
        <v/>
      </c>
      <c r="D1715" s="69" t="str">
        <f>IF(B1715="","",IFERROR(INDEX(mat_unit,MATCH(B1715,mat_ref,0))&amp;"",""))</f>
        <v/>
      </c>
      <c r="E1715" s="72" t="n"/>
      <c r="F1715" s="65" t="n"/>
      <c r="G1715" s="68" t="str">
        <f>IF(J1715&lt;&gt;"OK","",IF(F1715="",N(INDEX(mat_loss,MATCH(B1715,mat_ref,0))),F1715))</f>
        <v/>
      </c>
      <c r="H1715" s="66" t="str">
        <f>IF(J1715&lt;&gt;"OK","",INDEX(mat_price,MATCH(B1715,mat_ref,0)))</f>
        <v/>
      </c>
      <c r="I1715" s="66" t="str">
        <f>IF(J1715&lt;&gt;"OK","",E1715*(1+G1715)*H1715)</f>
        <v/>
      </c>
      <c r="J1715" s="69" t="str">
        <f>IF(AND(A1715="",B1715=""),"",IF(A1715="","Produit manquant",IF(COUNTIF(prod_ref,A1715)=0,"Produit inconnu",IF(B1715="","Matière manquante",IF(ISNA(MATCH(B1715,mat_ref,0)),"Matière inconnue",IF(INDEX(mat_check,MATCH(B1715,mat_ref,0))&lt;&gt;"OK","Matière à corriger",IF(OR(NOT(ISNUMBER(E1715)),N(E1715)&lt;=0),"Quantité invalide",IF(AND(F1715&lt;&gt;"",OR(NOT(ISNUMBER(F1715)),N(F1715)&lt;0,N(F1715)&gt;=1)),"Perte entre 0 et 99 %",IF(COUNTIFS(bom_prod,A1715,bom_mat,B1715)&gt;1,"Matière en double","OK")))))))))</f>
        <v/>
      </c>
      <c r="K1715" s="71" t="str">
        <f>IF(AND(fiche_sel&lt;&gt;"",A1715=fiche_sel),COUNTIF(A$6:A1715,fiche_sel),"")</f>
        <v/>
      </c>
    </row>
    <row r="1716">
      <c r="A1716" s="60" t="n"/>
      <c r="B1716" s="60" t="n"/>
      <c r="C1716" s="71" t="str">
        <f>IF(B1716="","",IFERROR(INDEX(mat_des,MATCH(B1716,mat_ref,0))&amp;"","Matière inconnue"))</f>
        <v/>
      </c>
      <c r="D1716" s="69" t="str">
        <f>IF(B1716="","",IFERROR(INDEX(mat_unit,MATCH(B1716,mat_ref,0))&amp;"",""))</f>
        <v/>
      </c>
      <c r="E1716" s="72" t="n"/>
      <c r="F1716" s="65" t="n"/>
      <c r="G1716" s="68" t="str">
        <f>IF(J1716&lt;&gt;"OK","",IF(F1716="",N(INDEX(mat_loss,MATCH(B1716,mat_ref,0))),F1716))</f>
        <v/>
      </c>
      <c r="H1716" s="66" t="str">
        <f>IF(J1716&lt;&gt;"OK","",INDEX(mat_price,MATCH(B1716,mat_ref,0)))</f>
        <v/>
      </c>
      <c r="I1716" s="66" t="str">
        <f>IF(J1716&lt;&gt;"OK","",E1716*(1+G1716)*H1716)</f>
        <v/>
      </c>
      <c r="J1716" s="69" t="str">
        <f>IF(AND(A1716="",B1716=""),"",IF(A1716="","Produit manquant",IF(COUNTIF(prod_ref,A1716)=0,"Produit inconnu",IF(B1716="","Matière manquante",IF(ISNA(MATCH(B1716,mat_ref,0)),"Matière inconnue",IF(INDEX(mat_check,MATCH(B1716,mat_ref,0))&lt;&gt;"OK","Matière à corriger",IF(OR(NOT(ISNUMBER(E1716)),N(E1716)&lt;=0),"Quantité invalide",IF(AND(F1716&lt;&gt;"",OR(NOT(ISNUMBER(F1716)),N(F1716)&lt;0,N(F1716)&gt;=1)),"Perte entre 0 et 99 %",IF(COUNTIFS(bom_prod,A1716,bom_mat,B1716)&gt;1,"Matière en double","OK")))))))))</f>
        <v/>
      </c>
      <c r="K1716" s="71" t="str">
        <f>IF(AND(fiche_sel&lt;&gt;"",A1716=fiche_sel),COUNTIF(A$6:A1716,fiche_sel),"")</f>
        <v/>
      </c>
    </row>
    <row r="1717">
      <c r="A1717" s="60" t="n"/>
      <c r="B1717" s="60" t="n"/>
      <c r="C1717" s="71" t="str">
        <f>IF(B1717="","",IFERROR(INDEX(mat_des,MATCH(B1717,mat_ref,0))&amp;"","Matière inconnue"))</f>
        <v/>
      </c>
      <c r="D1717" s="69" t="str">
        <f>IF(B1717="","",IFERROR(INDEX(mat_unit,MATCH(B1717,mat_ref,0))&amp;"",""))</f>
        <v/>
      </c>
      <c r="E1717" s="72" t="n"/>
      <c r="F1717" s="65" t="n"/>
      <c r="G1717" s="68" t="str">
        <f>IF(J1717&lt;&gt;"OK","",IF(F1717="",N(INDEX(mat_loss,MATCH(B1717,mat_ref,0))),F1717))</f>
        <v/>
      </c>
      <c r="H1717" s="66" t="str">
        <f>IF(J1717&lt;&gt;"OK","",INDEX(mat_price,MATCH(B1717,mat_ref,0)))</f>
        <v/>
      </c>
      <c r="I1717" s="66" t="str">
        <f>IF(J1717&lt;&gt;"OK","",E1717*(1+G1717)*H1717)</f>
        <v/>
      </c>
      <c r="J1717" s="69" t="str">
        <f>IF(AND(A1717="",B1717=""),"",IF(A1717="","Produit manquant",IF(COUNTIF(prod_ref,A1717)=0,"Produit inconnu",IF(B1717="","Matière manquante",IF(ISNA(MATCH(B1717,mat_ref,0)),"Matière inconnue",IF(INDEX(mat_check,MATCH(B1717,mat_ref,0))&lt;&gt;"OK","Matière à corriger",IF(OR(NOT(ISNUMBER(E1717)),N(E1717)&lt;=0),"Quantité invalide",IF(AND(F1717&lt;&gt;"",OR(NOT(ISNUMBER(F1717)),N(F1717)&lt;0,N(F1717)&gt;=1)),"Perte entre 0 et 99 %",IF(COUNTIFS(bom_prod,A1717,bom_mat,B1717)&gt;1,"Matière en double","OK")))))))))</f>
        <v/>
      </c>
      <c r="K1717" s="71" t="str">
        <f>IF(AND(fiche_sel&lt;&gt;"",A1717=fiche_sel),COUNTIF(A$6:A1717,fiche_sel),"")</f>
        <v/>
      </c>
    </row>
    <row r="1718">
      <c r="A1718" s="60" t="n"/>
      <c r="B1718" s="60" t="n"/>
      <c r="C1718" s="71" t="str">
        <f>IF(B1718="","",IFERROR(INDEX(mat_des,MATCH(B1718,mat_ref,0))&amp;"","Matière inconnue"))</f>
        <v/>
      </c>
      <c r="D1718" s="69" t="str">
        <f>IF(B1718="","",IFERROR(INDEX(mat_unit,MATCH(B1718,mat_ref,0))&amp;"",""))</f>
        <v/>
      </c>
      <c r="E1718" s="72" t="n"/>
      <c r="F1718" s="65" t="n"/>
      <c r="G1718" s="68" t="str">
        <f>IF(J1718&lt;&gt;"OK","",IF(F1718="",N(INDEX(mat_loss,MATCH(B1718,mat_ref,0))),F1718))</f>
        <v/>
      </c>
      <c r="H1718" s="66" t="str">
        <f>IF(J1718&lt;&gt;"OK","",INDEX(mat_price,MATCH(B1718,mat_ref,0)))</f>
        <v/>
      </c>
      <c r="I1718" s="66" t="str">
        <f>IF(J1718&lt;&gt;"OK","",E1718*(1+G1718)*H1718)</f>
        <v/>
      </c>
      <c r="J1718" s="69" t="str">
        <f>IF(AND(A1718="",B1718=""),"",IF(A1718="","Produit manquant",IF(COUNTIF(prod_ref,A1718)=0,"Produit inconnu",IF(B1718="","Matière manquante",IF(ISNA(MATCH(B1718,mat_ref,0)),"Matière inconnue",IF(INDEX(mat_check,MATCH(B1718,mat_ref,0))&lt;&gt;"OK","Matière à corriger",IF(OR(NOT(ISNUMBER(E1718)),N(E1718)&lt;=0),"Quantité invalide",IF(AND(F1718&lt;&gt;"",OR(NOT(ISNUMBER(F1718)),N(F1718)&lt;0,N(F1718)&gt;=1)),"Perte entre 0 et 99 %",IF(COUNTIFS(bom_prod,A1718,bom_mat,B1718)&gt;1,"Matière en double","OK")))))))))</f>
        <v/>
      </c>
      <c r="K1718" s="71" t="str">
        <f>IF(AND(fiche_sel&lt;&gt;"",A1718=fiche_sel),COUNTIF(A$6:A1718,fiche_sel),"")</f>
        <v/>
      </c>
    </row>
    <row r="1719">
      <c r="A1719" s="60" t="n"/>
      <c r="B1719" s="60" t="n"/>
      <c r="C1719" s="71" t="str">
        <f>IF(B1719="","",IFERROR(INDEX(mat_des,MATCH(B1719,mat_ref,0))&amp;"","Matière inconnue"))</f>
        <v/>
      </c>
      <c r="D1719" s="69" t="str">
        <f>IF(B1719="","",IFERROR(INDEX(mat_unit,MATCH(B1719,mat_ref,0))&amp;"",""))</f>
        <v/>
      </c>
      <c r="E1719" s="72" t="n"/>
      <c r="F1719" s="65" t="n"/>
      <c r="G1719" s="68" t="str">
        <f>IF(J1719&lt;&gt;"OK","",IF(F1719="",N(INDEX(mat_loss,MATCH(B1719,mat_ref,0))),F1719))</f>
        <v/>
      </c>
      <c r="H1719" s="66" t="str">
        <f>IF(J1719&lt;&gt;"OK","",INDEX(mat_price,MATCH(B1719,mat_ref,0)))</f>
        <v/>
      </c>
      <c r="I1719" s="66" t="str">
        <f>IF(J1719&lt;&gt;"OK","",E1719*(1+G1719)*H1719)</f>
        <v/>
      </c>
      <c r="J1719" s="69" t="str">
        <f>IF(AND(A1719="",B1719=""),"",IF(A1719="","Produit manquant",IF(COUNTIF(prod_ref,A1719)=0,"Produit inconnu",IF(B1719="","Matière manquante",IF(ISNA(MATCH(B1719,mat_ref,0)),"Matière inconnue",IF(INDEX(mat_check,MATCH(B1719,mat_ref,0))&lt;&gt;"OK","Matière à corriger",IF(OR(NOT(ISNUMBER(E1719)),N(E1719)&lt;=0),"Quantité invalide",IF(AND(F1719&lt;&gt;"",OR(NOT(ISNUMBER(F1719)),N(F1719)&lt;0,N(F1719)&gt;=1)),"Perte entre 0 et 99 %",IF(COUNTIFS(bom_prod,A1719,bom_mat,B1719)&gt;1,"Matière en double","OK")))))))))</f>
        <v/>
      </c>
      <c r="K1719" s="71" t="str">
        <f>IF(AND(fiche_sel&lt;&gt;"",A1719=fiche_sel),COUNTIF(A$6:A1719,fiche_sel),"")</f>
        <v/>
      </c>
    </row>
    <row r="1720">
      <c r="A1720" s="60" t="n"/>
      <c r="B1720" s="60" t="n"/>
      <c r="C1720" s="71" t="str">
        <f>IF(B1720="","",IFERROR(INDEX(mat_des,MATCH(B1720,mat_ref,0))&amp;"","Matière inconnue"))</f>
        <v/>
      </c>
      <c r="D1720" s="69" t="str">
        <f>IF(B1720="","",IFERROR(INDEX(mat_unit,MATCH(B1720,mat_ref,0))&amp;"",""))</f>
        <v/>
      </c>
      <c r="E1720" s="72" t="n"/>
      <c r="F1720" s="65" t="n"/>
      <c r="G1720" s="68" t="str">
        <f>IF(J1720&lt;&gt;"OK","",IF(F1720="",N(INDEX(mat_loss,MATCH(B1720,mat_ref,0))),F1720))</f>
        <v/>
      </c>
      <c r="H1720" s="66" t="str">
        <f>IF(J1720&lt;&gt;"OK","",INDEX(mat_price,MATCH(B1720,mat_ref,0)))</f>
        <v/>
      </c>
      <c r="I1720" s="66" t="str">
        <f>IF(J1720&lt;&gt;"OK","",E1720*(1+G1720)*H1720)</f>
        <v/>
      </c>
      <c r="J1720" s="69" t="str">
        <f>IF(AND(A1720="",B1720=""),"",IF(A1720="","Produit manquant",IF(COUNTIF(prod_ref,A1720)=0,"Produit inconnu",IF(B1720="","Matière manquante",IF(ISNA(MATCH(B1720,mat_ref,0)),"Matière inconnue",IF(INDEX(mat_check,MATCH(B1720,mat_ref,0))&lt;&gt;"OK","Matière à corriger",IF(OR(NOT(ISNUMBER(E1720)),N(E1720)&lt;=0),"Quantité invalide",IF(AND(F1720&lt;&gt;"",OR(NOT(ISNUMBER(F1720)),N(F1720)&lt;0,N(F1720)&gt;=1)),"Perte entre 0 et 99 %",IF(COUNTIFS(bom_prod,A1720,bom_mat,B1720)&gt;1,"Matière en double","OK")))))))))</f>
        <v/>
      </c>
      <c r="K1720" s="71" t="str">
        <f>IF(AND(fiche_sel&lt;&gt;"",A1720=fiche_sel),COUNTIF(A$6:A1720,fiche_sel),"")</f>
        <v/>
      </c>
    </row>
    <row r="1721">
      <c r="A1721" s="60" t="n"/>
      <c r="B1721" s="60" t="n"/>
      <c r="C1721" s="71" t="str">
        <f>IF(B1721="","",IFERROR(INDEX(mat_des,MATCH(B1721,mat_ref,0))&amp;"","Matière inconnue"))</f>
        <v/>
      </c>
      <c r="D1721" s="69" t="str">
        <f>IF(B1721="","",IFERROR(INDEX(mat_unit,MATCH(B1721,mat_ref,0))&amp;"",""))</f>
        <v/>
      </c>
      <c r="E1721" s="72" t="n"/>
      <c r="F1721" s="65" t="n"/>
      <c r="G1721" s="68" t="str">
        <f>IF(J1721&lt;&gt;"OK","",IF(F1721="",N(INDEX(mat_loss,MATCH(B1721,mat_ref,0))),F1721))</f>
        <v/>
      </c>
      <c r="H1721" s="66" t="str">
        <f>IF(J1721&lt;&gt;"OK","",INDEX(mat_price,MATCH(B1721,mat_ref,0)))</f>
        <v/>
      </c>
      <c r="I1721" s="66" t="str">
        <f>IF(J1721&lt;&gt;"OK","",E1721*(1+G1721)*H1721)</f>
        <v/>
      </c>
      <c r="J1721" s="69" t="str">
        <f>IF(AND(A1721="",B1721=""),"",IF(A1721="","Produit manquant",IF(COUNTIF(prod_ref,A1721)=0,"Produit inconnu",IF(B1721="","Matière manquante",IF(ISNA(MATCH(B1721,mat_ref,0)),"Matière inconnue",IF(INDEX(mat_check,MATCH(B1721,mat_ref,0))&lt;&gt;"OK","Matière à corriger",IF(OR(NOT(ISNUMBER(E1721)),N(E1721)&lt;=0),"Quantité invalide",IF(AND(F1721&lt;&gt;"",OR(NOT(ISNUMBER(F1721)),N(F1721)&lt;0,N(F1721)&gt;=1)),"Perte entre 0 et 99 %",IF(COUNTIFS(bom_prod,A1721,bom_mat,B1721)&gt;1,"Matière en double","OK")))))))))</f>
        <v/>
      </c>
      <c r="K1721" s="71" t="str">
        <f>IF(AND(fiche_sel&lt;&gt;"",A1721=fiche_sel),COUNTIF(A$6:A1721,fiche_sel),"")</f>
        <v/>
      </c>
    </row>
    <row r="1722">
      <c r="A1722" s="60" t="n"/>
      <c r="B1722" s="60" t="n"/>
      <c r="C1722" s="71" t="str">
        <f>IF(B1722="","",IFERROR(INDEX(mat_des,MATCH(B1722,mat_ref,0))&amp;"","Matière inconnue"))</f>
        <v/>
      </c>
      <c r="D1722" s="69" t="str">
        <f>IF(B1722="","",IFERROR(INDEX(mat_unit,MATCH(B1722,mat_ref,0))&amp;"",""))</f>
        <v/>
      </c>
      <c r="E1722" s="72" t="n"/>
      <c r="F1722" s="65" t="n"/>
      <c r="G1722" s="68" t="str">
        <f>IF(J1722&lt;&gt;"OK","",IF(F1722="",N(INDEX(mat_loss,MATCH(B1722,mat_ref,0))),F1722))</f>
        <v/>
      </c>
      <c r="H1722" s="66" t="str">
        <f>IF(J1722&lt;&gt;"OK","",INDEX(mat_price,MATCH(B1722,mat_ref,0)))</f>
        <v/>
      </c>
      <c r="I1722" s="66" t="str">
        <f>IF(J1722&lt;&gt;"OK","",E1722*(1+G1722)*H1722)</f>
        <v/>
      </c>
      <c r="J1722" s="69" t="str">
        <f>IF(AND(A1722="",B1722=""),"",IF(A1722="","Produit manquant",IF(COUNTIF(prod_ref,A1722)=0,"Produit inconnu",IF(B1722="","Matière manquante",IF(ISNA(MATCH(B1722,mat_ref,0)),"Matière inconnue",IF(INDEX(mat_check,MATCH(B1722,mat_ref,0))&lt;&gt;"OK","Matière à corriger",IF(OR(NOT(ISNUMBER(E1722)),N(E1722)&lt;=0),"Quantité invalide",IF(AND(F1722&lt;&gt;"",OR(NOT(ISNUMBER(F1722)),N(F1722)&lt;0,N(F1722)&gt;=1)),"Perte entre 0 et 99 %",IF(COUNTIFS(bom_prod,A1722,bom_mat,B1722)&gt;1,"Matière en double","OK")))))))))</f>
        <v/>
      </c>
      <c r="K1722" s="71" t="str">
        <f>IF(AND(fiche_sel&lt;&gt;"",A1722=fiche_sel),COUNTIF(A$6:A1722,fiche_sel),"")</f>
        <v/>
      </c>
    </row>
    <row r="1723">
      <c r="A1723" s="60" t="n"/>
      <c r="B1723" s="60" t="n"/>
      <c r="C1723" s="71" t="str">
        <f>IF(B1723="","",IFERROR(INDEX(mat_des,MATCH(B1723,mat_ref,0))&amp;"","Matière inconnue"))</f>
        <v/>
      </c>
      <c r="D1723" s="69" t="str">
        <f>IF(B1723="","",IFERROR(INDEX(mat_unit,MATCH(B1723,mat_ref,0))&amp;"",""))</f>
        <v/>
      </c>
      <c r="E1723" s="72" t="n"/>
      <c r="F1723" s="65" t="n"/>
      <c r="G1723" s="68" t="str">
        <f>IF(J1723&lt;&gt;"OK","",IF(F1723="",N(INDEX(mat_loss,MATCH(B1723,mat_ref,0))),F1723))</f>
        <v/>
      </c>
      <c r="H1723" s="66" t="str">
        <f>IF(J1723&lt;&gt;"OK","",INDEX(mat_price,MATCH(B1723,mat_ref,0)))</f>
        <v/>
      </c>
      <c r="I1723" s="66" t="str">
        <f>IF(J1723&lt;&gt;"OK","",E1723*(1+G1723)*H1723)</f>
        <v/>
      </c>
      <c r="J1723" s="69" t="str">
        <f>IF(AND(A1723="",B1723=""),"",IF(A1723="","Produit manquant",IF(COUNTIF(prod_ref,A1723)=0,"Produit inconnu",IF(B1723="","Matière manquante",IF(ISNA(MATCH(B1723,mat_ref,0)),"Matière inconnue",IF(INDEX(mat_check,MATCH(B1723,mat_ref,0))&lt;&gt;"OK","Matière à corriger",IF(OR(NOT(ISNUMBER(E1723)),N(E1723)&lt;=0),"Quantité invalide",IF(AND(F1723&lt;&gt;"",OR(NOT(ISNUMBER(F1723)),N(F1723)&lt;0,N(F1723)&gt;=1)),"Perte entre 0 et 99 %",IF(COUNTIFS(bom_prod,A1723,bom_mat,B1723)&gt;1,"Matière en double","OK")))))))))</f>
        <v/>
      </c>
      <c r="K1723" s="71" t="str">
        <f>IF(AND(fiche_sel&lt;&gt;"",A1723=fiche_sel),COUNTIF(A$6:A1723,fiche_sel),"")</f>
        <v/>
      </c>
    </row>
    <row r="1724">
      <c r="A1724" s="60" t="n"/>
      <c r="B1724" s="60" t="n"/>
      <c r="C1724" s="71" t="str">
        <f>IF(B1724="","",IFERROR(INDEX(mat_des,MATCH(B1724,mat_ref,0))&amp;"","Matière inconnue"))</f>
        <v/>
      </c>
      <c r="D1724" s="69" t="str">
        <f>IF(B1724="","",IFERROR(INDEX(mat_unit,MATCH(B1724,mat_ref,0))&amp;"",""))</f>
        <v/>
      </c>
      <c r="E1724" s="72" t="n"/>
      <c r="F1724" s="65" t="n"/>
      <c r="G1724" s="68" t="str">
        <f>IF(J1724&lt;&gt;"OK","",IF(F1724="",N(INDEX(mat_loss,MATCH(B1724,mat_ref,0))),F1724))</f>
        <v/>
      </c>
      <c r="H1724" s="66" t="str">
        <f>IF(J1724&lt;&gt;"OK","",INDEX(mat_price,MATCH(B1724,mat_ref,0)))</f>
        <v/>
      </c>
      <c r="I1724" s="66" t="str">
        <f>IF(J1724&lt;&gt;"OK","",E1724*(1+G1724)*H1724)</f>
        <v/>
      </c>
      <c r="J1724" s="69" t="str">
        <f>IF(AND(A1724="",B1724=""),"",IF(A1724="","Produit manquant",IF(COUNTIF(prod_ref,A1724)=0,"Produit inconnu",IF(B1724="","Matière manquante",IF(ISNA(MATCH(B1724,mat_ref,0)),"Matière inconnue",IF(INDEX(mat_check,MATCH(B1724,mat_ref,0))&lt;&gt;"OK","Matière à corriger",IF(OR(NOT(ISNUMBER(E1724)),N(E1724)&lt;=0),"Quantité invalide",IF(AND(F1724&lt;&gt;"",OR(NOT(ISNUMBER(F1724)),N(F1724)&lt;0,N(F1724)&gt;=1)),"Perte entre 0 et 99 %",IF(COUNTIFS(bom_prod,A1724,bom_mat,B1724)&gt;1,"Matière en double","OK")))))))))</f>
        <v/>
      </c>
      <c r="K1724" s="71" t="str">
        <f>IF(AND(fiche_sel&lt;&gt;"",A1724=fiche_sel),COUNTIF(A$6:A1724,fiche_sel),"")</f>
        <v/>
      </c>
    </row>
    <row r="1725">
      <c r="A1725" s="60" t="n"/>
      <c r="B1725" s="60" t="n"/>
      <c r="C1725" s="71" t="str">
        <f>IF(B1725="","",IFERROR(INDEX(mat_des,MATCH(B1725,mat_ref,0))&amp;"","Matière inconnue"))</f>
        <v/>
      </c>
      <c r="D1725" s="69" t="str">
        <f>IF(B1725="","",IFERROR(INDEX(mat_unit,MATCH(B1725,mat_ref,0))&amp;"",""))</f>
        <v/>
      </c>
      <c r="E1725" s="72" t="n"/>
      <c r="F1725" s="65" t="n"/>
      <c r="G1725" s="68" t="str">
        <f>IF(J1725&lt;&gt;"OK","",IF(F1725="",N(INDEX(mat_loss,MATCH(B1725,mat_ref,0))),F1725))</f>
        <v/>
      </c>
      <c r="H1725" s="66" t="str">
        <f>IF(J1725&lt;&gt;"OK","",INDEX(mat_price,MATCH(B1725,mat_ref,0)))</f>
        <v/>
      </c>
      <c r="I1725" s="66" t="str">
        <f>IF(J1725&lt;&gt;"OK","",E1725*(1+G1725)*H1725)</f>
        <v/>
      </c>
      <c r="J1725" s="69" t="str">
        <f>IF(AND(A1725="",B1725=""),"",IF(A1725="","Produit manquant",IF(COUNTIF(prod_ref,A1725)=0,"Produit inconnu",IF(B1725="","Matière manquante",IF(ISNA(MATCH(B1725,mat_ref,0)),"Matière inconnue",IF(INDEX(mat_check,MATCH(B1725,mat_ref,0))&lt;&gt;"OK","Matière à corriger",IF(OR(NOT(ISNUMBER(E1725)),N(E1725)&lt;=0),"Quantité invalide",IF(AND(F1725&lt;&gt;"",OR(NOT(ISNUMBER(F1725)),N(F1725)&lt;0,N(F1725)&gt;=1)),"Perte entre 0 et 99 %",IF(COUNTIFS(bom_prod,A1725,bom_mat,B1725)&gt;1,"Matière en double","OK")))))))))</f>
        <v/>
      </c>
      <c r="K1725" s="71" t="str">
        <f>IF(AND(fiche_sel&lt;&gt;"",A1725=fiche_sel),COUNTIF(A$6:A1725,fiche_sel),"")</f>
        <v/>
      </c>
    </row>
    <row r="1726">
      <c r="A1726" s="60" t="n"/>
      <c r="B1726" s="60" t="n"/>
      <c r="C1726" s="71" t="str">
        <f>IF(B1726="","",IFERROR(INDEX(mat_des,MATCH(B1726,mat_ref,0))&amp;"","Matière inconnue"))</f>
        <v/>
      </c>
      <c r="D1726" s="69" t="str">
        <f>IF(B1726="","",IFERROR(INDEX(mat_unit,MATCH(B1726,mat_ref,0))&amp;"",""))</f>
        <v/>
      </c>
      <c r="E1726" s="72" t="n"/>
      <c r="F1726" s="65" t="n"/>
      <c r="G1726" s="68" t="str">
        <f>IF(J1726&lt;&gt;"OK","",IF(F1726="",N(INDEX(mat_loss,MATCH(B1726,mat_ref,0))),F1726))</f>
        <v/>
      </c>
      <c r="H1726" s="66" t="str">
        <f>IF(J1726&lt;&gt;"OK","",INDEX(mat_price,MATCH(B1726,mat_ref,0)))</f>
        <v/>
      </c>
      <c r="I1726" s="66" t="str">
        <f>IF(J1726&lt;&gt;"OK","",E1726*(1+G1726)*H1726)</f>
        <v/>
      </c>
      <c r="J1726" s="69" t="str">
        <f>IF(AND(A1726="",B1726=""),"",IF(A1726="","Produit manquant",IF(COUNTIF(prod_ref,A1726)=0,"Produit inconnu",IF(B1726="","Matière manquante",IF(ISNA(MATCH(B1726,mat_ref,0)),"Matière inconnue",IF(INDEX(mat_check,MATCH(B1726,mat_ref,0))&lt;&gt;"OK","Matière à corriger",IF(OR(NOT(ISNUMBER(E1726)),N(E1726)&lt;=0),"Quantité invalide",IF(AND(F1726&lt;&gt;"",OR(NOT(ISNUMBER(F1726)),N(F1726)&lt;0,N(F1726)&gt;=1)),"Perte entre 0 et 99 %",IF(COUNTIFS(bom_prod,A1726,bom_mat,B1726)&gt;1,"Matière en double","OK")))))))))</f>
        <v/>
      </c>
      <c r="K1726" s="71" t="str">
        <f>IF(AND(fiche_sel&lt;&gt;"",A1726=fiche_sel),COUNTIF(A$6:A1726,fiche_sel),"")</f>
        <v/>
      </c>
    </row>
    <row r="1727">
      <c r="A1727" s="60" t="n"/>
      <c r="B1727" s="60" t="n"/>
      <c r="C1727" s="71" t="str">
        <f>IF(B1727="","",IFERROR(INDEX(mat_des,MATCH(B1727,mat_ref,0))&amp;"","Matière inconnue"))</f>
        <v/>
      </c>
      <c r="D1727" s="69" t="str">
        <f>IF(B1727="","",IFERROR(INDEX(mat_unit,MATCH(B1727,mat_ref,0))&amp;"",""))</f>
        <v/>
      </c>
      <c r="E1727" s="72" t="n"/>
      <c r="F1727" s="65" t="n"/>
      <c r="G1727" s="68" t="str">
        <f>IF(J1727&lt;&gt;"OK","",IF(F1727="",N(INDEX(mat_loss,MATCH(B1727,mat_ref,0))),F1727))</f>
        <v/>
      </c>
      <c r="H1727" s="66" t="str">
        <f>IF(J1727&lt;&gt;"OK","",INDEX(mat_price,MATCH(B1727,mat_ref,0)))</f>
        <v/>
      </c>
      <c r="I1727" s="66" t="str">
        <f>IF(J1727&lt;&gt;"OK","",E1727*(1+G1727)*H1727)</f>
        <v/>
      </c>
      <c r="J1727" s="69" t="str">
        <f>IF(AND(A1727="",B1727=""),"",IF(A1727="","Produit manquant",IF(COUNTIF(prod_ref,A1727)=0,"Produit inconnu",IF(B1727="","Matière manquante",IF(ISNA(MATCH(B1727,mat_ref,0)),"Matière inconnue",IF(INDEX(mat_check,MATCH(B1727,mat_ref,0))&lt;&gt;"OK","Matière à corriger",IF(OR(NOT(ISNUMBER(E1727)),N(E1727)&lt;=0),"Quantité invalide",IF(AND(F1727&lt;&gt;"",OR(NOT(ISNUMBER(F1727)),N(F1727)&lt;0,N(F1727)&gt;=1)),"Perte entre 0 et 99 %",IF(COUNTIFS(bom_prod,A1727,bom_mat,B1727)&gt;1,"Matière en double","OK")))))))))</f>
        <v/>
      </c>
      <c r="K1727" s="71" t="str">
        <f>IF(AND(fiche_sel&lt;&gt;"",A1727=fiche_sel),COUNTIF(A$6:A1727,fiche_sel),"")</f>
        <v/>
      </c>
    </row>
    <row r="1728">
      <c r="A1728" s="60" t="n"/>
      <c r="B1728" s="60" t="n"/>
      <c r="C1728" s="71" t="str">
        <f>IF(B1728="","",IFERROR(INDEX(mat_des,MATCH(B1728,mat_ref,0))&amp;"","Matière inconnue"))</f>
        <v/>
      </c>
      <c r="D1728" s="69" t="str">
        <f>IF(B1728="","",IFERROR(INDEX(mat_unit,MATCH(B1728,mat_ref,0))&amp;"",""))</f>
        <v/>
      </c>
      <c r="E1728" s="72" t="n"/>
      <c r="F1728" s="65" t="n"/>
      <c r="G1728" s="68" t="str">
        <f>IF(J1728&lt;&gt;"OK","",IF(F1728="",N(INDEX(mat_loss,MATCH(B1728,mat_ref,0))),F1728))</f>
        <v/>
      </c>
      <c r="H1728" s="66" t="str">
        <f>IF(J1728&lt;&gt;"OK","",INDEX(mat_price,MATCH(B1728,mat_ref,0)))</f>
        <v/>
      </c>
      <c r="I1728" s="66" t="str">
        <f>IF(J1728&lt;&gt;"OK","",E1728*(1+G1728)*H1728)</f>
        <v/>
      </c>
      <c r="J1728" s="69" t="str">
        <f>IF(AND(A1728="",B1728=""),"",IF(A1728="","Produit manquant",IF(COUNTIF(prod_ref,A1728)=0,"Produit inconnu",IF(B1728="","Matière manquante",IF(ISNA(MATCH(B1728,mat_ref,0)),"Matière inconnue",IF(INDEX(mat_check,MATCH(B1728,mat_ref,0))&lt;&gt;"OK","Matière à corriger",IF(OR(NOT(ISNUMBER(E1728)),N(E1728)&lt;=0),"Quantité invalide",IF(AND(F1728&lt;&gt;"",OR(NOT(ISNUMBER(F1728)),N(F1728)&lt;0,N(F1728)&gt;=1)),"Perte entre 0 et 99 %",IF(COUNTIFS(bom_prod,A1728,bom_mat,B1728)&gt;1,"Matière en double","OK")))))))))</f>
        <v/>
      </c>
      <c r="K1728" s="71" t="str">
        <f>IF(AND(fiche_sel&lt;&gt;"",A1728=fiche_sel),COUNTIF(A$6:A1728,fiche_sel),"")</f>
        <v/>
      </c>
    </row>
    <row r="1729">
      <c r="A1729" s="60" t="n"/>
      <c r="B1729" s="60" t="n"/>
      <c r="C1729" s="71" t="str">
        <f>IF(B1729="","",IFERROR(INDEX(mat_des,MATCH(B1729,mat_ref,0))&amp;"","Matière inconnue"))</f>
        <v/>
      </c>
      <c r="D1729" s="69" t="str">
        <f>IF(B1729="","",IFERROR(INDEX(mat_unit,MATCH(B1729,mat_ref,0))&amp;"",""))</f>
        <v/>
      </c>
      <c r="E1729" s="72" t="n"/>
      <c r="F1729" s="65" t="n"/>
      <c r="G1729" s="68" t="str">
        <f>IF(J1729&lt;&gt;"OK","",IF(F1729="",N(INDEX(mat_loss,MATCH(B1729,mat_ref,0))),F1729))</f>
        <v/>
      </c>
      <c r="H1729" s="66" t="str">
        <f>IF(J1729&lt;&gt;"OK","",INDEX(mat_price,MATCH(B1729,mat_ref,0)))</f>
        <v/>
      </c>
      <c r="I1729" s="66" t="str">
        <f>IF(J1729&lt;&gt;"OK","",E1729*(1+G1729)*H1729)</f>
        <v/>
      </c>
      <c r="J1729" s="69" t="str">
        <f>IF(AND(A1729="",B1729=""),"",IF(A1729="","Produit manquant",IF(COUNTIF(prod_ref,A1729)=0,"Produit inconnu",IF(B1729="","Matière manquante",IF(ISNA(MATCH(B1729,mat_ref,0)),"Matière inconnue",IF(INDEX(mat_check,MATCH(B1729,mat_ref,0))&lt;&gt;"OK","Matière à corriger",IF(OR(NOT(ISNUMBER(E1729)),N(E1729)&lt;=0),"Quantité invalide",IF(AND(F1729&lt;&gt;"",OR(NOT(ISNUMBER(F1729)),N(F1729)&lt;0,N(F1729)&gt;=1)),"Perte entre 0 et 99 %",IF(COUNTIFS(bom_prod,A1729,bom_mat,B1729)&gt;1,"Matière en double","OK")))))))))</f>
        <v/>
      </c>
      <c r="K1729" s="71" t="str">
        <f>IF(AND(fiche_sel&lt;&gt;"",A1729=fiche_sel),COUNTIF(A$6:A1729,fiche_sel),"")</f>
        <v/>
      </c>
    </row>
    <row r="1730">
      <c r="A1730" s="60" t="n"/>
      <c r="B1730" s="60" t="n"/>
      <c r="C1730" s="71" t="str">
        <f>IF(B1730="","",IFERROR(INDEX(mat_des,MATCH(B1730,mat_ref,0))&amp;"","Matière inconnue"))</f>
        <v/>
      </c>
      <c r="D1730" s="69" t="str">
        <f>IF(B1730="","",IFERROR(INDEX(mat_unit,MATCH(B1730,mat_ref,0))&amp;"",""))</f>
        <v/>
      </c>
      <c r="E1730" s="72" t="n"/>
      <c r="F1730" s="65" t="n"/>
      <c r="G1730" s="68" t="str">
        <f>IF(J1730&lt;&gt;"OK","",IF(F1730="",N(INDEX(mat_loss,MATCH(B1730,mat_ref,0))),F1730))</f>
        <v/>
      </c>
      <c r="H1730" s="66" t="str">
        <f>IF(J1730&lt;&gt;"OK","",INDEX(mat_price,MATCH(B1730,mat_ref,0)))</f>
        <v/>
      </c>
      <c r="I1730" s="66" t="str">
        <f>IF(J1730&lt;&gt;"OK","",E1730*(1+G1730)*H1730)</f>
        <v/>
      </c>
      <c r="J1730" s="69" t="str">
        <f>IF(AND(A1730="",B1730=""),"",IF(A1730="","Produit manquant",IF(COUNTIF(prod_ref,A1730)=0,"Produit inconnu",IF(B1730="","Matière manquante",IF(ISNA(MATCH(B1730,mat_ref,0)),"Matière inconnue",IF(INDEX(mat_check,MATCH(B1730,mat_ref,0))&lt;&gt;"OK","Matière à corriger",IF(OR(NOT(ISNUMBER(E1730)),N(E1730)&lt;=0),"Quantité invalide",IF(AND(F1730&lt;&gt;"",OR(NOT(ISNUMBER(F1730)),N(F1730)&lt;0,N(F1730)&gt;=1)),"Perte entre 0 et 99 %",IF(COUNTIFS(bom_prod,A1730,bom_mat,B1730)&gt;1,"Matière en double","OK")))))))))</f>
        <v/>
      </c>
      <c r="K1730" s="71" t="str">
        <f>IF(AND(fiche_sel&lt;&gt;"",A1730=fiche_sel),COUNTIF(A$6:A1730,fiche_sel),"")</f>
        <v/>
      </c>
    </row>
    <row r="1731">
      <c r="A1731" s="60" t="n"/>
      <c r="B1731" s="60" t="n"/>
      <c r="C1731" s="71" t="str">
        <f>IF(B1731="","",IFERROR(INDEX(mat_des,MATCH(B1731,mat_ref,0))&amp;"","Matière inconnue"))</f>
        <v/>
      </c>
      <c r="D1731" s="69" t="str">
        <f>IF(B1731="","",IFERROR(INDEX(mat_unit,MATCH(B1731,mat_ref,0))&amp;"",""))</f>
        <v/>
      </c>
      <c r="E1731" s="72" t="n"/>
      <c r="F1731" s="65" t="n"/>
      <c r="G1731" s="68" t="str">
        <f>IF(J1731&lt;&gt;"OK","",IF(F1731="",N(INDEX(mat_loss,MATCH(B1731,mat_ref,0))),F1731))</f>
        <v/>
      </c>
      <c r="H1731" s="66" t="str">
        <f>IF(J1731&lt;&gt;"OK","",INDEX(mat_price,MATCH(B1731,mat_ref,0)))</f>
        <v/>
      </c>
      <c r="I1731" s="66" t="str">
        <f>IF(J1731&lt;&gt;"OK","",E1731*(1+G1731)*H1731)</f>
        <v/>
      </c>
      <c r="J1731" s="69" t="str">
        <f>IF(AND(A1731="",B1731=""),"",IF(A1731="","Produit manquant",IF(COUNTIF(prod_ref,A1731)=0,"Produit inconnu",IF(B1731="","Matière manquante",IF(ISNA(MATCH(B1731,mat_ref,0)),"Matière inconnue",IF(INDEX(mat_check,MATCH(B1731,mat_ref,0))&lt;&gt;"OK","Matière à corriger",IF(OR(NOT(ISNUMBER(E1731)),N(E1731)&lt;=0),"Quantité invalide",IF(AND(F1731&lt;&gt;"",OR(NOT(ISNUMBER(F1731)),N(F1731)&lt;0,N(F1731)&gt;=1)),"Perte entre 0 et 99 %",IF(COUNTIFS(bom_prod,A1731,bom_mat,B1731)&gt;1,"Matière en double","OK")))))))))</f>
        <v/>
      </c>
      <c r="K1731" s="71" t="str">
        <f>IF(AND(fiche_sel&lt;&gt;"",A1731=fiche_sel),COUNTIF(A$6:A1731,fiche_sel),"")</f>
        <v/>
      </c>
    </row>
    <row r="1732">
      <c r="A1732" s="60" t="n"/>
      <c r="B1732" s="60" t="n"/>
      <c r="C1732" s="71" t="str">
        <f>IF(B1732="","",IFERROR(INDEX(mat_des,MATCH(B1732,mat_ref,0))&amp;"","Matière inconnue"))</f>
        <v/>
      </c>
      <c r="D1732" s="69" t="str">
        <f>IF(B1732="","",IFERROR(INDEX(mat_unit,MATCH(B1732,mat_ref,0))&amp;"",""))</f>
        <v/>
      </c>
      <c r="E1732" s="72" t="n"/>
      <c r="F1732" s="65" t="n"/>
      <c r="G1732" s="68" t="str">
        <f>IF(J1732&lt;&gt;"OK","",IF(F1732="",N(INDEX(mat_loss,MATCH(B1732,mat_ref,0))),F1732))</f>
        <v/>
      </c>
      <c r="H1732" s="66" t="str">
        <f>IF(J1732&lt;&gt;"OK","",INDEX(mat_price,MATCH(B1732,mat_ref,0)))</f>
        <v/>
      </c>
      <c r="I1732" s="66" t="str">
        <f>IF(J1732&lt;&gt;"OK","",E1732*(1+G1732)*H1732)</f>
        <v/>
      </c>
      <c r="J1732" s="69" t="str">
        <f>IF(AND(A1732="",B1732=""),"",IF(A1732="","Produit manquant",IF(COUNTIF(prod_ref,A1732)=0,"Produit inconnu",IF(B1732="","Matière manquante",IF(ISNA(MATCH(B1732,mat_ref,0)),"Matière inconnue",IF(INDEX(mat_check,MATCH(B1732,mat_ref,0))&lt;&gt;"OK","Matière à corriger",IF(OR(NOT(ISNUMBER(E1732)),N(E1732)&lt;=0),"Quantité invalide",IF(AND(F1732&lt;&gt;"",OR(NOT(ISNUMBER(F1732)),N(F1732)&lt;0,N(F1732)&gt;=1)),"Perte entre 0 et 99 %",IF(COUNTIFS(bom_prod,A1732,bom_mat,B1732)&gt;1,"Matière en double","OK")))))))))</f>
        <v/>
      </c>
      <c r="K1732" s="71" t="str">
        <f>IF(AND(fiche_sel&lt;&gt;"",A1732=fiche_sel),COUNTIF(A$6:A1732,fiche_sel),"")</f>
        <v/>
      </c>
    </row>
    <row r="1733">
      <c r="A1733" s="60" t="n"/>
      <c r="B1733" s="60" t="n"/>
      <c r="C1733" s="71" t="str">
        <f>IF(B1733="","",IFERROR(INDEX(mat_des,MATCH(B1733,mat_ref,0))&amp;"","Matière inconnue"))</f>
        <v/>
      </c>
      <c r="D1733" s="69" t="str">
        <f>IF(B1733="","",IFERROR(INDEX(mat_unit,MATCH(B1733,mat_ref,0))&amp;"",""))</f>
        <v/>
      </c>
      <c r="E1733" s="72" t="n"/>
      <c r="F1733" s="65" t="n"/>
      <c r="G1733" s="68" t="str">
        <f>IF(J1733&lt;&gt;"OK","",IF(F1733="",N(INDEX(mat_loss,MATCH(B1733,mat_ref,0))),F1733))</f>
        <v/>
      </c>
      <c r="H1733" s="66" t="str">
        <f>IF(J1733&lt;&gt;"OK","",INDEX(mat_price,MATCH(B1733,mat_ref,0)))</f>
        <v/>
      </c>
      <c r="I1733" s="66" t="str">
        <f>IF(J1733&lt;&gt;"OK","",E1733*(1+G1733)*H1733)</f>
        <v/>
      </c>
      <c r="J1733" s="69" t="str">
        <f>IF(AND(A1733="",B1733=""),"",IF(A1733="","Produit manquant",IF(COUNTIF(prod_ref,A1733)=0,"Produit inconnu",IF(B1733="","Matière manquante",IF(ISNA(MATCH(B1733,mat_ref,0)),"Matière inconnue",IF(INDEX(mat_check,MATCH(B1733,mat_ref,0))&lt;&gt;"OK","Matière à corriger",IF(OR(NOT(ISNUMBER(E1733)),N(E1733)&lt;=0),"Quantité invalide",IF(AND(F1733&lt;&gt;"",OR(NOT(ISNUMBER(F1733)),N(F1733)&lt;0,N(F1733)&gt;=1)),"Perte entre 0 et 99 %",IF(COUNTIFS(bom_prod,A1733,bom_mat,B1733)&gt;1,"Matière en double","OK")))))))))</f>
        <v/>
      </c>
      <c r="K1733" s="71" t="str">
        <f>IF(AND(fiche_sel&lt;&gt;"",A1733=fiche_sel),COUNTIF(A$6:A1733,fiche_sel),"")</f>
        <v/>
      </c>
    </row>
    <row r="1734">
      <c r="A1734" s="60" t="n"/>
      <c r="B1734" s="60" t="n"/>
      <c r="C1734" s="71" t="str">
        <f>IF(B1734="","",IFERROR(INDEX(mat_des,MATCH(B1734,mat_ref,0))&amp;"","Matière inconnue"))</f>
        <v/>
      </c>
      <c r="D1734" s="69" t="str">
        <f>IF(B1734="","",IFERROR(INDEX(mat_unit,MATCH(B1734,mat_ref,0))&amp;"",""))</f>
        <v/>
      </c>
      <c r="E1734" s="72" t="n"/>
      <c r="F1734" s="65" t="n"/>
      <c r="G1734" s="68" t="str">
        <f>IF(J1734&lt;&gt;"OK","",IF(F1734="",N(INDEX(mat_loss,MATCH(B1734,mat_ref,0))),F1734))</f>
        <v/>
      </c>
      <c r="H1734" s="66" t="str">
        <f>IF(J1734&lt;&gt;"OK","",INDEX(mat_price,MATCH(B1734,mat_ref,0)))</f>
        <v/>
      </c>
      <c r="I1734" s="66" t="str">
        <f>IF(J1734&lt;&gt;"OK","",E1734*(1+G1734)*H1734)</f>
        <v/>
      </c>
      <c r="J1734" s="69" t="str">
        <f>IF(AND(A1734="",B1734=""),"",IF(A1734="","Produit manquant",IF(COUNTIF(prod_ref,A1734)=0,"Produit inconnu",IF(B1734="","Matière manquante",IF(ISNA(MATCH(B1734,mat_ref,0)),"Matière inconnue",IF(INDEX(mat_check,MATCH(B1734,mat_ref,0))&lt;&gt;"OK","Matière à corriger",IF(OR(NOT(ISNUMBER(E1734)),N(E1734)&lt;=0),"Quantité invalide",IF(AND(F1734&lt;&gt;"",OR(NOT(ISNUMBER(F1734)),N(F1734)&lt;0,N(F1734)&gt;=1)),"Perte entre 0 et 99 %",IF(COUNTIFS(bom_prod,A1734,bom_mat,B1734)&gt;1,"Matière en double","OK")))))))))</f>
        <v/>
      </c>
      <c r="K1734" s="71" t="str">
        <f>IF(AND(fiche_sel&lt;&gt;"",A1734=fiche_sel),COUNTIF(A$6:A1734,fiche_sel),"")</f>
        <v/>
      </c>
    </row>
    <row r="1735">
      <c r="A1735" s="60" t="n"/>
      <c r="B1735" s="60" t="n"/>
      <c r="C1735" s="71" t="str">
        <f>IF(B1735="","",IFERROR(INDEX(mat_des,MATCH(B1735,mat_ref,0))&amp;"","Matière inconnue"))</f>
        <v/>
      </c>
      <c r="D1735" s="69" t="str">
        <f>IF(B1735="","",IFERROR(INDEX(mat_unit,MATCH(B1735,mat_ref,0))&amp;"",""))</f>
        <v/>
      </c>
      <c r="E1735" s="72" t="n"/>
      <c r="F1735" s="65" t="n"/>
      <c r="G1735" s="68" t="str">
        <f>IF(J1735&lt;&gt;"OK","",IF(F1735="",N(INDEX(mat_loss,MATCH(B1735,mat_ref,0))),F1735))</f>
        <v/>
      </c>
      <c r="H1735" s="66" t="str">
        <f>IF(J1735&lt;&gt;"OK","",INDEX(mat_price,MATCH(B1735,mat_ref,0)))</f>
        <v/>
      </c>
      <c r="I1735" s="66" t="str">
        <f>IF(J1735&lt;&gt;"OK","",E1735*(1+G1735)*H1735)</f>
        <v/>
      </c>
      <c r="J1735" s="69" t="str">
        <f>IF(AND(A1735="",B1735=""),"",IF(A1735="","Produit manquant",IF(COUNTIF(prod_ref,A1735)=0,"Produit inconnu",IF(B1735="","Matière manquante",IF(ISNA(MATCH(B1735,mat_ref,0)),"Matière inconnue",IF(INDEX(mat_check,MATCH(B1735,mat_ref,0))&lt;&gt;"OK","Matière à corriger",IF(OR(NOT(ISNUMBER(E1735)),N(E1735)&lt;=0),"Quantité invalide",IF(AND(F1735&lt;&gt;"",OR(NOT(ISNUMBER(F1735)),N(F1735)&lt;0,N(F1735)&gt;=1)),"Perte entre 0 et 99 %",IF(COUNTIFS(bom_prod,A1735,bom_mat,B1735)&gt;1,"Matière en double","OK")))))))))</f>
        <v/>
      </c>
      <c r="K1735" s="71" t="str">
        <f>IF(AND(fiche_sel&lt;&gt;"",A1735=fiche_sel),COUNTIF(A$6:A1735,fiche_sel),"")</f>
        <v/>
      </c>
    </row>
    <row r="1736">
      <c r="A1736" s="60" t="n"/>
      <c r="B1736" s="60" t="n"/>
      <c r="C1736" s="71" t="str">
        <f>IF(B1736="","",IFERROR(INDEX(mat_des,MATCH(B1736,mat_ref,0))&amp;"","Matière inconnue"))</f>
        <v/>
      </c>
      <c r="D1736" s="69" t="str">
        <f>IF(B1736="","",IFERROR(INDEX(mat_unit,MATCH(B1736,mat_ref,0))&amp;"",""))</f>
        <v/>
      </c>
      <c r="E1736" s="72" t="n"/>
      <c r="F1736" s="65" t="n"/>
      <c r="G1736" s="68" t="str">
        <f>IF(J1736&lt;&gt;"OK","",IF(F1736="",N(INDEX(mat_loss,MATCH(B1736,mat_ref,0))),F1736))</f>
        <v/>
      </c>
      <c r="H1736" s="66" t="str">
        <f>IF(J1736&lt;&gt;"OK","",INDEX(mat_price,MATCH(B1736,mat_ref,0)))</f>
        <v/>
      </c>
      <c r="I1736" s="66" t="str">
        <f>IF(J1736&lt;&gt;"OK","",E1736*(1+G1736)*H1736)</f>
        <v/>
      </c>
      <c r="J1736" s="69" t="str">
        <f>IF(AND(A1736="",B1736=""),"",IF(A1736="","Produit manquant",IF(COUNTIF(prod_ref,A1736)=0,"Produit inconnu",IF(B1736="","Matière manquante",IF(ISNA(MATCH(B1736,mat_ref,0)),"Matière inconnue",IF(INDEX(mat_check,MATCH(B1736,mat_ref,0))&lt;&gt;"OK","Matière à corriger",IF(OR(NOT(ISNUMBER(E1736)),N(E1736)&lt;=0),"Quantité invalide",IF(AND(F1736&lt;&gt;"",OR(NOT(ISNUMBER(F1736)),N(F1736)&lt;0,N(F1736)&gt;=1)),"Perte entre 0 et 99 %",IF(COUNTIFS(bom_prod,A1736,bom_mat,B1736)&gt;1,"Matière en double","OK")))))))))</f>
        <v/>
      </c>
      <c r="K1736" s="71" t="str">
        <f>IF(AND(fiche_sel&lt;&gt;"",A1736=fiche_sel),COUNTIF(A$6:A1736,fiche_sel),"")</f>
        <v/>
      </c>
    </row>
    <row r="1737">
      <c r="A1737" s="60" t="n"/>
      <c r="B1737" s="60" t="n"/>
      <c r="C1737" s="71" t="str">
        <f>IF(B1737="","",IFERROR(INDEX(mat_des,MATCH(B1737,mat_ref,0))&amp;"","Matière inconnue"))</f>
        <v/>
      </c>
      <c r="D1737" s="69" t="str">
        <f>IF(B1737="","",IFERROR(INDEX(mat_unit,MATCH(B1737,mat_ref,0))&amp;"",""))</f>
        <v/>
      </c>
      <c r="E1737" s="72" t="n"/>
      <c r="F1737" s="65" t="n"/>
      <c r="G1737" s="68" t="str">
        <f>IF(J1737&lt;&gt;"OK","",IF(F1737="",N(INDEX(mat_loss,MATCH(B1737,mat_ref,0))),F1737))</f>
        <v/>
      </c>
      <c r="H1737" s="66" t="str">
        <f>IF(J1737&lt;&gt;"OK","",INDEX(mat_price,MATCH(B1737,mat_ref,0)))</f>
        <v/>
      </c>
      <c r="I1737" s="66" t="str">
        <f>IF(J1737&lt;&gt;"OK","",E1737*(1+G1737)*H1737)</f>
        <v/>
      </c>
      <c r="J1737" s="69" t="str">
        <f>IF(AND(A1737="",B1737=""),"",IF(A1737="","Produit manquant",IF(COUNTIF(prod_ref,A1737)=0,"Produit inconnu",IF(B1737="","Matière manquante",IF(ISNA(MATCH(B1737,mat_ref,0)),"Matière inconnue",IF(INDEX(mat_check,MATCH(B1737,mat_ref,0))&lt;&gt;"OK","Matière à corriger",IF(OR(NOT(ISNUMBER(E1737)),N(E1737)&lt;=0),"Quantité invalide",IF(AND(F1737&lt;&gt;"",OR(NOT(ISNUMBER(F1737)),N(F1737)&lt;0,N(F1737)&gt;=1)),"Perte entre 0 et 99 %",IF(COUNTIFS(bom_prod,A1737,bom_mat,B1737)&gt;1,"Matière en double","OK")))))))))</f>
        <v/>
      </c>
      <c r="K1737" s="71" t="str">
        <f>IF(AND(fiche_sel&lt;&gt;"",A1737=fiche_sel),COUNTIF(A$6:A1737,fiche_sel),"")</f>
        <v/>
      </c>
    </row>
    <row r="1738">
      <c r="A1738" s="60" t="n"/>
      <c r="B1738" s="60" t="n"/>
      <c r="C1738" s="71" t="str">
        <f>IF(B1738="","",IFERROR(INDEX(mat_des,MATCH(B1738,mat_ref,0))&amp;"","Matière inconnue"))</f>
        <v/>
      </c>
      <c r="D1738" s="69" t="str">
        <f>IF(B1738="","",IFERROR(INDEX(mat_unit,MATCH(B1738,mat_ref,0))&amp;"",""))</f>
        <v/>
      </c>
      <c r="E1738" s="72" t="n"/>
      <c r="F1738" s="65" t="n"/>
      <c r="G1738" s="68" t="str">
        <f>IF(J1738&lt;&gt;"OK","",IF(F1738="",N(INDEX(mat_loss,MATCH(B1738,mat_ref,0))),F1738))</f>
        <v/>
      </c>
      <c r="H1738" s="66" t="str">
        <f>IF(J1738&lt;&gt;"OK","",INDEX(mat_price,MATCH(B1738,mat_ref,0)))</f>
        <v/>
      </c>
      <c r="I1738" s="66" t="str">
        <f>IF(J1738&lt;&gt;"OK","",E1738*(1+G1738)*H1738)</f>
        <v/>
      </c>
      <c r="J1738" s="69" t="str">
        <f>IF(AND(A1738="",B1738=""),"",IF(A1738="","Produit manquant",IF(COUNTIF(prod_ref,A1738)=0,"Produit inconnu",IF(B1738="","Matière manquante",IF(ISNA(MATCH(B1738,mat_ref,0)),"Matière inconnue",IF(INDEX(mat_check,MATCH(B1738,mat_ref,0))&lt;&gt;"OK","Matière à corriger",IF(OR(NOT(ISNUMBER(E1738)),N(E1738)&lt;=0),"Quantité invalide",IF(AND(F1738&lt;&gt;"",OR(NOT(ISNUMBER(F1738)),N(F1738)&lt;0,N(F1738)&gt;=1)),"Perte entre 0 et 99 %",IF(COUNTIFS(bom_prod,A1738,bom_mat,B1738)&gt;1,"Matière en double","OK")))))))))</f>
        <v/>
      </c>
      <c r="K1738" s="71" t="str">
        <f>IF(AND(fiche_sel&lt;&gt;"",A1738=fiche_sel),COUNTIF(A$6:A1738,fiche_sel),"")</f>
        <v/>
      </c>
    </row>
    <row r="1739">
      <c r="A1739" s="60" t="n"/>
      <c r="B1739" s="60" t="n"/>
      <c r="C1739" s="71" t="str">
        <f>IF(B1739="","",IFERROR(INDEX(mat_des,MATCH(B1739,mat_ref,0))&amp;"","Matière inconnue"))</f>
        <v/>
      </c>
      <c r="D1739" s="69" t="str">
        <f>IF(B1739="","",IFERROR(INDEX(mat_unit,MATCH(B1739,mat_ref,0))&amp;"",""))</f>
        <v/>
      </c>
      <c r="E1739" s="72" t="n"/>
      <c r="F1739" s="65" t="n"/>
      <c r="G1739" s="68" t="str">
        <f>IF(J1739&lt;&gt;"OK","",IF(F1739="",N(INDEX(mat_loss,MATCH(B1739,mat_ref,0))),F1739))</f>
        <v/>
      </c>
      <c r="H1739" s="66" t="str">
        <f>IF(J1739&lt;&gt;"OK","",INDEX(mat_price,MATCH(B1739,mat_ref,0)))</f>
        <v/>
      </c>
      <c r="I1739" s="66" t="str">
        <f>IF(J1739&lt;&gt;"OK","",E1739*(1+G1739)*H1739)</f>
        <v/>
      </c>
      <c r="J1739" s="69" t="str">
        <f>IF(AND(A1739="",B1739=""),"",IF(A1739="","Produit manquant",IF(COUNTIF(prod_ref,A1739)=0,"Produit inconnu",IF(B1739="","Matière manquante",IF(ISNA(MATCH(B1739,mat_ref,0)),"Matière inconnue",IF(INDEX(mat_check,MATCH(B1739,mat_ref,0))&lt;&gt;"OK","Matière à corriger",IF(OR(NOT(ISNUMBER(E1739)),N(E1739)&lt;=0),"Quantité invalide",IF(AND(F1739&lt;&gt;"",OR(NOT(ISNUMBER(F1739)),N(F1739)&lt;0,N(F1739)&gt;=1)),"Perte entre 0 et 99 %",IF(COUNTIFS(bom_prod,A1739,bom_mat,B1739)&gt;1,"Matière en double","OK")))))))))</f>
        <v/>
      </c>
      <c r="K1739" s="71" t="str">
        <f>IF(AND(fiche_sel&lt;&gt;"",A1739=fiche_sel),COUNTIF(A$6:A1739,fiche_sel),"")</f>
        <v/>
      </c>
    </row>
    <row r="1740">
      <c r="A1740" s="60" t="n"/>
      <c r="B1740" s="60" t="n"/>
      <c r="C1740" s="71" t="str">
        <f>IF(B1740="","",IFERROR(INDEX(mat_des,MATCH(B1740,mat_ref,0))&amp;"","Matière inconnue"))</f>
        <v/>
      </c>
      <c r="D1740" s="69" t="str">
        <f>IF(B1740="","",IFERROR(INDEX(mat_unit,MATCH(B1740,mat_ref,0))&amp;"",""))</f>
        <v/>
      </c>
      <c r="E1740" s="72" t="n"/>
      <c r="F1740" s="65" t="n"/>
      <c r="G1740" s="68" t="str">
        <f>IF(J1740&lt;&gt;"OK","",IF(F1740="",N(INDEX(mat_loss,MATCH(B1740,mat_ref,0))),F1740))</f>
        <v/>
      </c>
      <c r="H1740" s="66" t="str">
        <f>IF(J1740&lt;&gt;"OK","",INDEX(mat_price,MATCH(B1740,mat_ref,0)))</f>
        <v/>
      </c>
      <c r="I1740" s="66" t="str">
        <f>IF(J1740&lt;&gt;"OK","",E1740*(1+G1740)*H1740)</f>
        <v/>
      </c>
      <c r="J1740" s="69" t="str">
        <f>IF(AND(A1740="",B1740=""),"",IF(A1740="","Produit manquant",IF(COUNTIF(prod_ref,A1740)=0,"Produit inconnu",IF(B1740="","Matière manquante",IF(ISNA(MATCH(B1740,mat_ref,0)),"Matière inconnue",IF(INDEX(mat_check,MATCH(B1740,mat_ref,0))&lt;&gt;"OK","Matière à corriger",IF(OR(NOT(ISNUMBER(E1740)),N(E1740)&lt;=0),"Quantité invalide",IF(AND(F1740&lt;&gt;"",OR(NOT(ISNUMBER(F1740)),N(F1740)&lt;0,N(F1740)&gt;=1)),"Perte entre 0 et 99 %",IF(COUNTIFS(bom_prod,A1740,bom_mat,B1740)&gt;1,"Matière en double","OK")))))))))</f>
        <v/>
      </c>
      <c r="K1740" s="71" t="str">
        <f>IF(AND(fiche_sel&lt;&gt;"",A1740=fiche_sel),COUNTIF(A$6:A1740,fiche_sel),"")</f>
        <v/>
      </c>
    </row>
    <row r="1741">
      <c r="A1741" s="60" t="n"/>
      <c r="B1741" s="60" t="n"/>
      <c r="C1741" s="71" t="str">
        <f>IF(B1741="","",IFERROR(INDEX(mat_des,MATCH(B1741,mat_ref,0))&amp;"","Matière inconnue"))</f>
        <v/>
      </c>
      <c r="D1741" s="69" t="str">
        <f>IF(B1741="","",IFERROR(INDEX(mat_unit,MATCH(B1741,mat_ref,0))&amp;"",""))</f>
        <v/>
      </c>
      <c r="E1741" s="72" t="n"/>
      <c r="F1741" s="65" t="n"/>
      <c r="G1741" s="68" t="str">
        <f>IF(J1741&lt;&gt;"OK","",IF(F1741="",N(INDEX(mat_loss,MATCH(B1741,mat_ref,0))),F1741))</f>
        <v/>
      </c>
      <c r="H1741" s="66" t="str">
        <f>IF(J1741&lt;&gt;"OK","",INDEX(mat_price,MATCH(B1741,mat_ref,0)))</f>
        <v/>
      </c>
      <c r="I1741" s="66" t="str">
        <f>IF(J1741&lt;&gt;"OK","",E1741*(1+G1741)*H1741)</f>
        <v/>
      </c>
      <c r="J1741" s="69" t="str">
        <f>IF(AND(A1741="",B1741=""),"",IF(A1741="","Produit manquant",IF(COUNTIF(prod_ref,A1741)=0,"Produit inconnu",IF(B1741="","Matière manquante",IF(ISNA(MATCH(B1741,mat_ref,0)),"Matière inconnue",IF(INDEX(mat_check,MATCH(B1741,mat_ref,0))&lt;&gt;"OK","Matière à corriger",IF(OR(NOT(ISNUMBER(E1741)),N(E1741)&lt;=0),"Quantité invalide",IF(AND(F1741&lt;&gt;"",OR(NOT(ISNUMBER(F1741)),N(F1741)&lt;0,N(F1741)&gt;=1)),"Perte entre 0 et 99 %",IF(COUNTIFS(bom_prod,A1741,bom_mat,B1741)&gt;1,"Matière en double","OK")))))))))</f>
        <v/>
      </c>
      <c r="K1741" s="71" t="str">
        <f>IF(AND(fiche_sel&lt;&gt;"",A1741=fiche_sel),COUNTIF(A$6:A1741,fiche_sel),"")</f>
        <v/>
      </c>
    </row>
    <row r="1742">
      <c r="A1742" s="60" t="n"/>
      <c r="B1742" s="60" t="n"/>
      <c r="C1742" s="71" t="str">
        <f>IF(B1742="","",IFERROR(INDEX(mat_des,MATCH(B1742,mat_ref,0))&amp;"","Matière inconnue"))</f>
        <v/>
      </c>
      <c r="D1742" s="69" t="str">
        <f>IF(B1742="","",IFERROR(INDEX(mat_unit,MATCH(B1742,mat_ref,0))&amp;"",""))</f>
        <v/>
      </c>
      <c r="E1742" s="72" t="n"/>
      <c r="F1742" s="65" t="n"/>
      <c r="G1742" s="68" t="str">
        <f>IF(J1742&lt;&gt;"OK","",IF(F1742="",N(INDEX(mat_loss,MATCH(B1742,mat_ref,0))),F1742))</f>
        <v/>
      </c>
      <c r="H1742" s="66" t="str">
        <f>IF(J1742&lt;&gt;"OK","",INDEX(mat_price,MATCH(B1742,mat_ref,0)))</f>
        <v/>
      </c>
      <c r="I1742" s="66" t="str">
        <f>IF(J1742&lt;&gt;"OK","",E1742*(1+G1742)*H1742)</f>
        <v/>
      </c>
      <c r="J1742" s="69" t="str">
        <f>IF(AND(A1742="",B1742=""),"",IF(A1742="","Produit manquant",IF(COUNTIF(prod_ref,A1742)=0,"Produit inconnu",IF(B1742="","Matière manquante",IF(ISNA(MATCH(B1742,mat_ref,0)),"Matière inconnue",IF(INDEX(mat_check,MATCH(B1742,mat_ref,0))&lt;&gt;"OK","Matière à corriger",IF(OR(NOT(ISNUMBER(E1742)),N(E1742)&lt;=0),"Quantité invalide",IF(AND(F1742&lt;&gt;"",OR(NOT(ISNUMBER(F1742)),N(F1742)&lt;0,N(F1742)&gt;=1)),"Perte entre 0 et 99 %",IF(COUNTIFS(bom_prod,A1742,bom_mat,B1742)&gt;1,"Matière en double","OK")))))))))</f>
        <v/>
      </c>
      <c r="K1742" s="71" t="str">
        <f>IF(AND(fiche_sel&lt;&gt;"",A1742=fiche_sel),COUNTIF(A$6:A1742,fiche_sel),"")</f>
        <v/>
      </c>
    </row>
    <row r="1743">
      <c r="A1743" s="60" t="n"/>
      <c r="B1743" s="60" t="n"/>
      <c r="C1743" s="71" t="str">
        <f>IF(B1743="","",IFERROR(INDEX(mat_des,MATCH(B1743,mat_ref,0))&amp;"","Matière inconnue"))</f>
        <v/>
      </c>
      <c r="D1743" s="69" t="str">
        <f>IF(B1743="","",IFERROR(INDEX(mat_unit,MATCH(B1743,mat_ref,0))&amp;"",""))</f>
        <v/>
      </c>
      <c r="E1743" s="72" t="n"/>
      <c r="F1743" s="65" t="n"/>
      <c r="G1743" s="68" t="str">
        <f>IF(J1743&lt;&gt;"OK","",IF(F1743="",N(INDEX(mat_loss,MATCH(B1743,mat_ref,0))),F1743))</f>
        <v/>
      </c>
      <c r="H1743" s="66" t="str">
        <f>IF(J1743&lt;&gt;"OK","",INDEX(mat_price,MATCH(B1743,mat_ref,0)))</f>
        <v/>
      </c>
      <c r="I1743" s="66" t="str">
        <f>IF(J1743&lt;&gt;"OK","",E1743*(1+G1743)*H1743)</f>
        <v/>
      </c>
      <c r="J1743" s="69" t="str">
        <f>IF(AND(A1743="",B1743=""),"",IF(A1743="","Produit manquant",IF(COUNTIF(prod_ref,A1743)=0,"Produit inconnu",IF(B1743="","Matière manquante",IF(ISNA(MATCH(B1743,mat_ref,0)),"Matière inconnue",IF(INDEX(mat_check,MATCH(B1743,mat_ref,0))&lt;&gt;"OK","Matière à corriger",IF(OR(NOT(ISNUMBER(E1743)),N(E1743)&lt;=0),"Quantité invalide",IF(AND(F1743&lt;&gt;"",OR(NOT(ISNUMBER(F1743)),N(F1743)&lt;0,N(F1743)&gt;=1)),"Perte entre 0 et 99 %",IF(COUNTIFS(bom_prod,A1743,bom_mat,B1743)&gt;1,"Matière en double","OK")))))))))</f>
        <v/>
      </c>
      <c r="K1743" s="71" t="str">
        <f>IF(AND(fiche_sel&lt;&gt;"",A1743=fiche_sel),COUNTIF(A$6:A1743,fiche_sel),"")</f>
        <v/>
      </c>
    </row>
    <row r="1744">
      <c r="A1744" s="60" t="n"/>
      <c r="B1744" s="60" t="n"/>
      <c r="C1744" s="71" t="str">
        <f>IF(B1744="","",IFERROR(INDEX(mat_des,MATCH(B1744,mat_ref,0))&amp;"","Matière inconnue"))</f>
        <v/>
      </c>
      <c r="D1744" s="69" t="str">
        <f>IF(B1744="","",IFERROR(INDEX(mat_unit,MATCH(B1744,mat_ref,0))&amp;"",""))</f>
        <v/>
      </c>
      <c r="E1744" s="72" t="n"/>
      <c r="F1744" s="65" t="n"/>
      <c r="G1744" s="68" t="str">
        <f>IF(J1744&lt;&gt;"OK","",IF(F1744="",N(INDEX(mat_loss,MATCH(B1744,mat_ref,0))),F1744))</f>
        <v/>
      </c>
      <c r="H1744" s="66" t="str">
        <f>IF(J1744&lt;&gt;"OK","",INDEX(mat_price,MATCH(B1744,mat_ref,0)))</f>
        <v/>
      </c>
      <c r="I1744" s="66" t="str">
        <f>IF(J1744&lt;&gt;"OK","",E1744*(1+G1744)*H1744)</f>
        <v/>
      </c>
      <c r="J1744" s="69" t="str">
        <f>IF(AND(A1744="",B1744=""),"",IF(A1744="","Produit manquant",IF(COUNTIF(prod_ref,A1744)=0,"Produit inconnu",IF(B1744="","Matière manquante",IF(ISNA(MATCH(B1744,mat_ref,0)),"Matière inconnue",IF(INDEX(mat_check,MATCH(B1744,mat_ref,0))&lt;&gt;"OK","Matière à corriger",IF(OR(NOT(ISNUMBER(E1744)),N(E1744)&lt;=0),"Quantité invalide",IF(AND(F1744&lt;&gt;"",OR(NOT(ISNUMBER(F1744)),N(F1744)&lt;0,N(F1744)&gt;=1)),"Perte entre 0 et 99 %",IF(COUNTIFS(bom_prod,A1744,bom_mat,B1744)&gt;1,"Matière en double","OK")))))))))</f>
        <v/>
      </c>
      <c r="K1744" s="71" t="str">
        <f>IF(AND(fiche_sel&lt;&gt;"",A1744=fiche_sel),COUNTIF(A$6:A1744,fiche_sel),"")</f>
        <v/>
      </c>
    </row>
    <row r="1745">
      <c r="A1745" s="60" t="n"/>
      <c r="B1745" s="60" t="n"/>
      <c r="C1745" s="71" t="str">
        <f>IF(B1745="","",IFERROR(INDEX(mat_des,MATCH(B1745,mat_ref,0))&amp;"","Matière inconnue"))</f>
        <v/>
      </c>
      <c r="D1745" s="69" t="str">
        <f>IF(B1745="","",IFERROR(INDEX(mat_unit,MATCH(B1745,mat_ref,0))&amp;"",""))</f>
        <v/>
      </c>
      <c r="E1745" s="72" t="n"/>
      <c r="F1745" s="65" t="n"/>
      <c r="G1745" s="68" t="str">
        <f>IF(J1745&lt;&gt;"OK","",IF(F1745="",N(INDEX(mat_loss,MATCH(B1745,mat_ref,0))),F1745))</f>
        <v/>
      </c>
      <c r="H1745" s="66" t="str">
        <f>IF(J1745&lt;&gt;"OK","",INDEX(mat_price,MATCH(B1745,mat_ref,0)))</f>
        <v/>
      </c>
      <c r="I1745" s="66" t="str">
        <f>IF(J1745&lt;&gt;"OK","",E1745*(1+G1745)*H1745)</f>
        <v/>
      </c>
      <c r="J1745" s="69" t="str">
        <f>IF(AND(A1745="",B1745=""),"",IF(A1745="","Produit manquant",IF(COUNTIF(prod_ref,A1745)=0,"Produit inconnu",IF(B1745="","Matière manquante",IF(ISNA(MATCH(B1745,mat_ref,0)),"Matière inconnue",IF(INDEX(mat_check,MATCH(B1745,mat_ref,0))&lt;&gt;"OK","Matière à corriger",IF(OR(NOT(ISNUMBER(E1745)),N(E1745)&lt;=0),"Quantité invalide",IF(AND(F1745&lt;&gt;"",OR(NOT(ISNUMBER(F1745)),N(F1745)&lt;0,N(F1745)&gt;=1)),"Perte entre 0 et 99 %",IF(COUNTIFS(bom_prod,A1745,bom_mat,B1745)&gt;1,"Matière en double","OK")))))))))</f>
        <v/>
      </c>
      <c r="K1745" s="71" t="str">
        <f>IF(AND(fiche_sel&lt;&gt;"",A1745=fiche_sel),COUNTIF(A$6:A1745,fiche_sel),"")</f>
        <v/>
      </c>
    </row>
    <row r="1746">
      <c r="A1746" s="60" t="n"/>
      <c r="B1746" s="60" t="n"/>
      <c r="C1746" s="71" t="str">
        <f>IF(B1746="","",IFERROR(INDEX(mat_des,MATCH(B1746,mat_ref,0))&amp;"","Matière inconnue"))</f>
        <v/>
      </c>
      <c r="D1746" s="69" t="str">
        <f>IF(B1746="","",IFERROR(INDEX(mat_unit,MATCH(B1746,mat_ref,0))&amp;"",""))</f>
        <v/>
      </c>
      <c r="E1746" s="72" t="n"/>
      <c r="F1746" s="65" t="n"/>
      <c r="G1746" s="68" t="str">
        <f>IF(J1746&lt;&gt;"OK","",IF(F1746="",N(INDEX(mat_loss,MATCH(B1746,mat_ref,0))),F1746))</f>
        <v/>
      </c>
      <c r="H1746" s="66" t="str">
        <f>IF(J1746&lt;&gt;"OK","",INDEX(mat_price,MATCH(B1746,mat_ref,0)))</f>
        <v/>
      </c>
      <c r="I1746" s="66" t="str">
        <f>IF(J1746&lt;&gt;"OK","",E1746*(1+G1746)*H1746)</f>
        <v/>
      </c>
      <c r="J1746" s="69" t="str">
        <f>IF(AND(A1746="",B1746=""),"",IF(A1746="","Produit manquant",IF(COUNTIF(prod_ref,A1746)=0,"Produit inconnu",IF(B1746="","Matière manquante",IF(ISNA(MATCH(B1746,mat_ref,0)),"Matière inconnue",IF(INDEX(mat_check,MATCH(B1746,mat_ref,0))&lt;&gt;"OK","Matière à corriger",IF(OR(NOT(ISNUMBER(E1746)),N(E1746)&lt;=0),"Quantité invalide",IF(AND(F1746&lt;&gt;"",OR(NOT(ISNUMBER(F1746)),N(F1746)&lt;0,N(F1746)&gt;=1)),"Perte entre 0 et 99 %",IF(COUNTIFS(bom_prod,A1746,bom_mat,B1746)&gt;1,"Matière en double","OK")))))))))</f>
        <v/>
      </c>
      <c r="K1746" s="71" t="str">
        <f>IF(AND(fiche_sel&lt;&gt;"",A1746=fiche_sel),COUNTIF(A$6:A1746,fiche_sel),"")</f>
        <v/>
      </c>
    </row>
    <row r="1747">
      <c r="A1747" s="60" t="n"/>
      <c r="B1747" s="60" t="n"/>
      <c r="C1747" s="71" t="str">
        <f>IF(B1747="","",IFERROR(INDEX(mat_des,MATCH(B1747,mat_ref,0))&amp;"","Matière inconnue"))</f>
        <v/>
      </c>
      <c r="D1747" s="69" t="str">
        <f>IF(B1747="","",IFERROR(INDEX(mat_unit,MATCH(B1747,mat_ref,0))&amp;"",""))</f>
        <v/>
      </c>
      <c r="E1747" s="72" t="n"/>
      <c r="F1747" s="65" t="n"/>
      <c r="G1747" s="68" t="str">
        <f>IF(J1747&lt;&gt;"OK","",IF(F1747="",N(INDEX(mat_loss,MATCH(B1747,mat_ref,0))),F1747))</f>
        <v/>
      </c>
      <c r="H1747" s="66" t="str">
        <f>IF(J1747&lt;&gt;"OK","",INDEX(mat_price,MATCH(B1747,mat_ref,0)))</f>
        <v/>
      </c>
      <c r="I1747" s="66" t="str">
        <f>IF(J1747&lt;&gt;"OK","",E1747*(1+G1747)*H1747)</f>
        <v/>
      </c>
      <c r="J1747" s="69" t="str">
        <f>IF(AND(A1747="",B1747=""),"",IF(A1747="","Produit manquant",IF(COUNTIF(prod_ref,A1747)=0,"Produit inconnu",IF(B1747="","Matière manquante",IF(ISNA(MATCH(B1747,mat_ref,0)),"Matière inconnue",IF(INDEX(mat_check,MATCH(B1747,mat_ref,0))&lt;&gt;"OK","Matière à corriger",IF(OR(NOT(ISNUMBER(E1747)),N(E1747)&lt;=0),"Quantité invalide",IF(AND(F1747&lt;&gt;"",OR(NOT(ISNUMBER(F1747)),N(F1747)&lt;0,N(F1747)&gt;=1)),"Perte entre 0 et 99 %",IF(COUNTIFS(bom_prod,A1747,bom_mat,B1747)&gt;1,"Matière en double","OK")))))))))</f>
        <v/>
      </c>
      <c r="K1747" s="71" t="str">
        <f>IF(AND(fiche_sel&lt;&gt;"",A1747=fiche_sel),COUNTIF(A$6:A1747,fiche_sel),"")</f>
        <v/>
      </c>
    </row>
    <row r="1748">
      <c r="A1748" s="60" t="n"/>
      <c r="B1748" s="60" t="n"/>
      <c r="C1748" s="71" t="str">
        <f>IF(B1748="","",IFERROR(INDEX(mat_des,MATCH(B1748,mat_ref,0))&amp;"","Matière inconnue"))</f>
        <v/>
      </c>
      <c r="D1748" s="69" t="str">
        <f>IF(B1748="","",IFERROR(INDEX(mat_unit,MATCH(B1748,mat_ref,0))&amp;"",""))</f>
        <v/>
      </c>
      <c r="E1748" s="72" t="n"/>
      <c r="F1748" s="65" t="n"/>
      <c r="G1748" s="68" t="str">
        <f>IF(J1748&lt;&gt;"OK","",IF(F1748="",N(INDEX(mat_loss,MATCH(B1748,mat_ref,0))),F1748))</f>
        <v/>
      </c>
      <c r="H1748" s="66" t="str">
        <f>IF(J1748&lt;&gt;"OK","",INDEX(mat_price,MATCH(B1748,mat_ref,0)))</f>
        <v/>
      </c>
      <c r="I1748" s="66" t="str">
        <f>IF(J1748&lt;&gt;"OK","",E1748*(1+G1748)*H1748)</f>
        <v/>
      </c>
      <c r="J1748" s="69" t="str">
        <f>IF(AND(A1748="",B1748=""),"",IF(A1748="","Produit manquant",IF(COUNTIF(prod_ref,A1748)=0,"Produit inconnu",IF(B1748="","Matière manquante",IF(ISNA(MATCH(B1748,mat_ref,0)),"Matière inconnue",IF(INDEX(mat_check,MATCH(B1748,mat_ref,0))&lt;&gt;"OK","Matière à corriger",IF(OR(NOT(ISNUMBER(E1748)),N(E1748)&lt;=0),"Quantité invalide",IF(AND(F1748&lt;&gt;"",OR(NOT(ISNUMBER(F1748)),N(F1748)&lt;0,N(F1748)&gt;=1)),"Perte entre 0 et 99 %",IF(COUNTIFS(bom_prod,A1748,bom_mat,B1748)&gt;1,"Matière en double","OK")))))))))</f>
        <v/>
      </c>
      <c r="K1748" s="71" t="str">
        <f>IF(AND(fiche_sel&lt;&gt;"",A1748=fiche_sel),COUNTIF(A$6:A1748,fiche_sel),"")</f>
        <v/>
      </c>
    </row>
    <row r="1749">
      <c r="A1749" s="60" t="n"/>
      <c r="B1749" s="60" t="n"/>
      <c r="C1749" s="71" t="str">
        <f>IF(B1749="","",IFERROR(INDEX(mat_des,MATCH(B1749,mat_ref,0))&amp;"","Matière inconnue"))</f>
        <v/>
      </c>
      <c r="D1749" s="69" t="str">
        <f>IF(B1749="","",IFERROR(INDEX(mat_unit,MATCH(B1749,mat_ref,0))&amp;"",""))</f>
        <v/>
      </c>
      <c r="E1749" s="72" t="n"/>
      <c r="F1749" s="65" t="n"/>
      <c r="G1749" s="68" t="str">
        <f>IF(J1749&lt;&gt;"OK","",IF(F1749="",N(INDEX(mat_loss,MATCH(B1749,mat_ref,0))),F1749))</f>
        <v/>
      </c>
      <c r="H1749" s="66" t="str">
        <f>IF(J1749&lt;&gt;"OK","",INDEX(mat_price,MATCH(B1749,mat_ref,0)))</f>
        <v/>
      </c>
      <c r="I1749" s="66" t="str">
        <f>IF(J1749&lt;&gt;"OK","",E1749*(1+G1749)*H1749)</f>
        <v/>
      </c>
      <c r="J1749" s="69" t="str">
        <f>IF(AND(A1749="",B1749=""),"",IF(A1749="","Produit manquant",IF(COUNTIF(prod_ref,A1749)=0,"Produit inconnu",IF(B1749="","Matière manquante",IF(ISNA(MATCH(B1749,mat_ref,0)),"Matière inconnue",IF(INDEX(mat_check,MATCH(B1749,mat_ref,0))&lt;&gt;"OK","Matière à corriger",IF(OR(NOT(ISNUMBER(E1749)),N(E1749)&lt;=0),"Quantité invalide",IF(AND(F1749&lt;&gt;"",OR(NOT(ISNUMBER(F1749)),N(F1749)&lt;0,N(F1749)&gt;=1)),"Perte entre 0 et 99 %",IF(COUNTIFS(bom_prod,A1749,bom_mat,B1749)&gt;1,"Matière en double","OK")))))))))</f>
        <v/>
      </c>
      <c r="K1749" s="71" t="str">
        <f>IF(AND(fiche_sel&lt;&gt;"",A1749=fiche_sel),COUNTIF(A$6:A1749,fiche_sel),"")</f>
        <v/>
      </c>
    </row>
    <row r="1750">
      <c r="A1750" s="60" t="n"/>
      <c r="B1750" s="60" t="n"/>
      <c r="C1750" s="71" t="str">
        <f>IF(B1750="","",IFERROR(INDEX(mat_des,MATCH(B1750,mat_ref,0))&amp;"","Matière inconnue"))</f>
        <v/>
      </c>
      <c r="D1750" s="69" t="str">
        <f>IF(B1750="","",IFERROR(INDEX(mat_unit,MATCH(B1750,mat_ref,0))&amp;"",""))</f>
        <v/>
      </c>
      <c r="E1750" s="72" t="n"/>
      <c r="F1750" s="65" t="n"/>
      <c r="G1750" s="68" t="str">
        <f>IF(J1750&lt;&gt;"OK","",IF(F1750="",N(INDEX(mat_loss,MATCH(B1750,mat_ref,0))),F1750))</f>
        <v/>
      </c>
      <c r="H1750" s="66" t="str">
        <f>IF(J1750&lt;&gt;"OK","",INDEX(mat_price,MATCH(B1750,mat_ref,0)))</f>
        <v/>
      </c>
      <c r="I1750" s="66" t="str">
        <f>IF(J1750&lt;&gt;"OK","",E1750*(1+G1750)*H1750)</f>
        <v/>
      </c>
      <c r="J1750" s="69" t="str">
        <f>IF(AND(A1750="",B1750=""),"",IF(A1750="","Produit manquant",IF(COUNTIF(prod_ref,A1750)=0,"Produit inconnu",IF(B1750="","Matière manquante",IF(ISNA(MATCH(B1750,mat_ref,0)),"Matière inconnue",IF(INDEX(mat_check,MATCH(B1750,mat_ref,0))&lt;&gt;"OK","Matière à corriger",IF(OR(NOT(ISNUMBER(E1750)),N(E1750)&lt;=0),"Quantité invalide",IF(AND(F1750&lt;&gt;"",OR(NOT(ISNUMBER(F1750)),N(F1750)&lt;0,N(F1750)&gt;=1)),"Perte entre 0 et 99 %",IF(COUNTIFS(bom_prod,A1750,bom_mat,B1750)&gt;1,"Matière en double","OK")))))))))</f>
        <v/>
      </c>
      <c r="K1750" s="71" t="str">
        <f>IF(AND(fiche_sel&lt;&gt;"",A1750=fiche_sel),COUNTIF(A$6:A1750,fiche_sel),"")</f>
        <v/>
      </c>
    </row>
    <row r="1751">
      <c r="A1751" s="60" t="n"/>
      <c r="B1751" s="60" t="n"/>
      <c r="C1751" s="71" t="str">
        <f>IF(B1751="","",IFERROR(INDEX(mat_des,MATCH(B1751,mat_ref,0))&amp;"","Matière inconnue"))</f>
        <v/>
      </c>
      <c r="D1751" s="69" t="str">
        <f>IF(B1751="","",IFERROR(INDEX(mat_unit,MATCH(B1751,mat_ref,0))&amp;"",""))</f>
        <v/>
      </c>
      <c r="E1751" s="72" t="n"/>
      <c r="F1751" s="65" t="n"/>
      <c r="G1751" s="68" t="str">
        <f>IF(J1751&lt;&gt;"OK","",IF(F1751="",N(INDEX(mat_loss,MATCH(B1751,mat_ref,0))),F1751))</f>
        <v/>
      </c>
      <c r="H1751" s="66" t="str">
        <f>IF(J1751&lt;&gt;"OK","",INDEX(mat_price,MATCH(B1751,mat_ref,0)))</f>
        <v/>
      </c>
      <c r="I1751" s="66" t="str">
        <f>IF(J1751&lt;&gt;"OK","",E1751*(1+G1751)*H1751)</f>
        <v/>
      </c>
      <c r="J1751" s="69" t="str">
        <f>IF(AND(A1751="",B1751=""),"",IF(A1751="","Produit manquant",IF(COUNTIF(prod_ref,A1751)=0,"Produit inconnu",IF(B1751="","Matière manquante",IF(ISNA(MATCH(B1751,mat_ref,0)),"Matière inconnue",IF(INDEX(mat_check,MATCH(B1751,mat_ref,0))&lt;&gt;"OK","Matière à corriger",IF(OR(NOT(ISNUMBER(E1751)),N(E1751)&lt;=0),"Quantité invalide",IF(AND(F1751&lt;&gt;"",OR(NOT(ISNUMBER(F1751)),N(F1751)&lt;0,N(F1751)&gt;=1)),"Perte entre 0 et 99 %",IF(COUNTIFS(bom_prod,A1751,bom_mat,B1751)&gt;1,"Matière en double","OK")))))))))</f>
        <v/>
      </c>
      <c r="K1751" s="71" t="str">
        <f>IF(AND(fiche_sel&lt;&gt;"",A1751=fiche_sel),COUNTIF(A$6:A1751,fiche_sel),"")</f>
        <v/>
      </c>
    </row>
    <row r="1752">
      <c r="A1752" s="60" t="n"/>
      <c r="B1752" s="60" t="n"/>
      <c r="C1752" s="71" t="str">
        <f>IF(B1752="","",IFERROR(INDEX(mat_des,MATCH(B1752,mat_ref,0))&amp;"","Matière inconnue"))</f>
        <v/>
      </c>
      <c r="D1752" s="69" t="str">
        <f>IF(B1752="","",IFERROR(INDEX(mat_unit,MATCH(B1752,mat_ref,0))&amp;"",""))</f>
        <v/>
      </c>
      <c r="E1752" s="72" t="n"/>
      <c r="F1752" s="65" t="n"/>
      <c r="G1752" s="68" t="str">
        <f>IF(J1752&lt;&gt;"OK","",IF(F1752="",N(INDEX(mat_loss,MATCH(B1752,mat_ref,0))),F1752))</f>
        <v/>
      </c>
      <c r="H1752" s="66" t="str">
        <f>IF(J1752&lt;&gt;"OK","",INDEX(mat_price,MATCH(B1752,mat_ref,0)))</f>
        <v/>
      </c>
      <c r="I1752" s="66" t="str">
        <f>IF(J1752&lt;&gt;"OK","",E1752*(1+G1752)*H1752)</f>
        <v/>
      </c>
      <c r="J1752" s="69" t="str">
        <f>IF(AND(A1752="",B1752=""),"",IF(A1752="","Produit manquant",IF(COUNTIF(prod_ref,A1752)=0,"Produit inconnu",IF(B1752="","Matière manquante",IF(ISNA(MATCH(B1752,mat_ref,0)),"Matière inconnue",IF(INDEX(mat_check,MATCH(B1752,mat_ref,0))&lt;&gt;"OK","Matière à corriger",IF(OR(NOT(ISNUMBER(E1752)),N(E1752)&lt;=0),"Quantité invalide",IF(AND(F1752&lt;&gt;"",OR(NOT(ISNUMBER(F1752)),N(F1752)&lt;0,N(F1752)&gt;=1)),"Perte entre 0 et 99 %",IF(COUNTIFS(bom_prod,A1752,bom_mat,B1752)&gt;1,"Matière en double","OK")))))))))</f>
        <v/>
      </c>
      <c r="K1752" s="71" t="str">
        <f>IF(AND(fiche_sel&lt;&gt;"",A1752=fiche_sel),COUNTIF(A$6:A1752,fiche_sel),"")</f>
        <v/>
      </c>
    </row>
    <row r="1753">
      <c r="A1753" s="60" t="n"/>
      <c r="B1753" s="60" t="n"/>
      <c r="C1753" s="71" t="str">
        <f>IF(B1753="","",IFERROR(INDEX(mat_des,MATCH(B1753,mat_ref,0))&amp;"","Matière inconnue"))</f>
        <v/>
      </c>
      <c r="D1753" s="69" t="str">
        <f>IF(B1753="","",IFERROR(INDEX(mat_unit,MATCH(B1753,mat_ref,0))&amp;"",""))</f>
        <v/>
      </c>
      <c r="E1753" s="72" t="n"/>
      <c r="F1753" s="65" t="n"/>
      <c r="G1753" s="68" t="str">
        <f>IF(J1753&lt;&gt;"OK","",IF(F1753="",N(INDEX(mat_loss,MATCH(B1753,mat_ref,0))),F1753))</f>
        <v/>
      </c>
      <c r="H1753" s="66" t="str">
        <f>IF(J1753&lt;&gt;"OK","",INDEX(mat_price,MATCH(B1753,mat_ref,0)))</f>
        <v/>
      </c>
      <c r="I1753" s="66" t="str">
        <f>IF(J1753&lt;&gt;"OK","",E1753*(1+G1753)*H1753)</f>
        <v/>
      </c>
      <c r="J1753" s="69" t="str">
        <f>IF(AND(A1753="",B1753=""),"",IF(A1753="","Produit manquant",IF(COUNTIF(prod_ref,A1753)=0,"Produit inconnu",IF(B1753="","Matière manquante",IF(ISNA(MATCH(B1753,mat_ref,0)),"Matière inconnue",IF(INDEX(mat_check,MATCH(B1753,mat_ref,0))&lt;&gt;"OK","Matière à corriger",IF(OR(NOT(ISNUMBER(E1753)),N(E1753)&lt;=0),"Quantité invalide",IF(AND(F1753&lt;&gt;"",OR(NOT(ISNUMBER(F1753)),N(F1753)&lt;0,N(F1753)&gt;=1)),"Perte entre 0 et 99 %",IF(COUNTIFS(bom_prod,A1753,bom_mat,B1753)&gt;1,"Matière en double","OK")))))))))</f>
        <v/>
      </c>
      <c r="K1753" s="71" t="str">
        <f>IF(AND(fiche_sel&lt;&gt;"",A1753=fiche_sel),COUNTIF(A$6:A1753,fiche_sel),"")</f>
        <v/>
      </c>
    </row>
    <row r="1754">
      <c r="A1754" s="60" t="n"/>
      <c r="B1754" s="60" t="n"/>
      <c r="C1754" s="71" t="str">
        <f>IF(B1754="","",IFERROR(INDEX(mat_des,MATCH(B1754,mat_ref,0))&amp;"","Matière inconnue"))</f>
        <v/>
      </c>
      <c r="D1754" s="69" t="str">
        <f>IF(B1754="","",IFERROR(INDEX(mat_unit,MATCH(B1754,mat_ref,0))&amp;"",""))</f>
        <v/>
      </c>
      <c r="E1754" s="72" t="n"/>
      <c r="F1754" s="65" t="n"/>
      <c r="G1754" s="68" t="str">
        <f>IF(J1754&lt;&gt;"OK","",IF(F1754="",N(INDEX(mat_loss,MATCH(B1754,mat_ref,0))),F1754))</f>
        <v/>
      </c>
      <c r="H1754" s="66" t="str">
        <f>IF(J1754&lt;&gt;"OK","",INDEX(mat_price,MATCH(B1754,mat_ref,0)))</f>
        <v/>
      </c>
      <c r="I1754" s="66" t="str">
        <f>IF(J1754&lt;&gt;"OK","",E1754*(1+G1754)*H1754)</f>
        <v/>
      </c>
      <c r="J1754" s="69" t="str">
        <f>IF(AND(A1754="",B1754=""),"",IF(A1754="","Produit manquant",IF(COUNTIF(prod_ref,A1754)=0,"Produit inconnu",IF(B1754="","Matière manquante",IF(ISNA(MATCH(B1754,mat_ref,0)),"Matière inconnue",IF(INDEX(mat_check,MATCH(B1754,mat_ref,0))&lt;&gt;"OK","Matière à corriger",IF(OR(NOT(ISNUMBER(E1754)),N(E1754)&lt;=0),"Quantité invalide",IF(AND(F1754&lt;&gt;"",OR(NOT(ISNUMBER(F1754)),N(F1754)&lt;0,N(F1754)&gt;=1)),"Perte entre 0 et 99 %",IF(COUNTIFS(bom_prod,A1754,bom_mat,B1754)&gt;1,"Matière en double","OK")))))))))</f>
        <v/>
      </c>
      <c r="K1754" s="71" t="str">
        <f>IF(AND(fiche_sel&lt;&gt;"",A1754=fiche_sel),COUNTIF(A$6:A1754,fiche_sel),"")</f>
        <v/>
      </c>
    </row>
    <row r="1755">
      <c r="A1755" s="60" t="n"/>
      <c r="B1755" s="60" t="n"/>
      <c r="C1755" s="71" t="str">
        <f>IF(B1755="","",IFERROR(INDEX(mat_des,MATCH(B1755,mat_ref,0))&amp;"","Matière inconnue"))</f>
        <v/>
      </c>
      <c r="D1755" s="69" t="str">
        <f>IF(B1755="","",IFERROR(INDEX(mat_unit,MATCH(B1755,mat_ref,0))&amp;"",""))</f>
        <v/>
      </c>
      <c r="E1755" s="72" t="n"/>
      <c r="F1755" s="65" t="n"/>
      <c r="G1755" s="68" t="str">
        <f>IF(J1755&lt;&gt;"OK","",IF(F1755="",N(INDEX(mat_loss,MATCH(B1755,mat_ref,0))),F1755))</f>
        <v/>
      </c>
      <c r="H1755" s="66" t="str">
        <f>IF(J1755&lt;&gt;"OK","",INDEX(mat_price,MATCH(B1755,mat_ref,0)))</f>
        <v/>
      </c>
      <c r="I1755" s="66" t="str">
        <f>IF(J1755&lt;&gt;"OK","",E1755*(1+G1755)*H1755)</f>
        <v/>
      </c>
      <c r="J1755" s="69" t="str">
        <f>IF(AND(A1755="",B1755=""),"",IF(A1755="","Produit manquant",IF(COUNTIF(prod_ref,A1755)=0,"Produit inconnu",IF(B1755="","Matière manquante",IF(ISNA(MATCH(B1755,mat_ref,0)),"Matière inconnue",IF(INDEX(mat_check,MATCH(B1755,mat_ref,0))&lt;&gt;"OK","Matière à corriger",IF(OR(NOT(ISNUMBER(E1755)),N(E1755)&lt;=0),"Quantité invalide",IF(AND(F1755&lt;&gt;"",OR(NOT(ISNUMBER(F1755)),N(F1755)&lt;0,N(F1755)&gt;=1)),"Perte entre 0 et 99 %",IF(COUNTIFS(bom_prod,A1755,bom_mat,B1755)&gt;1,"Matière en double","OK")))))))))</f>
        <v/>
      </c>
      <c r="K1755" s="71" t="str">
        <f>IF(AND(fiche_sel&lt;&gt;"",A1755=fiche_sel),COUNTIF(A$6:A1755,fiche_sel),"")</f>
        <v/>
      </c>
    </row>
    <row r="1756">
      <c r="A1756" s="60" t="n"/>
      <c r="B1756" s="60" t="n"/>
      <c r="C1756" s="71" t="str">
        <f>IF(B1756="","",IFERROR(INDEX(mat_des,MATCH(B1756,mat_ref,0))&amp;"","Matière inconnue"))</f>
        <v/>
      </c>
      <c r="D1756" s="69" t="str">
        <f>IF(B1756="","",IFERROR(INDEX(mat_unit,MATCH(B1756,mat_ref,0))&amp;"",""))</f>
        <v/>
      </c>
      <c r="E1756" s="72" t="n"/>
      <c r="F1756" s="65" t="n"/>
      <c r="G1756" s="68" t="str">
        <f>IF(J1756&lt;&gt;"OK","",IF(F1756="",N(INDEX(mat_loss,MATCH(B1756,mat_ref,0))),F1756))</f>
        <v/>
      </c>
      <c r="H1756" s="66" t="str">
        <f>IF(J1756&lt;&gt;"OK","",INDEX(mat_price,MATCH(B1756,mat_ref,0)))</f>
        <v/>
      </c>
      <c r="I1756" s="66" t="str">
        <f>IF(J1756&lt;&gt;"OK","",E1756*(1+G1756)*H1756)</f>
        <v/>
      </c>
      <c r="J1756" s="69" t="str">
        <f>IF(AND(A1756="",B1756=""),"",IF(A1756="","Produit manquant",IF(COUNTIF(prod_ref,A1756)=0,"Produit inconnu",IF(B1756="","Matière manquante",IF(ISNA(MATCH(B1756,mat_ref,0)),"Matière inconnue",IF(INDEX(mat_check,MATCH(B1756,mat_ref,0))&lt;&gt;"OK","Matière à corriger",IF(OR(NOT(ISNUMBER(E1756)),N(E1756)&lt;=0),"Quantité invalide",IF(AND(F1756&lt;&gt;"",OR(NOT(ISNUMBER(F1756)),N(F1756)&lt;0,N(F1756)&gt;=1)),"Perte entre 0 et 99 %",IF(COUNTIFS(bom_prod,A1756,bom_mat,B1756)&gt;1,"Matière en double","OK")))))))))</f>
        <v/>
      </c>
      <c r="K1756" s="71" t="str">
        <f>IF(AND(fiche_sel&lt;&gt;"",A1756=fiche_sel),COUNTIF(A$6:A1756,fiche_sel),"")</f>
        <v/>
      </c>
    </row>
    <row r="1757">
      <c r="A1757" s="60" t="n"/>
      <c r="B1757" s="60" t="n"/>
      <c r="C1757" s="71" t="str">
        <f>IF(B1757="","",IFERROR(INDEX(mat_des,MATCH(B1757,mat_ref,0))&amp;"","Matière inconnue"))</f>
        <v/>
      </c>
      <c r="D1757" s="69" t="str">
        <f>IF(B1757="","",IFERROR(INDEX(mat_unit,MATCH(B1757,mat_ref,0))&amp;"",""))</f>
        <v/>
      </c>
      <c r="E1757" s="72" t="n"/>
      <c r="F1757" s="65" t="n"/>
      <c r="G1757" s="68" t="str">
        <f>IF(J1757&lt;&gt;"OK","",IF(F1757="",N(INDEX(mat_loss,MATCH(B1757,mat_ref,0))),F1757))</f>
        <v/>
      </c>
      <c r="H1757" s="66" t="str">
        <f>IF(J1757&lt;&gt;"OK","",INDEX(mat_price,MATCH(B1757,mat_ref,0)))</f>
        <v/>
      </c>
      <c r="I1757" s="66" t="str">
        <f>IF(J1757&lt;&gt;"OK","",E1757*(1+G1757)*H1757)</f>
        <v/>
      </c>
      <c r="J1757" s="69" t="str">
        <f>IF(AND(A1757="",B1757=""),"",IF(A1757="","Produit manquant",IF(COUNTIF(prod_ref,A1757)=0,"Produit inconnu",IF(B1757="","Matière manquante",IF(ISNA(MATCH(B1757,mat_ref,0)),"Matière inconnue",IF(INDEX(mat_check,MATCH(B1757,mat_ref,0))&lt;&gt;"OK","Matière à corriger",IF(OR(NOT(ISNUMBER(E1757)),N(E1757)&lt;=0),"Quantité invalide",IF(AND(F1757&lt;&gt;"",OR(NOT(ISNUMBER(F1757)),N(F1757)&lt;0,N(F1757)&gt;=1)),"Perte entre 0 et 99 %",IF(COUNTIFS(bom_prod,A1757,bom_mat,B1757)&gt;1,"Matière en double","OK")))))))))</f>
        <v/>
      </c>
      <c r="K1757" s="71" t="str">
        <f>IF(AND(fiche_sel&lt;&gt;"",A1757=fiche_sel),COUNTIF(A$6:A1757,fiche_sel),"")</f>
        <v/>
      </c>
    </row>
    <row r="1758">
      <c r="A1758" s="60" t="n"/>
      <c r="B1758" s="60" t="n"/>
      <c r="C1758" s="71" t="str">
        <f>IF(B1758="","",IFERROR(INDEX(mat_des,MATCH(B1758,mat_ref,0))&amp;"","Matière inconnue"))</f>
        <v/>
      </c>
      <c r="D1758" s="69" t="str">
        <f>IF(B1758="","",IFERROR(INDEX(mat_unit,MATCH(B1758,mat_ref,0))&amp;"",""))</f>
        <v/>
      </c>
      <c r="E1758" s="72" t="n"/>
      <c r="F1758" s="65" t="n"/>
      <c r="G1758" s="68" t="str">
        <f>IF(J1758&lt;&gt;"OK","",IF(F1758="",N(INDEX(mat_loss,MATCH(B1758,mat_ref,0))),F1758))</f>
        <v/>
      </c>
      <c r="H1758" s="66" t="str">
        <f>IF(J1758&lt;&gt;"OK","",INDEX(mat_price,MATCH(B1758,mat_ref,0)))</f>
        <v/>
      </c>
      <c r="I1758" s="66" t="str">
        <f>IF(J1758&lt;&gt;"OK","",E1758*(1+G1758)*H1758)</f>
        <v/>
      </c>
      <c r="J1758" s="69" t="str">
        <f>IF(AND(A1758="",B1758=""),"",IF(A1758="","Produit manquant",IF(COUNTIF(prod_ref,A1758)=0,"Produit inconnu",IF(B1758="","Matière manquante",IF(ISNA(MATCH(B1758,mat_ref,0)),"Matière inconnue",IF(INDEX(mat_check,MATCH(B1758,mat_ref,0))&lt;&gt;"OK","Matière à corriger",IF(OR(NOT(ISNUMBER(E1758)),N(E1758)&lt;=0),"Quantité invalide",IF(AND(F1758&lt;&gt;"",OR(NOT(ISNUMBER(F1758)),N(F1758)&lt;0,N(F1758)&gt;=1)),"Perte entre 0 et 99 %",IF(COUNTIFS(bom_prod,A1758,bom_mat,B1758)&gt;1,"Matière en double","OK")))))))))</f>
        <v/>
      </c>
      <c r="K1758" s="71" t="str">
        <f>IF(AND(fiche_sel&lt;&gt;"",A1758=fiche_sel),COUNTIF(A$6:A1758,fiche_sel),"")</f>
        <v/>
      </c>
    </row>
    <row r="1759">
      <c r="A1759" s="60" t="n"/>
      <c r="B1759" s="60" t="n"/>
      <c r="C1759" s="71" t="str">
        <f>IF(B1759="","",IFERROR(INDEX(mat_des,MATCH(B1759,mat_ref,0))&amp;"","Matière inconnue"))</f>
        <v/>
      </c>
      <c r="D1759" s="69" t="str">
        <f>IF(B1759="","",IFERROR(INDEX(mat_unit,MATCH(B1759,mat_ref,0))&amp;"",""))</f>
        <v/>
      </c>
      <c r="E1759" s="72" t="n"/>
      <c r="F1759" s="65" t="n"/>
      <c r="G1759" s="68" t="str">
        <f>IF(J1759&lt;&gt;"OK","",IF(F1759="",N(INDEX(mat_loss,MATCH(B1759,mat_ref,0))),F1759))</f>
        <v/>
      </c>
      <c r="H1759" s="66" t="str">
        <f>IF(J1759&lt;&gt;"OK","",INDEX(mat_price,MATCH(B1759,mat_ref,0)))</f>
        <v/>
      </c>
      <c r="I1759" s="66" t="str">
        <f>IF(J1759&lt;&gt;"OK","",E1759*(1+G1759)*H1759)</f>
        <v/>
      </c>
      <c r="J1759" s="69" t="str">
        <f>IF(AND(A1759="",B1759=""),"",IF(A1759="","Produit manquant",IF(COUNTIF(prod_ref,A1759)=0,"Produit inconnu",IF(B1759="","Matière manquante",IF(ISNA(MATCH(B1759,mat_ref,0)),"Matière inconnue",IF(INDEX(mat_check,MATCH(B1759,mat_ref,0))&lt;&gt;"OK","Matière à corriger",IF(OR(NOT(ISNUMBER(E1759)),N(E1759)&lt;=0),"Quantité invalide",IF(AND(F1759&lt;&gt;"",OR(NOT(ISNUMBER(F1759)),N(F1759)&lt;0,N(F1759)&gt;=1)),"Perte entre 0 et 99 %",IF(COUNTIFS(bom_prod,A1759,bom_mat,B1759)&gt;1,"Matière en double","OK")))))))))</f>
        <v/>
      </c>
      <c r="K1759" s="71" t="str">
        <f>IF(AND(fiche_sel&lt;&gt;"",A1759=fiche_sel),COUNTIF(A$6:A1759,fiche_sel),"")</f>
        <v/>
      </c>
    </row>
    <row r="1760">
      <c r="A1760" s="60" t="n"/>
      <c r="B1760" s="60" t="n"/>
      <c r="C1760" s="71" t="str">
        <f>IF(B1760="","",IFERROR(INDEX(mat_des,MATCH(B1760,mat_ref,0))&amp;"","Matière inconnue"))</f>
        <v/>
      </c>
      <c r="D1760" s="69" t="str">
        <f>IF(B1760="","",IFERROR(INDEX(mat_unit,MATCH(B1760,mat_ref,0))&amp;"",""))</f>
        <v/>
      </c>
      <c r="E1760" s="72" t="n"/>
      <c r="F1760" s="65" t="n"/>
      <c r="G1760" s="68" t="str">
        <f>IF(J1760&lt;&gt;"OK","",IF(F1760="",N(INDEX(mat_loss,MATCH(B1760,mat_ref,0))),F1760))</f>
        <v/>
      </c>
      <c r="H1760" s="66" t="str">
        <f>IF(J1760&lt;&gt;"OK","",INDEX(mat_price,MATCH(B1760,mat_ref,0)))</f>
        <v/>
      </c>
      <c r="I1760" s="66" t="str">
        <f>IF(J1760&lt;&gt;"OK","",E1760*(1+G1760)*H1760)</f>
        <v/>
      </c>
      <c r="J1760" s="69" t="str">
        <f>IF(AND(A1760="",B1760=""),"",IF(A1760="","Produit manquant",IF(COUNTIF(prod_ref,A1760)=0,"Produit inconnu",IF(B1760="","Matière manquante",IF(ISNA(MATCH(B1760,mat_ref,0)),"Matière inconnue",IF(INDEX(mat_check,MATCH(B1760,mat_ref,0))&lt;&gt;"OK","Matière à corriger",IF(OR(NOT(ISNUMBER(E1760)),N(E1760)&lt;=0),"Quantité invalide",IF(AND(F1760&lt;&gt;"",OR(NOT(ISNUMBER(F1760)),N(F1760)&lt;0,N(F1760)&gt;=1)),"Perte entre 0 et 99 %",IF(COUNTIFS(bom_prod,A1760,bom_mat,B1760)&gt;1,"Matière en double","OK")))))))))</f>
        <v/>
      </c>
      <c r="K1760" s="71" t="str">
        <f>IF(AND(fiche_sel&lt;&gt;"",A1760=fiche_sel),COUNTIF(A$6:A1760,fiche_sel),"")</f>
        <v/>
      </c>
    </row>
    <row r="1761">
      <c r="A1761" s="60" t="n"/>
      <c r="B1761" s="60" t="n"/>
      <c r="C1761" s="71" t="str">
        <f>IF(B1761="","",IFERROR(INDEX(mat_des,MATCH(B1761,mat_ref,0))&amp;"","Matière inconnue"))</f>
        <v/>
      </c>
      <c r="D1761" s="69" t="str">
        <f>IF(B1761="","",IFERROR(INDEX(mat_unit,MATCH(B1761,mat_ref,0))&amp;"",""))</f>
        <v/>
      </c>
      <c r="E1761" s="72" t="n"/>
      <c r="F1761" s="65" t="n"/>
      <c r="G1761" s="68" t="str">
        <f>IF(J1761&lt;&gt;"OK","",IF(F1761="",N(INDEX(mat_loss,MATCH(B1761,mat_ref,0))),F1761))</f>
        <v/>
      </c>
      <c r="H1761" s="66" t="str">
        <f>IF(J1761&lt;&gt;"OK","",INDEX(mat_price,MATCH(B1761,mat_ref,0)))</f>
        <v/>
      </c>
      <c r="I1761" s="66" t="str">
        <f>IF(J1761&lt;&gt;"OK","",E1761*(1+G1761)*H1761)</f>
        <v/>
      </c>
      <c r="J1761" s="69" t="str">
        <f>IF(AND(A1761="",B1761=""),"",IF(A1761="","Produit manquant",IF(COUNTIF(prod_ref,A1761)=0,"Produit inconnu",IF(B1761="","Matière manquante",IF(ISNA(MATCH(B1761,mat_ref,0)),"Matière inconnue",IF(INDEX(mat_check,MATCH(B1761,mat_ref,0))&lt;&gt;"OK","Matière à corriger",IF(OR(NOT(ISNUMBER(E1761)),N(E1761)&lt;=0),"Quantité invalide",IF(AND(F1761&lt;&gt;"",OR(NOT(ISNUMBER(F1761)),N(F1761)&lt;0,N(F1761)&gt;=1)),"Perte entre 0 et 99 %",IF(COUNTIFS(bom_prod,A1761,bom_mat,B1761)&gt;1,"Matière en double","OK")))))))))</f>
        <v/>
      </c>
      <c r="K1761" s="71" t="str">
        <f>IF(AND(fiche_sel&lt;&gt;"",A1761=fiche_sel),COUNTIF(A$6:A1761,fiche_sel),"")</f>
        <v/>
      </c>
    </row>
    <row r="1762">
      <c r="A1762" s="60" t="n"/>
      <c r="B1762" s="60" t="n"/>
      <c r="C1762" s="71" t="str">
        <f>IF(B1762="","",IFERROR(INDEX(mat_des,MATCH(B1762,mat_ref,0))&amp;"","Matière inconnue"))</f>
        <v/>
      </c>
      <c r="D1762" s="69" t="str">
        <f>IF(B1762="","",IFERROR(INDEX(mat_unit,MATCH(B1762,mat_ref,0))&amp;"",""))</f>
        <v/>
      </c>
      <c r="E1762" s="72" t="n"/>
      <c r="F1762" s="65" t="n"/>
      <c r="G1762" s="68" t="str">
        <f>IF(J1762&lt;&gt;"OK","",IF(F1762="",N(INDEX(mat_loss,MATCH(B1762,mat_ref,0))),F1762))</f>
        <v/>
      </c>
      <c r="H1762" s="66" t="str">
        <f>IF(J1762&lt;&gt;"OK","",INDEX(mat_price,MATCH(B1762,mat_ref,0)))</f>
        <v/>
      </c>
      <c r="I1762" s="66" t="str">
        <f>IF(J1762&lt;&gt;"OK","",E1762*(1+G1762)*H1762)</f>
        <v/>
      </c>
      <c r="J1762" s="69" t="str">
        <f>IF(AND(A1762="",B1762=""),"",IF(A1762="","Produit manquant",IF(COUNTIF(prod_ref,A1762)=0,"Produit inconnu",IF(B1762="","Matière manquante",IF(ISNA(MATCH(B1762,mat_ref,0)),"Matière inconnue",IF(INDEX(mat_check,MATCH(B1762,mat_ref,0))&lt;&gt;"OK","Matière à corriger",IF(OR(NOT(ISNUMBER(E1762)),N(E1762)&lt;=0),"Quantité invalide",IF(AND(F1762&lt;&gt;"",OR(NOT(ISNUMBER(F1762)),N(F1762)&lt;0,N(F1762)&gt;=1)),"Perte entre 0 et 99 %",IF(COUNTIFS(bom_prod,A1762,bom_mat,B1762)&gt;1,"Matière en double","OK")))))))))</f>
        <v/>
      </c>
      <c r="K1762" s="71" t="str">
        <f>IF(AND(fiche_sel&lt;&gt;"",A1762=fiche_sel),COUNTIF(A$6:A1762,fiche_sel),"")</f>
        <v/>
      </c>
    </row>
    <row r="1763">
      <c r="A1763" s="60" t="n"/>
      <c r="B1763" s="60" t="n"/>
      <c r="C1763" s="71" t="str">
        <f>IF(B1763="","",IFERROR(INDEX(mat_des,MATCH(B1763,mat_ref,0))&amp;"","Matière inconnue"))</f>
        <v/>
      </c>
      <c r="D1763" s="69" t="str">
        <f>IF(B1763="","",IFERROR(INDEX(mat_unit,MATCH(B1763,mat_ref,0))&amp;"",""))</f>
        <v/>
      </c>
      <c r="E1763" s="72" t="n"/>
      <c r="F1763" s="65" t="n"/>
      <c r="G1763" s="68" t="str">
        <f>IF(J1763&lt;&gt;"OK","",IF(F1763="",N(INDEX(mat_loss,MATCH(B1763,mat_ref,0))),F1763))</f>
        <v/>
      </c>
      <c r="H1763" s="66" t="str">
        <f>IF(J1763&lt;&gt;"OK","",INDEX(mat_price,MATCH(B1763,mat_ref,0)))</f>
        <v/>
      </c>
      <c r="I1763" s="66" t="str">
        <f>IF(J1763&lt;&gt;"OK","",E1763*(1+G1763)*H1763)</f>
        <v/>
      </c>
      <c r="J1763" s="69" t="str">
        <f>IF(AND(A1763="",B1763=""),"",IF(A1763="","Produit manquant",IF(COUNTIF(prod_ref,A1763)=0,"Produit inconnu",IF(B1763="","Matière manquante",IF(ISNA(MATCH(B1763,mat_ref,0)),"Matière inconnue",IF(INDEX(mat_check,MATCH(B1763,mat_ref,0))&lt;&gt;"OK","Matière à corriger",IF(OR(NOT(ISNUMBER(E1763)),N(E1763)&lt;=0),"Quantité invalide",IF(AND(F1763&lt;&gt;"",OR(NOT(ISNUMBER(F1763)),N(F1763)&lt;0,N(F1763)&gt;=1)),"Perte entre 0 et 99 %",IF(COUNTIFS(bom_prod,A1763,bom_mat,B1763)&gt;1,"Matière en double","OK")))))))))</f>
        <v/>
      </c>
      <c r="K1763" s="71" t="str">
        <f>IF(AND(fiche_sel&lt;&gt;"",A1763=fiche_sel),COUNTIF(A$6:A1763,fiche_sel),"")</f>
        <v/>
      </c>
    </row>
    <row r="1764">
      <c r="A1764" s="60" t="n"/>
      <c r="B1764" s="60" t="n"/>
      <c r="C1764" s="71" t="str">
        <f>IF(B1764="","",IFERROR(INDEX(mat_des,MATCH(B1764,mat_ref,0))&amp;"","Matière inconnue"))</f>
        <v/>
      </c>
      <c r="D1764" s="69" t="str">
        <f>IF(B1764="","",IFERROR(INDEX(mat_unit,MATCH(B1764,mat_ref,0))&amp;"",""))</f>
        <v/>
      </c>
      <c r="E1764" s="72" t="n"/>
      <c r="F1764" s="65" t="n"/>
      <c r="G1764" s="68" t="str">
        <f>IF(J1764&lt;&gt;"OK","",IF(F1764="",N(INDEX(mat_loss,MATCH(B1764,mat_ref,0))),F1764))</f>
        <v/>
      </c>
      <c r="H1764" s="66" t="str">
        <f>IF(J1764&lt;&gt;"OK","",INDEX(mat_price,MATCH(B1764,mat_ref,0)))</f>
        <v/>
      </c>
      <c r="I1764" s="66" t="str">
        <f>IF(J1764&lt;&gt;"OK","",E1764*(1+G1764)*H1764)</f>
        <v/>
      </c>
      <c r="J1764" s="69" t="str">
        <f>IF(AND(A1764="",B1764=""),"",IF(A1764="","Produit manquant",IF(COUNTIF(prod_ref,A1764)=0,"Produit inconnu",IF(B1764="","Matière manquante",IF(ISNA(MATCH(B1764,mat_ref,0)),"Matière inconnue",IF(INDEX(mat_check,MATCH(B1764,mat_ref,0))&lt;&gt;"OK","Matière à corriger",IF(OR(NOT(ISNUMBER(E1764)),N(E1764)&lt;=0),"Quantité invalide",IF(AND(F1764&lt;&gt;"",OR(NOT(ISNUMBER(F1764)),N(F1764)&lt;0,N(F1764)&gt;=1)),"Perte entre 0 et 99 %",IF(COUNTIFS(bom_prod,A1764,bom_mat,B1764)&gt;1,"Matière en double","OK")))))))))</f>
        <v/>
      </c>
      <c r="K1764" s="71" t="str">
        <f>IF(AND(fiche_sel&lt;&gt;"",A1764=fiche_sel),COUNTIF(A$6:A1764,fiche_sel),"")</f>
        <v/>
      </c>
    </row>
    <row r="1765">
      <c r="A1765" s="60" t="n"/>
      <c r="B1765" s="60" t="n"/>
      <c r="C1765" s="71" t="str">
        <f>IF(B1765="","",IFERROR(INDEX(mat_des,MATCH(B1765,mat_ref,0))&amp;"","Matière inconnue"))</f>
        <v/>
      </c>
      <c r="D1765" s="69" t="str">
        <f>IF(B1765="","",IFERROR(INDEX(mat_unit,MATCH(B1765,mat_ref,0))&amp;"",""))</f>
        <v/>
      </c>
      <c r="E1765" s="72" t="n"/>
      <c r="F1765" s="65" t="n"/>
      <c r="G1765" s="68" t="str">
        <f>IF(J1765&lt;&gt;"OK","",IF(F1765="",N(INDEX(mat_loss,MATCH(B1765,mat_ref,0))),F1765))</f>
        <v/>
      </c>
      <c r="H1765" s="66" t="str">
        <f>IF(J1765&lt;&gt;"OK","",INDEX(mat_price,MATCH(B1765,mat_ref,0)))</f>
        <v/>
      </c>
      <c r="I1765" s="66" t="str">
        <f>IF(J1765&lt;&gt;"OK","",E1765*(1+G1765)*H1765)</f>
        <v/>
      </c>
      <c r="J1765" s="69" t="str">
        <f>IF(AND(A1765="",B1765=""),"",IF(A1765="","Produit manquant",IF(COUNTIF(prod_ref,A1765)=0,"Produit inconnu",IF(B1765="","Matière manquante",IF(ISNA(MATCH(B1765,mat_ref,0)),"Matière inconnue",IF(INDEX(mat_check,MATCH(B1765,mat_ref,0))&lt;&gt;"OK","Matière à corriger",IF(OR(NOT(ISNUMBER(E1765)),N(E1765)&lt;=0),"Quantité invalide",IF(AND(F1765&lt;&gt;"",OR(NOT(ISNUMBER(F1765)),N(F1765)&lt;0,N(F1765)&gt;=1)),"Perte entre 0 et 99 %",IF(COUNTIFS(bom_prod,A1765,bom_mat,B1765)&gt;1,"Matière en double","OK")))))))))</f>
        <v/>
      </c>
      <c r="K1765" s="71" t="str">
        <f>IF(AND(fiche_sel&lt;&gt;"",A1765=fiche_sel),COUNTIF(A$6:A1765,fiche_sel),"")</f>
        <v/>
      </c>
    </row>
    <row r="1766">
      <c r="A1766" s="60" t="n"/>
      <c r="B1766" s="60" t="n"/>
      <c r="C1766" s="71" t="str">
        <f>IF(B1766="","",IFERROR(INDEX(mat_des,MATCH(B1766,mat_ref,0))&amp;"","Matière inconnue"))</f>
        <v/>
      </c>
      <c r="D1766" s="69" t="str">
        <f>IF(B1766="","",IFERROR(INDEX(mat_unit,MATCH(B1766,mat_ref,0))&amp;"",""))</f>
        <v/>
      </c>
      <c r="E1766" s="72" t="n"/>
      <c r="F1766" s="65" t="n"/>
      <c r="G1766" s="68" t="str">
        <f>IF(J1766&lt;&gt;"OK","",IF(F1766="",N(INDEX(mat_loss,MATCH(B1766,mat_ref,0))),F1766))</f>
        <v/>
      </c>
      <c r="H1766" s="66" t="str">
        <f>IF(J1766&lt;&gt;"OK","",INDEX(mat_price,MATCH(B1766,mat_ref,0)))</f>
        <v/>
      </c>
      <c r="I1766" s="66" t="str">
        <f>IF(J1766&lt;&gt;"OK","",E1766*(1+G1766)*H1766)</f>
        <v/>
      </c>
      <c r="J1766" s="69" t="str">
        <f>IF(AND(A1766="",B1766=""),"",IF(A1766="","Produit manquant",IF(COUNTIF(prod_ref,A1766)=0,"Produit inconnu",IF(B1766="","Matière manquante",IF(ISNA(MATCH(B1766,mat_ref,0)),"Matière inconnue",IF(INDEX(mat_check,MATCH(B1766,mat_ref,0))&lt;&gt;"OK","Matière à corriger",IF(OR(NOT(ISNUMBER(E1766)),N(E1766)&lt;=0),"Quantité invalide",IF(AND(F1766&lt;&gt;"",OR(NOT(ISNUMBER(F1766)),N(F1766)&lt;0,N(F1766)&gt;=1)),"Perte entre 0 et 99 %",IF(COUNTIFS(bom_prod,A1766,bom_mat,B1766)&gt;1,"Matière en double","OK")))))))))</f>
        <v/>
      </c>
      <c r="K1766" s="71" t="str">
        <f>IF(AND(fiche_sel&lt;&gt;"",A1766=fiche_sel),COUNTIF(A$6:A1766,fiche_sel),"")</f>
        <v/>
      </c>
    </row>
    <row r="1767">
      <c r="A1767" s="60" t="n"/>
      <c r="B1767" s="60" t="n"/>
      <c r="C1767" s="71" t="str">
        <f>IF(B1767="","",IFERROR(INDEX(mat_des,MATCH(B1767,mat_ref,0))&amp;"","Matière inconnue"))</f>
        <v/>
      </c>
      <c r="D1767" s="69" t="str">
        <f>IF(B1767="","",IFERROR(INDEX(mat_unit,MATCH(B1767,mat_ref,0))&amp;"",""))</f>
        <v/>
      </c>
      <c r="E1767" s="72" t="n"/>
      <c r="F1767" s="65" t="n"/>
      <c r="G1767" s="68" t="str">
        <f>IF(J1767&lt;&gt;"OK","",IF(F1767="",N(INDEX(mat_loss,MATCH(B1767,mat_ref,0))),F1767))</f>
        <v/>
      </c>
      <c r="H1767" s="66" t="str">
        <f>IF(J1767&lt;&gt;"OK","",INDEX(mat_price,MATCH(B1767,mat_ref,0)))</f>
        <v/>
      </c>
      <c r="I1767" s="66" t="str">
        <f>IF(J1767&lt;&gt;"OK","",E1767*(1+G1767)*H1767)</f>
        <v/>
      </c>
      <c r="J1767" s="69" t="str">
        <f>IF(AND(A1767="",B1767=""),"",IF(A1767="","Produit manquant",IF(COUNTIF(prod_ref,A1767)=0,"Produit inconnu",IF(B1767="","Matière manquante",IF(ISNA(MATCH(B1767,mat_ref,0)),"Matière inconnue",IF(INDEX(mat_check,MATCH(B1767,mat_ref,0))&lt;&gt;"OK","Matière à corriger",IF(OR(NOT(ISNUMBER(E1767)),N(E1767)&lt;=0),"Quantité invalide",IF(AND(F1767&lt;&gt;"",OR(NOT(ISNUMBER(F1767)),N(F1767)&lt;0,N(F1767)&gt;=1)),"Perte entre 0 et 99 %",IF(COUNTIFS(bom_prod,A1767,bom_mat,B1767)&gt;1,"Matière en double","OK")))))))))</f>
        <v/>
      </c>
      <c r="K1767" s="71" t="str">
        <f>IF(AND(fiche_sel&lt;&gt;"",A1767=fiche_sel),COUNTIF(A$6:A1767,fiche_sel),"")</f>
        <v/>
      </c>
    </row>
    <row r="1768">
      <c r="A1768" s="60" t="n"/>
      <c r="B1768" s="60" t="n"/>
      <c r="C1768" s="71" t="str">
        <f>IF(B1768="","",IFERROR(INDEX(mat_des,MATCH(B1768,mat_ref,0))&amp;"","Matière inconnue"))</f>
        <v/>
      </c>
      <c r="D1768" s="69" t="str">
        <f>IF(B1768="","",IFERROR(INDEX(mat_unit,MATCH(B1768,mat_ref,0))&amp;"",""))</f>
        <v/>
      </c>
      <c r="E1768" s="72" t="n"/>
      <c r="F1768" s="65" t="n"/>
      <c r="G1768" s="68" t="str">
        <f>IF(J1768&lt;&gt;"OK","",IF(F1768="",N(INDEX(mat_loss,MATCH(B1768,mat_ref,0))),F1768))</f>
        <v/>
      </c>
      <c r="H1768" s="66" t="str">
        <f>IF(J1768&lt;&gt;"OK","",INDEX(mat_price,MATCH(B1768,mat_ref,0)))</f>
        <v/>
      </c>
      <c r="I1768" s="66" t="str">
        <f>IF(J1768&lt;&gt;"OK","",E1768*(1+G1768)*H1768)</f>
        <v/>
      </c>
      <c r="J1768" s="69" t="str">
        <f>IF(AND(A1768="",B1768=""),"",IF(A1768="","Produit manquant",IF(COUNTIF(prod_ref,A1768)=0,"Produit inconnu",IF(B1768="","Matière manquante",IF(ISNA(MATCH(B1768,mat_ref,0)),"Matière inconnue",IF(INDEX(mat_check,MATCH(B1768,mat_ref,0))&lt;&gt;"OK","Matière à corriger",IF(OR(NOT(ISNUMBER(E1768)),N(E1768)&lt;=0),"Quantité invalide",IF(AND(F1768&lt;&gt;"",OR(NOT(ISNUMBER(F1768)),N(F1768)&lt;0,N(F1768)&gt;=1)),"Perte entre 0 et 99 %",IF(COUNTIFS(bom_prod,A1768,bom_mat,B1768)&gt;1,"Matière en double","OK")))))))))</f>
        <v/>
      </c>
      <c r="K1768" s="71" t="str">
        <f>IF(AND(fiche_sel&lt;&gt;"",A1768=fiche_sel),COUNTIF(A$6:A1768,fiche_sel),"")</f>
        <v/>
      </c>
    </row>
    <row r="1769">
      <c r="A1769" s="60" t="n"/>
      <c r="B1769" s="60" t="n"/>
      <c r="C1769" s="71" t="str">
        <f>IF(B1769="","",IFERROR(INDEX(mat_des,MATCH(B1769,mat_ref,0))&amp;"","Matière inconnue"))</f>
        <v/>
      </c>
      <c r="D1769" s="69" t="str">
        <f>IF(B1769="","",IFERROR(INDEX(mat_unit,MATCH(B1769,mat_ref,0))&amp;"",""))</f>
        <v/>
      </c>
      <c r="E1769" s="72" t="n"/>
      <c r="F1769" s="65" t="n"/>
      <c r="G1769" s="68" t="str">
        <f>IF(J1769&lt;&gt;"OK","",IF(F1769="",N(INDEX(mat_loss,MATCH(B1769,mat_ref,0))),F1769))</f>
        <v/>
      </c>
      <c r="H1769" s="66" t="str">
        <f>IF(J1769&lt;&gt;"OK","",INDEX(mat_price,MATCH(B1769,mat_ref,0)))</f>
        <v/>
      </c>
      <c r="I1769" s="66" t="str">
        <f>IF(J1769&lt;&gt;"OK","",E1769*(1+G1769)*H1769)</f>
        <v/>
      </c>
      <c r="J1769" s="69" t="str">
        <f>IF(AND(A1769="",B1769=""),"",IF(A1769="","Produit manquant",IF(COUNTIF(prod_ref,A1769)=0,"Produit inconnu",IF(B1769="","Matière manquante",IF(ISNA(MATCH(B1769,mat_ref,0)),"Matière inconnue",IF(INDEX(mat_check,MATCH(B1769,mat_ref,0))&lt;&gt;"OK","Matière à corriger",IF(OR(NOT(ISNUMBER(E1769)),N(E1769)&lt;=0),"Quantité invalide",IF(AND(F1769&lt;&gt;"",OR(NOT(ISNUMBER(F1769)),N(F1769)&lt;0,N(F1769)&gt;=1)),"Perte entre 0 et 99 %",IF(COUNTIFS(bom_prod,A1769,bom_mat,B1769)&gt;1,"Matière en double","OK")))))))))</f>
        <v/>
      </c>
      <c r="K1769" s="71" t="str">
        <f>IF(AND(fiche_sel&lt;&gt;"",A1769=fiche_sel),COUNTIF(A$6:A1769,fiche_sel),"")</f>
        <v/>
      </c>
    </row>
    <row r="1770">
      <c r="A1770" s="60" t="n"/>
      <c r="B1770" s="60" t="n"/>
      <c r="C1770" s="71" t="str">
        <f>IF(B1770="","",IFERROR(INDEX(mat_des,MATCH(B1770,mat_ref,0))&amp;"","Matière inconnue"))</f>
        <v/>
      </c>
      <c r="D1770" s="69" t="str">
        <f>IF(B1770="","",IFERROR(INDEX(mat_unit,MATCH(B1770,mat_ref,0))&amp;"",""))</f>
        <v/>
      </c>
      <c r="E1770" s="72" t="n"/>
      <c r="F1770" s="65" t="n"/>
      <c r="G1770" s="68" t="str">
        <f>IF(J1770&lt;&gt;"OK","",IF(F1770="",N(INDEX(mat_loss,MATCH(B1770,mat_ref,0))),F1770))</f>
        <v/>
      </c>
      <c r="H1770" s="66" t="str">
        <f>IF(J1770&lt;&gt;"OK","",INDEX(mat_price,MATCH(B1770,mat_ref,0)))</f>
        <v/>
      </c>
      <c r="I1770" s="66" t="str">
        <f>IF(J1770&lt;&gt;"OK","",E1770*(1+G1770)*H1770)</f>
        <v/>
      </c>
      <c r="J1770" s="69" t="str">
        <f>IF(AND(A1770="",B1770=""),"",IF(A1770="","Produit manquant",IF(COUNTIF(prod_ref,A1770)=0,"Produit inconnu",IF(B1770="","Matière manquante",IF(ISNA(MATCH(B1770,mat_ref,0)),"Matière inconnue",IF(INDEX(mat_check,MATCH(B1770,mat_ref,0))&lt;&gt;"OK","Matière à corriger",IF(OR(NOT(ISNUMBER(E1770)),N(E1770)&lt;=0),"Quantité invalide",IF(AND(F1770&lt;&gt;"",OR(NOT(ISNUMBER(F1770)),N(F1770)&lt;0,N(F1770)&gt;=1)),"Perte entre 0 et 99 %",IF(COUNTIFS(bom_prod,A1770,bom_mat,B1770)&gt;1,"Matière en double","OK")))))))))</f>
        <v/>
      </c>
      <c r="K1770" s="71" t="str">
        <f>IF(AND(fiche_sel&lt;&gt;"",A1770=fiche_sel),COUNTIF(A$6:A1770,fiche_sel),"")</f>
        <v/>
      </c>
    </row>
    <row r="1771">
      <c r="A1771" s="60" t="n"/>
      <c r="B1771" s="60" t="n"/>
      <c r="C1771" s="71" t="str">
        <f>IF(B1771="","",IFERROR(INDEX(mat_des,MATCH(B1771,mat_ref,0))&amp;"","Matière inconnue"))</f>
        <v/>
      </c>
      <c r="D1771" s="69" t="str">
        <f>IF(B1771="","",IFERROR(INDEX(mat_unit,MATCH(B1771,mat_ref,0))&amp;"",""))</f>
        <v/>
      </c>
      <c r="E1771" s="72" t="n"/>
      <c r="F1771" s="65" t="n"/>
      <c r="G1771" s="68" t="str">
        <f>IF(J1771&lt;&gt;"OK","",IF(F1771="",N(INDEX(mat_loss,MATCH(B1771,mat_ref,0))),F1771))</f>
        <v/>
      </c>
      <c r="H1771" s="66" t="str">
        <f>IF(J1771&lt;&gt;"OK","",INDEX(mat_price,MATCH(B1771,mat_ref,0)))</f>
        <v/>
      </c>
      <c r="I1771" s="66" t="str">
        <f>IF(J1771&lt;&gt;"OK","",E1771*(1+G1771)*H1771)</f>
        <v/>
      </c>
      <c r="J1771" s="69" t="str">
        <f>IF(AND(A1771="",B1771=""),"",IF(A1771="","Produit manquant",IF(COUNTIF(prod_ref,A1771)=0,"Produit inconnu",IF(B1771="","Matière manquante",IF(ISNA(MATCH(B1771,mat_ref,0)),"Matière inconnue",IF(INDEX(mat_check,MATCH(B1771,mat_ref,0))&lt;&gt;"OK","Matière à corriger",IF(OR(NOT(ISNUMBER(E1771)),N(E1771)&lt;=0),"Quantité invalide",IF(AND(F1771&lt;&gt;"",OR(NOT(ISNUMBER(F1771)),N(F1771)&lt;0,N(F1771)&gt;=1)),"Perte entre 0 et 99 %",IF(COUNTIFS(bom_prod,A1771,bom_mat,B1771)&gt;1,"Matière en double","OK")))))))))</f>
        <v/>
      </c>
      <c r="K1771" s="71" t="str">
        <f>IF(AND(fiche_sel&lt;&gt;"",A1771=fiche_sel),COUNTIF(A$6:A1771,fiche_sel),"")</f>
        <v/>
      </c>
    </row>
    <row r="1772">
      <c r="A1772" s="60" t="n"/>
      <c r="B1772" s="60" t="n"/>
      <c r="C1772" s="71" t="str">
        <f>IF(B1772="","",IFERROR(INDEX(mat_des,MATCH(B1772,mat_ref,0))&amp;"","Matière inconnue"))</f>
        <v/>
      </c>
      <c r="D1772" s="69" t="str">
        <f>IF(B1772="","",IFERROR(INDEX(mat_unit,MATCH(B1772,mat_ref,0))&amp;"",""))</f>
        <v/>
      </c>
      <c r="E1772" s="72" t="n"/>
      <c r="F1772" s="65" t="n"/>
      <c r="G1772" s="68" t="str">
        <f>IF(J1772&lt;&gt;"OK","",IF(F1772="",N(INDEX(mat_loss,MATCH(B1772,mat_ref,0))),F1772))</f>
        <v/>
      </c>
      <c r="H1772" s="66" t="str">
        <f>IF(J1772&lt;&gt;"OK","",INDEX(mat_price,MATCH(B1772,mat_ref,0)))</f>
        <v/>
      </c>
      <c r="I1772" s="66" t="str">
        <f>IF(J1772&lt;&gt;"OK","",E1772*(1+G1772)*H1772)</f>
        <v/>
      </c>
      <c r="J1772" s="69" t="str">
        <f>IF(AND(A1772="",B1772=""),"",IF(A1772="","Produit manquant",IF(COUNTIF(prod_ref,A1772)=0,"Produit inconnu",IF(B1772="","Matière manquante",IF(ISNA(MATCH(B1772,mat_ref,0)),"Matière inconnue",IF(INDEX(mat_check,MATCH(B1772,mat_ref,0))&lt;&gt;"OK","Matière à corriger",IF(OR(NOT(ISNUMBER(E1772)),N(E1772)&lt;=0),"Quantité invalide",IF(AND(F1772&lt;&gt;"",OR(NOT(ISNUMBER(F1772)),N(F1772)&lt;0,N(F1772)&gt;=1)),"Perte entre 0 et 99 %",IF(COUNTIFS(bom_prod,A1772,bom_mat,B1772)&gt;1,"Matière en double","OK")))))))))</f>
        <v/>
      </c>
      <c r="K1772" s="71" t="str">
        <f>IF(AND(fiche_sel&lt;&gt;"",A1772=fiche_sel),COUNTIF(A$6:A1772,fiche_sel),"")</f>
        <v/>
      </c>
    </row>
    <row r="1773">
      <c r="A1773" s="60" t="n"/>
      <c r="B1773" s="60" t="n"/>
      <c r="C1773" s="71" t="str">
        <f>IF(B1773="","",IFERROR(INDEX(mat_des,MATCH(B1773,mat_ref,0))&amp;"","Matière inconnue"))</f>
        <v/>
      </c>
      <c r="D1773" s="69" t="str">
        <f>IF(B1773="","",IFERROR(INDEX(mat_unit,MATCH(B1773,mat_ref,0))&amp;"",""))</f>
        <v/>
      </c>
      <c r="E1773" s="72" t="n"/>
      <c r="F1773" s="65" t="n"/>
      <c r="G1773" s="68" t="str">
        <f>IF(J1773&lt;&gt;"OK","",IF(F1773="",N(INDEX(mat_loss,MATCH(B1773,mat_ref,0))),F1773))</f>
        <v/>
      </c>
      <c r="H1773" s="66" t="str">
        <f>IF(J1773&lt;&gt;"OK","",INDEX(mat_price,MATCH(B1773,mat_ref,0)))</f>
        <v/>
      </c>
      <c r="I1773" s="66" t="str">
        <f>IF(J1773&lt;&gt;"OK","",E1773*(1+G1773)*H1773)</f>
        <v/>
      </c>
      <c r="J1773" s="69" t="str">
        <f>IF(AND(A1773="",B1773=""),"",IF(A1773="","Produit manquant",IF(COUNTIF(prod_ref,A1773)=0,"Produit inconnu",IF(B1773="","Matière manquante",IF(ISNA(MATCH(B1773,mat_ref,0)),"Matière inconnue",IF(INDEX(mat_check,MATCH(B1773,mat_ref,0))&lt;&gt;"OK","Matière à corriger",IF(OR(NOT(ISNUMBER(E1773)),N(E1773)&lt;=0),"Quantité invalide",IF(AND(F1773&lt;&gt;"",OR(NOT(ISNUMBER(F1773)),N(F1773)&lt;0,N(F1773)&gt;=1)),"Perte entre 0 et 99 %",IF(COUNTIFS(bom_prod,A1773,bom_mat,B1773)&gt;1,"Matière en double","OK")))))))))</f>
        <v/>
      </c>
      <c r="K1773" s="71" t="str">
        <f>IF(AND(fiche_sel&lt;&gt;"",A1773=fiche_sel),COUNTIF(A$6:A1773,fiche_sel),"")</f>
        <v/>
      </c>
    </row>
    <row r="1774">
      <c r="A1774" s="60" t="n"/>
      <c r="B1774" s="60" t="n"/>
      <c r="C1774" s="71" t="str">
        <f>IF(B1774="","",IFERROR(INDEX(mat_des,MATCH(B1774,mat_ref,0))&amp;"","Matière inconnue"))</f>
        <v/>
      </c>
      <c r="D1774" s="69" t="str">
        <f>IF(B1774="","",IFERROR(INDEX(mat_unit,MATCH(B1774,mat_ref,0))&amp;"",""))</f>
        <v/>
      </c>
      <c r="E1774" s="72" t="n"/>
      <c r="F1774" s="65" t="n"/>
      <c r="G1774" s="68" t="str">
        <f>IF(J1774&lt;&gt;"OK","",IF(F1774="",N(INDEX(mat_loss,MATCH(B1774,mat_ref,0))),F1774))</f>
        <v/>
      </c>
      <c r="H1774" s="66" t="str">
        <f>IF(J1774&lt;&gt;"OK","",INDEX(mat_price,MATCH(B1774,mat_ref,0)))</f>
        <v/>
      </c>
      <c r="I1774" s="66" t="str">
        <f>IF(J1774&lt;&gt;"OK","",E1774*(1+G1774)*H1774)</f>
        <v/>
      </c>
      <c r="J1774" s="69" t="str">
        <f>IF(AND(A1774="",B1774=""),"",IF(A1774="","Produit manquant",IF(COUNTIF(prod_ref,A1774)=0,"Produit inconnu",IF(B1774="","Matière manquante",IF(ISNA(MATCH(B1774,mat_ref,0)),"Matière inconnue",IF(INDEX(mat_check,MATCH(B1774,mat_ref,0))&lt;&gt;"OK","Matière à corriger",IF(OR(NOT(ISNUMBER(E1774)),N(E1774)&lt;=0),"Quantité invalide",IF(AND(F1774&lt;&gt;"",OR(NOT(ISNUMBER(F1774)),N(F1774)&lt;0,N(F1774)&gt;=1)),"Perte entre 0 et 99 %",IF(COUNTIFS(bom_prod,A1774,bom_mat,B1774)&gt;1,"Matière en double","OK")))))))))</f>
        <v/>
      </c>
      <c r="K1774" s="71" t="str">
        <f>IF(AND(fiche_sel&lt;&gt;"",A1774=fiche_sel),COUNTIF(A$6:A1774,fiche_sel),"")</f>
        <v/>
      </c>
    </row>
    <row r="1775">
      <c r="A1775" s="60" t="n"/>
      <c r="B1775" s="60" t="n"/>
      <c r="C1775" s="71" t="str">
        <f>IF(B1775="","",IFERROR(INDEX(mat_des,MATCH(B1775,mat_ref,0))&amp;"","Matière inconnue"))</f>
        <v/>
      </c>
      <c r="D1775" s="69" t="str">
        <f>IF(B1775="","",IFERROR(INDEX(mat_unit,MATCH(B1775,mat_ref,0))&amp;"",""))</f>
        <v/>
      </c>
      <c r="E1775" s="72" t="n"/>
      <c r="F1775" s="65" t="n"/>
      <c r="G1775" s="68" t="str">
        <f>IF(J1775&lt;&gt;"OK","",IF(F1775="",N(INDEX(mat_loss,MATCH(B1775,mat_ref,0))),F1775))</f>
        <v/>
      </c>
      <c r="H1775" s="66" t="str">
        <f>IF(J1775&lt;&gt;"OK","",INDEX(mat_price,MATCH(B1775,mat_ref,0)))</f>
        <v/>
      </c>
      <c r="I1775" s="66" t="str">
        <f>IF(J1775&lt;&gt;"OK","",E1775*(1+G1775)*H1775)</f>
        <v/>
      </c>
      <c r="J1775" s="69" t="str">
        <f>IF(AND(A1775="",B1775=""),"",IF(A1775="","Produit manquant",IF(COUNTIF(prod_ref,A1775)=0,"Produit inconnu",IF(B1775="","Matière manquante",IF(ISNA(MATCH(B1775,mat_ref,0)),"Matière inconnue",IF(INDEX(mat_check,MATCH(B1775,mat_ref,0))&lt;&gt;"OK","Matière à corriger",IF(OR(NOT(ISNUMBER(E1775)),N(E1775)&lt;=0),"Quantité invalide",IF(AND(F1775&lt;&gt;"",OR(NOT(ISNUMBER(F1775)),N(F1775)&lt;0,N(F1775)&gt;=1)),"Perte entre 0 et 99 %",IF(COUNTIFS(bom_prod,A1775,bom_mat,B1775)&gt;1,"Matière en double","OK")))))))))</f>
        <v/>
      </c>
      <c r="K1775" s="71" t="str">
        <f>IF(AND(fiche_sel&lt;&gt;"",A1775=fiche_sel),COUNTIF(A$6:A1775,fiche_sel),"")</f>
        <v/>
      </c>
    </row>
    <row r="1776">
      <c r="A1776" s="60" t="n"/>
      <c r="B1776" s="60" t="n"/>
      <c r="C1776" s="71" t="str">
        <f>IF(B1776="","",IFERROR(INDEX(mat_des,MATCH(B1776,mat_ref,0))&amp;"","Matière inconnue"))</f>
        <v/>
      </c>
      <c r="D1776" s="69" t="str">
        <f>IF(B1776="","",IFERROR(INDEX(mat_unit,MATCH(B1776,mat_ref,0))&amp;"",""))</f>
        <v/>
      </c>
      <c r="E1776" s="72" t="n"/>
      <c r="F1776" s="65" t="n"/>
      <c r="G1776" s="68" t="str">
        <f>IF(J1776&lt;&gt;"OK","",IF(F1776="",N(INDEX(mat_loss,MATCH(B1776,mat_ref,0))),F1776))</f>
        <v/>
      </c>
      <c r="H1776" s="66" t="str">
        <f>IF(J1776&lt;&gt;"OK","",INDEX(mat_price,MATCH(B1776,mat_ref,0)))</f>
        <v/>
      </c>
      <c r="I1776" s="66" t="str">
        <f>IF(J1776&lt;&gt;"OK","",E1776*(1+G1776)*H1776)</f>
        <v/>
      </c>
      <c r="J1776" s="69" t="str">
        <f>IF(AND(A1776="",B1776=""),"",IF(A1776="","Produit manquant",IF(COUNTIF(prod_ref,A1776)=0,"Produit inconnu",IF(B1776="","Matière manquante",IF(ISNA(MATCH(B1776,mat_ref,0)),"Matière inconnue",IF(INDEX(mat_check,MATCH(B1776,mat_ref,0))&lt;&gt;"OK","Matière à corriger",IF(OR(NOT(ISNUMBER(E1776)),N(E1776)&lt;=0),"Quantité invalide",IF(AND(F1776&lt;&gt;"",OR(NOT(ISNUMBER(F1776)),N(F1776)&lt;0,N(F1776)&gt;=1)),"Perte entre 0 et 99 %",IF(COUNTIFS(bom_prod,A1776,bom_mat,B1776)&gt;1,"Matière en double","OK")))))))))</f>
        <v/>
      </c>
      <c r="K1776" s="71" t="str">
        <f>IF(AND(fiche_sel&lt;&gt;"",A1776=fiche_sel),COUNTIF(A$6:A1776,fiche_sel),"")</f>
        <v/>
      </c>
    </row>
    <row r="1777">
      <c r="A1777" s="60" t="n"/>
      <c r="B1777" s="60" t="n"/>
      <c r="C1777" s="71" t="str">
        <f>IF(B1777="","",IFERROR(INDEX(mat_des,MATCH(B1777,mat_ref,0))&amp;"","Matière inconnue"))</f>
        <v/>
      </c>
      <c r="D1777" s="69" t="str">
        <f>IF(B1777="","",IFERROR(INDEX(mat_unit,MATCH(B1777,mat_ref,0))&amp;"",""))</f>
        <v/>
      </c>
      <c r="E1777" s="72" t="n"/>
      <c r="F1777" s="65" t="n"/>
      <c r="G1777" s="68" t="str">
        <f>IF(J1777&lt;&gt;"OK","",IF(F1777="",N(INDEX(mat_loss,MATCH(B1777,mat_ref,0))),F1777))</f>
        <v/>
      </c>
      <c r="H1777" s="66" t="str">
        <f>IF(J1777&lt;&gt;"OK","",INDEX(mat_price,MATCH(B1777,mat_ref,0)))</f>
        <v/>
      </c>
      <c r="I1777" s="66" t="str">
        <f>IF(J1777&lt;&gt;"OK","",E1777*(1+G1777)*H1777)</f>
        <v/>
      </c>
      <c r="J1777" s="69" t="str">
        <f>IF(AND(A1777="",B1777=""),"",IF(A1777="","Produit manquant",IF(COUNTIF(prod_ref,A1777)=0,"Produit inconnu",IF(B1777="","Matière manquante",IF(ISNA(MATCH(B1777,mat_ref,0)),"Matière inconnue",IF(INDEX(mat_check,MATCH(B1777,mat_ref,0))&lt;&gt;"OK","Matière à corriger",IF(OR(NOT(ISNUMBER(E1777)),N(E1777)&lt;=0),"Quantité invalide",IF(AND(F1777&lt;&gt;"",OR(NOT(ISNUMBER(F1777)),N(F1777)&lt;0,N(F1777)&gt;=1)),"Perte entre 0 et 99 %",IF(COUNTIFS(bom_prod,A1777,bom_mat,B1777)&gt;1,"Matière en double","OK")))))))))</f>
        <v/>
      </c>
      <c r="K1777" s="71" t="str">
        <f>IF(AND(fiche_sel&lt;&gt;"",A1777=fiche_sel),COUNTIF(A$6:A1777,fiche_sel),"")</f>
        <v/>
      </c>
    </row>
    <row r="1778">
      <c r="A1778" s="60" t="n"/>
      <c r="B1778" s="60" t="n"/>
      <c r="C1778" s="71" t="str">
        <f>IF(B1778="","",IFERROR(INDEX(mat_des,MATCH(B1778,mat_ref,0))&amp;"","Matière inconnue"))</f>
        <v/>
      </c>
      <c r="D1778" s="69" t="str">
        <f>IF(B1778="","",IFERROR(INDEX(mat_unit,MATCH(B1778,mat_ref,0))&amp;"",""))</f>
        <v/>
      </c>
      <c r="E1778" s="72" t="n"/>
      <c r="F1778" s="65" t="n"/>
      <c r="G1778" s="68" t="str">
        <f>IF(J1778&lt;&gt;"OK","",IF(F1778="",N(INDEX(mat_loss,MATCH(B1778,mat_ref,0))),F1778))</f>
        <v/>
      </c>
      <c r="H1778" s="66" t="str">
        <f>IF(J1778&lt;&gt;"OK","",INDEX(mat_price,MATCH(B1778,mat_ref,0)))</f>
        <v/>
      </c>
      <c r="I1778" s="66" t="str">
        <f>IF(J1778&lt;&gt;"OK","",E1778*(1+G1778)*H1778)</f>
        <v/>
      </c>
      <c r="J1778" s="69" t="str">
        <f>IF(AND(A1778="",B1778=""),"",IF(A1778="","Produit manquant",IF(COUNTIF(prod_ref,A1778)=0,"Produit inconnu",IF(B1778="","Matière manquante",IF(ISNA(MATCH(B1778,mat_ref,0)),"Matière inconnue",IF(INDEX(mat_check,MATCH(B1778,mat_ref,0))&lt;&gt;"OK","Matière à corriger",IF(OR(NOT(ISNUMBER(E1778)),N(E1778)&lt;=0),"Quantité invalide",IF(AND(F1778&lt;&gt;"",OR(NOT(ISNUMBER(F1778)),N(F1778)&lt;0,N(F1778)&gt;=1)),"Perte entre 0 et 99 %",IF(COUNTIFS(bom_prod,A1778,bom_mat,B1778)&gt;1,"Matière en double","OK")))))))))</f>
        <v/>
      </c>
      <c r="K1778" s="71" t="str">
        <f>IF(AND(fiche_sel&lt;&gt;"",A1778=fiche_sel),COUNTIF(A$6:A1778,fiche_sel),"")</f>
        <v/>
      </c>
    </row>
    <row r="1779">
      <c r="A1779" s="60" t="n"/>
      <c r="B1779" s="60" t="n"/>
      <c r="C1779" s="71" t="str">
        <f>IF(B1779="","",IFERROR(INDEX(mat_des,MATCH(B1779,mat_ref,0))&amp;"","Matière inconnue"))</f>
        <v/>
      </c>
      <c r="D1779" s="69" t="str">
        <f>IF(B1779="","",IFERROR(INDEX(mat_unit,MATCH(B1779,mat_ref,0))&amp;"",""))</f>
        <v/>
      </c>
      <c r="E1779" s="72" t="n"/>
      <c r="F1779" s="65" t="n"/>
      <c r="G1779" s="68" t="str">
        <f>IF(J1779&lt;&gt;"OK","",IF(F1779="",N(INDEX(mat_loss,MATCH(B1779,mat_ref,0))),F1779))</f>
        <v/>
      </c>
      <c r="H1779" s="66" t="str">
        <f>IF(J1779&lt;&gt;"OK","",INDEX(mat_price,MATCH(B1779,mat_ref,0)))</f>
        <v/>
      </c>
      <c r="I1779" s="66" t="str">
        <f>IF(J1779&lt;&gt;"OK","",E1779*(1+G1779)*H1779)</f>
        <v/>
      </c>
      <c r="J1779" s="69" t="str">
        <f>IF(AND(A1779="",B1779=""),"",IF(A1779="","Produit manquant",IF(COUNTIF(prod_ref,A1779)=0,"Produit inconnu",IF(B1779="","Matière manquante",IF(ISNA(MATCH(B1779,mat_ref,0)),"Matière inconnue",IF(INDEX(mat_check,MATCH(B1779,mat_ref,0))&lt;&gt;"OK","Matière à corriger",IF(OR(NOT(ISNUMBER(E1779)),N(E1779)&lt;=0),"Quantité invalide",IF(AND(F1779&lt;&gt;"",OR(NOT(ISNUMBER(F1779)),N(F1779)&lt;0,N(F1779)&gt;=1)),"Perte entre 0 et 99 %",IF(COUNTIFS(bom_prod,A1779,bom_mat,B1779)&gt;1,"Matière en double","OK")))))))))</f>
        <v/>
      </c>
      <c r="K1779" s="71" t="str">
        <f>IF(AND(fiche_sel&lt;&gt;"",A1779=fiche_sel),COUNTIF(A$6:A1779,fiche_sel),"")</f>
        <v/>
      </c>
    </row>
    <row r="1780">
      <c r="A1780" s="60" t="n"/>
      <c r="B1780" s="60" t="n"/>
      <c r="C1780" s="71" t="str">
        <f>IF(B1780="","",IFERROR(INDEX(mat_des,MATCH(B1780,mat_ref,0))&amp;"","Matière inconnue"))</f>
        <v/>
      </c>
      <c r="D1780" s="69" t="str">
        <f>IF(B1780="","",IFERROR(INDEX(mat_unit,MATCH(B1780,mat_ref,0))&amp;"",""))</f>
        <v/>
      </c>
      <c r="E1780" s="72" t="n"/>
      <c r="F1780" s="65" t="n"/>
      <c r="G1780" s="68" t="str">
        <f>IF(J1780&lt;&gt;"OK","",IF(F1780="",N(INDEX(mat_loss,MATCH(B1780,mat_ref,0))),F1780))</f>
        <v/>
      </c>
      <c r="H1780" s="66" t="str">
        <f>IF(J1780&lt;&gt;"OK","",INDEX(mat_price,MATCH(B1780,mat_ref,0)))</f>
        <v/>
      </c>
      <c r="I1780" s="66" t="str">
        <f>IF(J1780&lt;&gt;"OK","",E1780*(1+G1780)*H1780)</f>
        <v/>
      </c>
      <c r="J1780" s="69" t="str">
        <f>IF(AND(A1780="",B1780=""),"",IF(A1780="","Produit manquant",IF(COUNTIF(prod_ref,A1780)=0,"Produit inconnu",IF(B1780="","Matière manquante",IF(ISNA(MATCH(B1780,mat_ref,0)),"Matière inconnue",IF(INDEX(mat_check,MATCH(B1780,mat_ref,0))&lt;&gt;"OK","Matière à corriger",IF(OR(NOT(ISNUMBER(E1780)),N(E1780)&lt;=0),"Quantité invalide",IF(AND(F1780&lt;&gt;"",OR(NOT(ISNUMBER(F1780)),N(F1780)&lt;0,N(F1780)&gt;=1)),"Perte entre 0 et 99 %",IF(COUNTIFS(bom_prod,A1780,bom_mat,B1780)&gt;1,"Matière en double","OK")))))))))</f>
        <v/>
      </c>
      <c r="K1780" s="71" t="str">
        <f>IF(AND(fiche_sel&lt;&gt;"",A1780=fiche_sel),COUNTIF(A$6:A1780,fiche_sel),"")</f>
        <v/>
      </c>
    </row>
    <row r="1781">
      <c r="A1781" s="60" t="n"/>
      <c r="B1781" s="60" t="n"/>
      <c r="C1781" s="71" t="str">
        <f>IF(B1781="","",IFERROR(INDEX(mat_des,MATCH(B1781,mat_ref,0))&amp;"","Matière inconnue"))</f>
        <v/>
      </c>
      <c r="D1781" s="69" t="str">
        <f>IF(B1781="","",IFERROR(INDEX(mat_unit,MATCH(B1781,mat_ref,0))&amp;"",""))</f>
        <v/>
      </c>
      <c r="E1781" s="72" t="n"/>
      <c r="F1781" s="65" t="n"/>
      <c r="G1781" s="68" t="str">
        <f>IF(J1781&lt;&gt;"OK","",IF(F1781="",N(INDEX(mat_loss,MATCH(B1781,mat_ref,0))),F1781))</f>
        <v/>
      </c>
      <c r="H1781" s="66" t="str">
        <f>IF(J1781&lt;&gt;"OK","",INDEX(mat_price,MATCH(B1781,mat_ref,0)))</f>
        <v/>
      </c>
      <c r="I1781" s="66" t="str">
        <f>IF(J1781&lt;&gt;"OK","",E1781*(1+G1781)*H1781)</f>
        <v/>
      </c>
      <c r="J1781" s="69" t="str">
        <f>IF(AND(A1781="",B1781=""),"",IF(A1781="","Produit manquant",IF(COUNTIF(prod_ref,A1781)=0,"Produit inconnu",IF(B1781="","Matière manquante",IF(ISNA(MATCH(B1781,mat_ref,0)),"Matière inconnue",IF(INDEX(mat_check,MATCH(B1781,mat_ref,0))&lt;&gt;"OK","Matière à corriger",IF(OR(NOT(ISNUMBER(E1781)),N(E1781)&lt;=0),"Quantité invalide",IF(AND(F1781&lt;&gt;"",OR(NOT(ISNUMBER(F1781)),N(F1781)&lt;0,N(F1781)&gt;=1)),"Perte entre 0 et 99 %",IF(COUNTIFS(bom_prod,A1781,bom_mat,B1781)&gt;1,"Matière en double","OK")))))))))</f>
        <v/>
      </c>
      <c r="K1781" s="71" t="str">
        <f>IF(AND(fiche_sel&lt;&gt;"",A1781=fiche_sel),COUNTIF(A$6:A1781,fiche_sel),"")</f>
        <v/>
      </c>
    </row>
    <row r="1782">
      <c r="A1782" s="60" t="n"/>
      <c r="B1782" s="60" t="n"/>
      <c r="C1782" s="71" t="str">
        <f>IF(B1782="","",IFERROR(INDEX(mat_des,MATCH(B1782,mat_ref,0))&amp;"","Matière inconnue"))</f>
        <v/>
      </c>
      <c r="D1782" s="69" t="str">
        <f>IF(B1782="","",IFERROR(INDEX(mat_unit,MATCH(B1782,mat_ref,0))&amp;"",""))</f>
        <v/>
      </c>
      <c r="E1782" s="72" t="n"/>
      <c r="F1782" s="65" t="n"/>
      <c r="G1782" s="68" t="str">
        <f>IF(J1782&lt;&gt;"OK","",IF(F1782="",N(INDEX(mat_loss,MATCH(B1782,mat_ref,0))),F1782))</f>
        <v/>
      </c>
      <c r="H1782" s="66" t="str">
        <f>IF(J1782&lt;&gt;"OK","",INDEX(mat_price,MATCH(B1782,mat_ref,0)))</f>
        <v/>
      </c>
      <c r="I1782" s="66" t="str">
        <f>IF(J1782&lt;&gt;"OK","",E1782*(1+G1782)*H1782)</f>
        <v/>
      </c>
      <c r="J1782" s="69" t="str">
        <f>IF(AND(A1782="",B1782=""),"",IF(A1782="","Produit manquant",IF(COUNTIF(prod_ref,A1782)=0,"Produit inconnu",IF(B1782="","Matière manquante",IF(ISNA(MATCH(B1782,mat_ref,0)),"Matière inconnue",IF(INDEX(mat_check,MATCH(B1782,mat_ref,0))&lt;&gt;"OK","Matière à corriger",IF(OR(NOT(ISNUMBER(E1782)),N(E1782)&lt;=0),"Quantité invalide",IF(AND(F1782&lt;&gt;"",OR(NOT(ISNUMBER(F1782)),N(F1782)&lt;0,N(F1782)&gt;=1)),"Perte entre 0 et 99 %",IF(COUNTIFS(bom_prod,A1782,bom_mat,B1782)&gt;1,"Matière en double","OK")))))))))</f>
        <v/>
      </c>
      <c r="K1782" s="71" t="str">
        <f>IF(AND(fiche_sel&lt;&gt;"",A1782=fiche_sel),COUNTIF(A$6:A1782,fiche_sel),"")</f>
        <v/>
      </c>
    </row>
    <row r="1783">
      <c r="A1783" s="60" t="n"/>
      <c r="B1783" s="60" t="n"/>
      <c r="C1783" s="71" t="str">
        <f>IF(B1783="","",IFERROR(INDEX(mat_des,MATCH(B1783,mat_ref,0))&amp;"","Matière inconnue"))</f>
        <v/>
      </c>
      <c r="D1783" s="69" t="str">
        <f>IF(B1783="","",IFERROR(INDEX(mat_unit,MATCH(B1783,mat_ref,0))&amp;"",""))</f>
        <v/>
      </c>
      <c r="E1783" s="72" t="n"/>
      <c r="F1783" s="65" t="n"/>
      <c r="G1783" s="68" t="str">
        <f>IF(J1783&lt;&gt;"OK","",IF(F1783="",N(INDEX(mat_loss,MATCH(B1783,mat_ref,0))),F1783))</f>
        <v/>
      </c>
      <c r="H1783" s="66" t="str">
        <f>IF(J1783&lt;&gt;"OK","",INDEX(mat_price,MATCH(B1783,mat_ref,0)))</f>
        <v/>
      </c>
      <c r="I1783" s="66" t="str">
        <f>IF(J1783&lt;&gt;"OK","",E1783*(1+G1783)*H1783)</f>
        <v/>
      </c>
      <c r="J1783" s="69" t="str">
        <f>IF(AND(A1783="",B1783=""),"",IF(A1783="","Produit manquant",IF(COUNTIF(prod_ref,A1783)=0,"Produit inconnu",IF(B1783="","Matière manquante",IF(ISNA(MATCH(B1783,mat_ref,0)),"Matière inconnue",IF(INDEX(mat_check,MATCH(B1783,mat_ref,0))&lt;&gt;"OK","Matière à corriger",IF(OR(NOT(ISNUMBER(E1783)),N(E1783)&lt;=0),"Quantité invalide",IF(AND(F1783&lt;&gt;"",OR(NOT(ISNUMBER(F1783)),N(F1783)&lt;0,N(F1783)&gt;=1)),"Perte entre 0 et 99 %",IF(COUNTIFS(bom_prod,A1783,bom_mat,B1783)&gt;1,"Matière en double","OK")))))))))</f>
        <v/>
      </c>
      <c r="K1783" s="71" t="str">
        <f>IF(AND(fiche_sel&lt;&gt;"",A1783=fiche_sel),COUNTIF(A$6:A1783,fiche_sel),"")</f>
        <v/>
      </c>
    </row>
    <row r="1784">
      <c r="A1784" s="60" t="n"/>
      <c r="B1784" s="60" t="n"/>
      <c r="C1784" s="71" t="str">
        <f>IF(B1784="","",IFERROR(INDEX(mat_des,MATCH(B1784,mat_ref,0))&amp;"","Matière inconnue"))</f>
        <v/>
      </c>
      <c r="D1784" s="69" t="str">
        <f>IF(B1784="","",IFERROR(INDEX(mat_unit,MATCH(B1784,mat_ref,0))&amp;"",""))</f>
        <v/>
      </c>
      <c r="E1784" s="72" t="n"/>
      <c r="F1784" s="65" t="n"/>
      <c r="G1784" s="68" t="str">
        <f>IF(J1784&lt;&gt;"OK","",IF(F1784="",N(INDEX(mat_loss,MATCH(B1784,mat_ref,0))),F1784))</f>
        <v/>
      </c>
      <c r="H1784" s="66" t="str">
        <f>IF(J1784&lt;&gt;"OK","",INDEX(mat_price,MATCH(B1784,mat_ref,0)))</f>
        <v/>
      </c>
      <c r="I1784" s="66" t="str">
        <f>IF(J1784&lt;&gt;"OK","",E1784*(1+G1784)*H1784)</f>
        <v/>
      </c>
      <c r="J1784" s="69" t="str">
        <f>IF(AND(A1784="",B1784=""),"",IF(A1784="","Produit manquant",IF(COUNTIF(prod_ref,A1784)=0,"Produit inconnu",IF(B1784="","Matière manquante",IF(ISNA(MATCH(B1784,mat_ref,0)),"Matière inconnue",IF(INDEX(mat_check,MATCH(B1784,mat_ref,0))&lt;&gt;"OK","Matière à corriger",IF(OR(NOT(ISNUMBER(E1784)),N(E1784)&lt;=0),"Quantité invalide",IF(AND(F1784&lt;&gt;"",OR(NOT(ISNUMBER(F1784)),N(F1784)&lt;0,N(F1784)&gt;=1)),"Perte entre 0 et 99 %",IF(COUNTIFS(bom_prod,A1784,bom_mat,B1784)&gt;1,"Matière en double","OK")))))))))</f>
        <v/>
      </c>
      <c r="K1784" s="71" t="str">
        <f>IF(AND(fiche_sel&lt;&gt;"",A1784=fiche_sel),COUNTIF(A$6:A1784,fiche_sel),"")</f>
        <v/>
      </c>
    </row>
    <row r="1785">
      <c r="A1785" s="60" t="n"/>
      <c r="B1785" s="60" t="n"/>
      <c r="C1785" s="71" t="str">
        <f>IF(B1785="","",IFERROR(INDEX(mat_des,MATCH(B1785,mat_ref,0))&amp;"","Matière inconnue"))</f>
        <v/>
      </c>
      <c r="D1785" s="69" t="str">
        <f>IF(B1785="","",IFERROR(INDEX(mat_unit,MATCH(B1785,mat_ref,0))&amp;"",""))</f>
        <v/>
      </c>
      <c r="E1785" s="72" t="n"/>
      <c r="F1785" s="65" t="n"/>
      <c r="G1785" s="68" t="str">
        <f>IF(J1785&lt;&gt;"OK","",IF(F1785="",N(INDEX(mat_loss,MATCH(B1785,mat_ref,0))),F1785))</f>
        <v/>
      </c>
      <c r="H1785" s="66" t="str">
        <f>IF(J1785&lt;&gt;"OK","",INDEX(mat_price,MATCH(B1785,mat_ref,0)))</f>
        <v/>
      </c>
      <c r="I1785" s="66" t="str">
        <f>IF(J1785&lt;&gt;"OK","",E1785*(1+G1785)*H1785)</f>
        <v/>
      </c>
      <c r="J1785" s="69" t="str">
        <f>IF(AND(A1785="",B1785=""),"",IF(A1785="","Produit manquant",IF(COUNTIF(prod_ref,A1785)=0,"Produit inconnu",IF(B1785="","Matière manquante",IF(ISNA(MATCH(B1785,mat_ref,0)),"Matière inconnue",IF(INDEX(mat_check,MATCH(B1785,mat_ref,0))&lt;&gt;"OK","Matière à corriger",IF(OR(NOT(ISNUMBER(E1785)),N(E1785)&lt;=0),"Quantité invalide",IF(AND(F1785&lt;&gt;"",OR(NOT(ISNUMBER(F1785)),N(F1785)&lt;0,N(F1785)&gt;=1)),"Perte entre 0 et 99 %",IF(COUNTIFS(bom_prod,A1785,bom_mat,B1785)&gt;1,"Matière en double","OK")))))))))</f>
        <v/>
      </c>
      <c r="K1785" s="71" t="str">
        <f>IF(AND(fiche_sel&lt;&gt;"",A1785=fiche_sel),COUNTIF(A$6:A1785,fiche_sel),"")</f>
        <v/>
      </c>
    </row>
    <row r="1786">
      <c r="A1786" s="60" t="n"/>
      <c r="B1786" s="60" t="n"/>
      <c r="C1786" s="71" t="str">
        <f>IF(B1786="","",IFERROR(INDEX(mat_des,MATCH(B1786,mat_ref,0))&amp;"","Matière inconnue"))</f>
        <v/>
      </c>
      <c r="D1786" s="69" t="str">
        <f>IF(B1786="","",IFERROR(INDEX(mat_unit,MATCH(B1786,mat_ref,0))&amp;"",""))</f>
        <v/>
      </c>
      <c r="E1786" s="72" t="n"/>
      <c r="F1786" s="65" t="n"/>
      <c r="G1786" s="68" t="str">
        <f>IF(J1786&lt;&gt;"OK","",IF(F1786="",N(INDEX(mat_loss,MATCH(B1786,mat_ref,0))),F1786))</f>
        <v/>
      </c>
      <c r="H1786" s="66" t="str">
        <f>IF(J1786&lt;&gt;"OK","",INDEX(mat_price,MATCH(B1786,mat_ref,0)))</f>
        <v/>
      </c>
      <c r="I1786" s="66" t="str">
        <f>IF(J1786&lt;&gt;"OK","",E1786*(1+G1786)*H1786)</f>
        <v/>
      </c>
      <c r="J1786" s="69" t="str">
        <f>IF(AND(A1786="",B1786=""),"",IF(A1786="","Produit manquant",IF(COUNTIF(prod_ref,A1786)=0,"Produit inconnu",IF(B1786="","Matière manquante",IF(ISNA(MATCH(B1786,mat_ref,0)),"Matière inconnue",IF(INDEX(mat_check,MATCH(B1786,mat_ref,0))&lt;&gt;"OK","Matière à corriger",IF(OR(NOT(ISNUMBER(E1786)),N(E1786)&lt;=0),"Quantité invalide",IF(AND(F1786&lt;&gt;"",OR(NOT(ISNUMBER(F1786)),N(F1786)&lt;0,N(F1786)&gt;=1)),"Perte entre 0 et 99 %",IF(COUNTIFS(bom_prod,A1786,bom_mat,B1786)&gt;1,"Matière en double","OK")))))))))</f>
        <v/>
      </c>
      <c r="K1786" s="71" t="str">
        <f>IF(AND(fiche_sel&lt;&gt;"",A1786=fiche_sel),COUNTIF(A$6:A1786,fiche_sel),"")</f>
        <v/>
      </c>
    </row>
    <row r="1787">
      <c r="A1787" s="60" t="n"/>
      <c r="B1787" s="60" t="n"/>
      <c r="C1787" s="71" t="str">
        <f>IF(B1787="","",IFERROR(INDEX(mat_des,MATCH(B1787,mat_ref,0))&amp;"","Matière inconnue"))</f>
        <v/>
      </c>
      <c r="D1787" s="69" t="str">
        <f>IF(B1787="","",IFERROR(INDEX(mat_unit,MATCH(B1787,mat_ref,0))&amp;"",""))</f>
        <v/>
      </c>
      <c r="E1787" s="72" t="n"/>
      <c r="F1787" s="65" t="n"/>
      <c r="G1787" s="68" t="str">
        <f>IF(J1787&lt;&gt;"OK","",IF(F1787="",N(INDEX(mat_loss,MATCH(B1787,mat_ref,0))),F1787))</f>
        <v/>
      </c>
      <c r="H1787" s="66" t="str">
        <f>IF(J1787&lt;&gt;"OK","",INDEX(mat_price,MATCH(B1787,mat_ref,0)))</f>
        <v/>
      </c>
      <c r="I1787" s="66" t="str">
        <f>IF(J1787&lt;&gt;"OK","",E1787*(1+G1787)*H1787)</f>
        <v/>
      </c>
      <c r="J1787" s="69" t="str">
        <f>IF(AND(A1787="",B1787=""),"",IF(A1787="","Produit manquant",IF(COUNTIF(prod_ref,A1787)=0,"Produit inconnu",IF(B1787="","Matière manquante",IF(ISNA(MATCH(B1787,mat_ref,0)),"Matière inconnue",IF(INDEX(mat_check,MATCH(B1787,mat_ref,0))&lt;&gt;"OK","Matière à corriger",IF(OR(NOT(ISNUMBER(E1787)),N(E1787)&lt;=0),"Quantité invalide",IF(AND(F1787&lt;&gt;"",OR(NOT(ISNUMBER(F1787)),N(F1787)&lt;0,N(F1787)&gt;=1)),"Perte entre 0 et 99 %",IF(COUNTIFS(bom_prod,A1787,bom_mat,B1787)&gt;1,"Matière en double","OK")))))))))</f>
        <v/>
      </c>
      <c r="K1787" s="71" t="str">
        <f>IF(AND(fiche_sel&lt;&gt;"",A1787=fiche_sel),COUNTIF(A$6:A1787,fiche_sel),"")</f>
        <v/>
      </c>
    </row>
    <row r="1788">
      <c r="A1788" s="60" t="n"/>
      <c r="B1788" s="60" t="n"/>
      <c r="C1788" s="71" t="str">
        <f>IF(B1788="","",IFERROR(INDEX(mat_des,MATCH(B1788,mat_ref,0))&amp;"","Matière inconnue"))</f>
        <v/>
      </c>
      <c r="D1788" s="69" t="str">
        <f>IF(B1788="","",IFERROR(INDEX(mat_unit,MATCH(B1788,mat_ref,0))&amp;"",""))</f>
        <v/>
      </c>
      <c r="E1788" s="72" t="n"/>
      <c r="F1788" s="65" t="n"/>
      <c r="G1788" s="68" t="str">
        <f>IF(J1788&lt;&gt;"OK","",IF(F1788="",N(INDEX(mat_loss,MATCH(B1788,mat_ref,0))),F1788))</f>
        <v/>
      </c>
      <c r="H1788" s="66" t="str">
        <f>IF(J1788&lt;&gt;"OK","",INDEX(mat_price,MATCH(B1788,mat_ref,0)))</f>
        <v/>
      </c>
      <c r="I1788" s="66" t="str">
        <f>IF(J1788&lt;&gt;"OK","",E1788*(1+G1788)*H1788)</f>
        <v/>
      </c>
      <c r="J1788" s="69" t="str">
        <f>IF(AND(A1788="",B1788=""),"",IF(A1788="","Produit manquant",IF(COUNTIF(prod_ref,A1788)=0,"Produit inconnu",IF(B1788="","Matière manquante",IF(ISNA(MATCH(B1788,mat_ref,0)),"Matière inconnue",IF(INDEX(mat_check,MATCH(B1788,mat_ref,0))&lt;&gt;"OK","Matière à corriger",IF(OR(NOT(ISNUMBER(E1788)),N(E1788)&lt;=0),"Quantité invalide",IF(AND(F1788&lt;&gt;"",OR(NOT(ISNUMBER(F1788)),N(F1788)&lt;0,N(F1788)&gt;=1)),"Perte entre 0 et 99 %",IF(COUNTIFS(bom_prod,A1788,bom_mat,B1788)&gt;1,"Matière en double","OK")))))))))</f>
        <v/>
      </c>
      <c r="K1788" s="71" t="str">
        <f>IF(AND(fiche_sel&lt;&gt;"",A1788=fiche_sel),COUNTIF(A$6:A1788,fiche_sel),"")</f>
        <v/>
      </c>
    </row>
    <row r="1789">
      <c r="A1789" s="60" t="n"/>
      <c r="B1789" s="60" t="n"/>
      <c r="C1789" s="71" t="str">
        <f>IF(B1789="","",IFERROR(INDEX(mat_des,MATCH(B1789,mat_ref,0))&amp;"","Matière inconnue"))</f>
        <v/>
      </c>
      <c r="D1789" s="69" t="str">
        <f>IF(B1789="","",IFERROR(INDEX(mat_unit,MATCH(B1789,mat_ref,0))&amp;"",""))</f>
        <v/>
      </c>
      <c r="E1789" s="72" t="n"/>
      <c r="F1789" s="65" t="n"/>
      <c r="G1789" s="68" t="str">
        <f>IF(J1789&lt;&gt;"OK","",IF(F1789="",N(INDEX(mat_loss,MATCH(B1789,mat_ref,0))),F1789))</f>
        <v/>
      </c>
      <c r="H1789" s="66" t="str">
        <f>IF(J1789&lt;&gt;"OK","",INDEX(mat_price,MATCH(B1789,mat_ref,0)))</f>
        <v/>
      </c>
      <c r="I1789" s="66" t="str">
        <f>IF(J1789&lt;&gt;"OK","",E1789*(1+G1789)*H1789)</f>
        <v/>
      </c>
      <c r="J1789" s="69" t="str">
        <f>IF(AND(A1789="",B1789=""),"",IF(A1789="","Produit manquant",IF(COUNTIF(prod_ref,A1789)=0,"Produit inconnu",IF(B1789="","Matière manquante",IF(ISNA(MATCH(B1789,mat_ref,0)),"Matière inconnue",IF(INDEX(mat_check,MATCH(B1789,mat_ref,0))&lt;&gt;"OK","Matière à corriger",IF(OR(NOT(ISNUMBER(E1789)),N(E1789)&lt;=0),"Quantité invalide",IF(AND(F1789&lt;&gt;"",OR(NOT(ISNUMBER(F1789)),N(F1789)&lt;0,N(F1789)&gt;=1)),"Perte entre 0 et 99 %",IF(COUNTIFS(bom_prod,A1789,bom_mat,B1789)&gt;1,"Matière en double","OK")))))))))</f>
        <v/>
      </c>
      <c r="K1789" s="71" t="str">
        <f>IF(AND(fiche_sel&lt;&gt;"",A1789=fiche_sel),COUNTIF(A$6:A1789,fiche_sel),"")</f>
        <v/>
      </c>
    </row>
    <row r="1790">
      <c r="A1790" s="60" t="n"/>
      <c r="B1790" s="60" t="n"/>
      <c r="C1790" s="71" t="str">
        <f>IF(B1790="","",IFERROR(INDEX(mat_des,MATCH(B1790,mat_ref,0))&amp;"","Matière inconnue"))</f>
        <v/>
      </c>
      <c r="D1790" s="69" t="str">
        <f>IF(B1790="","",IFERROR(INDEX(mat_unit,MATCH(B1790,mat_ref,0))&amp;"",""))</f>
        <v/>
      </c>
      <c r="E1790" s="72" t="n"/>
      <c r="F1790" s="65" t="n"/>
      <c r="G1790" s="68" t="str">
        <f>IF(J1790&lt;&gt;"OK","",IF(F1790="",N(INDEX(mat_loss,MATCH(B1790,mat_ref,0))),F1790))</f>
        <v/>
      </c>
      <c r="H1790" s="66" t="str">
        <f>IF(J1790&lt;&gt;"OK","",INDEX(mat_price,MATCH(B1790,mat_ref,0)))</f>
        <v/>
      </c>
      <c r="I1790" s="66" t="str">
        <f>IF(J1790&lt;&gt;"OK","",E1790*(1+G1790)*H1790)</f>
        <v/>
      </c>
      <c r="J1790" s="69" t="str">
        <f>IF(AND(A1790="",B1790=""),"",IF(A1790="","Produit manquant",IF(COUNTIF(prod_ref,A1790)=0,"Produit inconnu",IF(B1790="","Matière manquante",IF(ISNA(MATCH(B1790,mat_ref,0)),"Matière inconnue",IF(INDEX(mat_check,MATCH(B1790,mat_ref,0))&lt;&gt;"OK","Matière à corriger",IF(OR(NOT(ISNUMBER(E1790)),N(E1790)&lt;=0),"Quantité invalide",IF(AND(F1790&lt;&gt;"",OR(NOT(ISNUMBER(F1790)),N(F1790)&lt;0,N(F1790)&gt;=1)),"Perte entre 0 et 99 %",IF(COUNTIFS(bom_prod,A1790,bom_mat,B1790)&gt;1,"Matière en double","OK")))))))))</f>
        <v/>
      </c>
      <c r="K1790" s="71" t="str">
        <f>IF(AND(fiche_sel&lt;&gt;"",A1790=fiche_sel),COUNTIF(A$6:A1790,fiche_sel),"")</f>
        <v/>
      </c>
    </row>
    <row r="1791">
      <c r="A1791" s="60" t="n"/>
      <c r="B1791" s="60" t="n"/>
      <c r="C1791" s="71" t="str">
        <f>IF(B1791="","",IFERROR(INDEX(mat_des,MATCH(B1791,mat_ref,0))&amp;"","Matière inconnue"))</f>
        <v/>
      </c>
      <c r="D1791" s="69" t="str">
        <f>IF(B1791="","",IFERROR(INDEX(mat_unit,MATCH(B1791,mat_ref,0))&amp;"",""))</f>
        <v/>
      </c>
      <c r="E1791" s="72" t="n"/>
      <c r="F1791" s="65" t="n"/>
      <c r="G1791" s="68" t="str">
        <f>IF(J1791&lt;&gt;"OK","",IF(F1791="",N(INDEX(mat_loss,MATCH(B1791,mat_ref,0))),F1791))</f>
        <v/>
      </c>
      <c r="H1791" s="66" t="str">
        <f>IF(J1791&lt;&gt;"OK","",INDEX(mat_price,MATCH(B1791,mat_ref,0)))</f>
        <v/>
      </c>
      <c r="I1791" s="66" t="str">
        <f>IF(J1791&lt;&gt;"OK","",E1791*(1+G1791)*H1791)</f>
        <v/>
      </c>
      <c r="J1791" s="69" t="str">
        <f>IF(AND(A1791="",B1791=""),"",IF(A1791="","Produit manquant",IF(COUNTIF(prod_ref,A1791)=0,"Produit inconnu",IF(B1791="","Matière manquante",IF(ISNA(MATCH(B1791,mat_ref,0)),"Matière inconnue",IF(INDEX(mat_check,MATCH(B1791,mat_ref,0))&lt;&gt;"OK","Matière à corriger",IF(OR(NOT(ISNUMBER(E1791)),N(E1791)&lt;=0),"Quantité invalide",IF(AND(F1791&lt;&gt;"",OR(NOT(ISNUMBER(F1791)),N(F1791)&lt;0,N(F1791)&gt;=1)),"Perte entre 0 et 99 %",IF(COUNTIFS(bom_prod,A1791,bom_mat,B1791)&gt;1,"Matière en double","OK")))))))))</f>
        <v/>
      </c>
      <c r="K1791" s="71" t="str">
        <f>IF(AND(fiche_sel&lt;&gt;"",A1791=fiche_sel),COUNTIF(A$6:A1791,fiche_sel),"")</f>
        <v/>
      </c>
    </row>
    <row r="1792">
      <c r="A1792" s="60" t="n"/>
      <c r="B1792" s="60" t="n"/>
      <c r="C1792" s="71" t="str">
        <f>IF(B1792="","",IFERROR(INDEX(mat_des,MATCH(B1792,mat_ref,0))&amp;"","Matière inconnue"))</f>
        <v/>
      </c>
      <c r="D1792" s="69" t="str">
        <f>IF(B1792="","",IFERROR(INDEX(mat_unit,MATCH(B1792,mat_ref,0))&amp;"",""))</f>
        <v/>
      </c>
      <c r="E1792" s="72" t="n"/>
      <c r="F1792" s="65" t="n"/>
      <c r="G1792" s="68" t="str">
        <f>IF(J1792&lt;&gt;"OK","",IF(F1792="",N(INDEX(mat_loss,MATCH(B1792,mat_ref,0))),F1792))</f>
        <v/>
      </c>
      <c r="H1792" s="66" t="str">
        <f>IF(J1792&lt;&gt;"OK","",INDEX(mat_price,MATCH(B1792,mat_ref,0)))</f>
        <v/>
      </c>
      <c r="I1792" s="66" t="str">
        <f>IF(J1792&lt;&gt;"OK","",E1792*(1+G1792)*H1792)</f>
        <v/>
      </c>
      <c r="J1792" s="69" t="str">
        <f>IF(AND(A1792="",B1792=""),"",IF(A1792="","Produit manquant",IF(COUNTIF(prod_ref,A1792)=0,"Produit inconnu",IF(B1792="","Matière manquante",IF(ISNA(MATCH(B1792,mat_ref,0)),"Matière inconnue",IF(INDEX(mat_check,MATCH(B1792,mat_ref,0))&lt;&gt;"OK","Matière à corriger",IF(OR(NOT(ISNUMBER(E1792)),N(E1792)&lt;=0),"Quantité invalide",IF(AND(F1792&lt;&gt;"",OR(NOT(ISNUMBER(F1792)),N(F1792)&lt;0,N(F1792)&gt;=1)),"Perte entre 0 et 99 %",IF(COUNTIFS(bom_prod,A1792,bom_mat,B1792)&gt;1,"Matière en double","OK")))))))))</f>
        <v/>
      </c>
      <c r="K1792" s="71" t="str">
        <f>IF(AND(fiche_sel&lt;&gt;"",A1792=fiche_sel),COUNTIF(A$6:A1792,fiche_sel),"")</f>
        <v/>
      </c>
    </row>
    <row r="1793">
      <c r="A1793" s="60" t="n"/>
      <c r="B1793" s="60" t="n"/>
      <c r="C1793" s="71" t="str">
        <f>IF(B1793="","",IFERROR(INDEX(mat_des,MATCH(B1793,mat_ref,0))&amp;"","Matière inconnue"))</f>
        <v/>
      </c>
      <c r="D1793" s="69" t="str">
        <f>IF(B1793="","",IFERROR(INDEX(mat_unit,MATCH(B1793,mat_ref,0))&amp;"",""))</f>
        <v/>
      </c>
      <c r="E1793" s="72" t="n"/>
      <c r="F1793" s="65" t="n"/>
      <c r="G1793" s="68" t="str">
        <f>IF(J1793&lt;&gt;"OK","",IF(F1793="",N(INDEX(mat_loss,MATCH(B1793,mat_ref,0))),F1793))</f>
        <v/>
      </c>
      <c r="H1793" s="66" t="str">
        <f>IF(J1793&lt;&gt;"OK","",INDEX(mat_price,MATCH(B1793,mat_ref,0)))</f>
        <v/>
      </c>
      <c r="I1793" s="66" t="str">
        <f>IF(J1793&lt;&gt;"OK","",E1793*(1+G1793)*H1793)</f>
        <v/>
      </c>
      <c r="J1793" s="69" t="str">
        <f>IF(AND(A1793="",B1793=""),"",IF(A1793="","Produit manquant",IF(COUNTIF(prod_ref,A1793)=0,"Produit inconnu",IF(B1793="","Matière manquante",IF(ISNA(MATCH(B1793,mat_ref,0)),"Matière inconnue",IF(INDEX(mat_check,MATCH(B1793,mat_ref,0))&lt;&gt;"OK","Matière à corriger",IF(OR(NOT(ISNUMBER(E1793)),N(E1793)&lt;=0),"Quantité invalide",IF(AND(F1793&lt;&gt;"",OR(NOT(ISNUMBER(F1793)),N(F1793)&lt;0,N(F1793)&gt;=1)),"Perte entre 0 et 99 %",IF(COUNTIFS(bom_prod,A1793,bom_mat,B1793)&gt;1,"Matière en double","OK")))))))))</f>
        <v/>
      </c>
      <c r="K1793" s="71" t="str">
        <f>IF(AND(fiche_sel&lt;&gt;"",A1793=fiche_sel),COUNTIF(A$6:A1793,fiche_sel),"")</f>
        <v/>
      </c>
    </row>
    <row r="1794">
      <c r="A1794" s="60" t="n"/>
      <c r="B1794" s="60" t="n"/>
      <c r="C1794" s="71" t="str">
        <f>IF(B1794="","",IFERROR(INDEX(mat_des,MATCH(B1794,mat_ref,0))&amp;"","Matière inconnue"))</f>
        <v/>
      </c>
      <c r="D1794" s="69" t="str">
        <f>IF(B1794="","",IFERROR(INDEX(mat_unit,MATCH(B1794,mat_ref,0))&amp;"",""))</f>
        <v/>
      </c>
      <c r="E1794" s="72" t="n"/>
      <c r="F1794" s="65" t="n"/>
      <c r="G1794" s="68" t="str">
        <f>IF(J1794&lt;&gt;"OK","",IF(F1794="",N(INDEX(mat_loss,MATCH(B1794,mat_ref,0))),F1794))</f>
        <v/>
      </c>
      <c r="H1794" s="66" t="str">
        <f>IF(J1794&lt;&gt;"OK","",INDEX(mat_price,MATCH(B1794,mat_ref,0)))</f>
        <v/>
      </c>
      <c r="I1794" s="66" t="str">
        <f>IF(J1794&lt;&gt;"OK","",E1794*(1+G1794)*H1794)</f>
        <v/>
      </c>
      <c r="J1794" s="69" t="str">
        <f>IF(AND(A1794="",B1794=""),"",IF(A1794="","Produit manquant",IF(COUNTIF(prod_ref,A1794)=0,"Produit inconnu",IF(B1794="","Matière manquante",IF(ISNA(MATCH(B1794,mat_ref,0)),"Matière inconnue",IF(INDEX(mat_check,MATCH(B1794,mat_ref,0))&lt;&gt;"OK","Matière à corriger",IF(OR(NOT(ISNUMBER(E1794)),N(E1794)&lt;=0),"Quantité invalide",IF(AND(F1794&lt;&gt;"",OR(NOT(ISNUMBER(F1794)),N(F1794)&lt;0,N(F1794)&gt;=1)),"Perte entre 0 et 99 %",IF(COUNTIFS(bom_prod,A1794,bom_mat,B1794)&gt;1,"Matière en double","OK")))))))))</f>
        <v/>
      </c>
      <c r="K1794" s="71" t="str">
        <f>IF(AND(fiche_sel&lt;&gt;"",A1794=fiche_sel),COUNTIF(A$6:A1794,fiche_sel),"")</f>
        <v/>
      </c>
    </row>
    <row r="1795">
      <c r="A1795" s="60" t="n"/>
      <c r="B1795" s="60" t="n"/>
      <c r="C1795" s="71" t="str">
        <f>IF(B1795="","",IFERROR(INDEX(mat_des,MATCH(B1795,mat_ref,0))&amp;"","Matière inconnue"))</f>
        <v/>
      </c>
      <c r="D1795" s="69" t="str">
        <f>IF(B1795="","",IFERROR(INDEX(mat_unit,MATCH(B1795,mat_ref,0))&amp;"",""))</f>
        <v/>
      </c>
      <c r="E1795" s="72" t="n"/>
      <c r="F1795" s="65" t="n"/>
      <c r="G1795" s="68" t="str">
        <f>IF(J1795&lt;&gt;"OK","",IF(F1795="",N(INDEX(mat_loss,MATCH(B1795,mat_ref,0))),F1795))</f>
        <v/>
      </c>
      <c r="H1795" s="66" t="str">
        <f>IF(J1795&lt;&gt;"OK","",INDEX(mat_price,MATCH(B1795,mat_ref,0)))</f>
        <v/>
      </c>
      <c r="I1795" s="66" t="str">
        <f>IF(J1795&lt;&gt;"OK","",E1795*(1+G1795)*H1795)</f>
        <v/>
      </c>
      <c r="J1795" s="69" t="str">
        <f>IF(AND(A1795="",B1795=""),"",IF(A1795="","Produit manquant",IF(COUNTIF(prod_ref,A1795)=0,"Produit inconnu",IF(B1795="","Matière manquante",IF(ISNA(MATCH(B1795,mat_ref,0)),"Matière inconnue",IF(INDEX(mat_check,MATCH(B1795,mat_ref,0))&lt;&gt;"OK","Matière à corriger",IF(OR(NOT(ISNUMBER(E1795)),N(E1795)&lt;=0),"Quantité invalide",IF(AND(F1795&lt;&gt;"",OR(NOT(ISNUMBER(F1795)),N(F1795)&lt;0,N(F1795)&gt;=1)),"Perte entre 0 et 99 %",IF(COUNTIFS(bom_prod,A1795,bom_mat,B1795)&gt;1,"Matière en double","OK")))))))))</f>
        <v/>
      </c>
      <c r="K1795" s="71" t="str">
        <f>IF(AND(fiche_sel&lt;&gt;"",A1795=fiche_sel),COUNTIF(A$6:A1795,fiche_sel),"")</f>
        <v/>
      </c>
    </row>
    <row r="1796">
      <c r="A1796" s="60" t="n"/>
      <c r="B1796" s="60" t="n"/>
      <c r="C1796" s="71" t="str">
        <f>IF(B1796="","",IFERROR(INDEX(mat_des,MATCH(B1796,mat_ref,0))&amp;"","Matière inconnue"))</f>
        <v/>
      </c>
      <c r="D1796" s="69" t="str">
        <f>IF(B1796="","",IFERROR(INDEX(mat_unit,MATCH(B1796,mat_ref,0))&amp;"",""))</f>
        <v/>
      </c>
      <c r="E1796" s="72" t="n"/>
      <c r="F1796" s="65" t="n"/>
      <c r="G1796" s="68" t="str">
        <f>IF(J1796&lt;&gt;"OK","",IF(F1796="",N(INDEX(mat_loss,MATCH(B1796,mat_ref,0))),F1796))</f>
        <v/>
      </c>
      <c r="H1796" s="66" t="str">
        <f>IF(J1796&lt;&gt;"OK","",INDEX(mat_price,MATCH(B1796,mat_ref,0)))</f>
        <v/>
      </c>
      <c r="I1796" s="66" t="str">
        <f>IF(J1796&lt;&gt;"OK","",E1796*(1+G1796)*H1796)</f>
        <v/>
      </c>
      <c r="J1796" s="69" t="str">
        <f>IF(AND(A1796="",B1796=""),"",IF(A1796="","Produit manquant",IF(COUNTIF(prod_ref,A1796)=0,"Produit inconnu",IF(B1796="","Matière manquante",IF(ISNA(MATCH(B1796,mat_ref,0)),"Matière inconnue",IF(INDEX(mat_check,MATCH(B1796,mat_ref,0))&lt;&gt;"OK","Matière à corriger",IF(OR(NOT(ISNUMBER(E1796)),N(E1796)&lt;=0),"Quantité invalide",IF(AND(F1796&lt;&gt;"",OR(NOT(ISNUMBER(F1796)),N(F1796)&lt;0,N(F1796)&gt;=1)),"Perte entre 0 et 99 %",IF(COUNTIFS(bom_prod,A1796,bom_mat,B1796)&gt;1,"Matière en double","OK")))))))))</f>
        <v/>
      </c>
      <c r="K1796" s="71" t="str">
        <f>IF(AND(fiche_sel&lt;&gt;"",A1796=fiche_sel),COUNTIF(A$6:A1796,fiche_sel),"")</f>
        <v/>
      </c>
    </row>
    <row r="1797">
      <c r="A1797" s="60" t="n"/>
      <c r="B1797" s="60" t="n"/>
      <c r="C1797" s="71" t="str">
        <f>IF(B1797="","",IFERROR(INDEX(mat_des,MATCH(B1797,mat_ref,0))&amp;"","Matière inconnue"))</f>
        <v/>
      </c>
      <c r="D1797" s="69" t="str">
        <f>IF(B1797="","",IFERROR(INDEX(mat_unit,MATCH(B1797,mat_ref,0))&amp;"",""))</f>
        <v/>
      </c>
      <c r="E1797" s="72" t="n"/>
      <c r="F1797" s="65" t="n"/>
      <c r="G1797" s="68" t="str">
        <f>IF(J1797&lt;&gt;"OK","",IF(F1797="",N(INDEX(mat_loss,MATCH(B1797,mat_ref,0))),F1797))</f>
        <v/>
      </c>
      <c r="H1797" s="66" t="str">
        <f>IF(J1797&lt;&gt;"OK","",INDEX(mat_price,MATCH(B1797,mat_ref,0)))</f>
        <v/>
      </c>
      <c r="I1797" s="66" t="str">
        <f>IF(J1797&lt;&gt;"OK","",E1797*(1+G1797)*H1797)</f>
        <v/>
      </c>
      <c r="J1797" s="69" t="str">
        <f>IF(AND(A1797="",B1797=""),"",IF(A1797="","Produit manquant",IF(COUNTIF(prod_ref,A1797)=0,"Produit inconnu",IF(B1797="","Matière manquante",IF(ISNA(MATCH(B1797,mat_ref,0)),"Matière inconnue",IF(INDEX(mat_check,MATCH(B1797,mat_ref,0))&lt;&gt;"OK","Matière à corriger",IF(OR(NOT(ISNUMBER(E1797)),N(E1797)&lt;=0),"Quantité invalide",IF(AND(F1797&lt;&gt;"",OR(NOT(ISNUMBER(F1797)),N(F1797)&lt;0,N(F1797)&gt;=1)),"Perte entre 0 et 99 %",IF(COUNTIFS(bom_prod,A1797,bom_mat,B1797)&gt;1,"Matière en double","OK")))))))))</f>
        <v/>
      </c>
      <c r="K1797" s="71" t="str">
        <f>IF(AND(fiche_sel&lt;&gt;"",A1797=fiche_sel),COUNTIF(A$6:A1797,fiche_sel),"")</f>
        <v/>
      </c>
    </row>
    <row r="1798">
      <c r="A1798" s="60" t="n"/>
      <c r="B1798" s="60" t="n"/>
      <c r="C1798" s="71" t="str">
        <f>IF(B1798="","",IFERROR(INDEX(mat_des,MATCH(B1798,mat_ref,0))&amp;"","Matière inconnue"))</f>
        <v/>
      </c>
      <c r="D1798" s="69" t="str">
        <f>IF(B1798="","",IFERROR(INDEX(mat_unit,MATCH(B1798,mat_ref,0))&amp;"",""))</f>
        <v/>
      </c>
      <c r="E1798" s="72" t="n"/>
      <c r="F1798" s="65" t="n"/>
      <c r="G1798" s="68" t="str">
        <f>IF(J1798&lt;&gt;"OK","",IF(F1798="",N(INDEX(mat_loss,MATCH(B1798,mat_ref,0))),F1798))</f>
        <v/>
      </c>
      <c r="H1798" s="66" t="str">
        <f>IF(J1798&lt;&gt;"OK","",INDEX(mat_price,MATCH(B1798,mat_ref,0)))</f>
        <v/>
      </c>
      <c r="I1798" s="66" t="str">
        <f>IF(J1798&lt;&gt;"OK","",E1798*(1+G1798)*H1798)</f>
        <v/>
      </c>
      <c r="J1798" s="69" t="str">
        <f>IF(AND(A1798="",B1798=""),"",IF(A1798="","Produit manquant",IF(COUNTIF(prod_ref,A1798)=0,"Produit inconnu",IF(B1798="","Matière manquante",IF(ISNA(MATCH(B1798,mat_ref,0)),"Matière inconnue",IF(INDEX(mat_check,MATCH(B1798,mat_ref,0))&lt;&gt;"OK","Matière à corriger",IF(OR(NOT(ISNUMBER(E1798)),N(E1798)&lt;=0),"Quantité invalide",IF(AND(F1798&lt;&gt;"",OR(NOT(ISNUMBER(F1798)),N(F1798)&lt;0,N(F1798)&gt;=1)),"Perte entre 0 et 99 %",IF(COUNTIFS(bom_prod,A1798,bom_mat,B1798)&gt;1,"Matière en double","OK")))))))))</f>
        <v/>
      </c>
      <c r="K1798" s="71" t="str">
        <f>IF(AND(fiche_sel&lt;&gt;"",A1798=fiche_sel),COUNTIF(A$6:A1798,fiche_sel),"")</f>
        <v/>
      </c>
    </row>
    <row r="1799">
      <c r="A1799" s="60" t="n"/>
      <c r="B1799" s="60" t="n"/>
      <c r="C1799" s="71" t="str">
        <f>IF(B1799="","",IFERROR(INDEX(mat_des,MATCH(B1799,mat_ref,0))&amp;"","Matière inconnue"))</f>
        <v/>
      </c>
      <c r="D1799" s="69" t="str">
        <f>IF(B1799="","",IFERROR(INDEX(mat_unit,MATCH(B1799,mat_ref,0))&amp;"",""))</f>
        <v/>
      </c>
      <c r="E1799" s="72" t="n"/>
      <c r="F1799" s="65" t="n"/>
      <c r="G1799" s="68" t="str">
        <f>IF(J1799&lt;&gt;"OK","",IF(F1799="",N(INDEX(mat_loss,MATCH(B1799,mat_ref,0))),F1799))</f>
        <v/>
      </c>
      <c r="H1799" s="66" t="str">
        <f>IF(J1799&lt;&gt;"OK","",INDEX(mat_price,MATCH(B1799,mat_ref,0)))</f>
        <v/>
      </c>
      <c r="I1799" s="66" t="str">
        <f>IF(J1799&lt;&gt;"OK","",E1799*(1+G1799)*H1799)</f>
        <v/>
      </c>
      <c r="J1799" s="69" t="str">
        <f>IF(AND(A1799="",B1799=""),"",IF(A1799="","Produit manquant",IF(COUNTIF(prod_ref,A1799)=0,"Produit inconnu",IF(B1799="","Matière manquante",IF(ISNA(MATCH(B1799,mat_ref,0)),"Matière inconnue",IF(INDEX(mat_check,MATCH(B1799,mat_ref,0))&lt;&gt;"OK","Matière à corriger",IF(OR(NOT(ISNUMBER(E1799)),N(E1799)&lt;=0),"Quantité invalide",IF(AND(F1799&lt;&gt;"",OR(NOT(ISNUMBER(F1799)),N(F1799)&lt;0,N(F1799)&gt;=1)),"Perte entre 0 et 99 %",IF(COUNTIFS(bom_prod,A1799,bom_mat,B1799)&gt;1,"Matière en double","OK")))))))))</f>
        <v/>
      </c>
      <c r="K1799" s="71" t="str">
        <f>IF(AND(fiche_sel&lt;&gt;"",A1799=fiche_sel),COUNTIF(A$6:A1799,fiche_sel),"")</f>
        <v/>
      </c>
    </row>
    <row r="1800">
      <c r="A1800" s="60" t="n"/>
      <c r="B1800" s="60" t="n"/>
      <c r="C1800" s="71" t="str">
        <f>IF(B1800="","",IFERROR(INDEX(mat_des,MATCH(B1800,mat_ref,0))&amp;"","Matière inconnue"))</f>
        <v/>
      </c>
      <c r="D1800" s="69" t="str">
        <f>IF(B1800="","",IFERROR(INDEX(mat_unit,MATCH(B1800,mat_ref,0))&amp;"",""))</f>
        <v/>
      </c>
      <c r="E1800" s="72" t="n"/>
      <c r="F1800" s="65" t="n"/>
      <c r="G1800" s="68" t="str">
        <f>IF(J1800&lt;&gt;"OK","",IF(F1800="",N(INDEX(mat_loss,MATCH(B1800,mat_ref,0))),F1800))</f>
        <v/>
      </c>
      <c r="H1800" s="66" t="str">
        <f>IF(J1800&lt;&gt;"OK","",INDEX(mat_price,MATCH(B1800,mat_ref,0)))</f>
        <v/>
      </c>
      <c r="I1800" s="66" t="str">
        <f>IF(J1800&lt;&gt;"OK","",E1800*(1+G1800)*H1800)</f>
        <v/>
      </c>
      <c r="J1800" s="69" t="str">
        <f>IF(AND(A1800="",B1800=""),"",IF(A1800="","Produit manquant",IF(COUNTIF(prod_ref,A1800)=0,"Produit inconnu",IF(B1800="","Matière manquante",IF(ISNA(MATCH(B1800,mat_ref,0)),"Matière inconnue",IF(INDEX(mat_check,MATCH(B1800,mat_ref,0))&lt;&gt;"OK","Matière à corriger",IF(OR(NOT(ISNUMBER(E1800)),N(E1800)&lt;=0),"Quantité invalide",IF(AND(F1800&lt;&gt;"",OR(NOT(ISNUMBER(F1800)),N(F1800)&lt;0,N(F1800)&gt;=1)),"Perte entre 0 et 99 %",IF(COUNTIFS(bom_prod,A1800,bom_mat,B1800)&gt;1,"Matière en double","OK")))))))))</f>
        <v/>
      </c>
      <c r="K1800" s="71" t="str">
        <f>IF(AND(fiche_sel&lt;&gt;"",A1800=fiche_sel),COUNTIF(A$6:A1800,fiche_sel),"")</f>
        <v/>
      </c>
    </row>
    <row r="1801">
      <c r="A1801" s="60" t="n"/>
      <c r="B1801" s="60" t="n"/>
      <c r="C1801" s="71" t="str">
        <f>IF(B1801="","",IFERROR(INDEX(mat_des,MATCH(B1801,mat_ref,0))&amp;"","Matière inconnue"))</f>
        <v/>
      </c>
      <c r="D1801" s="69" t="str">
        <f>IF(B1801="","",IFERROR(INDEX(mat_unit,MATCH(B1801,mat_ref,0))&amp;"",""))</f>
        <v/>
      </c>
      <c r="E1801" s="72" t="n"/>
      <c r="F1801" s="65" t="n"/>
      <c r="G1801" s="68" t="str">
        <f>IF(J1801&lt;&gt;"OK","",IF(F1801="",N(INDEX(mat_loss,MATCH(B1801,mat_ref,0))),F1801))</f>
        <v/>
      </c>
      <c r="H1801" s="66" t="str">
        <f>IF(J1801&lt;&gt;"OK","",INDEX(mat_price,MATCH(B1801,mat_ref,0)))</f>
        <v/>
      </c>
      <c r="I1801" s="66" t="str">
        <f>IF(J1801&lt;&gt;"OK","",E1801*(1+G1801)*H1801)</f>
        <v/>
      </c>
      <c r="J1801" s="69" t="str">
        <f>IF(AND(A1801="",B1801=""),"",IF(A1801="","Produit manquant",IF(COUNTIF(prod_ref,A1801)=0,"Produit inconnu",IF(B1801="","Matière manquante",IF(ISNA(MATCH(B1801,mat_ref,0)),"Matière inconnue",IF(INDEX(mat_check,MATCH(B1801,mat_ref,0))&lt;&gt;"OK","Matière à corriger",IF(OR(NOT(ISNUMBER(E1801)),N(E1801)&lt;=0),"Quantité invalide",IF(AND(F1801&lt;&gt;"",OR(NOT(ISNUMBER(F1801)),N(F1801)&lt;0,N(F1801)&gt;=1)),"Perte entre 0 et 99 %",IF(COUNTIFS(bom_prod,A1801,bom_mat,B1801)&gt;1,"Matière en double","OK")))))))))</f>
        <v/>
      </c>
      <c r="K1801" s="71" t="str">
        <f>IF(AND(fiche_sel&lt;&gt;"",A1801=fiche_sel),COUNTIF(A$6:A1801,fiche_sel),"")</f>
        <v/>
      </c>
    </row>
    <row r="1802">
      <c r="A1802" s="60" t="n"/>
      <c r="B1802" s="60" t="n"/>
      <c r="C1802" s="71" t="str">
        <f>IF(B1802="","",IFERROR(INDEX(mat_des,MATCH(B1802,mat_ref,0))&amp;"","Matière inconnue"))</f>
        <v/>
      </c>
      <c r="D1802" s="69" t="str">
        <f>IF(B1802="","",IFERROR(INDEX(mat_unit,MATCH(B1802,mat_ref,0))&amp;"",""))</f>
        <v/>
      </c>
      <c r="E1802" s="72" t="n"/>
      <c r="F1802" s="65" t="n"/>
      <c r="G1802" s="68" t="str">
        <f>IF(J1802&lt;&gt;"OK","",IF(F1802="",N(INDEX(mat_loss,MATCH(B1802,mat_ref,0))),F1802))</f>
        <v/>
      </c>
      <c r="H1802" s="66" t="str">
        <f>IF(J1802&lt;&gt;"OK","",INDEX(mat_price,MATCH(B1802,mat_ref,0)))</f>
        <v/>
      </c>
      <c r="I1802" s="66" t="str">
        <f>IF(J1802&lt;&gt;"OK","",E1802*(1+G1802)*H1802)</f>
        <v/>
      </c>
      <c r="J1802" s="69" t="str">
        <f>IF(AND(A1802="",B1802=""),"",IF(A1802="","Produit manquant",IF(COUNTIF(prod_ref,A1802)=0,"Produit inconnu",IF(B1802="","Matière manquante",IF(ISNA(MATCH(B1802,mat_ref,0)),"Matière inconnue",IF(INDEX(mat_check,MATCH(B1802,mat_ref,0))&lt;&gt;"OK","Matière à corriger",IF(OR(NOT(ISNUMBER(E1802)),N(E1802)&lt;=0),"Quantité invalide",IF(AND(F1802&lt;&gt;"",OR(NOT(ISNUMBER(F1802)),N(F1802)&lt;0,N(F1802)&gt;=1)),"Perte entre 0 et 99 %",IF(COUNTIFS(bom_prod,A1802,bom_mat,B1802)&gt;1,"Matière en double","OK")))))))))</f>
        <v/>
      </c>
      <c r="K1802" s="71" t="str">
        <f>IF(AND(fiche_sel&lt;&gt;"",A1802=fiche_sel),COUNTIF(A$6:A1802,fiche_sel),"")</f>
        <v/>
      </c>
    </row>
    <row r="1803">
      <c r="A1803" s="60" t="n"/>
      <c r="B1803" s="60" t="n"/>
      <c r="C1803" s="71" t="str">
        <f>IF(B1803="","",IFERROR(INDEX(mat_des,MATCH(B1803,mat_ref,0))&amp;"","Matière inconnue"))</f>
        <v/>
      </c>
      <c r="D1803" s="69" t="str">
        <f>IF(B1803="","",IFERROR(INDEX(mat_unit,MATCH(B1803,mat_ref,0))&amp;"",""))</f>
        <v/>
      </c>
      <c r="E1803" s="72" t="n"/>
      <c r="F1803" s="65" t="n"/>
      <c r="G1803" s="68" t="str">
        <f>IF(J1803&lt;&gt;"OK","",IF(F1803="",N(INDEX(mat_loss,MATCH(B1803,mat_ref,0))),F1803))</f>
        <v/>
      </c>
      <c r="H1803" s="66" t="str">
        <f>IF(J1803&lt;&gt;"OK","",INDEX(mat_price,MATCH(B1803,mat_ref,0)))</f>
        <v/>
      </c>
      <c r="I1803" s="66" t="str">
        <f>IF(J1803&lt;&gt;"OK","",E1803*(1+G1803)*H1803)</f>
        <v/>
      </c>
      <c r="J1803" s="69" t="str">
        <f>IF(AND(A1803="",B1803=""),"",IF(A1803="","Produit manquant",IF(COUNTIF(prod_ref,A1803)=0,"Produit inconnu",IF(B1803="","Matière manquante",IF(ISNA(MATCH(B1803,mat_ref,0)),"Matière inconnue",IF(INDEX(mat_check,MATCH(B1803,mat_ref,0))&lt;&gt;"OK","Matière à corriger",IF(OR(NOT(ISNUMBER(E1803)),N(E1803)&lt;=0),"Quantité invalide",IF(AND(F1803&lt;&gt;"",OR(NOT(ISNUMBER(F1803)),N(F1803)&lt;0,N(F1803)&gt;=1)),"Perte entre 0 et 99 %",IF(COUNTIFS(bom_prod,A1803,bom_mat,B1803)&gt;1,"Matière en double","OK")))))))))</f>
        <v/>
      </c>
      <c r="K1803" s="71" t="str">
        <f>IF(AND(fiche_sel&lt;&gt;"",A1803=fiche_sel),COUNTIF(A$6:A1803,fiche_sel),"")</f>
        <v/>
      </c>
    </row>
    <row r="1804">
      <c r="A1804" s="60" t="n"/>
      <c r="B1804" s="60" t="n"/>
      <c r="C1804" s="71" t="str">
        <f>IF(B1804="","",IFERROR(INDEX(mat_des,MATCH(B1804,mat_ref,0))&amp;"","Matière inconnue"))</f>
        <v/>
      </c>
      <c r="D1804" s="69" t="str">
        <f>IF(B1804="","",IFERROR(INDEX(mat_unit,MATCH(B1804,mat_ref,0))&amp;"",""))</f>
        <v/>
      </c>
      <c r="E1804" s="72" t="n"/>
      <c r="F1804" s="65" t="n"/>
      <c r="G1804" s="68" t="str">
        <f>IF(J1804&lt;&gt;"OK","",IF(F1804="",N(INDEX(mat_loss,MATCH(B1804,mat_ref,0))),F1804))</f>
        <v/>
      </c>
      <c r="H1804" s="66" t="str">
        <f>IF(J1804&lt;&gt;"OK","",INDEX(mat_price,MATCH(B1804,mat_ref,0)))</f>
        <v/>
      </c>
      <c r="I1804" s="66" t="str">
        <f>IF(J1804&lt;&gt;"OK","",E1804*(1+G1804)*H1804)</f>
        <v/>
      </c>
      <c r="J1804" s="69" t="str">
        <f>IF(AND(A1804="",B1804=""),"",IF(A1804="","Produit manquant",IF(COUNTIF(prod_ref,A1804)=0,"Produit inconnu",IF(B1804="","Matière manquante",IF(ISNA(MATCH(B1804,mat_ref,0)),"Matière inconnue",IF(INDEX(mat_check,MATCH(B1804,mat_ref,0))&lt;&gt;"OK","Matière à corriger",IF(OR(NOT(ISNUMBER(E1804)),N(E1804)&lt;=0),"Quantité invalide",IF(AND(F1804&lt;&gt;"",OR(NOT(ISNUMBER(F1804)),N(F1804)&lt;0,N(F1804)&gt;=1)),"Perte entre 0 et 99 %",IF(COUNTIFS(bom_prod,A1804,bom_mat,B1804)&gt;1,"Matière en double","OK")))))))))</f>
        <v/>
      </c>
      <c r="K1804" s="71" t="str">
        <f>IF(AND(fiche_sel&lt;&gt;"",A1804=fiche_sel),COUNTIF(A$6:A1804,fiche_sel),"")</f>
        <v/>
      </c>
    </row>
    <row r="1805">
      <c r="A1805" s="60" t="n"/>
      <c r="B1805" s="60" t="n"/>
      <c r="C1805" s="71" t="str">
        <f>IF(B1805="","",IFERROR(INDEX(mat_des,MATCH(B1805,mat_ref,0))&amp;"","Matière inconnue"))</f>
        <v/>
      </c>
      <c r="D1805" s="69" t="str">
        <f>IF(B1805="","",IFERROR(INDEX(mat_unit,MATCH(B1805,mat_ref,0))&amp;"",""))</f>
        <v/>
      </c>
      <c r="E1805" s="72" t="n"/>
      <c r="F1805" s="65" t="n"/>
      <c r="G1805" s="68" t="str">
        <f>IF(J1805&lt;&gt;"OK","",IF(F1805="",N(INDEX(mat_loss,MATCH(B1805,mat_ref,0))),F1805))</f>
        <v/>
      </c>
      <c r="H1805" s="66" t="str">
        <f>IF(J1805&lt;&gt;"OK","",INDEX(mat_price,MATCH(B1805,mat_ref,0)))</f>
        <v/>
      </c>
      <c r="I1805" s="66" t="str">
        <f>IF(J1805&lt;&gt;"OK","",E1805*(1+G1805)*H1805)</f>
        <v/>
      </c>
      <c r="J1805" s="69" t="str">
        <f>IF(AND(A1805="",B1805=""),"",IF(A1805="","Produit manquant",IF(COUNTIF(prod_ref,A1805)=0,"Produit inconnu",IF(B1805="","Matière manquante",IF(ISNA(MATCH(B1805,mat_ref,0)),"Matière inconnue",IF(INDEX(mat_check,MATCH(B1805,mat_ref,0))&lt;&gt;"OK","Matière à corriger",IF(OR(NOT(ISNUMBER(E1805)),N(E1805)&lt;=0),"Quantité invalide",IF(AND(F1805&lt;&gt;"",OR(NOT(ISNUMBER(F1805)),N(F1805)&lt;0,N(F1805)&gt;=1)),"Perte entre 0 et 99 %",IF(COUNTIFS(bom_prod,A1805,bom_mat,B1805)&gt;1,"Matière en double","OK")))))))))</f>
        <v/>
      </c>
      <c r="K1805" s="71" t="str">
        <f>IF(AND(fiche_sel&lt;&gt;"",A1805=fiche_sel),COUNTIF(A$6:A1805,fiche_sel),"")</f>
        <v/>
      </c>
    </row>
    <row r="1806">
      <c r="A1806" s="60" t="n"/>
      <c r="B1806" s="60" t="n"/>
      <c r="C1806" s="71" t="str">
        <f>IF(B1806="","",IFERROR(INDEX(mat_des,MATCH(B1806,mat_ref,0))&amp;"","Matière inconnue"))</f>
        <v/>
      </c>
      <c r="D1806" s="69" t="str">
        <f>IF(B1806="","",IFERROR(INDEX(mat_unit,MATCH(B1806,mat_ref,0))&amp;"",""))</f>
        <v/>
      </c>
      <c r="E1806" s="72" t="n"/>
      <c r="F1806" s="65" t="n"/>
      <c r="G1806" s="68" t="str">
        <f>IF(J1806&lt;&gt;"OK","",IF(F1806="",N(INDEX(mat_loss,MATCH(B1806,mat_ref,0))),F1806))</f>
        <v/>
      </c>
      <c r="H1806" s="66" t="str">
        <f>IF(J1806&lt;&gt;"OK","",INDEX(mat_price,MATCH(B1806,mat_ref,0)))</f>
        <v/>
      </c>
      <c r="I1806" s="66" t="str">
        <f>IF(J1806&lt;&gt;"OK","",E1806*(1+G1806)*H1806)</f>
        <v/>
      </c>
      <c r="J1806" s="69" t="str">
        <f>IF(AND(A1806="",B1806=""),"",IF(A1806="","Produit manquant",IF(COUNTIF(prod_ref,A1806)=0,"Produit inconnu",IF(B1806="","Matière manquante",IF(ISNA(MATCH(B1806,mat_ref,0)),"Matière inconnue",IF(INDEX(mat_check,MATCH(B1806,mat_ref,0))&lt;&gt;"OK","Matière à corriger",IF(OR(NOT(ISNUMBER(E1806)),N(E1806)&lt;=0),"Quantité invalide",IF(AND(F1806&lt;&gt;"",OR(NOT(ISNUMBER(F1806)),N(F1806)&lt;0,N(F1806)&gt;=1)),"Perte entre 0 et 99 %",IF(COUNTIFS(bom_prod,A1806,bom_mat,B1806)&gt;1,"Matière en double","OK")))))))))</f>
        <v/>
      </c>
      <c r="K1806" s="71" t="str">
        <f>IF(AND(fiche_sel&lt;&gt;"",A1806=fiche_sel),COUNTIF(A$6:A1806,fiche_sel),"")</f>
        <v/>
      </c>
    </row>
    <row r="1807">
      <c r="A1807" s="60" t="n"/>
      <c r="B1807" s="60" t="n"/>
      <c r="C1807" s="71" t="str">
        <f>IF(B1807="","",IFERROR(INDEX(mat_des,MATCH(B1807,mat_ref,0))&amp;"","Matière inconnue"))</f>
        <v/>
      </c>
      <c r="D1807" s="69" t="str">
        <f>IF(B1807="","",IFERROR(INDEX(mat_unit,MATCH(B1807,mat_ref,0))&amp;"",""))</f>
        <v/>
      </c>
      <c r="E1807" s="72" t="n"/>
      <c r="F1807" s="65" t="n"/>
      <c r="G1807" s="68" t="str">
        <f>IF(J1807&lt;&gt;"OK","",IF(F1807="",N(INDEX(mat_loss,MATCH(B1807,mat_ref,0))),F1807))</f>
        <v/>
      </c>
      <c r="H1807" s="66" t="str">
        <f>IF(J1807&lt;&gt;"OK","",INDEX(mat_price,MATCH(B1807,mat_ref,0)))</f>
        <v/>
      </c>
      <c r="I1807" s="66" t="str">
        <f>IF(J1807&lt;&gt;"OK","",E1807*(1+G1807)*H1807)</f>
        <v/>
      </c>
      <c r="J1807" s="69" t="str">
        <f>IF(AND(A1807="",B1807=""),"",IF(A1807="","Produit manquant",IF(COUNTIF(prod_ref,A1807)=0,"Produit inconnu",IF(B1807="","Matière manquante",IF(ISNA(MATCH(B1807,mat_ref,0)),"Matière inconnue",IF(INDEX(mat_check,MATCH(B1807,mat_ref,0))&lt;&gt;"OK","Matière à corriger",IF(OR(NOT(ISNUMBER(E1807)),N(E1807)&lt;=0),"Quantité invalide",IF(AND(F1807&lt;&gt;"",OR(NOT(ISNUMBER(F1807)),N(F1807)&lt;0,N(F1807)&gt;=1)),"Perte entre 0 et 99 %",IF(COUNTIFS(bom_prod,A1807,bom_mat,B1807)&gt;1,"Matière en double","OK")))))))))</f>
        <v/>
      </c>
      <c r="K1807" s="71" t="str">
        <f>IF(AND(fiche_sel&lt;&gt;"",A1807=fiche_sel),COUNTIF(A$6:A1807,fiche_sel),"")</f>
        <v/>
      </c>
    </row>
    <row r="1808">
      <c r="A1808" s="60" t="n"/>
      <c r="B1808" s="60" t="n"/>
      <c r="C1808" s="71" t="str">
        <f>IF(B1808="","",IFERROR(INDEX(mat_des,MATCH(B1808,mat_ref,0))&amp;"","Matière inconnue"))</f>
        <v/>
      </c>
      <c r="D1808" s="69" t="str">
        <f>IF(B1808="","",IFERROR(INDEX(mat_unit,MATCH(B1808,mat_ref,0))&amp;"",""))</f>
        <v/>
      </c>
      <c r="E1808" s="72" t="n"/>
      <c r="F1808" s="65" t="n"/>
      <c r="G1808" s="68" t="str">
        <f>IF(J1808&lt;&gt;"OK","",IF(F1808="",N(INDEX(mat_loss,MATCH(B1808,mat_ref,0))),F1808))</f>
        <v/>
      </c>
      <c r="H1808" s="66" t="str">
        <f>IF(J1808&lt;&gt;"OK","",INDEX(mat_price,MATCH(B1808,mat_ref,0)))</f>
        <v/>
      </c>
      <c r="I1808" s="66" t="str">
        <f>IF(J1808&lt;&gt;"OK","",E1808*(1+G1808)*H1808)</f>
        <v/>
      </c>
      <c r="J1808" s="69" t="str">
        <f>IF(AND(A1808="",B1808=""),"",IF(A1808="","Produit manquant",IF(COUNTIF(prod_ref,A1808)=0,"Produit inconnu",IF(B1808="","Matière manquante",IF(ISNA(MATCH(B1808,mat_ref,0)),"Matière inconnue",IF(INDEX(mat_check,MATCH(B1808,mat_ref,0))&lt;&gt;"OK","Matière à corriger",IF(OR(NOT(ISNUMBER(E1808)),N(E1808)&lt;=0),"Quantité invalide",IF(AND(F1808&lt;&gt;"",OR(NOT(ISNUMBER(F1808)),N(F1808)&lt;0,N(F1808)&gt;=1)),"Perte entre 0 et 99 %",IF(COUNTIFS(bom_prod,A1808,bom_mat,B1808)&gt;1,"Matière en double","OK")))))))))</f>
        <v/>
      </c>
      <c r="K1808" s="71" t="str">
        <f>IF(AND(fiche_sel&lt;&gt;"",A1808=fiche_sel),COUNTIF(A$6:A1808,fiche_sel),"")</f>
        <v/>
      </c>
    </row>
    <row r="1809">
      <c r="A1809" s="60" t="n"/>
      <c r="B1809" s="60" t="n"/>
      <c r="C1809" s="71" t="str">
        <f>IF(B1809="","",IFERROR(INDEX(mat_des,MATCH(B1809,mat_ref,0))&amp;"","Matière inconnue"))</f>
        <v/>
      </c>
      <c r="D1809" s="69" t="str">
        <f>IF(B1809="","",IFERROR(INDEX(mat_unit,MATCH(B1809,mat_ref,0))&amp;"",""))</f>
        <v/>
      </c>
      <c r="E1809" s="72" t="n"/>
      <c r="F1809" s="65" t="n"/>
      <c r="G1809" s="68" t="str">
        <f>IF(J1809&lt;&gt;"OK","",IF(F1809="",N(INDEX(mat_loss,MATCH(B1809,mat_ref,0))),F1809))</f>
        <v/>
      </c>
      <c r="H1809" s="66" t="str">
        <f>IF(J1809&lt;&gt;"OK","",INDEX(mat_price,MATCH(B1809,mat_ref,0)))</f>
        <v/>
      </c>
      <c r="I1809" s="66" t="str">
        <f>IF(J1809&lt;&gt;"OK","",E1809*(1+G1809)*H1809)</f>
        <v/>
      </c>
      <c r="J1809" s="69" t="str">
        <f>IF(AND(A1809="",B1809=""),"",IF(A1809="","Produit manquant",IF(COUNTIF(prod_ref,A1809)=0,"Produit inconnu",IF(B1809="","Matière manquante",IF(ISNA(MATCH(B1809,mat_ref,0)),"Matière inconnue",IF(INDEX(mat_check,MATCH(B1809,mat_ref,0))&lt;&gt;"OK","Matière à corriger",IF(OR(NOT(ISNUMBER(E1809)),N(E1809)&lt;=0),"Quantité invalide",IF(AND(F1809&lt;&gt;"",OR(NOT(ISNUMBER(F1809)),N(F1809)&lt;0,N(F1809)&gt;=1)),"Perte entre 0 et 99 %",IF(COUNTIFS(bom_prod,A1809,bom_mat,B1809)&gt;1,"Matière en double","OK")))))))))</f>
        <v/>
      </c>
      <c r="K1809" s="71" t="str">
        <f>IF(AND(fiche_sel&lt;&gt;"",A1809=fiche_sel),COUNTIF(A$6:A1809,fiche_sel),"")</f>
        <v/>
      </c>
    </row>
    <row r="1810">
      <c r="A1810" s="60" t="n"/>
      <c r="B1810" s="60" t="n"/>
      <c r="C1810" s="71" t="str">
        <f>IF(B1810="","",IFERROR(INDEX(mat_des,MATCH(B1810,mat_ref,0))&amp;"","Matière inconnue"))</f>
        <v/>
      </c>
      <c r="D1810" s="69" t="str">
        <f>IF(B1810="","",IFERROR(INDEX(mat_unit,MATCH(B1810,mat_ref,0))&amp;"",""))</f>
        <v/>
      </c>
      <c r="E1810" s="72" t="n"/>
      <c r="F1810" s="65" t="n"/>
      <c r="G1810" s="68" t="str">
        <f>IF(J1810&lt;&gt;"OK","",IF(F1810="",N(INDEX(mat_loss,MATCH(B1810,mat_ref,0))),F1810))</f>
        <v/>
      </c>
      <c r="H1810" s="66" t="str">
        <f>IF(J1810&lt;&gt;"OK","",INDEX(mat_price,MATCH(B1810,mat_ref,0)))</f>
        <v/>
      </c>
      <c r="I1810" s="66" t="str">
        <f>IF(J1810&lt;&gt;"OK","",E1810*(1+G1810)*H1810)</f>
        <v/>
      </c>
      <c r="J1810" s="69" t="str">
        <f>IF(AND(A1810="",B1810=""),"",IF(A1810="","Produit manquant",IF(COUNTIF(prod_ref,A1810)=0,"Produit inconnu",IF(B1810="","Matière manquante",IF(ISNA(MATCH(B1810,mat_ref,0)),"Matière inconnue",IF(INDEX(mat_check,MATCH(B1810,mat_ref,0))&lt;&gt;"OK","Matière à corriger",IF(OR(NOT(ISNUMBER(E1810)),N(E1810)&lt;=0),"Quantité invalide",IF(AND(F1810&lt;&gt;"",OR(NOT(ISNUMBER(F1810)),N(F1810)&lt;0,N(F1810)&gt;=1)),"Perte entre 0 et 99 %",IF(COUNTIFS(bom_prod,A1810,bom_mat,B1810)&gt;1,"Matière en double","OK")))))))))</f>
        <v/>
      </c>
      <c r="K1810" s="71" t="str">
        <f>IF(AND(fiche_sel&lt;&gt;"",A1810=fiche_sel),COUNTIF(A$6:A1810,fiche_sel),"")</f>
        <v/>
      </c>
    </row>
    <row r="1811">
      <c r="A1811" s="60" t="n"/>
      <c r="B1811" s="60" t="n"/>
      <c r="C1811" s="71" t="str">
        <f>IF(B1811="","",IFERROR(INDEX(mat_des,MATCH(B1811,mat_ref,0))&amp;"","Matière inconnue"))</f>
        <v/>
      </c>
      <c r="D1811" s="69" t="str">
        <f>IF(B1811="","",IFERROR(INDEX(mat_unit,MATCH(B1811,mat_ref,0))&amp;"",""))</f>
        <v/>
      </c>
      <c r="E1811" s="72" t="n"/>
      <c r="F1811" s="65" t="n"/>
      <c r="G1811" s="68" t="str">
        <f>IF(J1811&lt;&gt;"OK","",IF(F1811="",N(INDEX(mat_loss,MATCH(B1811,mat_ref,0))),F1811))</f>
        <v/>
      </c>
      <c r="H1811" s="66" t="str">
        <f>IF(J1811&lt;&gt;"OK","",INDEX(mat_price,MATCH(B1811,mat_ref,0)))</f>
        <v/>
      </c>
      <c r="I1811" s="66" t="str">
        <f>IF(J1811&lt;&gt;"OK","",E1811*(1+G1811)*H1811)</f>
        <v/>
      </c>
      <c r="J1811" s="69" t="str">
        <f>IF(AND(A1811="",B1811=""),"",IF(A1811="","Produit manquant",IF(COUNTIF(prod_ref,A1811)=0,"Produit inconnu",IF(B1811="","Matière manquante",IF(ISNA(MATCH(B1811,mat_ref,0)),"Matière inconnue",IF(INDEX(mat_check,MATCH(B1811,mat_ref,0))&lt;&gt;"OK","Matière à corriger",IF(OR(NOT(ISNUMBER(E1811)),N(E1811)&lt;=0),"Quantité invalide",IF(AND(F1811&lt;&gt;"",OR(NOT(ISNUMBER(F1811)),N(F1811)&lt;0,N(F1811)&gt;=1)),"Perte entre 0 et 99 %",IF(COUNTIFS(bom_prod,A1811,bom_mat,B1811)&gt;1,"Matière en double","OK")))))))))</f>
        <v/>
      </c>
      <c r="K1811" s="71" t="str">
        <f>IF(AND(fiche_sel&lt;&gt;"",A1811=fiche_sel),COUNTIF(A$6:A1811,fiche_sel),"")</f>
        <v/>
      </c>
    </row>
    <row r="1812">
      <c r="A1812" s="60" t="n"/>
      <c r="B1812" s="60" t="n"/>
      <c r="C1812" s="71" t="str">
        <f>IF(B1812="","",IFERROR(INDEX(mat_des,MATCH(B1812,mat_ref,0))&amp;"","Matière inconnue"))</f>
        <v/>
      </c>
      <c r="D1812" s="69" t="str">
        <f>IF(B1812="","",IFERROR(INDEX(mat_unit,MATCH(B1812,mat_ref,0))&amp;"",""))</f>
        <v/>
      </c>
      <c r="E1812" s="72" t="n"/>
      <c r="F1812" s="65" t="n"/>
      <c r="G1812" s="68" t="str">
        <f>IF(J1812&lt;&gt;"OK","",IF(F1812="",N(INDEX(mat_loss,MATCH(B1812,mat_ref,0))),F1812))</f>
        <v/>
      </c>
      <c r="H1812" s="66" t="str">
        <f>IF(J1812&lt;&gt;"OK","",INDEX(mat_price,MATCH(B1812,mat_ref,0)))</f>
        <v/>
      </c>
      <c r="I1812" s="66" t="str">
        <f>IF(J1812&lt;&gt;"OK","",E1812*(1+G1812)*H1812)</f>
        <v/>
      </c>
      <c r="J1812" s="69" t="str">
        <f>IF(AND(A1812="",B1812=""),"",IF(A1812="","Produit manquant",IF(COUNTIF(prod_ref,A1812)=0,"Produit inconnu",IF(B1812="","Matière manquante",IF(ISNA(MATCH(B1812,mat_ref,0)),"Matière inconnue",IF(INDEX(mat_check,MATCH(B1812,mat_ref,0))&lt;&gt;"OK","Matière à corriger",IF(OR(NOT(ISNUMBER(E1812)),N(E1812)&lt;=0),"Quantité invalide",IF(AND(F1812&lt;&gt;"",OR(NOT(ISNUMBER(F1812)),N(F1812)&lt;0,N(F1812)&gt;=1)),"Perte entre 0 et 99 %",IF(COUNTIFS(bom_prod,A1812,bom_mat,B1812)&gt;1,"Matière en double","OK")))))))))</f>
        <v/>
      </c>
      <c r="K1812" s="71" t="str">
        <f>IF(AND(fiche_sel&lt;&gt;"",A1812=fiche_sel),COUNTIF(A$6:A1812,fiche_sel),"")</f>
        <v/>
      </c>
    </row>
    <row r="1813">
      <c r="A1813" s="60" t="n"/>
      <c r="B1813" s="60" t="n"/>
      <c r="C1813" s="71" t="str">
        <f>IF(B1813="","",IFERROR(INDEX(mat_des,MATCH(B1813,mat_ref,0))&amp;"","Matière inconnue"))</f>
        <v/>
      </c>
      <c r="D1813" s="69" t="str">
        <f>IF(B1813="","",IFERROR(INDEX(mat_unit,MATCH(B1813,mat_ref,0))&amp;"",""))</f>
        <v/>
      </c>
      <c r="E1813" s="72" t="n"/>
      <c r="F1813" s="65" t="n"/>
      <c r="G1813" s="68" t="str">
        <f>IF(J1813&lt;&gt;"OK","",IF(F1813="",N(INDEX(mat_loss,MATCH(B1813,mat_ref,0))),F1813))</f>
        <v/>
      </c>
      <c r="H1813" s="66" t="str">
        <f>IF(J1813&lt;&gt;"OK","",INDEX(mat_price,MATCH(B1813,mat_ref,0)))</f>
        <v/>
      </c>
      <c r="I1813" s="66" t="str">
        <f>IF(J1813&lt;&gt;"OK","",E1813*(1+G1813)*H1813)</f>
        <v/>
      </c>
      <c r="J1813" s="69" t="str">
        <f>IF(AND(A1813="",B1813=""),"",IF(A1813="","Produit manquant",IF(COUNTIF(prod_ref,A1813)=0,"Produit inconnu",IF(B1813="","Matière manquante",IF(ISNA(MATCH(B1813,mat_ref,0)),"Matière inconnue",IF(INDEX(mat_check,MATCH(B1813,mat_ref,0))&lt;&gt;"OK","Matière à corriger",IF(OR(NOT(ISNUMBER(E1813)),N(E1813)&lt;=0),"Quantité invalide",IF(AND(F1813&lt;&gt;"",OR(NOT(ISNUMBER(F1813)),N(F1813)&lt;0,N(F1813)&gt;=1)),"Perte entre 0 et 99 %",IF(COUNTIFS(bom_prod,A1813,bom_mat,B1813)&gt;1,"Matière en double","OK")))))))))</f>
        <v/>
      </c>
      <c r="K1813" s="71" t="str">
        <f>IF(AND(fiche_sel&lt;&gt;"",A1813=fiche_sel),COUNTIF(A$6:A1813,fiche_sel),"")</f>
        <v/>
      </c>
    </row>
    <row r="1814">
      <c r="A1814" s="60" t="n"/>
      <c r="B1814" s="60" t="n"/>
      <c r="C1814" s="71" t="str">
        <f>IF(B1814="","",IFERROR(INDEX(mat_des,MATCH(B1814,mat_ref,0))&amp;"","Matière inconnue"))</f>
        <v/>
      </c>
      <c r="D1814" s="69" t="str">
        <f>IF(B1814="","",IFERROR(INDEX(mat_unit,MATCH(B1814,mat_ref,0))&amp;"",""))</f>
        <v/>
      </c>
      <c r="E1814" s="72" t="n"/>
      <c r="F1814" s="65" t="n"/>
      <c r="G1814" s="68" t="str">
        <f>IF(J1814&lt;&gt;"OK","",IF(F1814="",N(INDEX(mat_loss,MATCH(B1814,mat_ref,0))),F1814))</f>
        <v/>
      </c>
      <c r="H1814" s="66" t="str">
        <f>IF(J1814&lt;&gt;"OK","",INDEX(mat_price,MATCH(B1814,mat_ref,0)))</f>
        <v/>
      </c>
      <c r="I1814" s="66" t="str">
        <f>IF(J1814&lt;&gt;"OK","",E1814*(1+G1814)*H1814)</f>
        <v/>
      </c>
      <c r="J1814" s="69" t="str">
        <f>IF(AND(A1814="",B1814=""),"",IF(A1814="","Produit manquant",IF(COUNTIF(prod_ref,A1814)=0,"Produit inconnu",IF(B1814="","Matière manquante",IF(ISNA(MATCH(B1814,mat_ref,0)),"Matière inconnue",IF(INDEX(mat_check,MATCH(B1814,mat_ref,0))&lt;&gt;"OK","Matière à corriger",IF(OR(NOT(ISNUMBER(E1814)),N(E1814)&lt;=0),"Quantité invalide",IF(AND(F1814&lt;&gt;"",OR(NOT(ISNUMBER(F1814)),N(F1814)&lt;0,N(F1814)&gt;=1)),"Perte entre 0 et 99 %",IF(COUNTIFS(bom_prod,A1814,bom_mat,B1814)&gt;1,"Matière en double","OK")))))))))</f>
        <v/>
      </c>
      <c r="K1814" s="71" t="str">
        <f>IF(AND(fiche_sel&lt;&gt;"",A1814=fiche_sel),COUNTIF(A$6:A1814,fiche_sel),"")</f>
        <v/>
      </c>
    </row>
    <row r="1815">
      <c r="A1815" s="60" t="n"/>
      <c r="B1815" s="60" t="n"/>
      <c r="C1815" s="71" t="str">
        <f>IF(B1815="","",IFERROR(INDEX(mat_des,MATCH(B1815,mat_ref,0))&amp;"","Matière inconnue"))</f>
        <v/>
      </c>
      <c r="D1815" s="69" t="str">
        <f>IF(B1815="","",IFERROR(INDEX(mat_unit,MATCH(B1815,mat_ref,0))&amp;"",""))</f>
        <v/>
      </c>
      <c r="E1815" s="72" t="n"/>
      <c r="F1815" s="65" t="n"/>
      <c r="G1815" s="68" t="str">
        <f>IF(J1815&lt;&gt;"OK","",IF(F1815="",N(INDEX(mat_loss,MATCH(B1815,mat_ref,0))),F1815))</f>
        <v/>
      </c>
      <c r="H1815" s="66" t="str">
        <f>IF(J1815&lt;&gt;"OK","",INDEX(mat_price,MATCH(B1815,mat_ref,0)))</f>
        <v/>
      </c>
      <c r="I1815" s="66" t="str">
        <f>IF(J1815&lt;&gt;"OK","",E1815*(1+G1815)*H1815)</f>
        <v/>
      </c>
      <c r="J1815" s="69" t="str">
        <f>IF(AND(A1815="",B1815=""),"",IF(A1815="","Produit manquant",IF(COUNTIF(prod_ref,A1815)=0,"Produit inconnu",IF(B1815="","Matière manquante",IF(ISNA(MATCH(B1815,mat_ref,0)),"Matière inconnue",IF(INDEX(mat_check,MATCH(B1815,mat_ref,0))&lt;&gt;"OK","Matière à corriger",IF(OR(NOT(ISNUMBER(E1815)),N(E1815)&lt;=0),"Quantité invalide",IF(AND(F1815&lt;&gt;"",OR(NOT(ISNUMBER(F1815)),N(F1815)&lt;0,N(F1815)&gt;=1)),"Perte entre 0 et 99 %",IF(COUNTIFS(bom_prod,A1815,bom_mat,B1815)&gt;1,"Matière en double","OK")))))))))</f>
        <v/>
      </c>
      <c r="K1815" s="71" t="str">
        <f>IF(AND(fiche_sel&lt;&gt;"",A1815=fiche_sel),COUNTIF(A$6:A1815,fiche_sel),"")</f>
        <v/>
      </c>
    </row>
    <row r="1816">
      <c r="A1816" s="60" t="n"/>
      <c r="B1816" s="60" t="n"/>
      <c r="C1816" s="71" t="str">
        <f>IF(B1816="","",IFERROR(INDEX(mat_des,MATCH(B1816,mat_ref,0))&amp;"","Matière inconnue"))</f>
        <v/>
      </c>
      <c r="D1816" s="69" t="str">
        <f>IF(B1816="","",IFERROR(INDEX(mat_unit,MATCH(B1816,mat_ref,0))&amp;"",""))</f>
        <v/>
      </c>
      <c r="E1816" s="72" t="n"/>
      <c r="F1816" s="65" t="n"/>
      <c r="G1816" s="68" t="str">
        <f>IF(J1816&lt;&gt;"OK","",IF(F1816="",N(INDEX(mat_loss,MATCH(B1816,mat_ref,0))),F1816))</f>
        <v/>
      </c>
      <c r="H1816" s="66" t="str">
        <f>IF(J1816&lt;&gt;"OK","",INDEX(mat_price,MATCH(B1816,mat_ref,0)))</f>
        <v/>
      </c>
      <c r="I1816" s="66" t="str">
        <f>IF(J1816&lt;&gt;"OK","",E1816*(1+G1816)*H1816)</f>
        <v/>
      </c>
      <c r="J1816" s="69" t="str">
        <f>IF(AND(A1816="",B1816=""),"",IF(A1816="","Produit manquant",IF(COUNTIF(prod_ref,A1816)=0,"Produit inconnu",IF(B1816="","Matière manquante",IF(ISNA(MATCH(B1816,mat_ref,0)),"Matière inconnue",IF(INDEX(mat_check,MATCH(B1816,mat_ref,0))&lt;&gt;"OK","Matière à corriger",IF(OR(NOT(ISNUMBER(E1816)),N(E1816)&lt;=0),"Quantité invalide",IF(AND(F1816&lt;&gt;"",OR(NOT(ISNUMBER(F1816)),N(F1816)&lt;0,N(F1816)&gt;=1)),"Perte entre 0 et 99 %",IF(COUNTIFS(bom_prod,A1816,bom_mat,B1816)&gt;1,"Matière en double","OK")))))))))</f>
        <v/>
      </c>
      <c r="K1816" s="71" t="str">
        <f>IF(AND(fiche_sel&lt;&gt;"",A1816=fiche_sel),COUNTIF(A$6:A1816,fiche_sel),"")</f>
        <v/>
      </c>
    </row>
    <row r="1817">
      <c r="A1817" s="60" t="n"/>
      <c r="B1817" s="60" t="n"/>
      <c r="C1817" s="71" t="str">
        <f>IF(B1817="","",IFERROR(INDEX(mat_des,MATCH(B1817,mat_ref,0))&amp;"","Matière inconnue"))</f>
        <v/>
      </c>
      <c r="D1817" s="69" t="str">
        <f>IF(B1817="","",IFERROR(INDEX(mat_unit,MATCH(B1817,mat_ref,0))&amp;"",""))</f>
        <v/>
      </c>
      <c r="E1817" s="72" t="n"/>
      <c r="F1817" s="65" t="n"/>
      <c r="G1817" s="68" t="str">
        <f>IF(J1817&lt;&gt;"OK","",IF(F1817="",N(INDEX(mat_loss,MATCH(B1817,mat_ref,0))),F1817))</f>
        <v/>
      </c>
      <c r="H1817" s="66" t="str">
        <f>IF(J1817&lt;&gt;"OK","",INDEX(mat_price,MATCH(B1817,mat_ref,0)))</f>
        <v/>
      </c>
      <c r="I1817" s="66" t="str">
        <f>IF(J1817&lt;&gt;"OK","",E1817*(1+G1817)*H1817)</f>
        <v/>
      </c>
      <c r="J1817" s="69" t="str">
        <f>IF(AND(A1817="",B1817=""),"",IF(A1817="","Produit manquant",IF(COUNTIF(prod_ref,A1817)=0,"Produit inconnu",IF(B1817="","Matière manquante",IF(ISNA(MATCH(B1817,mat_ref,0)),"Matière inconnue",IF(INDEX(mat_check,MATCH(B1817,mat_ref,0))&lt;&gt;"OK","Matière à corriger",IF(OR(NOT(ISNUMBER(E1817)),N(E1817)&lt;=0),"Quantité invalide",IF(AND(F1817&lt;&gt;"",OR(NOT(ISNUMBER(F1817)),N(F1817)&lt;0,N(F1817)&gt;=1)),"Perte entre 0 et 99 %",IF(COUNTIFS(bom_prod,A1817,bom_mat,B1817)&gt;1,"Matière en double","OK")))))))))</f>
        <v/>
      </c>
      <c r="K1817" s="71" t="str">
        <f>IF(AND(fiche_sel&lt;&gt;"",A1817=fiche_sel),COUNTIF(A$6:A1817,fiche_sel),"")</f>
        <v/>
      </c>
    </row>
    <row r="1818">
      <c r="A1818" s="60" t="n"/>
      <c r="B1818" s="60" t="n"/>
      <c r="C1818" s="71" t="str">
        <f>IF(B1818="","",IFERROR(INDEX(mat_des,MATCH(B1818,mat_ref,0))&amp;"","Matière inconnue"))</f>
        <v/>
      </c>
      <c r="D1818" s="69" t="str">
        <f>IF(B1818="","",IFERROR(INDEX(mat_unit,MATCH(B1818,mat_ref,0))&amp;"",""))</f>
        <v/>
      </c>
      <c r="E1818" s="72" t="n"/>
      <c r="F1818" s="65" t="n"/>
      <c r="G1818" s="68" t="str">
        <f>IF(J1818&lt;&gt;"OK","",IF(F1818="",N(INDEX(mat_loss,MATCH(B1818,mat_ref,0))),F1818))</f>
        <v/>
      </c>
      <c r="H1818" s="66" t="str">
        <f>IF(J1818&lt;&gt;"OK","",INDEX(mat_price,MATCH(B1818,mat_ref,0)))</f>
        <v/>
      </c>
      <c r="I1818" s="66" t="str">
        <f>IF(J1818&lt;&gt;"OK","",E1818*(1+G1818)*H1818)</f>
        <v/>
      </c>
      <c r="J1818" s="69" t="str">
        <f>IF(AND(A1818="",B1818=""),"",IF(A1818="","Produit manquant",IF(COUNTIF(prod_ref,A1818)=0,"Produit inconnu",IF(B1818="","Matière manquante",IF(ISNA(MATCH(B1818,mat_ref,0)),"Matière inconnue",IF(INDEX(mat_check,MATCH(B1818,mat_ref,0))&lt;&gt;"OK","Matière à corriger",IF(OR(NOT(ISNUMBER(E1818)),N(E1818)&lt;=0),"Quantité invalide",IF(AND(F1818&lt;&gt;"",OR(NOT(ISNUMBER(F1818)),N(F1818)&lt;0,N(F1818)&gt;=1)),"Perte entre 0 et 99 %",IF(COUNTIFS(bom_prod,A1818,bom_mat,B1818)&gt;1,"Matière en double","OK")))))))))</f>
        <v/>
      </c>
      <c r="K1818" s="71" t="str">
        <f>IF(AND(fiche_sel&lt;&gt;"",A1818=fiche_sel),COUNTIF(A$6:A1818,fiche_sel),"")</f>
        <v/>
      </c>
    </row>
    <row r="1819">
      <c r="A1819" s="60" t="n"/>
      <c r="B1819" s="60" t="n"/>
      <c r="C1819" s="71" t="str">
        <f>IF(B1819="","",IFERROR(INDEX(mat_des,MATCH(B1819,mat_ref,0))&amp;"","Matière inconnue"))</f>
        <v/>
      </c>
      <c r="D1819" s="69" t="str">
        <f>IF(B1819="","",IFERROR(INDEX(mat_unit,MATCH(B1819,mat_ref,0))&amp;"",""))</f>
        <v/>
      </c>
      <c r="E1819" s="72" t="n"/>
      <c r="F1819" s="65" t="n"/>
      <c r="G1819" s="68" t="str">
        <f>IF(J1819&lt;&gt;"OK","",IF(F1819="",N(INDEX(mat_loss,MATCH(B1819,mat_ref,0))),F1819))</f>
        <v/>
      </c>
      <c r="H1819" s="66" t="str">
        <f>IF(J1819&lt;&gt;"OK","",INDEX(mat_price,MATCH(B1819,mat_ref,0)))</f>
        <v/>
      </c>
      <c r="I1819" s="66" t="str">
        <f>IF(J1819&lt;&gt;"OK","",E1819*(1+G1819)*H1819)</f>
        <v/>
      </c>
      <c r="J1819" s="69" t="str">
        <f>IF(AND(A1819="",B1819=""),"",IF(A1819="","Produit manquant",IF(COUNTIF(prod_ref,A1819)=0,"Produit inconnu",IF(B1819="","Matière manquante",IF(ISNA(MATCH(B1819,mat_ref,0)),"Matière inconnue",IF(INDEX(mat_check,MATCH(B1819,mat_ref,0))&lt;&gt;"OK","Matière à corriger",IF(OR(NOT(ISNUMBER(E1819)),N(E1819)&lt;=0),"Quantité invalide",IF(AND(F1819&lt;&gt;"",OR(NOT(ISNUMBER(F1819)),N(F1819)&lt;0,N(F1819)&gt;=1)),"Perte entre 0 et 99 %",IF(COUNTIFS(bom_prod,A1819,bom_mat,B1819)&gt;1,"Matière en double","OK")))))))))</f>
        <v/>
      </c>
      <c r="K1819" s="71" t="str">
        <f>IF(AND(fiche_sel&lt;&gt;"",A1819=fiche_sel),COUNTIF(A$6:A1819,fiche_sel),"")</f>
        <v/>
      </c>
    </row>
    <row r="1820">
      <c r="A1820" s="60" t="n"/>
      <c r="B1820" s="60" t="n"/>
      <c r="C1820" s="71" t="str">
        <f>IF(B1820="","",IFERROR(INDEX(mat_des,MATCH(B1820,mat_ref,0))&amp;"","Matière inconnue"))</f>
        <v/>
      </c>
      <c r="D1820" s="69" t="str">
        <f>IF(B1820="","",IFERROR(INDEX(mat_unit,MATCH(B1820,mat_ref,0))&amp;"",""))</f>
        <v/>
      </c>
      <c r="E1820" s="72" t="n"/>
      <c r="F1820" s="65" t="n"/>
      <c r="G1820" s="68" t="str">
        <f>IF(J1820&lt;&gt;"OK","",IF(F1820="",N(INDEX(mat_loss,MATCH(B1820,mat_ref,0))),F1820))</f>
        <v/>
      </c>
      <c r="H1820" s="66" t="str">
        <f>IF(J1820&lt;&gt;"OK","",INDEX(mat_price,MATCH(B1820,mat_ref,0)))</f>
        <v/>
      </c>
      <c r="I1820" s="66" t="str">
        <f>IF(J1820&lt;&gt;"OK","",E1820*(1+G1820)*H1820)</f>
        <v/>
      </c>
      <c r="J1820" s="69" t="str">
        <f>IF(AND(A1820="",B1820=""),"",IF(A1820="","Produit manquant",IF(COUNTIF(prod_ref,A1820)=0,"Produit inconnu",IF(B1820="","Matière manquante",IF(ISNA(MATCH(B1820,mat_ref,0)),"Matière inconnue",IF(INDEX(mat_check,MATCH(B1820,mat_ref,0))&lt;&gt;"OK","Matière à corriger",IF(OR(NOT(ISNUMBER(E1820)),N(E1820)&lt;=0),"Quantité invalide",IF(AND(F1820&lt;&gt;"",OR(NOT(ISNUMBER(F1820)),N(F1820)&lt;0,N(F1820)&gt;=1)),"Perte entre 0 et 99 %",IF(COUNTIFS(bom_prod,A1820,bom_mat,B1820)&gt;1,"Matière en double","OK")))))))))</f>
        <v/>
      </c>
      <c r="K1820" s="71" t="str">
        <f>IF(AND(fiche_sel&lt;&gt;"",A1820=fiche_sel),COUNTIF(A$6:A1820,fiche_sel),"")</f>
        <v/>
      </c>
    </row>
    <row r="1821">
      <c r="A1821" s="60" t="n"/>
      <c r="B1821" s="60" t="n"/>
      <c r="C1821" s="71" t="str">
        <f>IF(B1821="","",IFERROR(INDEX(mat_des,MATCH(B1821,mat_ref,0))&amp;"","Matière inconnue"))</f>
        <v/>
      </c>
      <c r="D1821" s="69" t="str">
        <f>IF(B1821="","",IFERROR(INDEX(mat_unit,MATCH(B1821,mat_ref,0))&amp;"",""))</f>
        <v/>
      </c>
      <c r="E1821" s="72" t="n"/>
      <c r="F1821" s="65" t="n"/>
      <c r="G1821" s="68" t="str">
        <f>IF(J1821&lt;&gt;"OK","",IF(F1821="",N(INDEX(mat_loss,MATCH(B1821,mat_ref,0))),F1821))</f>
        <v/>
      </c>
      <c r="H1821" s="66" t="str">
        <f>IF(J1821&lt;&gt;"OK","",INDEX(mat_price,MATCH(B1821,mat_ref,0)))</f>
        <v/>
      </c>
      <c r="I1821" s="66" t="str">
        <f>IF(J1821&lt;&gt;"OK","",E1821*(1+G1821)*H1821)</f>
        <v/>
      </c>
      <c r="J1821" s="69" t="str">
        <f>IF(AND(A1821="",B1821=""),"",IF(A1821="","Produit manquant",IF(COUNTIF(prod_ref,A1821)=0,"Produit inconnu",IF(B1821="","Matière manquante",IF(ISNA(MATCH(B1821,mat_ref,0)),"Matière inconnue",IF(INDEX(mat_check,MATCH(B1821,mat_ref,0))&lt;&gt;"OK","Matière à corriger",IF(OR(NOT(ISNUMBER(E1821)),N(E1821)&lt;=0),"Quantité invalide",IF(AND(F1821&lt;&gt;"",OR(NOT(ISNUMBER(F1821)),N(F1821)&lt;0,N(F1821)&gt;=1)),"Perte entre 0 et 99 %",IF(COUNTIFS(bom_prod,A1821,bom_mat,B1821)&gt;1,"Matière en double","OK")))))))))</f>
        <v/>
      </c>
      <c r="K1821" s="71" t="str">
        <f>IF(AND(fiche_sel&lt;&gt;"",A1821=fiche_sel),COUNTIF(A$6:A1821,fiche_sel),"")</f>
        <v/>
      </c>
    </row>
    <row r="1822">
      <c r="A1822" s="60" t="n"/>
      <c r="B1822" s="60" t="n"/>
      <c r="C1822" s="71" t="str">
        <f>IF(B1822="","",IFERROR(INDEX(mat_des,MATCH(B1822,mat_ref,0))&amp;"","Matière inconnue"))</f>
        <v/>
      </c>
      <c r="D1822" s="69" t="str">
        <f>IF(B1822="","",IFERROR(INDEX(mat_unit,MATCH(B1822,mat_ref,0))&amp;"",""))</f>
        <v/>
      </c>
      <c r="E1822" s="72" t="n"/>
      <c r="F1822" s="65" t="n"/>
      <c r="G1822" s="68" t="str">
        <f>IF(J1822&lt;&gt;"OK","",IF(F1822="",N(INDEX(mat_loss,MATCH(B1822,mat_ref,0))),F1822))</f>
        <v/>
      </c>
      <c r="H1822" s="66" t="str">
        <f>IF(J1822&lt;&gt;"OK","",INDEX(mat_price,MATCH(B1822,mat_ref,0)))</f>
        <v/>
      </c>
      <c r="I1822" s="66" t="str">
        <f>IF(J1822&lt;&gt;"OK","",E1822*(1+G1822)*H1822)</f>
        <v/>
      </c>
      <c r="J1822" s="69" t="str">
        <f>IF(AND(A1822="",B1822=""),"",IF(A1822="","Produit manquant",IF(COUNTIF(prod_ref,A1822)=0,"Produit inconnu",IF(B1822="","Matière manquante",IF(ISNA(MATCH(B1822,mat_ref,0)),"Matière inconnue",IF(INDEX(mat_check,MATCH(B1822,mat_ref,0))&lt;&gt;"OK","Matière à corriger",IF(OR(NOT(ISNUMBER(E1822)),N(E1822)&lt;=0),"Quantité invalide",IF(AND(F1822&lt;&gt;"",OR(NOT(ISNUMBER(F1822)),N(F1822)&lt;0,N(F1822)&gt;=1)),"Perte entre 0 et 99 %",IF(COUNTIFS(bom_prod,A1822,bom_mat,B1822)&gt;1,"Matière en double","OK")))))))))</f>
        <v/>
      </c>
      <c r="K1822" s="71" t="str">
        <f>IF(AND(fiche_sel&lt;&gt;"",A1822=fiche_sel),COUNTIF(A$6:A1822,fiche_sel),"")</f>
        <v/>
      </c>
    </row>
    <row r="1823">
      <c r="A1823" s="60" t="n"/>
      <c r="B1823" s="60" t="n"/>
      <c r="C1823" s="71" t="str">
        <f>IF(B1823="","",IFERROR(INDEX(mat_des,MATCH(B1823,mat_ref,0))&amp;"","Matière inconnue"))</f>
        <v/>
      </c>
      <c r="D1823" s="69" t="str">
        <f>IF(B1823="","",IFERROR(INDEX(mat_unit,MATCH(B1823,mat_ref,0))&amp;"",""))</f>
        <v/>
      </c>
      <c r="E1823" s="72" t="n"/>
      <c r="F1823" s="65" t="n"/>
      <c r="G1823" s="68" t="str">
        <f>IF(J1823&lt;&gt;"OK","",IF(F1823="",N(INDEX(mat_loss,MATCH(B1823,mat_ref,0))),F1823))</f>
        <v/>
      </c>
      <c r="H1823" s="66" t="str">
        <f>IF(J1823&lt;&gt;"OK","",INDEX(mat_price,MATCH(B1823,mat_ref,0)))</f>
        <v/>
      </c>
      <c r="I1823" s="66" t="str">
        <f>IF(J1823&lt;&gt;"OK","",E1823*(1+G1823)*H1823)</f>
        <v/>
      </c>
      <c r="J1823" s="69" t="str">
        <f>IF(AND(A1823="",B1823=""),"",IF(A1823="","Produit manquant",IF(COUNTIF(prod_ref,A1823)=0,"Produit inconnu",IF(B1823="","Matière manquante",IF(ISNA(MATCH(B1823,mat_ref,0)),"Matière inconnue",IF(INDEX(mat_check,MATCH(B1823,mat_ref,0))&lt;&gt;"OK","Matière à corriger",IF(OR(NOT(ISNUMBER(E1823)),N(E1823)&lt;=0),"Quantité invalide",IF(AND(F1823&lt;&gt;"",OR(NOT(ISNUMBER(F1823)),N(F1823)&lt;0,N(F1823)&gt;=1)),"Perte entre 0 et 99 %",IF(COUNTIFS(bom_prod,A1823,bom_mat,B1823)&gt;1,"Matière en double","OK")))))))))</f>
        <v/>
      </c>
      <c r="K1823" s="71" t="str">
        <f>IF(AND(fiche_sel&lt;&gt;"",A1823=fiche_sel),COUNTIF(A$6:A1823,fiche_sel),"")</f>
        <v/>
      </c>
    </row>
    <row r="1824">
      <c r="A1824" s="60" t="n"/>
      <c r="B1824" s="60" t="n"/>
      <c r="C1824" s="71" t="str">
        <f>IF(B1824="","",IFERROR(INDEX(mat_des,MATCH(B1824,mat_ref,0))&amp;"","Matière inconnue"))</f>
        <v/>
      </c>
      <c r="D1824" s="69" t="str">
        <f>IF(B1824="","",IFERROR(INDEX(mat_unit,MATCH(B1824,mat_ref,0))&amp;"",""))</f>
        <v/>
      </c>
      <c r="E1824" s="72" t="n"/>
      <c r="F1824" s="65" t="n"/>
      <c r="G1824" s="68" t="str">
        <f>IF(J1824&lt;&gt;"OK","",IF(F1824="",N(INDEX(mat_loss,MATCH(B1824,mat_ref,0))),F1824))</f>
        <v/>
      </c>
      <c r="H1824" s="66" t="str">
        <f>IF(J1824&lt;&gt;"OK","",INDEX(mat_price,MATCH(B1824,mat_ref,0)))</f>
        <v/>
      </c>
      <c r="I1824" s="66" t="str">
        <f>IF(J1824&lt;&gt;"OK","",E1824*(1+G1824)*H1824)</f>
        <v/>
      </c>
      <c r="J1824" s="69" t="str">
        <f>IF(AND(A1824="",B1824=""),"",IF(A1824="","Produit manquant",IF(COUNTIF(prod_ref,A1824)=0,"Produit inconnu",IF(B1824="","Matière manquante",IF(ISNA(MATCH(B1824,mat_ref,0)),"Matière inconnue",IF(INDEX(mat_check,MATCH(B1824,mat_ref,0))&lt;&gt;"OK","Matière à corriger",IF(OR(NOT(ISNUMBER(E1824)),N(E1824)&lt;=0),"Quantité invalide",IF(AND(F1824&lt;&gt;"",OR(NOT(ISNUMBER(F1824)),N(F1824)&lt;0,N(F1824)&gt;=1)),"Perte entre 0 et 99 %",IF(COUNTIFS(bom_prod,A1824,bom_mat,B1824)&gt;1,"Matière en double","OK")))))))))</f>
        <v/>
      </c>
      <c r="K1824" s="71" t="str">
        <f>IF(AND(fiche_sel&lt;&gt;"",A1824=fiche_sel),COUNTIF(A$6:A1824,fiche_sel),"")</f>
        <v/>
      </c>
    </row>
    <row r="1825">
      <c r="A1825" s="60" t="n"/>
      <c r="B1825" s="60" t="n"/>
      <c r="C1825" s="71" t="str">
        <f>IF(B1825="","",IFERROR(INDEX(mat_des,MATCH(B1825,mat_ref,0))&amp;"","Matière inconnue"))</f>
        <v/>
      </c>
      <c r="D1825" s="69" t="str">
        <f>IF(B1825="","",IFERROR(INDEX(mat_unit,MATCH(B1825,mat_ref,0))&amp;"",""))</f>
        <v/>
      </c>
      <c r="E1825" s="72" t="n"/>
      <c r="F1825" s="65" t="n"/>
      <c r="G1825" s="68" t="str">
        <f>IF(J1825&lt;&gt;"OK","",IF(F1825="",N(INDEX(mat_loss,MATCH(B1825,mat_ref,0))),F1825))</f>
        <v/>
      </c>
      <c r="H1825" s="66" t="str">
        <f>IF(J1825&lt;&gt;"OK","",INDEX(mat_price,MATCH(B1825,mat_ref,0)))</f>
        <v/>
      </c>
      <c r="I1825" s="66" t="str">
        <f>IF(J1825&lt;&gt;"OK","",E1825*(1+G1825)*H1825)</f>
        <v/>
      </c>
      <c r="J1825" s="69" t="str">
        <f>IF(AND(A1825="",B1825=""),"",IF(A1825="","Produit manquant",IF(COUNTIF(prod_ref,A1825)=0,"Produit inconnu",IF(B1825="","Matière manquante",IF(ISNA(MATCH(B1825,mat_ref,0)),"Matière inconnue",IF(INDEX(mat_check,MATCH(B1825,mat_ref,0))&lt;&gt;"OK","Matière à corriger",IF(OR(NOT(ISNUMBER(E1825)),N(E1825)&lt;=0),"Quantité invalide",IF(AND(F1825&lt;&gt;"",OR(NOT(ISNUMBER(F1825)),N(F1825)&lt;0,N(F1825)&gt;=1)),"Perte entre 0 et 99 %",IF(COUNTIFS(bom_prod,A1825,bom_mat,B1825)&gt;1,"Matière en double","OK")))))))))</f>
        <v/>
      </c>
      <c r="K1825" s="71" t="str">
        <f>IF(AND(fiche_sel&lt;&gt;"",A1825=fiche_sel),COUNTIF(A$6:A1825,fiche_sel),"")</f>
        <v/>
      </c>
    </row>
    <row r="1826">
      <c r="A1826" s="60" t="n"/>
      <c r="B1826" s="60" t="n"/>
      <c r="C1826" s="71" t="str">
        <f>IF(B1826="","",IFERROR(INDEX(mat_des,MATCH(B1826,mat_ref,0))&amp;"","Matière inconnue"))</f>
        <v/>
      </c>
      <c r="D1826" s="69" t="str">
        <f>IF(B1826="","",IFERROR(INDEX(mat_unit,MATCH(B1826,mat_ref,0))&amp;"",""))</f>
        <v/>
      </c>
      <c r="E1826" s="72" t="n"/>
      <c r="F1826" s="65" t="n"/>
      <c r="G1826" s="68" t="str">
        <f>IF(J1826&lt;&gt;"OK","",IF(F1826="",N(INDEX(mat_loss,MATCH(B1826,mat_ref,0))),F1826))</f>
        <v/>
      </c>
      <c r="H1826" s="66" t="str">
        <f>IF(J1826&lt;&gt;"OK","",INDEX(mat_price,MATCH(B1826,mat_ref,0)))</f>
        <v/>
      </c>
      <c r="I1826" s="66" t="str">
        <f>IF(J1826&lt;&gt;"OK","",E1826*(1+G1826)*H1826)</f>
        <v/>
      </c>
      <c r="J1826" s="69" t="str">
        <f>IF(AND(A1826="",B1826=""),"",IF(A1826="","Produit manquant",IF(COUNTIF(prod_ref,A1826)=0,"Produit inconnu",IF(B1826="","Matière manquante",IF(ISNA(MATCH(B1826,mat_ref,0)),"Matière inconnue",IF(INDEX(mat_check,MATCH(B1826,mat_ref,0))&lt;&gt;"OK","Matière à corriger",IF(OR(NOT(ISNUMBER(E1826)),N(E1826)&lt;=0),"Quantité invalide",IF(AND(F1826&lt;&gt;"",OR(NOT(ISNUMBER(F1826)),N(F1826)&lt;0,N(F1826)&gt;=1)),"Perte entre 0 et 99 %",IF(COUNTIFS(bom_prod,A1826,bom_mat,B1826)&gt;1,"Matière en double","OK")))))))))</f>
        <v/>
      </c>
      <c r="K1826" s="71" t="str">
        <f>IF(AND(fiche_sel&lt;&gt;"",A1826=fiche_sel),COUNTIF(A$6:A1826,fiche_sel),"")</f>
        <v/>
      </c>
    </row>
    <row r="1827">
      <c r="A1827" s="60" t="n"/>
      <c r="B1827" s="60" t="n"/>
      <c r="C1827" s="71" t="str">
        <f>IF(B1827="","",IFERROR(INDEX(mat_des,MATCH(B1827,mat_ref,0))&amp;"","Matière inconnue"))</f>
        <v/>
      </c>
      <c r="D1827" s="69" t="str">
        <f>IF(B1827="","",IFERROR(INDEX(mat_unit,MATCH(B1827,mat_ref,0))&amp;"",""))</f>
        <v/>
      </c>
      <c r="E1827" s="72" t="n"/>
      <c r="F1827" s="65" t="n"/>
      <c r="G1827" s="68" t="str">
        <f>IF(J1827&lt;&gt;"OK","",IF(F1827="",N(INDEX(mat_loss,MATCH(B1827,mat_ref,0))),F1827))</f>
        <v/>
      </c>
      <c r="H1827" s="66" t="str">
        <f>IF(J1827&lt;&gt;"OK","",INDEX(mat_price,MATCH(B1827,mat_ref,0)))</f>
        <v/>
      </c>
      <c r="I1827" s="66" t="str">
        <f>IF(J1827&lt;&gt;"OK","",E1827*(1+G1827)*H1827)</f>
        <v/>
      </c>
      <c r="J1827" s="69" t="str">
        <f>IF(AND(A1827="",B1827=""),"",IF(A1827="","Produit manquant",IF(COUNTIF(prod_ref,A1827)=0,"Produit inconnu",IF(B1827="","Matière manquante",IF(ISNA(MATCH(B1827,mat_ref,0)),"Matière inconnue",IF(INDEX(mat_check,MATCH(B1827,mat_ref,0))&lt;&gt;"OK","Matière à corriger",IF(OR(NOT(ISNUMBER(E1827)),N(E1827)&lt;=0),"Quantité invalide",IF(AND(F1827&lt;&gt;"",OR(NOT(ISNUMBER(F1827)),N(F1827)&lt;0,N(F1827)&gt;=1)),"Perte entre 0 et 99 %",IF(COUNTIFS(bom_prod,A1827,bom_mat,B1827)&gt;1,"Matière en double","OK")))))))))</f>
        <v/>
      </c>
      <c r="K1827" s="71" t="str">
        <f>IF(AND(fiche_sel&lt;&gt;"",A1827=fiche_sel),COUNTIF(A$6:A1827,fiche_sel),"")</f>
        <v/>
      </c>
    </row>
    <row r="1828">
      <c r="A1828" s="60" t="n"/>
      <c r="B1828" s="60" t="n"/>
      <c r="C1828" s="71" t="str">
        <f>IF(B1828="","",IFERROR(INDEX(mat_des,MATCH(B1828,mat_ref,0))&amp;"","Matière inconnue"))</f>
        <v/>
      </c>
      <c r="D1828" s="69" t="str">
        <f>IF(B1828="","",IFERROR(INDEX(mat_unit,MATCH(B1828,mat_ref,0))&amp;"",""))</f>
        <v/>
      </c>
      <c r="E1828" s="72" t="n"/>
      <c r="F1828" s="65" t="n"/>
      <c r="G1828" s="68" t="str">
        <f>IF(J1828&lt;&gt;"OK","",IF(F1828="",N(INDEX(mat_loss,MATCH(B1828,mat_ref,0))),F1828))</f>
        <v/>
      </c>
      <c r="H1828" s="66" t="str">
        <f>IF(J1828&lt;&gt;"OK","",INDEX(mat_price,MATCH(B1828,mat_ref,0)))</f>
        <v/>
      </c>
      <c r="I1828" s="66" t="str">
        <f>IF(J1828&lt;&gt;"OK","",E1828*(1+G1828)*H1828)</f>
        <v/>
      </c>
      <c r="J1828" s="69" t="str">
        <f>IF(AND(A1828="",B1828=""),"",IF(A1828="","Produit manquant",IF(COUNTIF(prod_ref,A1828)=0,"Produit inconnu",IF(B1828="","Matière manquante",IF(ISNA(MATCH(B1828,mat_ref,0)),"Matière inconnue",IF(INDEX(mat_check,MATCH(B1828,mat_ref,0))&lt;&gt;"OK","Matière à corriger",IF(OR(NOT(ISNUMBER(E1828)),N(E1828)&lt;=0),"Quantité invalide",IF(AND(F1828&lt;&gt;"",OR(NOT(ISNUMBER(F1828)),N(F1828)&lt;0,N(F1828)&gt;=1)),"Perte entre 0 et 99 %",IF(COUNTIFS(bom_prod,A1828,bom_mat,B1828)&gt;1,"Matière en double","OK")))))))))</f>
        <v/>
      </c>
      <c r="K1828" s="71" t="str">
        <f>IF(AND(fiche_sel&lt;&gt;"",A1828=fiche_sel),COUNTIF(A$6:A1828,fiche_sel),"")</f>
        <v/>
      </c>
    </row>
    <row r="1829">
      <c r="A1829" s="60" t="n"/>
      <c r="B1829" s="60" t="n"/>
      <c r="C1829" s="71" t="str">
        <f>IF(B1829="","",IFERROR(INDEX(mat_des,MATCH(B1829,mat_ref,0))&amp;"","Matière inconnue"))</f>
        <v/>
      </c>
      <c r="D1829" s="69" t="str">
        <f>IF(B1829="","",IFERROR(INDEX(mat_unit,MATCH(B1829,mat_ref,0))&amp;"",""))</f>
        <v/>
      </c>
      <c r="E1829" s="72" t="n"/>
      <c r="F1829" s="65" t="n"/>
      <c r="G1829" s="68" t="str">
        <f>IF(J1829&lt;&gt;"OK","",IF(F1829="",N(INDEX(mat_loss,MATCH(B1829,mat_ref,0))),F1829))</f>
        <v/>
      </c>
      <c r="H1829" s="66" t="str">
        <f>IF(J1829&lt;&gt;"OK","",INDEX(mat_price,MATCH(B1829,mat_ref,0)))</f>
        <v/>
      </c>
      <c r="I1829" s="66" t="str">
        <f>IF(J1829&lt;&gt;"OK","",E1829*(1+G1829)*H1829)</f>
        <v/>
      </c>
      <c r="J1829" s="69" t="str">
        <f>IF(AND(A1829="",B1829=""),"",IF(A1829="","Produit manquant",IF(COUNTIF(prod_ref,A1829)=0,"Produit inconnu",IF(B1829="","Matière manquante",IF(ISNA(MATCH(B1829,mat_ref,0)),"Matière inconnue",IF(INDEX(mat_check,MATCH(B1829,mat_ref,0))&lt;&gt;"OK","Matière à corriger",IF(OR(NOT(ISNUMBER(E1829)),N(E1829)&lt;=0),"Quantité invalide",IF(AND(F1829&lt;&gt;"",OR(NOT(ISNUMBER(F1829)),N(F1829)&lt;0,N(F1829)&gt;=1)),"Perte entre 0 et 99 %",IF(COUNTIFS(bom_prod,A1829,bom_mat,B1829)&gt;1,"Matière en double","OK")))))))))</f>
        <v/>
      </c>
      <c r="K1829" s="71" t="str">
        <f>IF(AND(fiche_sel&lt;&gt;"",A1829=fiche_sel),COUNTIF(A$6:A1829,fiche_sel),"")</f>
        <v/>
      </c>
    </row>
    <row r="1830">
      <c r="A1830" s="60" t="n"/>
      <c r="B1830" s="60" t="n"/>
      <c r="C1830" s="71" t="str">
        <f>IF(B1830="","",IFERROR(INDEX(mat_des,MATCH(B1830,mat_ref,0))&amp;"","Matière inconnue"))</f>
        <v/>
      </c>
      <c r="D1830" s="69" t="str">
        <f>IF(B1830="","",IFERROR(INDEX(mat_unit,MATCH(B1830,mat_ref,0))&amp;"",""))</f>
        <v/>
      </c>
      <c r="E1830" s="72" t="n"/>
      <c r="F1830" s="65" t="n"/>
      <c r="G1830" s="68" t="str">
        <f>IF(J1830&lt;&gt;"OK","",IF(F1830="",N(INDEX(mat_loss,MATCH(B1830,mat_ref,0))),F1830))</f>
        <v/>
      </c>
      <c r="H1830" s="66" t="str">
        <f>IF(J1830&lt;&gt;"OK","",INDEX(mat_price,MATCH(B1830,mat_ref,0)))</f>
        <v/>
      </c>
      <c r="I1830" s="66" t="str">
        <f>IF(J1830&lt;&gt;"OK","",E1830*(1+G1830)*H1830)</f>
        <v/>
      </c>
      <c r="J1830" s="69" t="str">
        <f>IF(AND(A1830="",B1830=""),"",IF(A1830="","Produit manquant",IF(COUNTIF(prod_ref,A1830)=0,"Produit inconnu",IF(B1830="","Matière manquante",IF(ISNA(MATCH(B1830,mat_ref,0)),"Matière inconnue",IF(INDEX(mat_check,MATCH(B1830,mat_ref,0))&lt;&gt;"OK","Matière à corriger",IF(OR(NOT(ISNUMBER(E1830)),N(E1830)&lt;=0),"Quantité invalide",IF(AND(F1830&lt;&gt;"",OR(NOT(ISNUMBER(F1830)),N(F1830)&lt;0,N(F1830)&gt;=1)),"Perte entre 0 et 99 %",IF(COUNTIFS(bom_prod,A1830,bom_mat,B1830)&gt;1,"Matière en double","OK")))))))))</f>
        <v/>
      </c>
      <c r="K1830" s="71" t="str">
        <f>IF(AND(fiche_sel&lt;&gt;"",A1830=fiche_sel),COUNTIF(A$6:A1830,fiche_sel),"")</f>
        <v/>
      </c>
    </row>
    <row r="1831">
      <c r="A1831" s="60" t="n"/>
      <c r="B1831" s="60" t="n"/>
      <c r="C1831" s="71" t="str">
        <f>IF(B1831="","",IFERROR(INDEX(mat_des,MATCH(B1831,mat_ref,0))&amp;"","Matière inconnue"))</f>
        <v/>
      </c>
      <c r="D1831" s="69" t="str">
        <f>IF(B1831="","",IFERROR(INDEX(mat_unit,MATCH(B1831,mat_ref,0))&amp;"",""))</f>
        <v/>
      </c>
      <c r="E1831" s="72" t="n"/>
      <c r="F1831" s="65" t="n"/>
      <c r="G1831" s="68" t="str">
        <f>IF(J1831&lt;&gt;"OK","",IF(F1831="",N(INDEX(mat_loss,MATCH(B1831,mat_ref,0))),F1831))</f>
        <v/>
      </c>
      <c r="H1831" s="66" t="str">
        <f>IF(J1831&lt;&gt;"OK","",INDEX(mat_price,MATCH(B1831,mat_ref,0)))</f>
        <v/>
      </c>
      <c r="I1831" s="66" t="str">
        <f>IF(J1831&lt;&gt;"OK","",E1831*(1+G1831)*H1831)</f>
        <v/>
      </c>
      <c r="J1831" s="69" t="str">
        <f>IF(AND(A1831="",B1831=""),"",IF(A1831="","Produit manquant",IF(COUNTIF(prod_ref,A1831)=0,"Produit inconnu",IF(B1831="","Matière manquante",IF(ISNA(MATCH(B1831,mat_ref,0)),"Matière inconnue",IF(INDEX(mat_check,MATCH(B1831,mat_ref,0))&lt;&gt;"OK","Matière à corriger",IF(OR(NOT(ISNUMBER(E1831)),N(E1831)&lt;=0),"Quantité invalide",IF(AND(F1831&lt;&gt;"",OR(NOT(ISNUMBER(F1831)),N(F1831)&lt;0,N(F1831)&gt;=1)),"Perte entre 0 et 99 %",IF(COUNTIFS(bom_prod,A1831,bom_mat,B1831)&gt;1,"Matière en double","OK")))))))))</f>
        <v/>
      </c>
      <c r="K1831" s="71" t="str">
        <f>IF(AND(fiche_sel&lt;&gt;"",A1831=fiche_sel),COUNTIF(A$6:A1831,fiche_sel),"")</f>
        <v/>
      </c>
    </row>
    <row r="1832">
      <c r="A1832" s="60" t="n"/>
      <c r="B1832" s="60" t="n"/>
      <c r="C1832" s="71" t="str">
        <f>IF(B1832="","",IFERROR(INDEX(mat_des,MATCH(B1832,mat_ref,0))&amp;"","Matière inconnue"))</f>
        <v/>
      </c>
      <c r="D1832" s="69" t="str">
        <f>IF(B1832="","",IFERROR(INDEX(mat_unit,MATCH(B1832,mat_ref,0))&amp;"",""))</f>
        <v/>
      </c>
      <c r="E1832" s="72" t="n"/>
      <c r="F1832" s="65" t="n"/>
      <c r="G1832" s="68" t="str">
        <f>IF(J1832&lt;&gt;"OK","",IF(F1832="",N(INDEX(mat_loss,MATCH(B1832,mat_ref,0))),F1832))</f>
        <v/>
      </c>
      <c r="H1832" s="66" t="str">
        <f>IF(J1832&lt;&gt;"OK","",INDEX(mat_price,MATCH(B1832,mat_ref,0)))</f>
        <v/>
      </c>
      <c r="I1832" s="66" t="str">
        <f>IF(J1832&lt;&gt;"OK","",E1832*(1+G1832)*H1832)</f>
        <v/>
      </c>
      <c r="J1832" s="69" t="str">
        <f>IF(AND(A1832="",B1832=""),"",IF(A1832="","Produit manquant",IF(COUNTIF(prod_ref,A1832)=0,"Produit inconnu",IF(B1832="","Matière manquante",IF(ISNA(MATCH(B1832,mat_ref,0)),"Matière inconnue",IF(INDEX(mat_check,MATCH(B1832,mat_ref,0))&lt;&gt;"OK","Matière à corriger",IF(OR(NOT(ISNUMBER(E1832)),N(E1832)&lt;=0),"Quantité invalide",IF(AND(F1832&lt;&gt;"",OR(NOT(ISNUMBER(F1832)),N(F1832)&lt;0,N(F1832)&gt;=1)),"Perte entre 0 et 99 %",IF(COUNTIFS(bom_prod,A1832,bom_mat,B1832)&gt;1,"Matière en double","OK")))))))))</f>
        <v/>
      </c>
      <c r="K1832" s="71" t="str">
        <f>IF(AND(fiche_sel&lt;&gt;"",A1832=fiche_sel),COUNTIF(A$6:A1832,fiche_sel),"")</f>
        <v/>
      </c>
    </row>
    <row r="1833">
      <c r="A1833" s="60" t="n"/>
      <c r="B1833" s="60" t="n"/>
      <c r="C1833" s="71" t="str">
        <f>IF(B1833="","",IFERROR(INDEX(mat_des,MATCH(B1833,mat_ref,0))&amp;"","Matière inconnue"))</f>
        <v/>
      </c>
      <c r="D1833" s="69" t="str">
        <f>IF(B1833="","",IFERROR(INDEX(mat_unit,MATCH(B1833,mat_ref,0))&amp;"",""))</f>
        <v/>
      </c>
      <c r="E1833" s="72" t="n"/>
      <c r="F1833" s="65" t="n"/>
      <c r="G1833" s="68" t="str">
        <f>IF(J1833&lt;&gt;"OK","",IF(F1833="",N(INDEX(mat_loss,MATCH(B1833,mat_ref,0))),F1833))</f>
        <v/>
      </c>
      <c r="H1833" s="66" t="str">
        <f>IF(J1833&lt;&gt;"OK","",INDEX(mat_price,MATCH(B1833,mat_ref,0)))</f>
        <v/>
      </c>
      <c r="I1833" s="66" t="str">
        <f>IF(J1833&lt;&gt;"OK","",E1833*(1+G1833)*H1833)</f>
        <v/>
      </c>
      <c r="J1833" s="69" t="str">
        <f>IF(AND(A1833="",B1833=""),"",IF(A1833="","Produit manquant",IF(COUNTIF(prod_ref,A1833)=0,"Produit inconnu",IF(B1833="","Matière manquante",IF(ISNA(MATCH(B1833,mat_ref,0)),"Matière inconnue",IF(INDEX(mat_check,MATCH(B1833,mat_ref,0))&lt;&gt;"OK","Matière à corriger",IF(OR(NOT(ISNUMBER(E1833)),N(E1833)&lt;=0),"Quantité invalide",IF(AND(F1833&lt;&gt;"",OR(NOT(ISNUMBER(F1833)),N(F1833)&lt;0,N(F1833)&gt;=1)),"Perte entre 0 et 99 %",IF(COUNTIFS(bom_prod,A1833,bom_mat,B1833)&gt;1,"Matière en double","OK")))))))))</f>
        <v/>
      </c>
      <c r="K1833" s="71" t="str">
        <f>IF(AND(fiche_sel&lt;&gt;"",A1833=fiche_sel),COUNTIF(A$6:A1833,fiche_sel),"")</f>
        <v/>
      </c>
    </row>
    <row r="1834">
      <c r="A1834" s="60" t="n"/>
      <c r="B1834" s="60" t="n"/>
      <c r="C1834" s="71" t="str">
        <f>IF(B1834="","",IFERROR(INDEX(mat_des,MATCH(B1834,mat_ref,0))&amp;"","Matière inconnue"))</f>
        <v/>
      </c>
      <c r="D1834" s="69" t="str">
        <f>IF(B1834="","",IFERROR(INDEX(mat_unit,MATCH(B1834,mat_ref,0))&amp;"",""))</f>
        <v/>
      </c>
      <c r="E1834" s="72" t="n"/>
      <c r="F1834" s="65" t="n"/>
      <c r="G1834" s="68" t="str">
        <f>IF(J1834&lt;&gt;"OK","",IF(F1834="",N(INDEX(mat_loss,MATCH(B1834,mat_ref,0))),F1834))</f>
        <v/>
      </c>
      <c r="H1834" s="66" t="str">
        <f>IF(J1834&lt;&gt;"OK","",INDEX(mat_price,MATCH(B1834,mat_ref,0)))</f>
        <v/>
      </c>
      <c r="I1834" s="66" t="str">
        <f>IF(J1834&lt;&gt;"OK","",E1834*(1+G1834)*H1834)</f>
        <v/>
      </c>
      <c r="J1834" s="69" t="str">
        <f>IF(AND(A1834="",B1834=""),"",IF(A1834="","Produit manquant",IF(COUNTIF(prod_ref,A1834)=0,"Produit inconnu",IF(B1834="","Matière manquante",IF(ISNA(MATCH(B1834,mat_ref,0)),"Matière inconnue",IF(INDEX(mat_check,MATCH(B1834,mat_ref,0))&lt;&gt;"OK","Matière à corriger",IF(OR(NOT(ISNUMBER(E1834)),N(E1834)&lt;=0),"Quantité invalide",IF(AND(F1834&lt;&gt;"",OR(NOT(ISNUMBER(F1834)),N(F1834)&lt;0,N(F1834)&gt;=1)),"Perte entre 0 et 99 %",IF(COUNTIFS(bom_prod,A1834,bom_mat,B1834)&gt;1,"Matière en double","OK")))))))))</f>
        <v/>
      </c>
      <c r="K1834" s="71" t="str">
        <f>IF(AND(fiche_sel&lt;&gt;"",A1834=fiche_sel),COUNTIF(A$6:A1834,fiche_sel),"")</f>
        <v/>
      </c>
    </row>
    <row r="1835">
      <c r="A1835" s="60" t="n"/>
      <c r="B1835" s="60" t="n"/>
      <c r="C1835" s="71" t="str">
        <f>IF(B1835="","",IFERROR(INDEX(mat_des,MATCH(B1835,mat_ref,0))&amp;"","Matière inconnue"))</f>
        <v/>
      </c>
      <c r="D1835" s="69" t="str">
        <f>IF(B1835="","",IFERROR(INDEX(mat_unit,MATCH(B1835,mat_ref,0))&amp;"",""))</f>
        <v/>
      </c>
      <c r="E1835" s="72" t="n"/>
      <c r="F1835" s="65" t="n"/>
      <c r="G1835" s="68" t="str">
        <f>IF(J1835&lt;&gt;"OK","",IF(F1835="",N(INDEX(mat_loss,MATCH(B1835,mat_ref,0))),F1835))</f>
        <v/>
      </c>
      <c r="H1835" s="66" t="str">
        <f>IF(J1835&lt;&gt;"OK","",INDEX(mat_price,MATCH(B1835,mat_ref,0)))</f>
        <v/>
      </c>
      <c r="I1835" s="66" t="str">
        <f>IF(J1835&lt;&gt;"OK","",E1835*(1+G1835)*H1835)</f>
        <v/>
      </c>
      <c r="J1835" s="69" t="str">
        <f>IF(AND(A1835="",B1835=""),"",IF(A1835="","Produit manquant",IF(COUNTIF(prod_ref,A1835)=0,"Produit inconnu",IF(B1835="","Matière manquante",IF(ISNA(MATCH(B1835,mat_ref,0)),"Matière inconnue",IF(INDEX(mat_check,MATCH(B1835,mat_ref,0))&lt;&gt;"OK","Matière à corriger",IF(OR(NOT(ISNUMBER(E1835)),N(E1835)&lt;=0),"Quantité invalide",IF(AND(F1835&lt;&gt;"",OR(NOT(ISNUMBER(F1835)),N(F1835)&lt;0,N(F1835)&gt;=1)),"Perte entre 0 et 99 %",IF(COUNTIFS(bom_prod,A1835,bom_mat,B1835)&gt;1,"Matière en double","OK")))))))))</f>
        <v/>
      </c>
      <c r="K1835" s="71" t="str">
        <f>IF(AND(fiche_sel&lt;&gt;"",A1835=fiche_sel),COUNTIF(A$6:A1835,fiche_sel),"")</f>
        <v/>
      </c>
    </row>
    <row r="1836">
      <c r="A1836" s="60" t="n"/>
      <c r="B1836" s="60" t="n"/>
      <c r="C1836" s="71" t="str">
        <f>IF(B1836="","",IFERROR(INDEX(mat_des,MATCH(B1836,mat_ref,0))&amp;"","Matière inconnue"))</f>
        <v/>
      </c>
      <c r="D1836" s="69" t="str">
        <f>IF(B1836="","",IFERROR(INDEX(mat_unit,MATCH(B1836,mat_ref,0))&amp;"",""))</f>
        <v/>
      </c>
      <c r="E1836" s="72" t="n"/>
      <c r="F1836" s="65" t="n"/>
      <c r="G1836" s="68" t="str">
        <f>IF(J1836&lt;&gt;"OK","",IF(F1836="",N(INDEX(mat_loss,MATCH(B1836,mat_ref,0))),F1836))</f>
        <v/>
      </c>
      <c r="H1836" s="66" t="str">
        <f>IF(J1836&lt;&gt;"OK","",INDEX(mat_price,MATCH(B1836,mat_ref,0)))</f>
        <v/>
      </c>
      <c r="I1836" s="66" t="str">
        <f>IF(J1836&lt;&gt;"OK","",E1836*(1+G1836)*H1836)</f>
        <v/>
      </c>
      <c r="J1836" s="69" t="str">
        <f>IF(AND(A1836="",B1836=""),"",IF(A1836="","Produit manquant",IF(COUNTIF(prod_ref,A1836)=0,"Produit inconnu",IF(B1836="","Matière manquante",IF(ISNA(MATCH(B1836,mat_ref,0)),"Matière inconnue",IF(INDEX(mat_check,MATCH(B1836,mat_ref,0))&lt;&gt;"OK","Matière à corriger",IF(OR(NOT(ISNUMBER(E1836)),N(E1836)&lt;=0),"Quantité invalide",IF(AND(F1836&lt;&gt;"",OR(NOT(ISNUMBER(F1836)),N(F1836)&lt;0,N(F1836)&gt;=1)),"Perte entre 0 et 99 %",IF(COUNTIFS(bom_prod,A1836,bom_mat,B1836)&gt;1,"Matière en double","OK")))))))))</f>
        <v/>
      </c>
      <c r="K1836" s="71" t="str">
        <f>IF(AND(fiche_sel&lt;&gt;"",A1836=fiche_sel),COUNTIF(A$6:A1836,fiche_sel),"")</f>
        <v/>
      </c>
    </row>
    <row r="1837">
      <c r="A1837" s="60" t="n"/>
      <c r="B1837" s="60" t="n"/>
      <c r="C1837" s="71" t="str">
        <f>IF(B1837="","",IFERROR(INDEX(mat_des,MATCH(B1837,mat_ref,0))&amp;"","Matière inconnue"))</f>
        <v/>
      </c>
      <c r="D1837" s="69" t="str">
        <f>IF(B1837="","",IFERROR(INDEX(mat_unit,MATCH(B1837,mat_ref,0))&amp;"",""))</f>
        <v/>
      </c>
      <c r="E1837" s="72" t="n"/>
      <c r="F1837" s="65" t="n"/>
      <c r="G1837" s="68" t="str">
        <f>IF(J1837&lt;&gt;"OK","",IF(F1837="",N(INDEX(mat_loss,MATCH(B1837,mat_ref,0))),F1837))</f>
        <v/>
      </c>
      <c r="H1837" s="66" t="str">
        <f>IF(J1837&lt;&gt;"OK","",INDEX(mat_price,MATCH(B1837,mat_ref,0)))</f>
        <v/>
      </c>
      <c r="I1837" s="66" t="str">
        <f>IF(J1837&lt;&gt;"OK","",E1837*(1+G1837)*H1837)</f>
        <v/>
      </c>
      <c r="J1837" s="69" t="str">
        <f>IF(AND(A1837="",B1837=""),"",IF(A1837="","Produit manquant",IF(COUNTIF(prod_ref,A1837)=0,"Produit inconnu",IF(B1837="","Matière manquante",IF(ISNA(MATCH(B1837,mat_ref,0)),"Matière inconnue",IF(INDEX(mat_check,MATCH(B1837,mat_ref,0))&lt;&gt;"OK","Matière à corriger",IF(OR(NOT(ISNUMBER(E1837)),N(E1837)&lt;=0),"Quantité invalide",IF(AND(F1837&lt;&gt;"",OR(NOT(ISNUMBER(F1837)),N(F1837)&lt;0,N(F1837)&gt;=1)),"Perte entre 0 et 99 %",IF(COUNTIFS(bom_prod,A1837,bom_mat,B1837)&gt;1,"Matière en double","OK")))))))))</f>
        <v/>
      </c>
      <c r="K1837" s="71" t="str">
        <f>IF(AND(fiche_sel&lt;&gt;"",A1837=fiche_sel),COUNTIF(A$6:A1837,fiche_sel),"")</f>
        <v/>
      </c>
    </row>
    <row r="1838">
      <c r="A1838" s="60" t="n"/>
      <c r="B1838" s="60" t="n"/>
      <c r="C1838" s="71" t="str">
        <f>IF(B1838="","",IFERROR(INDEX(mat_des,MATCH(B1838,mat_ref,0))&amp;"","Matière inconnue"))</f>
        <v/>
      </c>
      <c r="D1838" s="69" t="str">
        <f>IF(B1838="","",IFERROR(INDEX(mat_unit,MATCH(B1838,mat_ref,0))&amp;"",""))</f>
        <v/>
      </c>
      <c r="E1838" s="72" t="n"/>
      <c r="F1838" s="65" t="n"/>
      <c r="G1838" s="68" t="str">
        <f>IF(J1838&lt;&gt;"OK","",IF(F1838="",N(INDEX(mat_loss,MATCH(B1838,mat_ref,0))),F1838))</f>
        <v/>
      </c>
      <c r="H1838" s="66" t="str">
        <f>IF(J1838&lt;&gt;"OK","",INDEX(mat_price,MATCH(B1838,mat_ref,0)))</f>
        <v/>
      </c>
      <c r="I1838" s="66" t="str">
        <f>IF(J1838&lt;&gt;"OK","",E1838*(1+G1838)*H1838)</f>
        <v/>
      </c>
      <c r="J1838" s="69" t="str">
        <f>IF(AND(A1838="",B1838=""),"",IF(A1838="","Produit manquant",IF(COUNTIF(prod_ref,A1838)=0,"Produit inconnu",IF(B1838="","Matière manquante",IF(ISNA(MATCH(B1838,mat_ref,0)),"Matière inconnue",IF(INDEX(mat_check,MATCH(B1838,mat_ref,0))&lt;&gt;"OK","Matière à corriger",IF(OR(NOT(ISNUMBER(E1838)),N(E1838)&lt;=0),"Quantité invalide",IF(AND(F1838&lt;&gt;"",OR(NOT(ISNUMBER(F1838)),N(F1838)&lt;0,N(F1838)&gt;=1)),"Perte entre 0 et 99 %",IF(COUNTIFS(bom_prod,A1838,bom_mat,B1838)&gt;1,"Matière en double","OK")))))))))</f>
        <v/>
      </c>
      <c r="K1838" s="71" t="str">
        <f>IF(AND(fiche_sel&lt;&gt;"",A1838=fiche_sel),COUNTIF(A$6:A1838,fiche_sel),"")</f>
        <v/>
      </c>
    </row>
    <row r="1839">
      <c r="A1839" s="60" t="n"/>
      <c r="B1839" s="60" t="n"/>
      <c r="C1839" s="71" t="str">
        <f>IF(B1839="","",IFERROR(INDEX(mat_des,MATCH(B1839,mat_ref,0))&amp;"","Matière inconnue"))</f>
        <v/>
      </c>
      <c r="D1839" s="69" t="str">
        <f>IF(B1839="","",IFERROR(INDEX(mat_unit,MATCH(B1839,mat_ref,0))&amp;"",""))</f>
        <v/>
      </c>
      <c r="E1839" s="72" t="n"/>
      <c r="F1839" s="65" t="n"/>
      <c r="G1839" s="68" t="str">
        <f>IF(J1839&lt;&gt;"OK","",IF(F1839="",N(INDEX(mat_loss,MATCH(B1839,mat_ref,0))),F1839))</f>
        <v/>
      </c>
      <c r="H1839" s="66" t="str">
        <f>IF(J1839&lt;&gt;"OK","",INDEX(mat_price,MATCH(B1839,mat_ref,0)))</f>
        <v/>
      </c>
      <c r="I1839" s="66" t="str">
        <f>IF(J1839&lt;&gt;"OK","",E1839*(1+G1839)*H1839)</f>
        <v/>
      </c>
      <c r="J1839" s="69" t="str">
        <f>IF(AND(A1839="",B1839=""),"",IF(A1839="","Produit manquant",IF(COUNTIF(prod_ref,A1839)=0,"Produit inconnu",IF(B1839="","Matière manquante",IF(ISNA(MATCH(B1839,mat_ref,0)),"Matière inconnue",IF(INDEX(mat_check,MATCH(B1839,mat_ref,0))&lt;&gt;"OK","Matière à corriger",IF(OR(NOT(ISNUMBER(E1839)),N(E1839)&lt;=0),"Quantité invalide",IF(AND(F1839&lt;&gt;"",OR(NOT(ISNUMBER(F1839)),N(F1839)&lt;0,N(F1839)&gt;=1)),"Perte entre 0 et 99 %",IF(COUNTIFS(bom_prod,A1839,bom_mat,B1839)&gt;1,"Matière en double","OK")))))))))</f>
        <v/>
      </c>
      <c r="K1839" s="71" t="str">
        <f>IF(AND(fiche_sel&lt;&gt;"",A1839=fiche_sel),COUNTIF(A$6:A1839,fiche_sel),"")</f>
        <v/>
      </c>
    </row>
    <row r="1840">
      <c r="A1840" s="60" t="n"/>
      <c r="B1840" s="60" t="n"/>
      <c r="C1840" s="71" t="str">
        <f>IF(B1840="","",IFERROR(INDEX(mat_des,MATCH(B1840,mat_ref,0))&amp;"","Matière inconnue"))</f>
        <v/>
      </c>
      <c r="D1840" s="69" t="str">
        <f>IF(B1840="","",IFERROR(INDEX(mat_unit,MATCH(B1840,mat_ref,0))&amp;"",""))</f>
        <v/>
      </c>
      <c r="E1840" s="72" t="n"/>
      <c r="F1840" s="65" t="n"/>
      <c r="G1840" s="68" t="str">
        <f>IF(J1840&lt;&gt;"OK","",IF(F1840="",N(INDEX(mat_loss,MATCH(B1840,mat_ref,0))),F1840))</f>
        <v/>
      </c>
      <c r="H1840" s="66" t="str">
        <f>IF(J1840&lt;&gt;"OK","",INDEX(mat_price,MATCH(B1840,mat_ref,0)))</f>
        <v/>
      </c>
      <c r="I1840" s="66" t="str">
        <f>IF(J1840&lt;&gt;"OK","",E1840*(1+G1840)*H1840)</f>
        <v/>
      </c>
      <c r="J1840" s="69" t="str">
        <f>IF(AND(A1840="",B1840=""),"",IF(A1840="","Produit manquant",IF(COUNTIF(prod_ref,A1840)=0,"Produit inconnu",IF(B1840="","Matière manquante",IF(ISNA(MATCH(B1840,mat_ref,0)),"Matière inconnue",IF(INDEX(mat_check,MATCH(B1840,mat_ref,0))&lt;&gt;"OK","Matière à corriger",IF(OR(NOT(ISNUMBER(E1840)),N(E1840)&lt;=0),"Quantité invalide",IF(AND(F1840&lt;&gt;"",OR(NOT(ISNUMBER(F1840)),N(F1840)&lt;0,N(F1840)&gt;=1)),"Perte entre 0 et 99 %",IF(COUNTIFS(bom_prod,A1840,bom_mat,B1840)&gt;1,"Matière en double","OK")))))))))</f>
        <v/>
      </c>
      <c r="K1840" s="71" t="str">
        <f>IF(AND(fiche_sel&lt;&gt;"",A1840=fiche_sel),COUNTIF(A$6:A1840,fiche_sel),"")</f>
        <v/>
      </c>
    </row>
    <row r="1841">
      <c r="A1841" s="60" t="n"/>
      <c r="B1841" s="60" t="n"/>
      <c r="C1841" s="71" t="str">
        <f>IF(B1841="","",IFERROR(INDEX(mat_des,MATCH(B1841,mat_ref,0))&amp;"","Matière inconnue"))</f>
        <v/>
      </c>
      <c r="D1841" s="69" t="str">
        <f>IF(B1841="","",IFERROR(INDEX(mat_unit,MATCH(B1841,mat_ref,0))&amp;"",""))</f>
        <v/>
      </c>
      <c r="E1841" s="72" t="n"/>
      <c r="F1841" s="65" t="n"/>
      <c r="G1841" s="68" t="str">
        <f>IF(J1841&lt;&gt;"OK","",IF(F1841="",N(INDEX(mat_loss,MATCH(B1841,mat_ref,0))),F1841))</f>
        <v/>
      </c>
      <c r="H1841" s="66" t="str">
        <f>IF(J1841&lt;&gt;"OK","",INDEX(mat_price,MATCH(B1841,mat_ref,0)))</f>
        <v/>
      </c>
      <c r="I1841" s="66" t="str">
        <f>IF(J1841&lt;&gt;"OK","",E1841*(1+G1841)*H1841)</f>
        <v/>
      </c>
      <c r="J1841" s="69" t="str">
        <f>IF(AND(A1841="",B1841=""),"",IF(A1841="","Produit manquant",IF(COUNTIF(prod_ref,A1841)=0,"Produit inconnu",IF(B1841="","Matière manquante",IF(ISNA(MATCH(B1841,mat_ref,0)),"Matière inconnue",IF(INDEX(mat_check,MATCH(B1841,mat_ref,0))&lt;&gt;"OK","Matière à corriger",IF(OR(NOT(ISNUMBER(E1841)),N(E1841)&lt;=0),"Quantité invalide",IF(AND(F1841&lt;&gt;"",OR(NOT(ISNUMBER(F1841)),N(F1841)&lt;0,N(F1841)&gt;=1)),"Perte entre 0 et 99 %",IF(COUNTIFS(bom_prod,A1841,bom_mat,B1841)&gt;1,"Matière en double","OK")))))))))</f>
        <v/>
      </c>
      <c r="K1841" s="71" t="str">
        <f>IF(AND(fiche_sel&lt;&gt;"",A1841=fiche_sel),COUNTIF(A$6:A1841,fiche_sel),"")</f>
        <v/>
      </c>
    </row>
    <row r="1842">
      <c r="A1842" s="60" t="n"/>
      <c r="B1842" s="60" t="n"/>
      <c r="C1842" s="71" t="str">
        <f>IF(B1842="","",IFERROR(INDEX(mat_des,MATCH(B1842,mat_ref,0))&amp;"","Matière inconnue"))</f>
        <v/>
      </c>
      <c r="D1842" s="69" t="str">
        <f>IF(B1842="","",IFERROR(INDEX(mat_unit,MATCH(B1842,mat_ref,0))&amp;"",""))</f>
        <v/>
      </c>
      <c r="E1842" s="72" t="n"/>
      <c r="F1842" s="65" t="n"/>
      <c r="G1842" s="68" t="str">
        <f>IF(J1842&lt;&gt;"OK","",IF(F1842="",N(INDEX(mat_loss,MATCH(B1842,mat_ref,0))),F1842))</f>
        <v/>
      </c>
      <c r="H1842" s="66" t="str">
        <f>IF(J1842&lt;&gt;"OK","",INDEX(mat_price,MATCH(B1842,mat_ref,0)))</f>
        <v/>
      </c>
      <c r="I1842" s="66" t="str">
        <f>IF(J1842&lt;&gt;"OK","",E1842*(1+G1842)*H1842)</f>
        <v/>
      </c>
      <c r="J1842" s="69" t="str">
        <f>IF(AND(A1842="",B1842=""),"",IF(A1842="","Produit manquant",IF(COUNTIF(prod_ref,A1842)=0,"Produit inconnu",IF(B1842="","Matière manquante",IF(ISNA(MATCH(B1842,mat_ref,0)),"Matière inconnue",IF(INDEX(mat_check,MATCH(B1842,mat_ref,0))&lt;&gt;"OK","Matière à corriger",IF(OR(NOT(ISNUMBER(E1842)),N(E1842)&lt;=0),"Quantité invalide",IF(AND(F1842&lt;&gt;"",OR(NOT(ISNUMBER(F1842)),N(F1842)&lt;0,N(F1842)&gt;=1)),"Perte entre 0 et 99 %",IF(COUNTIFS(bom_prod,A1842,bom_mat,B1842)&gt;1,"Matière en double","OK")))))))))</f>
        <v/>
      </c>
      <c r="K1842" s="71" t="str">
        <f>IF(AND(fiche_sel&lt;&gt;"",A1842=fiche_sel),COUNTIF(A$6:A1842,fiche_sel),"")</f>
        <v/>
      </c>
    </row>
    <row r="1843">
      <c r="A1843" s="60" t="n"/>
      <c r="B1843" s="60" t="n"/>
      <c r="C1843" s="71" t="str">
        <f>IF(B1843="","",IFERROR(INDEX(mat_des,MATCH(B1843,mat_ref,0))&amp;"","Matière inconnue"))</f>
        <v/>
      </c>
      <c r="D1843" s="69" t="str">
        <f>IF(B1843="","",IFERROR(INDEX(mat_unit,MATCH(B1843,mat_ref,0))&amp;"",""))</f>
        <v/>
      </c>
      <c r="E1843" s="72" t="n"/>
      <c r="F1843" s="65" t="n"/>
      <c r="G1843" s="68" t="str">
        <f>IF(J1843&lt;&gt;"OK","",IF(F1843="",N(INDEX(mat_loss,MATCH(B1843,mat_ref,0))),F1843))</f>
        <v/>
      </c>
      <c r="H1843" s="66" t="str">
        <f>IF(J1843&lt;&gt;"OK","",INDEX(mat_price,MATCH(B1843,mat_ref,0)))</f>
        <v/>
      </c>
      <c r="I1843" s="66" t="str">
        <f>IF(J1843&lt;&gt;"OK","",E1843*(1+G1843)*H1843)</f>
        <v/>
      </c>
      <c r="J1843" s="69" t="str">
        <f>IF(AND(A1843="",B1843=""),"",IF(A1843="","Produit manquant",IF(COUNTIF(prod_ref,A1843)=0,"Produit inconnu",IF(B1843="","Matière manquante",IF(ISNA(MATCH(B1843,mat_ref,0)),"Matière inconnue",IF(INDEX(mat_check,MATCH(B1843,mat_ref,0))&lt;&gt;"OK","Matière à corriger",IF(OR(NOT(ISNUMBER(E1843)),N(E1843)&lt;=0),"Quantité invalide",IF(AND(F1843&lt;&gt;"",OR(NOT(ISNUMBER(F1843)),N(F1843)&lt;0,N(F1843)&gt;=1)),"Perte entre 0 et 99 %",IF(COUNTIFS(bom_prod,A1843,bom_mat,B1843)&gt;1,"Matière en double","OK")))))))))</f>
        <v/>
      </c>
      <c r="K1843" s="71" t="str">
        <f>IF(AND(fiche_sel&lt;&gt;"",A1843=fiche_sel),COUNTIF(A$6:A1843,fiche_sel),"")</f>
        <v/>
      </c>
    </row>
    <row r="1844">
      <c r="A1844" s="60" t="n"/>
      <c r="B1844" s="60" t="n"/>
      <c r="C1844" s="71" t="str">
        <f>IF(B1844="","",IFERROR(INDEX(mat_des,MATCH(B1844,mat_ref,0))&amp;"","Matière inconnue"))</f>
        <v/>
      </c>
      <c r="D1844" s="69" t="str">
        <f>IF(B1844="","",IFERROR(INDEX(mat_unit,MATCH(B1844,mat_ref,0))&amp;"",""))</f>
        <v/>
      </c>
      <c r="E1844" s="72" t="n"/>
      <c r="F1844" s="65" t="n"/>
      <c r="G1844" s="68" t="str">
        <f>IF(J1844&lt;&gt;"OK","",IF(F1844="",N(INDEX(mat_loss,MATCH(B1844,mat_ref,0))),F1844))</f>
        <v/>
      </c>
      <c r="H1844" s="66" t="str">
        <f>IF(J1844&lt;&gt;"OK","",INDEX(mat_price,MATCH(B1844,mat_ref,0)))</f>
        <v/>
      </c>
      <c r="I1844" s="66" t="str">
        <f>IF(J1844&lt;&gt;"OK","",E1844*(1+G1844)*H1844)</f>
        <v/>
      </c>
      <c r="J1844" s="69" t="str">
        <f>IF(AND(A1844="",B1844=""),"",IF(A1844="","Produit manquant",IF(COUNTIF(prod_ref,A1844)=0,"Produit inconnu",IF(B1844="","Matière manquante",IF(ISNA(MATCH(B1844,mat_ref,0)),"Matière inconnue",IF(INDEX(mat_check,MATCH(B1844,mat_ref,0))&lt;&gt;"OK","Matière à corriger",IF(OR(NOT(ISNUMBER(E1844)),N(E1844)&lt;=0),"Quantité invalide",IF(AND(F1844&lt;&gt;"",OR(NOT(ISNUMBER(F1844)),N(F1844)&lt;0,N(F1844)&gt;=1)),"Perte entre 0 et 99 %",IF(COUNTIFS(bom_prod,A1844,bom_mat,B1844)&gt;1,"Matière en double","OK")))))))))</f>
        <v/>
      </c>
      <c r="K1844" s="71" t="str">
        <f>IF(AND(fiche_sel&lt;&gt;"",A1844=fiche_sel),COUNTIF(A$6:A1844,fiche_sel),"")</f>
        <v/>
      </c>
    </row>
    <row r="1845">
      <c r="A1845" s="60" t="n"/>
      <c r="B1845" s="60" t="n"/>
      <c r="C1845" s="71" t="str">
        <f>IF(B1845="","",IFERROR(INDEX(mat_des,MATCH(B1845,mat_ref,0))&amp;"","Matière inconnue"))</f>
        <v/>
      </c>
      <c r="D1845" s="69" t="str">
        <f>IF(B1845="","",IFERROR(INDEX(mat_unit,MATCH(B1845,mat_ref,0))&amp;"",""))</f>
        <v/>
      </c>
      <c r="E1845" s="72" t="n"/>
      <c r="F1845" s="65" t="n"/>
      <c r="G1845" s="68" t="str">
        <f>IF(J1845&lt;&gt;"OK","",IF(F1845="",N(INDEX(mat_loss,MATCH(B1845,mat_ref,0))),F1845))</f>
        <v/>
      </c>
      <c r="H1845" s="66" t="str">
        <f>IF(J1845&lt;&gt;"OK","",INDEX(mat_price,MATCH(B1845,mat_ref,0)))</f>
        <v/>
      </c>
      <c r="I1845" s="66" t="str">
        <f>IF(J1845&lt;&gt;"OK","",E1845*(1+G1845)*H1845)</f>
        <v/>
      </c>
      <c r="J1845" s="69" t="str">
        <f>IF(AND(A1845="",B1845=""),"",IF(A1845="","Produit manquant",IF(COUNTIF(prod_ref,A1845)=0,"Produit inconnu",IF(B1845="","Matière manquante",IF(ISNA(MATCH(B1845,mat_ref,0)),"Matière inconnue",IF(INDEX(mat_check,MATCH(B1845,mat_ref,0))&lt;&gt;"OK","Matière à corriger",IF(OR(NOT(ISNUMBER(E1845)),N(E1845)&lt;=0),"Quantité invalide",IF(AND(F1845&lt;&gt;"",OR(NOT(ISNUMBER(F1845)),N(F1845)&lt;0,N(F1845)&gt;=1)),"Perte entre 0 et 99 %",IF(COUNTIFS(bom_prod,A1845,bom_mat,B1845)&gt;1,"Matière en double","OK")))))))))</f>
        <v/>
      </c>
      <c r="K1845" s="71" t="str">
        <f>IF(AND(fiche_sel&lt;&gt;"",A1845=fiche_sel),COUNTIF(A$6:A1845,fiche_sel),"")</f>
        <v/>
      </c>
    </row>
    <row r="1846">
      <c r="A1846" s="60" t="n"/>
      <c r="B1846" s="60" t="n"/>
      <c r="C1846" s="71" t="str">
        <f>IF(B1846="","",IFERROR(INDEX(mat_des,MATCH(B1846,mat_ref,0))&amp;"","Matière inconnue"))</f>
        <v/>
      </c>
      <c r="D1846" s="69" t="str">
        <f>IF(B1846="","",IFERROR(INDEX(mat_unit,MATCH(B1846,mat_ref,0))&amp;"",""))</f>
        <v/>
      </c>
      <c r="E1846" s="72" t="n"/>
      <c r="F1846" s="65" t="n"/>
      <c r="G1846" s="68" t="str">
        <f>IF(J1846&lt;&gt;"OK","",IF(F1846="",N(INDEX(mat_loss,MATCH(B1846,mat_ref,0))),F1846))</f>
        <v/>
      </c>
      <c r="H1846" s="66" t="str">
        <f>IF(J1846&lt;&gt;"OK","",INDEX(mat_price,MATCH(B1846,mat_ref,0)))</f>
        <v/>
      </c>
      <c r="I1846" s="66" t="str">
        <f>IF(J1846&lt;&gt;"OK","",E1846*(1+G1846)*H1846)</f>
        <v/>
      </c>
      <c r="J1846" s="69" t="str">
        <f>IF(AND(A1846="",B1846=""),"",IF(A1846="","Produit manquant",IF(COUNTIF(prod_ref,A1846)=0,"Produit inconnu",IF(B1846="","Matière manquante",IF(ISNA(MATCH(B1846,mat_ref,0)),"Matière inconnue",IF(INDEX(mat_check,MATCH(B1846,mat_ref,0))&lt;&gt;"OK","Matière à corriger",IF(OR(NOT(ISNUMBER(E1846)),N(E1846)&lt;=0),"Quantité invalide",IF(AND(F1846&lt;&gt;"",OR(NOT(ISNUMBER(F1846)),N(F1846)&lt;0,N(F1846)&gt;=1)),"Perte entre 0 et 99 %",IF(COUNTIFS(bom_prod,A1846,bom_mat,B1846)&gt;1,"Matière en double","OK")))))))))</f>
        <v/>
      </c>
      <c r="K1846" s="71" t="str">
        <f>IF(AND(fiche_sel&lt;&gt;"",A1846=fiche_sel),COUNTIF(A$6:A1846,fiche_sel),"")</f>
        <v/>
      </c>
    </row>
    <row r="1847">
      <c r="A1847" s="60" t="n"/>
      <c r="B1847" s="60" t="n"/>
      <c r="C1847" s="71" t="str">
        <f>IF(B1847="","",IFERROR(INDEX(mat_des,MATCH(B1847,mat_ref,0))&amp;"","Matière inconnue"))</f>
        <v/>
      </c>
      <c r="D1847" s="69" t="str">
        <f>IF(B1847="","",IFERROR(INDEX(mat_unit,MATCH(B1847,mat_ref,0))&amp;"",""))</f>
        <v/>
      </c>
      <c r="E1847" s="72" t="n"/>
      <c r="F1847" s="65" t="n"/>
      <c r="G1847" s="68" t="str">
        <f>IF(J1847&lt;&gt;"OK","",IF(F1847="",N(INDEX(mat_loss,MATCH(B1847,mat_ref,0))),F1847))</f>
        <v/>
      </c>
      <c r="H1847" s="66" t="str">
        <f>IF(J1847&lt;&gt;"OK","",INDEX(mat_price,MATCH(B1847,mat_ref,0)))</f>
        <v/>
      </c>
      <c r="I1847" s="66" t="str">
        <f>IF(J1847&lt;&gt;"OK","",E1847*(1+G1847)*H1847)</f>
        <v/>
      </c>
      <c r="J1847" s="69" t="str">
        <f>IF(AND(A1847="",B1847=""),"",IF(A1847="","Produit manquant",IF(COUNTIF(prod_ref,A1847)=0,"Produit inconnu",IF(B1847="","Matière manquante",IF(ISNA(MATCH(B1847,mat_ref,0)),"Matière inconnue",IF(INDEX(mat_check,MATCH(B1847,mat_ref,0))&lt;&gt;"OK","Matière à corriger",IF(OR(NOT(ISNUMBER(E1847)),N(E1847)&lt;=0),"Quantité invalide",IF(AND(F1847&lt;&gt;"",OR(NOT(ISNUMBER(F1847)),N(F1847)&lt;0,N(F1847)&gt;=1)),"Perte entre 0 et 99 %",IF(COUNTIFS(bom_prod,A1847,bom_mat,B1847)&gt;1,"Matière en double","OK")))))))))</f>
        <v/>
      </c>
      <c r="K1847" s="71" t="str">
        <f>IF(AND(fiche_sel&lt;&gt;"",A1847=fiche_sel),COUNTIF(A$6:A1847,fiche_sel),"")</f>
        <v/>
      </c>
    </row>
    <row r="1848">
      <c r="A1848" s="60" t="n"/>
      <c r="B1848" s="60" t="n"/>
      <c r="C1848" s="71" t="str">
        <f>IF(B1848="","",IFERROR(INDEX(mat_des,MATCH(B1848,mat_ref,0))&amp;"","Matière inconnue"))</f>
        <v/>
      </c>
      <c r="D1848" s="69" t="str">
        <f>IF(B1848="","",IFERROR(INDEX(mat_unit,MATCH(B1848,mat_ref,0))&amp;"",""))</f>
        <v/>
      </c>
      <c r="E1848" s="72" t="n"/>
      <c r="F1848" s="65" t="n"/>
      <c r="G1848" s="68" t="str">
        <f>IF(J1848&lt;&gt;"OK","",IF(F1848="",N(INDEX(mat_loss,MATCH(B1848,mat_ref,0))),F1848))</f>
        <v/>
      </c>
      <c r="H1848" s="66" t="str">
        <f>IF(J1848&lt;&gt;"OK","",INDEX(mat_price,MATCH(B1848,mat_ref,0)))</f>
        <v/>
      </c>
      <c r="I1848" s="66" t="str">
        <f>IF(J1848&lt;&gt;"OK","",E1848*(1+G1848)*H1848)</f>
        <v/>
      </c>
      <c r="J1848" s="69" t="str">
        <f>IF(AND(A1848="",B1848=""),"",IF(A1848="","Produit manquant",IF(COUNTIF(prod_ref,A1848)=0,"Produit inconnu",IF(B1848="","Matière manquante",IF(ISNA(MATCH(B1848,mat_ref,0)),"Matière inconnue",IF(INDEX(mat_check,MATCH(B1848,mat_ref,0))&lt;&gt;"OK","Matière à corriger",IF(OR(NOT(ISNUMBER(E1848)),N(E1848)&lt;=0),"Quantité invalide",IF(AND(F1848&lt;&gt;"",OR(NOT(ISNUMBER(F1848)),N(F1848)&lt;0,N(F1848)&gt;=1)),"Perte entre 0 et 99 %",IF(COUNTIFS(bom_prod,A1848,bom_mat,B1848)&gt;1,"Matière en double","OK")))))))))</f>
        <v/>
      </c>
      <c r="K1848" s="71" t="str">
        <f>IF(AND(fiche_sel&lt;&gt;"",A1848=fiche_sel),COUNTIF(A$6:A1848,fiche_sel),"")</f>
        <v/>
      </c>
    </row>
    <row r="1849">
      <c r="A1849" s="60" t="n"/>
      <c r="B1849" s="60" t="n"/>
      <c r="C1849" s="71" t="str">
        <f>IF(B1849="","",IFERROR(INDEX(mat_des,MATCH(B1849,mat_ref,0))&amp;"","Matière inconnue"))</f>
        <v/>
      </c>
      <c r="D1849" s="69" t="str">
        <f>IF(B1849="","",IFERROR(INDEX(mat_unit,MATCH(B1849,mat_ref,0))&amp;"",""))</f>
        <v/>
      </c>
      <c r="E1849" s="72" t="n"/>
      <c r="F1849" s="65" t="n"/>
      <c r="G1849" s="68" t="str">
        <f>IF(J1849&lt;&gt;"OK","",IF(F1849="",N(INDEX(mat_loss,MATCH(B1849,mat_ref,0))),F1849))</f>
        <v/>
      </c>
      <c r="H1849" s="66" t="str">
        <f>IF(J1849&lt;&gt;"OK","",INDEX(mat_price,MATCH(B1849,mat_ref,0)))</f>
        <v/>
      </c>
      <c r="I1849" s="66" t="str">
        <f>IF(J1849&lt;&gt;"OK","",E1849*(1+G1849)*H1849)</f>
        <v/>
      </c>
      <c r="J1849" s="69" t="str">
        <f>IF(AND(A1849="",B1849=""),"",IF(A1849="","Produit manquant",IF(COUNTIF(prod_ref,A1849)=0,"Produit inconnu",IF(B1849="","Matière manquante",IF(ISNA(MATCH(B1849,mat_ref,0)),"Matière inconnue",IF(INDEX(mat_check,MATCH(B1849,mat_ref,0))&lt;&gt;"OK","Matière à corriger",IF(OR(NOT(ISNUMBER(E1849)),N(E1849)&lt;=0),"Quantité invalide",IF(AND(F1849&lt;&gt;"",OR(NOT(ISNUMBER(F1849)),N(F1849)&lt;0,N(F1849)&gt;=1)),"Perte entre 0 et 99 %",IF(COUNTIFS(bom_prod,A1849,bom_mat,B1849)&gt;1,"Matière en double","OK")))))))))</f>
        <v/>
      </c>
      <c r="K1849" s="71" t="str">
        <f>IF(AND(fiche_sel&lt;&gt;"",A1849=fiche_sel),COUNTIF(A$6:A1849,fiche_sel),"")</f>
        <v/>
      </c>
    </row>
    <row r="1850">
      <c r="A1850" s="60" t="n"/>
      <c r="B1850" s="60" t="n"/>
      <c r="C1850" s="71" t="str">
        <f>IF(B1850="","",IFERROR(INDEX(mat_des,MATCH(B1850,mat_ref,0))&amp;"","Matière inconnue"))</f>
        <v/>
      </c>
      <c r="D1850" s="69" t="str">
        <f>IF(B1850="","",IFERROR(INDEX(mat_unit,MATCH(B1850,mat_ref,0))&amp;"",""))</f>
        <v/>
      </c>
      <c r="E1850" s="72" t="n"/>
      <c r="F1850" s="65" t="n"/>
      <c r="G1850" s="68" t="str">
        <f>IF(J1850&lt;&gt;"OK","",IF(F1850="",N(INDEX(mat_loss,MATCH(B1850,mat_ref,0))),F1850))</f>
        <v/>
      </c>
      <c r="H1850" s="66" t="str">
        <f>IF(J1850&lt;&gt;"OK","",INDEX(mat_price,MATCH(B1850,mat_ref,0)))</f>
        <v/>
      </c>
      <c r="I1850" s="66" t="str">
        <f>IF(J1850&lt;&gt;"OK","",E1850*(1+G1850)*H1850)</f>
        <v/>
      </c>
      <c r="J1850" s="69" t="str">
        <f>IF(AND(A1850="",B1850=""),"",IF(A1850="","Produit manquant",IF(COUNTIF(prod_ref,A1850)=0,"Produit inconnu",IF(B1850="","Matière manquante",IF(ISNA(MATCH(B1850,mat_ref,0)),"Matière inconnue",IF(INDEX(mat_check,MATCH(B1850,mat_ref,0))&lt;&gt;"OK","Matière à corriger",IF(OR(NOT(ISNUMBER(E1850)),N(E1850)&lt;=0),"Quantité invalide",IF(AND(F1850&lt;&gt;"",OR(NOT(ISNUMBER(F1850)),N(F1850)&lt;0,N(F1850)&gt;=1)),"Perte entre 0 et 99 %",IF(COUNTIFS(bom_prod,A1850,bom_mat,B1850)&gt;1,"Matière en double","OK")))))))))</f>
        <v/>
      </c>
      <c r="K1850" s="71" t="str">
        <f>IF(AND(fiche_sel&lt;&gt;"",A1850=fiche_sel),COUNTIF(A$6:A1850,fiche_sel),"")</f>
        <v/>
      </c>
    </row>
    <row r="1851">
      <c r="A1851" s="60" t="n"/>
      <c r="B1851" s="60" t="n"/>
      <c r="C1851" s="71" t="str">
        <f>IF(B1851="","",IFERROR(INDEX(mat_des,MATCH(B1851,mat_ref,0))&amp;"","Matière inconnue"))</f>
        <v/>
      </c>
      <c r="D1851" s="69" t="str">
        <f>IF(B1851="","",IFERROR(INDEX(mat_unit,MATCH(B1851,mat_ref,0))&amp;"",""))</f>
        <v/>
      </c>
      <c r="E1851" s="72" t="n"/>
      <c r="F1851" s="65" t="n"/>
      <c r="G1851" s="68" t="str">
        <f>IF(J1851&lt;&gt;"OK","",IF(F1851="",N(INDEX(mat_loss,MATCH(B1851,mat_ref,0))),F1851))</f>
        <v/>
      </c>
      <c r="H1851" s="66" t="str">
        <f>IF(J1851&lt;&gt;"OK","",INDEX(mat_price,MATCH(B1851,mat_ref,0)))</f>
        <v/>
      </c>
      <c r="I1851" s="66" t="str">
        <f>IF(J1851&lt;&gt;"OK","",E1851*(1+G1851)*H1851)</f>
        <v/>
      </c>
      <c r="J1851" s="69" t="str">
        <f>IF(AND(A1851="",B1851=""),"",IF(A1851="","Produit manquant",IF(COUNTIF(prod_ref,A1851)=0,"Produit inconnu",IF(B1851="","Matière manquante",IF(ISNA(MATCH(B1851,mat_ref,0)),"Matière inconnue",IF(INDEX(mat_check,MATCH(B1851,mat_ref,0))&lt;&gt;"OK","Matière à corriger",IF(OR(NOT(ISNUMBER(E1851)),N(E1851)&lt;=0),"Quantité invalide",IF(AND(F1851&lt;&gt;"",OR(NOT(ISNUMBER(F1851)),N(F1851)&lt;0,N(F1851)&gt;=1)),"Perte entre 0 et 99 %",IF(COUNTIFS(bom_prod,A1851,bom_mat,B1851)&gt;1,"Matière en double","OK")))))))))</f>
        <v/>
      </c>
      <c r="K1851" s="71" t="str">
        <f>IF(AND(fiche_sel&lt;&gt;"",A1851=fiche_sel),COUNTIF(A$6:A1851,fiche_sel),"")</f>
        <v/>
      </c>
    </row>
    <row r="1852">
      <c r="A1852" s="60" t="n"/>
      <c r="B1852" s="60" t="n"/>
      <c r="C1852" s="71" t="str">
        <f>IF(B1852="","",IFERROR(INDEX(mat_des,MATCH(B1852,mat_ref,0))&amp;"","Matière inconnue"))</f>
        <v/>
      </c>
      <c r="D1852" s="69" t="str">
        <f>IF(B1852="","",IFERROR(INDEX(mat_unit,MATCH(B1852,mat_ref,0))&amp;"",""))</f>
        <v/>
      </c>
      <c r="E1852" s="72" t="n"/>
      <c r="F1852" s="65" t="n"/>
      <c r="G1852" s="68" t="str">
        <f>IF(J1852&lt;&gt;"OK","",IF(F1852="",N(INDEX(mat_loss,MATCH(B1852,mat_ref,0))),F1852))</f>
        <v/>
      </c>
      <c r="H1852" s="66" t="str">
        <f>IF(J1852&lt;&gt;"OK","",INDEX(mat_price,MATCH(B1852,mat_ref,0)))</f>
        <v/>
      </c>
      <c r="I1852" s="66" t="str">
        <f>IF(J1852&lt;&gt;"OK","",E1852*(1+G1852)*H1852)</f>
        <v/>
      </c>
      <c r="J1852" s="69" t="str">
        <f>IF(AND(A1852="",B1852=""),"",IF(A1852="","Produit manquant",IF(COUNTIF(prod_ref,A1852)=0,"Produit inconnu",IF(B1852="","Matière manquante",IF(ISNA(MATCH(B1852,mat_ref,0)),"Matière inconnue",IF(INDEX(mat_check,MATCH(B1852,mat_ref,0))&lt;&gt;"OK","Matière à corriger",IF(OR(NOT(ISNUMBER(E1852)),N(E1852)&lt;=0),"Quantité invalide",IF(AND(F1852&lt;&gt;"",OR(NOT(ISNUMBER(F1852)),N(F1852)&lt;0,N(F1852)&gt;=1)),"Perte entre 0 et 99 %",IF(COUNTIFS(bom_prod,A1852,bom_mat,B1852)&gt;1,"Matière en double","OK")))))))))</f>
        <v/>
      </c>
      <c r="K1852" s="71" t="str">
        <f>IF(AND(fiche_sel&lt;&gt;"",A1852=fiche_sel),COUNTIF(A$6:A1852,fiche_sel),"")</f>
        <v/>
      </c>
    </row>
    <row r="1853">
      <c r="A1853" s="60" t="n"/>
      <c r="B1853" s="60" t="n"/>
      <c r="C1853" s="71" t="str">
        <f>IF(B1853="","",IFERROR(INDEX(mat_des,MATCH(B1853,mat_ref,0))&amp;"","Matière inconnue"))</f>
        <v/>
      </c>
      <c r="D1853" s="69" t="str">
        <f>IF(B1853="","",IFERROR(INDEX(mat_unit,MATCH(B1853,mat_ref,0))&amp;"",""))</f>
        <v/>
      </c>
      <c r="E1853" s="72" t="n"/>
      <c r="F1853" s="65" t="n"/>
      <c r="G1853" s="68" t="str">
        <f>IF(J1853&lt;&gt;"OK","",IF(F1853="",N(INDEX(mat_loss,MATCH(B1853,mat_ref,0))),F1853))</f>
        <v/>
      </c>
      <c r="H1853" s="66" t="str">
        <f>IF(J1853&lt;&gt;"OK","",INDEX(mat_price,MATCH(B1853,mat_ref,0)))</f>
        <v/>
      </c>
      <c r="I1853" s="66" t="str">
        <f>IF(J1853&lt;&gt;"OK","",E1853*(1+G1853)*H1853)</f>
        <v/>
      </c>
      <c r="J1853" s="69" t="str">
        <f>IF(AND(A1853="",B1853=""),"",IF(A1853="","Produit manquant",IF(COUNTIF(prod_ref,A1853)=0,"Produit inconnu",IF(B1853="","Matière manquante",IF(ISNA(MATCH(B1853,mat_ref,0)),"Matière inconnue",IF(INDEX(mat_check,MATCH(B1853,mat_ref,0))&lt;&gt;"OK","Matière à corriger",IF(OR(NOT(ISNUMBER(E1853)),N(E1853)&lt;=0),"Quantité invalide",IF(AND(F1853&lt;&gt;"",OR(NOT(ISNUMBER(F1853)),N(F1853)&lt;0,N(F1853)&gt;=1)),"Perte entre 0 et 99 %",IF(COUNTIFS(bom_prod,A1853,bom_mat,B1853)&gt;1,"Matière en double","OK")))))))))</f>
        <v/>
      </c>
      <c r="K1853" s="71" t="str">
        <f>IF(AND(fiche_sel&lt;&gt;"",A1853=fiche_sel),COUNTIF(A$6:A1853,fiche_sel),"")</f>
        <v/>
      </c>
    </row>
    <row r="1854">
      <c r="A1854" s="60" t="n"/>
      <c r="B1854" s="60" t="n"/>
      <c r="C1854" s="71" t="str">
        <f>IF(B1854="","",IFERROR(INDEX(mat_des,MATCH(B1854,mat_ref,0))&amp;"","Matière inconnue"))</f>
        <v/>
      </c>
      <c r="D1854" s="69" t="str">
        <f>IF(B1854="","",IFERROR(INDEX(mat_unit,MATCH(B1854,mat_ref,0))&amp;"",""))</f>
        <v/>
      </c>
      <c r="E1854" s="72" t="n"/>
      <c r="F1854" s="65" t="n"/>
      <c r="G1854" s="68" t="str">
        <f>IF(J1854&lt;&gt;"OK","",IF(F1854="",N(INDEX(mat_loss,MATCH(B1854,mat_ref,0))),F1854))</f>
        <v/>
      </c>
      <c r="H1854" s="66" t="str">
        <f>IF(J1854&lt;&gt;"OK","",INDEX(mat_price,MATCH(B1854,mat_ref,0)))</f>
        <v/>
      </c>
      <c r="I1854" s="66" t="str">
        <f>IF(J1854&lt;&gt;"OK","",E1854*(1+G1854)*H1854)</f>
        <v/>
      </c>
      <c r="J1854" s="69" t="str">
        <f>IF(AND(A1854="",B1854=""),"",IF(A1854="","Produit manquant",IF(COUNTIF(prod_ref,A1854)=0,"Produit inconnu",IF(B1854="","Matière manquante",IF(ISNA(MATCH(B1854,mat_ref,0)),"Matière inconnue",IF(INDEX(mat_check,MATCH(B1854,mat_ref,0))&lt;&gt;"OK","Matière à corriger",IF(OR(NOT(ISNUMBER(E1854)),N(E1854)&lt;=0),"Quantité invalide",IF(AND(F1854&lt;&gt;"",OR(NOT(ISNUMBER(F1854)),N(F1854)&lt;0,N(F1854)&gt;=1)),"Perte entre 0 et 99 %",IF(COUNTIFS(bom_prod,A1854,bom_mat,B1854)&gt;1,"Matière en double","OK")))))))))</f>
        <v/>
      </c>
      <c r="K1854" s="71" t="str">
        <f>IF(AND(fiche_sel&lt;&gt;"",A1854=fiche_sel),COUNTIF(A$6:A1854,fiche_sel),"")</f>
        <v/>
      </c>
    </row>
    <row r="1855">
      <c r="A1855" s="60" t="n"/>
      <c r="B1855" s="60" t="n"/>
      <c r="C1855" s="71" t="str">
        <f>IF(B1855="","",IFERROR(INDEX(mat_des,MATCH(B1855,mat_ref,0))&amp;"","Matière inconnue"))</f>
        <v/>
      </c>
      <c r="D1855" s="69" t="str">
        <f>IF(B1855="","",IFERROR(INDEX(mat_unit,MATCH(B1855,mat_ref,0))&amp;"",""))</f>
        <v/>
      </c>
      <c r="E1855" s="72" t="n"/>
      <c r="F1855" s="65" t="n"/>
      <c r="G1855" s="68" t="str">
        <f>IF(J1855&lt;&gt;"OK","",IF(F1855="",N(INDEX(mat_loss,MATCH(B1855,mat_ref,0))),F1855))</f>
        <v/>
      </c>
      <c r="H1855" s="66" t="str">
        <f>IF(J1855&lt;&gt;"OK","",INDEX(mat_price,MATCH(B1855,mat_ref,0)))</f>
        <v/>
      </c>
      <c r="I1855" s="66" t="str">
        <f>IF(J1855&lt;&gt;"OK","",E1855*(1+G1855)*H1855)</f>
        <v/>
      </c>
      <c r="J1855" s="69" t="str">
        <f>IF(AND(A1855="",B1855=""),"",IF(A1855="","Produit manquant",IF(COUNTIF(prod_ref,A1855)=0,"Produit inconnu",IF(B1855="","Matière manquante",IF(ISNA(MATCH(B1855,mat_ref,0)),"Matière inconnue",IF(INDEX(mat_check,MATCH(B1855,mat_ref,0))&lt;&gt;"OK","Matière à corriger",IF(OR(NOT(ISNUMBER(E1855)),N(E1855)&lt;=0),"Quantité invalide",IF(AND(F1855&lt;&gt;"",OR(NOT(ISNUMBER(F1855)),N(F1855)&lt;0,N(F1855)&gt;=1)),"Perte entre 0 et 99 %",IF(COUNTIFS(bom_prod,A1855,bom_mat,B1855)&gt;1,"Matière en double","OK")))))))))</f>
        <v/>
      </c>
      <c r="K1855" s="71" t="str">
        <f>IF(AND(fiche_sel&lt;&gt;"",A1855=fiche_sel),COUNTIF(A$6:A1855,fiche_sel),"")</f>
        <v/>
      </c>
    </row>
    <row r="1856">
      <c r="A1856" s="60" t="n"/>
      <c r="B1856" s="60" t="n"/>
      <c r="C1856" s="71" t="str">
        <f>IF(B1856="","",IFERROR(INDEX(mat_des,MATCH(B1856,mat_ref,0))&amp;"","Matière inconnue"))</f>
        <v/>
      </c>
      <c r="D1856" s="69" t="str">
        <f>IF(B1856="","",IFERROR(INDEX(mat_unit,MATCH(B1856,mat_ref,0))&amp;"",""))</f>
        <v/>
      </c>
      <c r="E1856" s="72" t="n"/>
      <c r="F1856" s="65" t="n"/>
      <c r="G1856" s="68" t="str">
        <f>IF(J1856&lt;&gt;"OK","",IF(F1856="",N(INDEX(mat_loss,MATCH(B1856,mat_ref,0))),F1856))</f>
        <v/>
      </c>
      <c r="H1856" s="66" t="str">
        <f>IF(J1856&lt;&gt;"OK","",INDEX(mat_price,MATCH(B1856,mat_ref,0)))</f>
        <v/>
      </c>
      <c r="I1856" s="66" t="str">
        <f>IF(J1856&lt;&gt;"OK","",E1856*(1+G1856)*H1856)</f>
        <v/>
      </c>
      <c r="J1856" s="69" t="str">
        <f>IF(AND(A1856="",B1856=""),"",IF(A1856="","Produit manquant",IF(COUNTIF(prod_ref,A1856)=0,"Produit inconnu",IF(B1856="","Matière manquante",IF(ISNA(MATCH(B1856,mat_ref,0)),"Matière inconnue",IF(INDEX(mat_check,MATCH(B1856,mat_ref,0))&lt;&gt;"OK","Matière à corriger",IF(OR(NOT(ISNUMBER(E1856)),N(E1856)&lt;=0),"Quantité invalide",IF(AND(F1856&lt;&gt;"",OR(NOT(ISNUMBER(F1856)),N(F1856)&lt;0,N(F1856)&gt;=1)),"Perte entre 0 et 99 %",IF(COUNTIFS(bom_prod,A1856,bom_mat,B1856)&gt;1,"Matière en double","OK")))))))))</f>
        <v/>
      </c>
      <c r="K1856" s="71" t="str">
        <f>IF(AND(fiche_sel&lt;&gt;"",A1856=fiche_sel),COUNTIF(A$6:A1856,fiche_sel),"")</f>
        <v/>
      </c>
    </row>
    <row r="1857">
      <c r="A1857" s="60" t="n"/>
      <c r="B1857" s="60" t="n"/>
      <c r="C1857" s="71" t="str">
        <f>IF(B1857="","",IFERROR(INDEX(mat_des,MATCH(B1857,mat_ref,0))&amp;"","Matière inconnue"))</f>
        <v/>
      </c>
      <c r="D1857" s="69" t="str">
        <f>IF(B1857="","",IFERROR(INDEX(mat_unit,MATCH(B1857,mat_ref,0))&amp;"",""))</f>
        <v/>
      </c>
      <c r="E1857" s="72" t="n"/>
      <c r="F1857" s="65" t="n"/>
      <c r="G1857" s="68" t="str">
        <f>IF(J1857&lt;&gt;"OK","",IF(F1857="",N(INDEX(mat_loss,MATCH(B1857,mat_ref,0))),F1857))</f>
        <v/>
      </c>
      <c r="H1857" s="66" t="str">
        <f>IF(J1857&lt;&gt;"OK","",INDEX(mat_price,MATCH(B1857,mat_ref,0)))</f>
        <v/>
      </c>
      <c r="I1857" s="66" t="str">
        <f>IF(J1857&lt;&gt;"OK","",E1857*(1+G1857)*H1857)</f>
        <v/>
      </c>
      <c r="J1857" s="69" t="str">
        <f>IF(AND(A1857="",B1857=""),"",IF(A1857="","Produit manquant",IF(COUNTIF(prod_ref,A1857)=0,"Produit inconnu",IF(B1857="","Matière manquante",IF(ISNA(MATCH(B1857,mat_ref,0)),"Matière inconnue",IF(INDEX(mat_check,MATCH(B1857,mat_ref,0))&lt;&gt;"OK","Matière à corriger",IF(OR(NOT(ISNUMBER(E1857)),N(E1857)&lt;=0),"Quantité invalide",IF(AND(F1857&lt;&gt;"",OR(NOT(ISNUMBER(F1857)),N(F1857)&lt;0,N(F1857)&gt;=1)),"Perte entre 0 et 99 %",IF(COUNTIFS(bom_prod,A1857,bom_mat,B1857)&gt;1,"Matière en double","OK")))))))))</f>
        <v/>
      </c>
      <c r="K1857" s="71" t="str">
        <f>IF(AND(fiche_sel&lt;&gt;"",A1857=fiche_sel),COUNTIF(A$6:A1857,fiche_sel),"")</f>
        <v/>
      </c>
    </row>
    <row r="1858">
      <c r="A1858" s="60" t="n"/>
      <c r="B1858" s="60" t="n"/>
      <c r="C1858" s="71" t="str">
        <f>IF(B1858="","",IFERROR(INDEX(mat_des,MATCH(B1858,mat_ref,0))&amp;"","Matière inconnue"))</f>
        <v/>
      </c>
      <c r="D1858" s="69" t="str">
        <f>IF(B1858="","",IFERROR(INDEX(mat_unit,MATCH(B1858,mat_ref,0))&amp;"",""))</f>
        <v/>
      </c>
      <c r="E1858" s="72" t="n"/>
      <c r="F1858" s="65" t="n"/>
      <c r="G1858" s="68" t="str">
        <f>IF(J1858&lt;&gt;"OK","",IF(F1858="",N(INDEX(mat_loss,MATCH(B1858,mat_ref,0))),F1858))</f>
        <v/>
      </c>
      <c r="H1858" s="66" t="str">
        <f>IF(J1858&lt;&gt;"OK","",INDEX(mat_price,MATCH(B1858,mat_ref,0)))</f>
        <v/>
      </c>
      <c r="I1858" s="66" t="str">
        <f>IF(J1858&lt;&gt;"OK","",E1858*(1+G1858)*H1858)</f>
        <v/>
      </c>
      <c r="J1858" s="69" t="str">
        <f>IF(AND(A1858="",B1858=""),"",IF(A1858="","Produit manquant",IF(COUNTIF(prod_ref,A1858)=0,"Produit inconnu",IF(B1858="","Matière manquante",IF(ISNA(MATCH(B1858,mat_ref,0)),"Matière inconnue",IF(INDEX(mat_check,MATCH(B1858,mat_ref,0))&lt;&gt;"OK","Matière à corriger",IF(OR(NOT(ISNUMBER(E1858)),N(E1858)&lt;=0),"Quantité invalide",IF(AND(F1858&lt;&gt;"",OR(NOT(ISNUMBER(F1858)),N(F1858)&lt;0,N(F1858)&gt;=1)),"Perte entre 0 et 99 %",IF(COUNTIFS(bom_prod,A1858,bom_mat,B1858)&gt;1,"Matière en double","OK")))))))))</f>
        <v/>
      </c>
      <c r="K1858" s="71" t="str">
        <f>IF(AND(fiche_sel&lt;&gt;"",A1858=fiche_sel),COUNTIF(A$6:A1858,fiche_sel),"")</f>
        <v/>
      </c>
    </row>
    <row r="1859">
      <c r="A1859" s="60" t="n"/>
      <c r="B1859" s="60" t="n"/>
      <c r="C1859" s="71" t="str">
        <f>IF(B1859="","",IFERROR(INDEX(mat_des,MATCH(B1859,mat_ref,0))&amp;"","Matière inconnue"))</f>
        <v/>
      </c>
      <c r="D1859" s="69" t="str">
        <f>IF(B1859="","",IFERROR(INDEX(mat_unit,MATCH(B1859,mat_ref,0))&amp;"",""))</f>
        <v/>
      </c>
      <c r="E1859" s="72" t="n"/>
      <c r="F1859" s="65" t="n"/>
      <c r="G1859" s="68" t="str">
        <f>IF(J1859&lt;&gt;"OK","",IF(F1859="",N(INDEX(mat_loss,MATCH(B1859,mat_ref,0))),F1859))</f>
        <v/>
      </c>
      <c r="H1859" s="66" t="str">
        <f>IF(J1859&lt;&gt;"OK","",INDEX(mat_price,MATCH(B1859,mat_ref,0)))</f>
        <v/>
      </c>
      <c r="I1859" s="66" t="str">
        <f>IF(J1859&lt;&gt;"OK","",E1859*(1+G1859)*H1859)</f>
        <v/>
      </c>
      <c r="J1859" s="69" t="str">
        <f>IF(AND(A1859="",B1859=""),"",IF(A1859="","Produit manquant",IF(COUNTIF(prod_ref,A1859)=0,"Produit inconnu",IF(B1859="","Matière manquante",IF(ISNA(MATCH(B1859,mat_ref,0)),"Matière inconnue",IF(INDEX(mat_check,MATCH(B1859,mat_ref,0))&lt;&gt;"OK","Matière à corriger",IF(OR(NOT(ISNUMBER(E1859)),N(E1859)&lt;=0),"Quantité invalide",IF(AND(F1859&lt;&gt;"",OR(NOT(ISNUMBER(F1859)),N(F1859)&lt;0,N(F1859)&gt;=1)),"Perte entre 0 et 99 %",IF(COUNTIFS(bom_prod,A1859,bom_mat,B1859)&gt;1,"Matière en double","OK")))))))))</f>
        <v/>
      </c>
      <c r="K1859" s="71" t="str">
        <f>IF(AND(fiche_sel&lt;&gt;"",A1859=fiche_sel),COUNTIF(A$6:A1859,fiche_sel),"")</f>
        <v/>
      </c>
    </row>
    <row r="1860">
      <c r="A1860" s="60" t="n"/>
      <c r="B1860" s="60" t="n"/>
      <c r="C1860" s="71" t="str">
        <f>IF(B1860="","",IFERROR(INDEX(mat_des,MATCH(B1860,mat_ref,0))&amp;"","Matière inconnue"))</f>
        <v/>
      </c>
      <c r="D1860" s="69" t="str">
        <f>IF(B1860="","",IFERROR(INDEX(mat_unit,MATCH(B1860,mat_ref,0))&amp;"",""))</f>
        <v/>
      </c>
      <c r="E1860" s="72" t="n"/>
      <c r="F1860" s="65" t="n"/>
      <c r="G1860" s="68" t="str">
        <f>IF(J1860&lt;&gt;"OK","",IF(F1860="",N(INDEX(mat_loss,MATCH(B1860,mat_ref,0))),F1860))</f>
        <v/>
      </c>
      <c r="H1860" s="66" t="str">
        <f>IF(J1860&lt;&gt;"OK","",INDEX(mat_price,MATCH(B1860,mat_ref,0)))</f>
        <v/>
      </c>
      <c r="I1860" s="66" t="str">
        <f>IF(J1860&lt;&gt;"OK","",E1860*(1+G1860)*H1860)</f>
        <v/>
      </c>
      <c r="J1860" s="69" t="str">
        <f>IF(AND(A1860="",B1860=""),"",IF(A1860="","Produit manquant",IF(COUNTIF(prod_ref,A1860)=0,"Produit inconnu",IF(B1860="","Matière manquante",IF(ISNA(MATCH(B1860,mat_ref,0)),"Matière inconnue",IF(INDEX(mat_check,MATCH(B1860,mat_ref,0))&lt;&gt;"OK","Matière à corriger",IF(OR(NOT(ISNUMBER(E1860)),N(E1860)&lt;=0),"Quantité invalide",IF(AND(F1860&lt;&gt;"",OR(NOT(ISNUMBER(F1860)),N(F1860)&lt;0,N(F1860)&gt;=1)),"Perte entre 0 et 99 %",IF(COUNTIFS(bom_prod,A1860,bom_mat,B1860)&gt;1,"Matière en double","OK")))))))))</f>
        <v/>
      </c>
      <c r="K1860" s="71" t="str">
        <f>IF(AND(fiche_sel&lt;&gt;"",A1860=fiche_sel),COUNTIF(A$6:A1860,fiche_sel),"")</f>
        <v/>
      </c>
    </row>
    <row r="1861">
      <c r="A1861" s="60" t="n"/>
      <c r="B1861" s="60" t="n"/>
      <c r="C1861" s="71" t="str">
        <f>IF(B1861="","",IFERROR(INDEX(mat_des,MATCH(B1861,mat_ref,0))&amp;"","Matière inconnue"))</f>
        <v/>
      </c>
      <c r="D1861" s="69" t="str">
        <f>IF(B1861="","",IFERROR(INDEX(mat_unit,MATCH(B1861,mat_ref,0))&amp;"",""))</f>
        <v/>
      </c>
      <c r="E1861" s="72" t="n"/>
      <c r="F1861" s="65" t="n"/>
      <c r="G1861" s="68" t="str">
        <f>IF(J1861&lt;&gt;"OK","",IF(F1861="",N(INDEX(mat_loss,MATCH(B1861,mat_ref,0))),F1861))</f>
        <v/>
      </c>
      <c r="H1861" s="66" t="str">
        <f>IF(J1861&lt;&gt;"OK","",INDEX(mat_price,MATCH(B1861,mat_ref,0)))</f>
        <v/>
      </c>
      <c r="I1861" s="66" t="str">
        <f>IF(J1861&lt;&gt;"OK","",E1861*(1+G1861)*H1861)</f>
        <v/>
      </c>
      <c r="J1861" s="69" t="str">
        <f>IF(AND(A1861="",B1861=""),"",IF(A1861="","Produit manquant",IF(COUNTIF(prod_ref,A1861)=0,"Produit inconnu",IF(B1861="","Matière manquante",IF(ISNA(MATCH(B1861,mat_ref,0)),"Matière inconnue",IF(INDEX(mat_check,MATCH(B1861,mat_ref,0))&lt;&gt;"OK","Matière à corriger",IF(OR(NOT(ISNUMBER(E1861)),N(E1861)&lt;=0),"Quantité invalide",IF(AND(F1861&lt;&gt;"",OR(NOT(ISNUMBER(F1861)),N(F1861)&lt;0,N(F1861)&gt;=1)),"Perte entre 0 et 99 %",IF(COUNTIFS(bom_prod,A1861,bom_mat,B1861)&gt;1,"Matière en double","OK")))))))))</f>
        <v/>
      </c>
      <c r="K1861" s="71" t="str">
        <f>IF(AND(fiche_sel&lt;&gt;"",A1861=fiche_sel),COUNTIF(A$6:A1861,fiche_sel),"")</f>
        <v/>
      </c>
    </row>
    <row r="1862">
      <c r="A1862" s="60" t="n"/>
      <c r="B1862" s="60" t="n"/>
      <c r="C1862" s="71" t="str">
        <f>IF(B1862="","",IFERROR(INDEX(mat_des,MATCH(B1862,mat_ref,0))&amp;"","Matière inconnue"))</f>
        <v/>
      </c>
      <c r="D1862" s="69" t="str">
        <f>IF(B1862="","",IFERROR(INDEX(mat_unit,MATCH(B1862,mat_ref,0))&amp;"",""))</f>
        <v/>
      </c>
      <c r="E1862" s="72" t="n"/>
      <c r="F1862" s="65" t="n"/>
      <c r="G1862" s="68" t="str">
        <f>IF(J1862&lt;&gt;"OK","",IF(F1862="",N(INDEX(mat_loss,MATCH(B1862,mat_ref,0))),F1862))</f>
        <v/>
      </c>
      <c r="H1862" s="66" t="str">
        <f>IF(J1862&lt;&gt;"OK","",INDEX(mat_price,MATCH(B1862,mat_ref,0)))</f>
        <v/>
      </c>
      <c r="I1862" s="66" t="str">
        <f>IF(J1862&lt;&gt;"OK","",E1862*(1+G1862)*H1862)</f>
        <v/>
      </c>
      <c r="J1862" s="69" t="str">
        <f>IF(AND(A1862="",B1862=""),"",IF(A1862="","Produit manquant",IF(COUNTIF(prod_ref,A1862)=0,"Produit inconnu",IF(B1862="","Matière manquante",IF(ISNA(MATCH(B1862,mat_ref,0)),"Matière inconnue",IF(INDEX(mat_check,MATCH(B1862,mat_ref,0))&lt;&gt;"OK","Matière à corriger",IF(OR(NOT(ISNUMBER(E1862)),N(E1862)&lt;=0),"Quantité invalide",IF(AND(F1862&lt;&gt;"",OR(NOT(ISNUMBER(F1862)),N(F1862)&lt;0,N(F1862)&gt;=1)),"Perte entre 0 et 99 %",IF(COUNTIFS(bom_prod,A1862,bom_mat,B1862)&gt;1,"Matière en double","OK")))))))))</f>
        <v/>
      </c>
      <c r="K1862" s="71" t="str">
        <f>IF(AND(fiche_sel&lt;&gt;"",A1862=fiche_sel),COUNTIF(A$6:A1862,fiche_sel),"")</f>
        <v/>
      </c>
    </row>
    <row r="1863">
      <c r="A1863" s="60" t="n"/>
      <c r="B1863" s="60" t="n"/>
      <c r="C1863" s="71" t="str">
        <f>IF(B1863="","",IFERROR(INDEX(mat_des,MATCH(B1863,mat_ref,0))&amp;"","Matière inconnue"))</f>
        <v/>
      </c>
      <c r="D1863" s="69" t="str">
        <f>IF(B1863="","",IFERROR(INDEX(mat_unit,MATCH(B1863,mat_ref,0))&amp;"",""))</f>
        <v/>
      </c>
      <c r="E1863" s="72" t="n"/>
      <c r="F1863" s="65" t="n"/>
      <c r="G1863" s="68" t="str">
        <f>IF(J1863&lt;&gt;"OK","",IF(F1863="",N(INDEX(mat_loss,MATCH(B1863,mat_ref,0))),F1863))</f>
        <v/>
      </c>
      <c r="H1863" s="66" t="str">
        <f>IF(J1863&lt;&gt;"OK","",INDEX(mat_price,MATCH(B1863,mat_ref,0)))</f>
        <v/>
      </c>
      <c r="I1863" s="66" t="str">
        <f>IF(J1863&lt;&gt;"OK","",E1863*(1+G1863)*H1863)</f>
        <v/>
      </c>
      <c r="J1863" s="69" t="str">
        <f>IF(AND(A1863="",B1863=""),"",IF(A1863="","Produit manquant",IF(COUNTIF(prod_ref,A1863)=0,"Produit inconnu",IF(B1863="","Matière manquante",IF(ISNA(MATCH(B1863,mat_ref,0)),"Matière inconnue",IF(INDEX(mat_check,MATCH(B1863,mat_ref,0))&lt;&gt;"OK","Matière à corriger",IF(OR(NOT(ISNUMBER(E1863)),N(E1863)&lt;=0),"Quantité invalide",IF(AND(F1863&lt;&gt;"",OR(NOT(ISNUMBER(F1863)),N(F1863)&lt;0,N(F1863)&gt;=1)),"Perte entre 0 et 99 %",IF(COUNTIFS(bom_prod,A1863,bom_mat,B1863)&gt;1,"Matière en double","OK")))))))))</f>
        <v/>
      </c>
      <c r="K1863" s="71" t="str">
        <f>IF(AND(fiche_sel&lt;&gt;"",A1863=fiche_sel),COUNTIF(A$6:A1863,fiche_sel),"")</f>
        <v/>
      </c>
    </row>
    <row r="1864">
      <c r="A1864" s="60" t="n"/>
      <c r="B1864" s="60" t="n"/>
      <c r="C1864" s="71" t="str">
        <f>IF(B1864="","",IFERROR(INDEX(mat_des,MATCH(B1864,mat_ref,0))&amp;"","Matière inconnue"))</f>
        <v/>
      </c>
      <c r="D1864" s="69" t="str">
        <f>IF(B1864="","",IFERROR(INDEX(mat_unit,MATCH(B1864,mat_ref,0))&amp;"",""))</f>
        <v/>
      </c>
      <c r="E1864" s="72" t="n"/>
      <c r="F1864" s="65" t="n"/>
      <c r="G1864" s="68" t="str">
        <f>IF(J1864&lt;&gt;"OK","",IF(F1864="",N(INDEX(mat_loss,MATCH(B1864,mat_ref,0))),F1864))</f>
        <v/>
      </c>
      <c r="H1864" s="66" t="str">
        <f>IF(J1864&lt;&gt;"OK","",INDEX(mat_price,MATCH(B1864,mat_ref,0)))</f>
        <v/>
      </c>
      <c r="I1864" s="66" t="str">
        <f>IF(J1864&lt;&gt;"OK","",E1864*(1+G1864)*H1864)</f>
        <v/>
      </c>
      <c r="J1864" s="69" t="str">
        <f>IF(AND(A1864="",B1864=""),"",IF(A1864="","Produit manquant",IF(COUNTIF(prod_ref,A1864)=0,"Produit inconnu",IF(B1864="","Matière manquante",IF(ISNA(MATCH(B1864,mat_ref,0)),"Matière inconnue",IF(INDEX(mat_check,MATCH(B1864,mat_ref,0))&lt;&gt;"OK","Matière à corriger",IF(OR(NOT(ISNUMBER(E1864)),N(E1864)&lt;=0),"Quantité invalide",IF(AND(F1864&lt;&gt;"",OR(NOT(ISNUMBER(F1864)),N(F1864)&lt;0,N(F1864)&gt;=1)),"Perte entre 0 et 99 %",IF(COUNTIFS(bom_prod,A1864,bom_mat,B1864)&gt;1,"Matière en double","OK")))))))))</f>
        <v/>
      </c>
      <c r="K1864" s="71" t="str">
        <f>IF(AND(fiche_sel&lt;&gt;"",A1864=fiche_sel),COUNTIF(A$6:A1864,fiche_sel),"")</f>
        <v/>
      </c>
    </row>
    <row r="1865">
      <c r="A1865" s="60" t="n"/>
      <c r="B1865" s="60" t="n"/>
      <c r="C1865" s="71" t="str">
        <f>IF(B1865="","",IFERROR(INDEX(mat_des,MATCH(B1865,mat_ref,0))&amp;"","Matière inconnue"))</f>
        <v/>
      </c>
      <c r="D1865" s="69" t="str">
        <f>IF(B1865="","",IFERROR(INDEX(mat_unit,MATCH(B1865,mat_ref,0))&amp;"",""))</f>
        <v/>
      </c>
      <c r="E1865" s="72" t="n"/>
      <c r="F1865" s="65" t="n"/>
      <c r="G1865" s="68" t="str">
        <f>IF(J1865&lt;&gt;"OK","",IF(F1865="",N(INDEX(mat_loss,MATCH(B1865,mat_ref,0))),F1865))</f>
        <v/>
      </c>
      <c r="H1865" s="66" t="str">
        <f>IF(J1865&lt;&gt;"OK","",INDEX(mat_price,MATCH(B1865,mat_ref,0)))</f>
        <v/>
      </c>
      <c r="I1865" s="66" t="str">
        <f>IF(J1865&lt;&gt;"OK","",E1865*(1+G1865)*H1865)</f>
        <v/>
      </c>
      <c r="J1865" s="69" t="str">
        <f>IF(AND(A1865="",B1865=""),"",IF(A1865="","Produit manquant",IF(COUNTIF(prod_ref,A1865)=0,"Produit inconnu",IF(B1865="","Matière manquante",IF(ISNA(MATCH(B1865,mat_ref,0)),"Matière inconnue",IF(INDEX(mat_check,MATCH(B1865,mat_ref,0))&lt;&gt;"OK","Matière à corriger",IF(OR(NOT(ISNUMBER(E1865)),N(E1865)&lt;=0),"Quantité invalide",IF(AND(F1865&lt;&gt;"",OR(NOT(ISNUMBER(F1865)),N(F1865)&lt;0,N(F1865)&gt;=1)),"Perte entre 0 et 99 %",IF(COUNTIFS(bom_prod,A1865,bom_mat,B1865)&gt;1,"Matière en double","OK")))))))))</f>
        <v/>
      </c>
      <c r="K1865" s="71" t="str">
        <f>IF(AND(fiche_sel&lt;&gt;"",A1865=fiche_sel),COUNTIF(A$6:A1865,fiche_sel),"")</f>
        <v/>
      </c>
    </row>
    <row r="1866">
      <c r="A1866" s="60" t="n"/>
      <c r="B1866" s="60" t="n"/>
      <c r="C1866" s="71" t="str">
        <f>IF(B1866="","",IFERROR(INDEX(mat_des,MATCH(B1866,mat_ref,0))&amp;"","Matière inconnue"))</f>
        <v/>
      </c>
      <c r="D1866" s="69" t="str">
        <f>IF(B1866="","",IFERROR(INDEX(mat_unit,MATCH(B1866,mat_ref,0))&amp;"",""))</f>
        <v/>
      </c>
      <c r="E1866" s="72" t="n"/>
      <c r="F1866" s="65" t="n"/>
      <c r="G1866" s="68" t="str">
        <f>IF(J1866&lt;&gt;"OK","",IF(F1866="",N(INDEX(mat_loss,MATCH(B1866,mat_ref,0))),F1866))</f>
        <v/>
      </c>
      <c r="H1866" s="66" t="str">
        <f>IF(J1866&lt;&gt;"OK","",INDEX(mat_price,MATCH(B1866,mat_ref,0)))</f>
        <v/>
      </c>
      <c r="I1866" s="66" t="str">
        <f>IF(J1866&lt;&gt;"OK","",E1866*(1+G1866)*H1866)</f>
        <v/>
      </c>
      <c r="J1866" s="69" t="str">
        <f>IF(AND(A1866="",B1866=""),"",IF(A1866="","Produit manquant",IF(COUNTIF(prod_ref,A1866)=0,"Produit inconnu",IF(B1866="","Matière manquante",IF(ISNA(MATCH(B1866,mat_ref,0)),"Matière inconnue",IF(INDEX(mat_check,MATCH(B1866,mat_ref,0))&lt;&gt;"OK","Matière à corriger",IF(OR(NOT(ISNUMBER(E1866)),N(E1866)&lt;=0),"Quantité invalide",IF(AND(F1866&lt;&gt;"",OR(NOT(ISNUMBER(F1866)),N(F1866)&lt;0,N(F1866)&gt;=1)),"Perte entre 0 et 99 %",IF(COUNTIFS(bom_prod,A1866,bom_mat,B1866)&gt;1,"Matière en double","OK")))))))))</f>
        <v/>
      </c>
      <c r="K1866" s="71" t="str">
        <f>IF(AND(fiche_sel&lt;&gt;"",A1866=fiche_sel),COUNTIF(A$6:A1866,fiche_sel),"")</f>
        <v/>
      </c>
    </row>
    <row r="1867">
      <c r="A1867" s="60" t="n"/>
      <c r="B1867" s="60" t="n"/>
      <c r="C1867" s="71" t="str">
        <f>IF(B1867="","",IFERROR(INDEX(mat_des,MATCH(B1867,mat_ref,0))&amp;"","Matière inconnue"))</f>
        <v/>
      </c>
      <c r="D1867" s="69" t="str">
        <f>IF(B1867="","",IFERROR(INDEX(mat_unit,MATCH(B1867,mat_ref,0))&amp;"",""))</f>
        <v/>
      </c>
      <c r="E1867" s="72" t="n"/>
      <c r="F1867" s="65" t="n"/>
      <c r="G1867" s="68" t="str">
        <f>IF(J1867&lt;&gt;"OK","",IF(F1867="",N(INDEX(mat_loss,MATCH(B1867,mat_ref,0))),F1867))</f>
        <v/>
      </c>
      <c r="H1867" s="66" t="str">
        <f>IF(J1867&lt;&gt;"OK","",INDEX(mat_price,MATCH(B1867,mat_ref,0)))</f>
        <v/>
      </c>
      <c r="I1867" s="66" t="str">
        <f>IF(J1867&lt;&gt;"OK","",E1867*(1+G1867)*H1867)</f>
        <v/>
      </c>
      <c r="J1867" s="69" t="str">
        <f>IF(AND(A1867="",B1867=""),"",IF(A1867="","Produit manquant",IF(COUNTIF(prod_ref,A1867)=0,"Produit inconnu",IF(B1867="","Matière manquante",IF(ISNA(MATCH(B1867,mat_ref,0)),"Matière inconnue",IF(INDEX(mat_check,MATCH(B1867,mat_ref,0))&lt;&gt;"OK","Matière à corriger",IF(OR(NOT(ISNUMBER(E1867)),N(E1867)&lt;=0),"Quantité invalide",IF(AND(F1867&lt;&gt;"",OR(NOT(ISNUMBER(F1867)),N(F1867)&lt;0,N(F1867)&gt;=1)),"Perte entre 0 et 99 %",IF(COUNTIFS(bom_prod,A1867,bom_mat,B1867)&gt;1,"Matière en double","OK")))))))))</f>
        <v/>
      </c>
      <c r="K1867" s="71" t="str">
        <f>IF(AND(fiche_sel&lt;&gt;"",A1867=fiche_sel),COUNTIF(A$6:A1867,fiche_sel),"")</f>
        <v/>
      </c>
    </row>
    <row r="1868">
      <c r="A1868" s="60" t="n"/>
      <c r="B1868" s="60" t="n"/>
      <c r="C1868" s="71" t="str">
        <f>IF(B1868="","",IFERROR(INDEX(mat_des,MATCH(B1868,mat_ref,0))&amp;"","Matière inconnue"))</f>
        <v/>
      </c>
      <c r="D1868" s="69" t="str">
        <f>IF(B1868="","",IFERROR(INDEX(mat_unit,MATCH(B1868,mat_ref,0))&amp;"",""))</f>
        <v/>
      </c>
      <c r="E1868" s="72" t="n"/>
      <c r="F1868" s="65" t="n"/>
      <c r="G1868" s="68" t="str">
        <f>IF(J1868&lt;&gt;"OK","",IF(F1868="",N(INDEX(mat_loss,MATCH(B1868,mat_ref,0))),F1868))</f>
        <v/>
      </c>
      <c r="H1868" s="66" t="str">
        <f>IF(J1868&lt;&gt;"OK","",INDEX(mat_price,MATCH(B1868,mat_ref,0)))</f>
        <v/>
      </c>
      <c r="I1868" s="66" t="str">
        <f>IF(J1868&lt;&gt;"OK","",E1868*(1+G1868)*H1868)</f>
        <v/>
      </c>
      <c r="J1868" s="69" t="str">
        <f>IF(AND(A1868="",B1868=""),"",IF(A1868="","Produit manquant",IF(COUNTIF(prod_ref,A1868)=0,"Produit inconnu",IF(B1868="","Matière manquante",IF(ISNA(MATCH(B1868,mat_ref,0)),"Matière inconnue",IF(INDEX(mat_check,MATCH(B1868,mat_ref,0))&lt;&gt;"OK","Matière à corriger",IF(OR(NOT(ISNUMBER(E1868)),N(E1868)&lt;=0),"Quantité invalide",IF(AND(F1868&lt;&gt;"",OR(NOT(ISNUMBER(F1868)),N(F1868)&lt;0,N(F1868)&gt;=1)),"Perte entre 0 et 99 %",IF(COUNTIFS(bom_prod,A1868,bom_mat,B1868)&gt;1,"Matière en double","OK")))))))))</f>
        <v/>
      </c>
      <c r="K1868" s="71" t="str">
        <f>IF(AND(fiche_sel&lt;&gt;"",A1868=fiche_sel),COUNTIF(A$6:A1868,fiche_sel),"")</f>
        <v/>
      </c>
    </row>
    <row r="1869">
      <c r="A1869" s="60" t="n"/>
      <c r="B1869" s="60" t="n"/>
      <c r="C1869" s="71" t="str">
        <f>IF(B1869="","",IFERROR(INDEX(mat_des,MATCH(B1869,mat_ref,0))&amp;"","Matière inconnue"))</f>
        <v/>
      </c>
      <c r="D1869" s="69" t="str">
        <f>IF(B1869="","",IFERROR(INDEX(mat_unit,MATCH(B1869,mat_ref,0))&amp;"",""))</f>
        <v/>
      </c>
      <c r="E1869" s="72" t="n"/>
      <c r="F1869" s="65" t="n"/>
      <c r="G1869" s="68" t="str">
        <f>IF(J1869&lt;&gt;"OK","",IF(F1869="",N(INDEX(mat_loss,MATCH(B1869,mat_ref,0))),F1869))</f>
        <v/>
      </c>
      <c r="H1869" s="66" t="str">
        <f>IF(J1869&lt;&gt;"OK","",INDEX(mat_price,MATCH(B1869,mat_ref,0)))</f>
        <v/>
      </c>
      <c r="I1869" s="66" t="str">
        <f>IF(J1869&lt;&gt;"OK","",E1869*(1+G1869)*H1869)</f>
        <v/>
      </c>
      <c r="J1869" s="69" t="str">
        <f>IF(AND(A1869="",B1869=""),"",IF(A1869="","Produit manquant",IF(COUNTIF(prod_ref,A1869)=0,"Produit inconnu",IF(B1869="","Matière manquante",IF(ISNA(MATCH(B1869,mat_ref,0)),"Matière inconnue",IF(INDEX(mat_check,MATCH(B1869,mat_ref,0))&lt;&gt;"OK","Matière à corriger",IF(OR(NOT(ISNUMBER(E1869)),N(E1869)&lt;=0),"Quantité invalide",IF(AND(F1869&lt;&gt;"",OR(NOT(ISNUMBER(F1869)),N(F1869)&lt;0,N(F1869)&gt;=1)),"Perte entre 0 et 99 %",IF(COUNTIFS(bom_prod,A1869,bom_mat,B1869)&gt;1,"Matière en double","OK")))))))))</f>
        <v/>
      </c>
      <c r="K1869" s="71" t="str">
        <f>IF(AND(fiche_sel&lt;&gt;"",A1869=fiche_sel),COUNTIF(A$6:A1869,fiche_sel),"")</f>
        <v/>
      </c>
    </row>
    <row r="1870">
      <c r="A1870" s="60" t="n"/>
      <c r="B1870" s="60" t="n"/>
      <c r="C1870" s="71" t="str">
        <f>IF(B1870="","",IFERROR(INDEX(mat_des,MATCH(B1870,mat_ref,0))&amp;"","Matière inconnue"))</f>
        <v/>
      </c>
      <c r="D1870" s="69" t="str">
        <f>IF(B1870="","",IFERROR(INDEX(mat_unit,MATCH(B1870,mat_ref,0))&amp;"",""))</f>
        <v/>
      </c>
      <c r="E1870" s="72" t="n"/>
      <c r="F1870" s="65" t="n"/>
      <c r="G1870" s="68" t="str">
        <f>IF(J1870&lt;&gt;"OK","",IF(F1870="",N(INDEX(mat_loss,MATCH(B1870,mat_ref,0))),F1870))</f>
        <v/>
      </c>
      <c r="H1870" s="66" t="str">
        <f>IF(J1870&lt;&gt;"OK","",INDEX(mat_price,MATCH(B1870,mat_ref,0)))</f>
        <v/>
      </c>
      <c r="I1870" s="66" t="str">
        <f>IF(J1870&lt;&gt;"OK","",E1870*(1+G1870)*H1870)</f>
        <v/>
      </c>
      <c r="J1870" s="69" t="str">
        <f>IF(AND(A1870="",B1870=""),"",IF(A1870="","Produit manquant",IF(COUNTIF(prod_ref,A1870)=0,"Produit inconnu",IF(B1870="","Matière manquante",IF(ISNA(MATCH(B1870,mat_ref,0)),"Matière inconnue",IF(INDEX(mat_check,MATCH(B1870,mat_ref,0))&lt;&gt;"OK","Matière à corriger",IF(OR(NOT(ISNUMBER(E1870)),N(E1870)&lt;=0),"Quantité invalide",IF(AND(F1870&lt;&gt;"",OR(NOT(ISNUMBER(F1870)),N(F1870)&lt;0,N(F1870)&gt;=1)),"Perte entre 0 et 99 %",IF(COUNTIFS(bom_prod,A1870,bom_mat,B1870)&gt;1,"Matière en double","OK")))))))))</f>
        <v/>
      </c>
      <c r="K1870" s="71" t="str">
        <f>IF(AND(fiche_sel&lt;&gt;"",A1870=fiche_sel),COUNTIF(A$6:A1870,fiche_sel),"")</f>
        <v/>
      </c>
    </row>
    <row r="1871">
      <c r="A1871" s="60" t="n"/>
      <c r="B1871" s="60" t="n"/>
      <c r="C1871" s="71" t="str">
        <f>IF(B1871="","",IFERROR(INDEX(mat_des,MATCH(B1871,mat_ref,0))&amp;"","Matière inconnue"))</f>
        <v/>
      </c>
      <c r="D1871" s="69" t="str">
        <f>IF(B1871="","",IFERROR(INDEX(mat_unit,MATCH(B1871,mat_ref,0))&amp;"",""))</f>
        <v/>
      </c>
      <c r="E1871" s="72" t="n"/>
      <c r="F1871" s="65" t="n"/>
      <c r="G1871" s="68" t="str">
        <f>IF(J1871&lt;&gt;"OK","",IF(F1871="",N(INDEX(mat_loss,MATCH(B1871,mat_ref,0))),F1871))</f>
        <v/>
      </c>
      <c r="H1871" s="66" t="str">
        <f>IF(J1871&lt;&gt;"OK","",INDEX(mat_price,MATCH(B1871,mat_ref,0)))</f>
        <v/>
      </c>
      <c r="I1871" s="66" t="str">
        <f>IF(J1871&lt;&gt;"OK","",E1871*(1+G1871)*H1871)</f>
        <v/>
      </c>
      <c r="J1871" s="69" t="str">
        <f>IF(AND(A1871="",B1871=""),"",IF(A1871="","Produit manquant",IF(COUNTIF(prod_ref,A1871)=0,"Produit inconnu",IF(B1871="","Matière manquante",IF(ISNA(MATCH(B1871,mat_ref,0)),"Matière inconnue",IF(INDEX(mat_check,MATCH(B1871,mat_ref,0))&lt;&gt;"OK","Matière à corriger",IF(OR(NOT(ISNUMBER(E1871)),N(E1871)&lt;=0),"Quantité invalide",IF(AND(F1871&lt;&gt;"",OR(NOT(ISNUMBER(F1871)),N(F1871)&lt;0,N(F1871)&gt;=1)),"Perte entre 0 et 99 %",IF(COUNTIFS(bom_prod,A1871,bom_mat,B1871)&gt;1,"Matière en double","OK")))))))))</f>
        <v/>
      </c>
      <c r="K1871" s="71" t="str">
        <f>IF(AND(fiche_sel&lt;&gt;"",A1871=fiche_sel),COUNTIF(A$6:A1871,fiche_sel),"")</f>
        <v/>
      </c>
    </row>
    <row r="1872">
      <c r="A1872" s="60" t="n"/>
      <c r="B1872" s="60" t="n"/>
      <c r="C1872" s="71" t="str">
        <f>IF(B1872="","",IFERROR(INDEX(mat_des,MATCH(B1872,mat_ref,0))&amp;"","Matière inconnue"))</f>
        <v/>
      </c>
      <c r="D1872" s="69" t="str">
        <f>IF(B1872="","",IFERROR(INDEX(mat_unit,MATCH(B1872,mat_ref,0))&amp;"",""))</f>
        <v/>
      </c>
      <c r="E1872" s="72" t="n"/>
      <c r="F1872" s="65" t="n"/>
      <c r="G1872" s="68" t="str">
        <f>IF(J1872&lt;&gt;"OK","",IF(F1872="",N(INDEX(mat_loss,MATCH(B1872,mat_ref,0))),F1872))</f>
        <v/>
      </c>
      <c r="H1872" s="66" t="str">
        <f>IF(J1872&lt;&gt;"OK","",INDEX(mat_price,MATCH(B1872,mat_ref,0)))</f>
        <v/>
      </c>
      <c r="I1872" s="66" t="str">
        <f>IF(J1872&lt;&gt;"OK","",E1872*(1+G1872)*H1872)</f>
        <v/>
      </c>
      <c r="J1872" s="69" t="str">
        <f>IF(AND(A1872="",B1872=""),"",IF(A1872="","Produit manquant",IF(COUNTIF(prod_ref,A1872)=0,"Produit inconnu",IF(B1872="","Matière manquante",IF(ISNA(MATCH(B1872,mat_ref,0)),"Matière inconnue",IF(INDEX(mat_check,MATCH(B1872,mat_ref,0))&lt;&gt;"OK","Matière à corriger",IF(OR(NOT(ISNUMBER(E1872)),N(E1872)&lt;=0),"Quantité invalide",IF(AND(F1872&lt;&gt;"",OR(NOT(ISNUMBER(F1872)),N(F1872)&lt;0,N(F1872)&gt;=1)),"Perte entre 0 et 99 %",IF(COUNTIFS(bom_prod,A1872,bom_mat,B1872)&gt;1,"Matière en double","OK")))))))))</f>
        <v/>
      </c>
      <c r="K1872" s="71" t="str">
        <f>IF(AND(fiche_sel&lt;&gt;"",A1872=fiche_sel),COUNTIF(A$6:A1872,fiche_sel),"")</f>
        <v/>
      </c>
    </row>
    <row r="1873">
      <c r="A1873" s="60" t="n"/>
      <c r="B1873" s="60" t="n"/>
      <c r="C1873" s="71" t="str">
        <f>IF(B1873="","",IFERROR(INDEX(mat_des,MATCH(B1873,mat_ref,0))&amp;"","Matière inconnue"))</f>
        <v/>
      </c>
      <c r="D1873" s="69" t="str">
        <f>IF(B1873="","",IFERROR(INDEX(mat_unit,MATCH(B1873,mat_ref,0))&amp;"",""))</f>
        <v/>
      </c>
      <c r="E1873" s="72" t="n"/>
      <c r="F1873" s="65" t="n"/>
      <c r="G1873" s="68" t="str">
        <f>IF(J1873&lt;&gt;"OK","",IF(F1873="",N(INDEX(mat_loss,MATCH(B1873,mat_ref,0))),F1873))</f>
        <v/>
      </c>
      <c r="H1873" s="66" t="str">
        <f>IF(J1873&lt;&gt;"OK","",INDEX(mat_price,MATCH(B1873,mat_ref,0)))</f>
        <v/>
      </c>
      <c r="I1873" s="66" t="str">
        <f>IF(J1873&lt;&gt;"OK","",E1873*(1+G1873)*H1873)</f>
        <v/>
      </c>
      <c r="J1873" s="69" t="str">
        <f>IF(AND(A1873="",B1873=""),"",IF(A1873="","Produit manquant",IF(COUNTIF(prod_ref,A1873)=0,"Produit inconnu",IF(B1873="","Matière manquante",IF(ISNA(MATCH(B1873,mat_ref,0)),"Matière inconnue",IF(INDEX(mat_check,MATCH(B1873,mat_ref,0))&lt;&gt;"OK","Matière à corriger",IF(OR(NOT(ISNUMBER(E1873)),N(E1873)&lt;=0),"Quantité invalide",IF(AND(F1873&lt;&gt;"",OR(NOT(ISNUMBER(F1873)),N(F1873)&lt;0,N(F1873)&gt;=1)),"Perte entre 0 et 99 %",IF(COUNTIFS(bom_prod,A1873,bom_mat,B1873)&gt;1,"Matière en double","OK")))))))))</f>
        <v/>
      </c>
      <c r="K1873" s="71" t="str">
        <f>IF(AND(fiche_sel&lt;&gt;"",A1873=fiche_sel),COUNTIF(A$6:A1873,fiche_sel),"")</f>
        <v/>
      </c>
    </row>
    <row r="1874">
      <c r="A1874" s="60" t="n"/>
      <c r="B1874" s="60" t="n"/>
      <c r="C1874" s="71" t="str">
        <f>IF(B1874="","",IFERROR(INDEX(mat_des,MATCH(B1874,mat_ref,0))&amp;"","Matière inconnue"))</f>
        <v/>
      </c>
      <c r="D1874" s="69" t="str">
        <f>IF(B1874="","",IFERROR(INDEX(mat_unit,MATCH(B1874,mat_ref,0))&amp;"",""))</f>
        <v/>
      </c>
      <c r="E1874" s="72" t="n"/>
      <c r="F1874" s="65" t="n"/>
      <c r="G1874" s="68" t="str">
        <f>IF(J1874&lt;&gt;"OK","",IF(F1874="",N(INDEX(mat_loss,MATCH(B1874,mat_ref,0))),F1874))</f>
        <v/>
      </c>
      <c r="H1874" s="66" t="str">
        <f>IF(J1874&lt;&gt;"OK","",INDEX(mat_price,MATCH(B1874,mat_ref,0)))</f>
        <v/>
      </c>
      <c r="I1874" s="66" t="str">
        <f>IF(J1874&lt;&gt;"OK","",E1874*(1+G1874)*H1874)</f>
        <v/>
      </c>
      <c r="J1874" s="69" t="str">
        <f>IF(AND(A1874="",B1874=""),"",IF(A1874="","Produit manquant",IF(COUNTIF(prod_ref,A1874)=0,"Produit inconnu",IF(B1874="","Matière manquante",IF(ISNA(MATCH(B1874,mat_ref,0)),"Matière inconnue",IF(INDEX(mat_check,MATCH(B1874,mat_ref,0))&lt;&gt;"OK","Matière à corriger",IF(OR(NOT(ISNUMBER(E1874)),N(E1874)&lt;=0),"Quantité invalide",IF(AND(F1874&lt;&gt;"",OR(NOT(ISNUMBER(F1874)),N(F1874)&lt;0,N(F1874)&gt;=1)),"Perte entre 0 et 99 %",IF(COUNTIFS(bom_prod,A1874,bom_mat,B1874)&gt;1,"Matière en double","OK")))))))))</f>
        <v/>
      </c>
      <c r="K1874" s="71" t="str">
        <f>IF(AND(fiche_sel&lt;&gt;"",A1874=fiche_sel),COUNTIF(A$6:A1874,fiche_sel),"")</f>
        <v/>
      </c>
    </row>
    <row r="1875">
      <c r="A1875" s="60" t="n"/>
      <c r="B1875" s="60" t="n"/>
      <c r="C1875" s="71" t="str">
        <f>IF(B1875="","",IFERROR(INDEX(mat_des,MATCH(B1875,mat_ref,0))&amp;"","Matière inconnue"))</f>
        <v/>
      </c>
      <c r="D1875" s="69" t="str">
        <f>IF(B1875="","",IFERROR(INDEX(mat_unit,MATCH(B1875,mat_ref,0))&amp;"",""))</f>
        <v/>
      </c>
      <c r="E1875" s="72" t="n"/>
      <c r="F1875" s="65" t="n"/>
      <c r="G1875" s="68" t="str">
        <f>IF(J1875&lt;&gt;"OK","",IF(F1875="",N(INDEX(mat_loss,MATCH(B1875,mat_ref,0))),F1875))</f>
        <v/>
      </c>
      <c r="H1875" s="66" t="str">
        <f>IF(J1875&lt;&gt;"OK","",INDEX(mat_price,MATCH(B1875,mat_ref,0)))</f>
        <v/>
      </c>
      <c r="I1875" s="66" t="str">
        <f>IF(J1875&lt;&gt;"OK","",E1875*(1+G1875)*H1875)</f>
        <v/>
      </c>
      <c r="J1875" s="69" t="str">
        <f>IF(AND(A1875="",B1875=""),"",IF(A1875="","Produit manquant",IF(COUNTIF(prod_ref,A1875)=0,"Produit inconnu",IF(B1875="","Matière manquante",IF(ISNA(MATCH(B1875,mat_ref,0)),"Matière inconnue",IF(INDEX(mat_check,MATCH(B1875,mat_ref,0))&lt;&gt;"OK","Matière à corriger",IF(OR(NOT(ISNUMBER(E1875)),N(E1875)&lt;=0),"Quantité invalide",IF(AND(F1875&lt;&gt;"",OR(NOT(ISNUMBER(F1875)),N(F1875)&lt;0,N(F1875)&gt;=1)),"Perte entre 0 et 99 %",IF(COUNTIFS(bom_prod,A1875,bom_mat,B1875)&gt;1,"Matière en double","OK")))))))))</f>
        <v/>
      </c>
      <c r="K1875" s="71" t="str">
        <f>IF(AND(fiche_sel&lt;&gt;"",A1875=fiche_sel),COUNTIF(A$6:A1875,fiche_sel),"")</f>
        <v/>
      </c>
    </row>
    <row r="1876">
      <c r="A1876" s="60" t="n"/>
      <c r="B1876" s="60" t="n"/>
      <c r="C1876" s="71" t="str">
        <f>IF(B1876="","",IFERROR(INDEX(mat_des,MATCH(B1876,mat_ref,0))&amp;"","Matière inconnue"))</f>
        <v/>
      </c>
      <c r="D1876" s="69" t="str">
        <f>IF(B1876="","",IFERROR(INDEX(mat_unit,MATCH(B1876,mat_ref,0))&amp;"",""))</f>
        <v/>
      </c>
      <c r="E1876" s="72" t="n"/>
      <c r="F1876" s="65" t="n"/>
      <c r="G1876" s="68" t="str">
        <f>IF(J1876&lt;&gt;"OK","",IF(F1876="",N(INDEX(mat_loss,MATCH(B1876,mat_ref,0))),F1876))</f>
        <v/>
      </c>
      <c r="H1876" s="66" t="str">
        <f>IF(J1876&lt;&gt;"OK","",INDEX(mat_price,MATCH(B1876,mat_ref,0)))</f>
        <v/>
      </c>
      <c r="I1876" s="66" t="str">
        <f>IF(J1876&lt;&gt;"OK","",E1876*(1+G1876)*H1876)</f>
        <v/>
      </c>
      <c r="J1876" s="69" t="str">
        <f>IF(AND(A1876="",B1876=""),"",IF(A1876="","Produit manquant",IF(COUNTIF(prod_ref,A1876)=0,"Produit inconnu",IF(B1876="","Matière manquante",IF(ISNA(MATCH(B1876,mat_ref,0)),"Matière inconnue",IF(INDEX(mat_check,MATCH(B1876,mat_ref,0))&lt;&gt;"OK","Matière à corriger",IF(OR(NOT(ISNUMBER(E1876)),N(E1876)&lt;=0),"Quantité invalide",IF(AND(F1876&lt;&gt;"",OR(NOT(ISNUMBER(F1876)),N(F1876)&lt;0,N(F1876)&gt;=1)),"Perte entre 0 et 99 %",IF(COUNTIFS(bom_prod,A1876,bom_mat,B1876)&gt;1,"Matière en double","OK")))))))))</f>
        <v/>
      </c>
      <c r="K1876" s="71" t="str">
        <f>IF(AND(fiche_sel&lt;&gt;"",A1876=fiche_sel),COUNTIF(A$6:A1876,fiche_sel),"")</f>
        <v/>
      </c>
    </row>
    <row r="1877">
      <c r="A1877" s="60" t="n"/>
      <c r="B1877" s="60" t="n"/>
      <c r="C1877" s="71" t="str">
        <f>IF(B1877="","",IFERROR(INDEX(mat_des,MATCH(B1877,mat_ref,0))&amp;"","Matière inconnue"))</f>
        <v/>
      </c>
      <c r="D1877" s="69" t="str">
        <f>IF(B1877="","",IFERROR(INDEX(mat_unit,MATCH(B1877,mat_ref,0))&amp;"",""))</f>
        <v/>
      </c>
      <c r="E1877" s="72" t="n"/>
      <c r="F1877" s="65" t="n"/>
      <c r="G1877" s="68" t="str">
        <f>IF(J1877&lt;&gt;"OK","",IF(F1877="",N(INDEX(mat_loss,MATCH(B1877,mat_ref,0))),F1877))</f>
        <v/>
      </c>
      <c r="H1877" s="66" t="str">
        <f>IF(J1877&lt;&gt;"OK","",INDEX(mat_price,MATCH(B1877,mat_ref,0)))</f>
        <v/>
      </c>
      <c r="I1877" s="66" t="str">
        <f>IF(J1877&lt;&gt;"OK","",E1877*(1+G1877)*H1877)</f>
        <v/>
      </c>
      <c r="J1877" s="69" t="str">
        <f>IF(AND(A1877="",B1877=""),"",IF(A1877="","Produit manquant",IF(COUNTIF(prod_ref,A1877)=0,"Produit inconnu",IF(B1877="","Matière manquante",IF(ISNA(MATCH(B1877,mat_ref,0)),"Matière inconnue",IF(INDEX(mat_check,MATCH(B1877,mat_ref,0))&lt;&gt;"OK","Matière à corriger",IF(OR(NOT(ISNUMBER(E1877)),N(E1877)&lt;=0),"Quantité invalide",IF(AND(F1877&lt;&gt;"",OR(NOT(ISNUMBER(F1877)),N(F1877)&lt;0,N(F1877)&gt;=1)),"Perte entre 0 et 99 %",IF(COUNTIFS(bom_prod,A1877,bom_mat,B1877)&gt;1,"Matière en double","OK")))))))))</f>
        <v/>
      </c>
      <c r="K1877" s="71" t="str">
        <f>IF(AND(fiche_sel&lt;&gt;"",A1877=fiche_sel),COUNTIF(A$6:A1877,fiche_sel),"")</f>
        <v/>
      </c>
    </row>
    <row r="1878">
      <c r="A1878" s="60" t="n"/>
      <c r="B1878" s="60" t="n"/>
      <c r="C1878" s="71" t="str">
        <f>IF(B1878="","",IFERROR(INDEX(mat_des,MATCH(B1878,mat_ref,0))&amp;"","Matière inconnue"))</f>
        <v/>
      </c>
      <c r="D1878" s="69" t="str">
        <f>IF(B1878="","",IFERROR(INDEX(mat_unit,MATCH(B1878,mat_ref,0))&amp;"",""))</f>
        <v/>
      </c>
      <c r="E1878" s="72" t="n"/>
      <c r="F1878" s="65" t="n"/>
      <c r="G1878" s="68" t="str">
        <f>IF(J1878&lt;&gt;"OK","",IF(F1878="",N(INDEX(mat_loss,MATCH(B1878,mat_ref,0))),F1878))</f>
        <v/>
      </c>
      <c r="H1878" s="66" t="str">
        <f>IF(J1878&lt;&gt;"OK","",INDEX(mat_price,MATCH(B1878,mat_ref,0)))</f>
        <v/>
      </c>
      <c r="I1878" s="66" t="str">
        <f>IF(J1878&lt;&gt;"OK","",E1878*(1+G1878)*H1878)</f>
        <v/>
      </c>
      <c r="J1878" s="69" t="str">
        <f>IF(AND(A1878="",B1878=""),"",IF(A1878="","Produit manquant",IF(COUNTIF(prod_ref,A1878)=0,"Produit inconnu",IF(B1878="","Matière manquante",IF(ISNA(MATCH(B1878,mat_ref,0)),"Matière inconnue",IF(INDEX(mat_check,MATCH(B1878,mat_ref,0))&lt;&gt;"OK","Matière à corriger",IF(OR(NOT(ISNUMBER(E1878)),N(E1878)&lt;=0),"Quantité invalide",IF(AND(F1878&lt;&gt;"",OR(NOT(ISNUMBER(F1878)),N(F1878)&lt;0,N(F1878)&gt;=1)),"Perte entre 0 et 99 %",IF(COUNTIFS(bom_prod,A1878,bom_mat,B1878)&gt;1,"Matière en double","OK")))))))))</f>
        <v/>
      </c>
      <c r="K1878" s="71" t="str">
        <f>IF(AND(fiche_sel&lt;&gt;"",A1878=fiche_sel),COUNTIF(A$6:A1878,fiche_sel),"")</f>
        <v/>
      </c>
    </row>
    <row r="1879">
      <c r="A1879" s="60" t="n"/>
      <c r="B1879" s="60" t="n"/>
      <c r="C1879" s="71" t="str">
        <f>IF(B1879="","",IFERROR(INDEX(mat_des,MATCH(B1879,mat_ref,0))&amp;"","Matière inconnue"))</f>
        <v/>
      </c>
      <c r="D1879" s="69" t="str">
        <f>IF(B1879="","",IFERROR(INDEX(mat_unit,MATCH(B1879,mat_ref,0))&amp;"",""))</f>
        <v/>
      </c>
      <c r="E1879" s="72" t="n"/>
      <c r="F1879" s="65" t="n"/>
      <c r="G1879" s="68" t="str">
        <f>IF(J1879&lt;&gt;"OK","",IF(F1879="",N(INDEX(mat_loss,MATCH(B1879,mat_ref,0))),F1879))</f>
        <v/>
      </c>
      <c r="H1879" s="66" t="str">
        <f>IF(J1879&lt;&gt;"OK","",INDEX(mat_price,MATCH(B1879,mat_ref,0)))</f>
        <v/>
      </c>
      <c r="I1879" s="66" t="str">
        <f>IF(J1879&lt;&gt;"OK","",E1879*(1+G1879)*H1879)</f>
        <v/>
      </c>
      <c r="J1879" s="69" t="str">
        <f>IF(AND(A1879="",B1879=""),"",IF(A1879="","Produit manquant",IF(COUNTIF(prod_ref,A1879)=0,"Produit inconnu",IF(B1879="","Matière manquante",IF(ISNA(MATCH(B1879,mat_ref,0)),"Matière inconnue",IF(INDEX(mat_check,MATCH(B1879,mat_ref,0))&lt;&gt;"OK","Matière à corriger",IF(OR(NOT(ISNUMBER(E1879)),N(E1879)&lt;=0),"Quantité invalide",IF(AND(F1879&lt;&gt;"",OR(NOT(ISNUMBER(F1879)),N(F1879)&lt;0,N(F1879)&gt;=1)),"Perte entre 0 et 99 %",IF(COUNTIFS(bom_prod,A1879,bom_mat,B1879)&gt;1,"Matière en double","OK")))))))))</f>
        <v/>
      </c>
      <c r="K1879" s="71" t="str">
        <f>IF(AND(fiche_sel&lt;&gt;"",A1879=fiche_sel),COUNTIF(A$6:A1879,fiche_sel),"")</f>
        <v/>
      </c>
    </row>
    <row r="1880">
      <c r="A1880" s="60" t="n"/>
      <c r="B1880" s="60" t="n"/>
      <c r="C1880" s="71" t="str">
        <f>IF(B1880="","",IFERROR(INDEX(mat_des,MATCH(B1880,mat_ref,0))&amp;"","Matière inconnue"))</f>
        <v/>
      </c>
      <c r="D1880" s="69" t="str">
        <f>IF(B1880="","",IFERROR(INDEX(mat_unit,MATCH(B1880,mat_ref,0))&amp;"",""))</f>
        <v/>
      </c>
      <c r="E1880" s="72" t="n"/>
      <c r="F1880" s="65" t="n"/>
      <c r="G1880" s="68" t="str">
        <f>IF(J1880&lt;&gt;"OK","",IF(F1880="",N(INDEX(mat_loss,MATCH(B1880,mat_ref,0))),F1880))</f>
        <v/>
      </c>
      <c r="H1880" s="66" t="str">
        <f>IF(J1880&lt;&gt;"OK","",INDEX(mat_price,MATCH(B1880,mat_ref,0)))</f>
        <v/>
      </c>
      <c r="I1880" s="66" t="str">
        <f>IF(J1880&lt;&gt;"OK","",E1880*(1+G1880)*H1880)</f>
        <v/>
      </c>
      <c r="J1880" s="69" t="str">
        <f>IF(AND(A1880="",B1880=""),"",IF(A1880="","Produit manquant",IF(COUNTIF(prod_ref,A1880)=0,"Produit inconnu",IF(B1880="","Matière manquante",IF(ISNA(MATCH(B1880,mat_ref,0)),"Matière inconnue",IF(INDEX(mat_check,MATCH(B1880,mat_ref,0))&lt;&gt;"OK","Matière à corriger",IF(OR(NOT(ISNUMBER(E1880)),N(E1880)&lt;=0),"Quantité invalide",IF(AND(F1880&lt;&gt;"",OR(NOT(ISNUMBER(F1880)),N(F1880)&lt;0,N(F1880)&gt;=1)),"Perte entre 0 et 99 %",IF(COUNTIFS(bom_prod,A1880,bom_mat,B1880)&gt;1,"Matière en double","OK")))))))))</f>
        <v/>
      </c>
      <c r="K1880" s="71" t="str">
        <f>IF(AND(fiche_sel&lt;&gt;"",A1880=fiche_sel),COUNTIF(A$6:A1880,fiche_sel),"")</f>
        <v/>
      </c>
    </row>
    <row r="1881">
      <c r="A1881" s="60" t="n"/>
      <c r="B1881" s="60" t="n"/>
      <c r="C1881" s="71" t="str">
        <f>IF(B1881="","",IFERROR(INDEX(mat_des,MATCH(B1881,mat_ref,0))&amp;"","Matière inconnue"))</f>
        <v/>
      </c>
      <c r="D1881" s="69" t="str">
        <f>IF(B1881="","",IFERROR(INDEX(mat_unit,MATCH(B1881,mat_ref,0))&amp;"",""))</f>
        <v/>
      </c>
      <c r="E1881" s="72" t="n"/>
      <c r="F1881" s="65" t="n"/>
      <c r="G1881" s="68" t="str">
        <f>IF(J1881&lt;&gt;"OK","",IF(F1881="",N(INDEX(mat_loss,MATCH(B1881,mat_ref,0))),F1881))</f>
        <v/>
      </c>
      <c r="H1881" s="66" t="str">
        <f>IF(J1881&lt;&gt;"OK","",INDEX(mat_price,MATCH(B1881,mat_ref,0)))</f>
        <v/>
      </c>
      <c r="I1881" s="66" t="str">
        <f>IF(J1881&lt;&gt;"OK","",E1881*(1+G1881)*H1881)</f>
        <v/>
      </c>
      <c r="J1881" s="69" t="str">
        <f>IF(AND(A1881="",B1881=""),"",IF(A1881="","Produit manquant",IF(COUNTIF(prod_ref,A1881)=0,"Produit inconnu",IF(B1881="","Matière manquante",IF(ISNA(MATCH(B1881,mat_ref,0)),"Matière inconnue",IF(INDEX(mat_check,MATCH(B1881,mat_ref,0))&lt;&gt;"OK","Matière à corriger",IF(OR(NOT(ISNUMBER(E1881)),N(E1881)&lt;=0),"Quantité invalide",IF(AND(F1881&lt;&gt;"",OR(NOT(ISNUMBER(F1881)),N(F1881)&lt;0,N(F1881)&gt;=1)),"Perte entre 0 et 99 %",IF(COUNTIFS(bom_prod,A1881,bom_mat,B1881)&gt;1,"Matière en double","OK")))))))))</f>
        <v/>
      </c>
      <c r="K1881" s="71" t="str">
        <f>IF(AND(fiche_sel&lt;&gt;"",A1881=fiche_sel),COUNTIF(A$6:A1881,fiche_sel),"")</f>
        <v/>
      </c>
    </row>
    <row r="1882">
      <c r="A1882" s="60" t="n"/>
      <c r="B1882" s="60" t="n"/>
      <c r="C1882" s="71" t="str">
        <f>IF(B1882="","",IFERROR(INDEX(mat_des,MATCH(B1882,mat_ref,0))&amp;"","Matière inconnue"))</f>
        <v/>
      </c>
      <c r="D1882" s="69" t="str">
        <f>IF(B1882="","",IFERROR(INDEX(mat_unit,MATCH(B1882,mat_ref,0))&amp;"",""))</f>
        <v/>
      </c>
      <c r="E1882" s="72" t="n"/>
      <c r="F1882" s="65" t="n"/>
      <c r="G1882" s="68" t="str">
        <f>IF(J1882&lt;&gt;"OK","",IF(F1882="",N(INDEX(mat_loss,MATCH(B1882,mat_ref,0))),F1882))</f>
        <v/>
      </c>
      <c r="H1882" s="66" t="str">
        <f>IF(J1882&lt;&gt;"OK","",INDEX(mat_price,MATCH(B1882,mat_ref,0)))</f>
        <v/>
      </c>
      <c r="I1882" s="66" t="str">
        <f>IF(J1882&lt;&gt;"OK","",E1882*(1+G1882)*H1882)</f>
        <v/>
      </c>
      <c r="J1882" s="69" t="str">
        <f>IF(AND(A1882="",B1882=""),"",IF(A1882="","Produit manquant",IF(COUNTIF(prod_ref,A1882)=0,"Produit inconnu",IF(B1882="","Matière manquante",IF(ISNA(MATCH(B1882,mat_ref,0)),"Matière inconnue",IF(INDEX(mat_check,MATCH(B1882,mat_ref,0))&lt;&gt;"OK","Matière à corriger",IF(OR(NOT(ISNUMBER(E1882)),N(E1882)&lt;=0),"Quantité invalide",IF(AND(F1882&lt;&gt;"",OR(NOT(ISNUMBER(F1882)),N(F1882)&lt;0,N(F1882)&gt;=1)),"Perte entre 0 et 99 %",IF(COUNTIFS(bom_prod,A1882,bom_mat,B1882)&gt;1,"Matière en double","OK")))))))))</f>
        <v/>
      </c>
      <c r="K1882" s="71" t="str">
        <f>IF(AND(fiche_sel&lt;&gt;"",A1882=fiche_sel),COUNTIF(A$6:A1882,fiche_sel),"")</f>
        <v/>
      </c>
    </row>
    <row r="1883">
      <c r="A1883" s="60" t="n"/>
      <c r="B1883" s="60" t="n"/>
      <c r="C1883" s="71" t="str">
        <f>IF(B1883="","",IFERROR(INDEX(mat_des,MATCH(B1883,mat_ref,0))&amp;"","Matière inconnue"))</f>
        <v/>
      </c>
      <c r="D1883" s="69" t="str">
        <f>IF(B1883="","",IFERROR(INDEX(mat_unit,MATCH(B1883,mat_ref,0))&amp;"",""))</f>
        <v/>
      </c>
      <c r="E1883" s="72" t="n"/>
      <c r="F1883" s="65" t="n"/>
      <c r="G1883" s="68" t="str">
        <f>IF(J1883&lt;&gt;"OK","",IF(F1883="",N(INDEX(mat_loss,MATCH(B1883,mat_ref,0))),F1883))</f>
        <v/>
      </c>
      <c r="H1883" s="66" t="str">
        <f>IF(J1883&lt;&gt;"OK","",INDEX(mat_price,MATCH(B1883,mat_ref,0)))</f>
        <v/>
      </c>
      <c r="I1883" s="66" t="str">
        <f>IF(J1883&lt;&gt;"OK","",E1883*(1+G1883)*H1883)</f>
        <v/>
      </c>
      <c r="J1883" s="69" t="str">
        <f>IF(AND(A1883="",B1883=""),"",IF(A1883="","Produit manquant",IF(COUNTIF(prod_ref,A1883)=0,"Produit inconnu",IF(B1883="","Matière manquante",IF(ISNA(MATCH(B1883,mat_ref,0)),"Matière inconnue",IF(INDEX(mat_check,MATCH(B1883,mat_ref,0))&lt;&gt;"OK","Matière à corriger",IF(OR(NOT(ISNUMBER(E1883)),N(E1883)&lt;=0),"Quantité invalide",IF(AND(F1883&lt;&gt;"",OR(NOT(ISNUMBER(F1883)),N(F1883)&lt;0,N(F1883)&gt;=1)),"Perte entre 0 et 99 %",IF(COUNTIFS(bom_prod,A1883,bom_mat,B1883)&gt;1,"Matière en double","OK")))))))))</f>
        <v/>
      </c>
      <c r="K1883" s="71" t="str">
        <f>IF(AND(fiche_sel&lt;&gt;"",A1883=fiche_sel),COUNTIF(A$6:A1883,fiche_sel),"")</f>
        <v/>
      </c>
    </row>
    <row r="1884">
      <c r="A1884" s="60" t="n"/>
      <c r="B1884" s="60" t="n"/>
      <c r="C1884" s="71" t="str">
        <f>IF(B1884="","",IFERROR(INDEX(mat_des,MATCH(B1884,mat_ref,0))&amp;"","Matière inconnue"))</f>
        <v/>
      </c>
      <c r="D1884" s="69" t="str">
        <f>IF(B1884="","",IFERROR(INDEX(mat_unit,MATCH(B1884,mat_ref,0))&amp;"",""))</f>
        <v/>
      </c>
      <c r="E1884" s="72" t="n"/>
      <c r="F1884" s="65" t="n"/>
      <c r="G1884" s="68" t="str">
        <f>IF(J1884&lt;&gt;"OK","",IF(F1884="",N(INDEX(mat_loss,MATCH(B1884,mat_ref,0))),F1884))</f>
        <v/>
      </c>
      <c r="H1884" s="66" t="str">
        <f>IF(J1884&lt;&gt;"OK","",INDEX(mat_price,MATCH(B1884,mat_ref,0)))</f>
        <v/>
      </c>
      <c r="I1884" s="66" t="str">
        <f>IF(J1884&lt;&gt;"OK","",E1884*(1+G1884)*H1884)</f>
        <v/>
      </c>
      <c r="J1884" s="69" t="str">
        <f>IF(AND(A1884="",B1884=""),"",IF(A1884="","Produit manquant",IF(COUNTIF(prod_ref,A1884)=0,"Produit inconnu",IF(B1884="","Matière manquante",IF(ISNA(MATCH(B1884,mat_ref,0)),"Matière inconnue",IF(INDEX(mat_check,MATCH(B1884,mat_ref,0))&lt;&gt;"OK","Matière à corriger",IF(OR(NOT(ISNUMBER(E1884)),N(E1884)&lt;=0),"Quantité invalide",IF(AND(F1884&lt;&gt;"",OR(NOT(ISNUMBER(F1884)),N(F1884)&lt;0,N(F1884)&gt;=1)),"Perte entre 0 et 99 %",IF(COUNTIFS(bom_prod,A1884,bom_mat,B1884)&gt;1,"Matière en double","OK")))))))))</f>
        <v/>
      </c>
      <c r="K1884" s="71" t="str">
        <f>IF(AND(fiche_sel&lt;&gt;"",A1884=fiche_sel),COUNTIF(A$6:A1884,fiche_sel),"")</f>
        <v/>
      </c>
    </row>
    <row r="1885">
      <c r="A1885" s="60" t="n"/>
      <c r="B1885" s="60" t="n"/>
      <c r="C1885" s="71" t="str">
        <f>IF(B1885="","",IFERROR(INDEX(mat_des,MATCH(B1885,mat_ref,0))&amp;"","Matière inconnue"))</f>
        <v/>
      </c>
      <c r="D1885" s="69" t="str">
        <f>IF(B1885="","",IFERROR(INDEX(mat_unit,MATCH(B1885,mat_ref,0))&amp;"",""))</f>
        <v/>
      </c>
      <c r="E1885" s="72" t="n"/>
      <c r="F1885" s="65" t="n"/>
      <c r="G1885" s="68" t="str">
        <f>IF(J1885&lt;&gt;"OK","",IF(F1885="",N(INDEX(mat_loss,MATCH(B1885,mat_ref,0))),F1885))</f>
        <v/>
      </c>
      <c r="H1885" s="66" t="str">
        <f>IF(J1885&lt;&gt;"OK","",INDEX(mat_price,MATCH(B1885,mat_ref,0)))</f>
        <v/>
      </c>
      <c r="I1885" s="66" t="str">
        <f>IF(J1885&lt;&gt;"OK","",E1885*(1+G1885)*H1885)</f>
        <v/>
      </c>
      <c r="J1885" s="69" t="str">
        <f>IF(AND(A1885="",B1885=""),"",IF(A1885="","Produit manquant",IF(COUNTIF(prod_ref,A1885)=0,"Produit inconnu",IF(B1885="","Matière manquante",IF(ISNA(MATCH(B1885,mat_ref,0)),"Matière inconnue",IF(INDEX(mat_check,MATCH(B1885,mat_ref,0))&lt;&gt;"OK","Matière à corriger",IF(OR(NOT(ISNUMBER(E1885)),N(E1885)&lt;=0),"Quantité invalide",IF(AND(F1885&lt;&gt;"",OR(NOT(ISNUMBER(F1885)),N(F1885)&lt;0,N(F1885)&gt;=1)),"Perte entre 0 et 99 %",IF(COUNTIFS(bom_prod,A1885,bom_mat,B1885)&gt;1,"Matière en double","OK")))))))))</f>
        <v/>
      </c>
      <c r="K1885" s="71" t="str">
        <f>IF(AND(fiche_sel&lt;&gt;"",A1885=fiche_sel),COUNTIF(A$6:A1885,fiche_sel),"")</f>
        <v/>
      </c>
    </row>
    <row r="1886">
      <c r="A1886" s="60" t="n"/>
      <c r="B1886" s="60" t="n"/>
      <c r="C1886" s="71" t="str">
        <f>IF(B1886="","",IFERROR(INDEX(mat_des,MATCH(B1886,mat_ref,0))&amp;"","Matière inconnue"))</f>
        <v/>
      </c>
      <c r="D1886" s="69" t="str">
        <f>IF(B1886="","",IFERROR(INDEX(mat_unit,MATCH(B1886,mat_ref,0))&amp;"",""))</f>
        <v/>
      </c>
      <c r="E1886" s="72" t="n"/>
      <c r="F1886" s="65" t="n"/>
      <c r="G1886" s="68" t="str">
        <f>IF(J1886&lt;&gt;"OK","",IF(F1886="",N(INDEX(mat_loss,MATCH(B1886,mat_ref,0))),F1886))</f>
        <v/>
      </c>
      <c r="H1886" s="66" t="str">
        <f>IF(J1886&lt;&gt;"OK","",INDEX(mat_price,MATCH(B1886,mat_ref,0)))</f>
        <v/>
      </c>
      <c r="I1886" s="66" t="str">
        <f>IF(J1886&lt;&gt;"OK","",E1886*(1+G1886)*H1886)</f>
        <v/>
      </c>
      <c r="J1886" s="69" t="str">
        <f>IF(AND(A1886="",B1886=""),"",IF(A1886="","Produit manquant",IF(COUNTIF(prod_ref,A1886)=0,"Produit inconnu",IF(B1886="","Matière manquante",IF(ISNA(MATCH(B1886,mat_ref,0)),"Matière inconnue",IF(INDEX(mat_check,MATCH(B1886,mat_ref,0))&lt;&gt;"OK","Matière à corriger",IF(OR(NOT(ISNUMBER(E1886)),N(E1886)&lt;=0),"Quantité invalide",IF(AND(F1886&lt;&gt;"",OR(NOT(ISNUMBER(F1886)),N(F1886)&lt;0,N(F1886)&gt;=1)),"Perte entre 0 et 99 %",IF(COUNTIFS(bom_prod,A1886,bom_mat,B1886)&gt;1,"Matière en double","OK")))))))))</f>
        <v/>
      </c>
      <c r="K1886" s="71" t="str">
        <f>IF(AND(fiche_sel&lt;&gt;"",A1886=fiche_sel),COUNTIF(A$6:A1886,fiche_sel),"")</f>
        <v/>
      </c>
    </row>
    <row r="1887">
      <c r="A1887" s="60" t="n"/>
      <c r="B1887" s="60" t="n"/>
      <c r="C1887" s="71" t="str">
        <f>IF(B1887="","",IFERROR(INDEX(mat_des,MATCH(B1887,mat_ref,0))&amp;"","Matière inconnue"))</f>
        <v/>
      </c>
      <c r="D1887" s="69" t="str">
        <f>IF(B1887="","",IFERROR(INDEX(mat_unit,MATCH(B1887,mat_ref,0))&amp;"",""))</f>
        <v/>
      </c>
      <c r="E1887" s="72" t="n"/>
      <c r="F1887" s="65" t="n"/>
      <c r="G1887" s="68" t="str">
        <f>IF(J1887&lt;&gt;"OK","",IF(F1887="",N(INDEX(mat_loss,MATCH(B1887,mat_ref,0))),F1887))</f>
        <v/>
      </c>
      <c r="H1887" s="66" t="str">
        <f>IF(J1887&lt;&gt;"OK","",INDEX(mat_price,MATCH(B1887,mat_ref,0)))</f>
        <v/>
      </c>
      <c r="I1887" s="66" t="str">
        <f>IF(J1887&lt;&gt;"OK","",E1887*(1+G1887)*H1887)</f>
        <v/>
      </c>
      <c r="J1887" s="69" t="str">
        <f>IF(AND(A1887="",B1887=""),"",IF(A1887="","Produit manquant",IF(COUNTIF(prod_ref,A1887)=0,"Produit inconnu",IF(B1887="","Matière manquante",IF(ISNA(MATCH(B1887,mat_ref,0)),"Matière inconnue",IF(INDEX(mat_check,MATCH(B1887,mat_ref,0))&lt;&gt;"OK","Matière à corriger",IF(OR(NOT(ISNUMBER(E1887)),N(E1887)&lt;=0),"Quantité invalide",IF(AND(F1887&lt;&gt;"",OR(NOT(ISNUMBER(F1887)),N(F1887)&lt;0,N(F1887)&gt;=1)),"Perte entre 0 et 99 %",IF(COUNTIFS(bom_prod,A1887,bom_mat,B1887)&gt;1,"Matière en double","OK")))))))))</f>
        <v/>
      </c>
      <c r="K1887" s="71" t="str">
        <f>IF(AND(fiche_sel&lt;&gt;"",A1887=fiche_sel),COUNTIF(A$6:A1887,fiche_sel),"")</f>
        <v/>
      </c>
    </row>
    <row r="1888">
      <c r="A1888" s="60" t="n"/>
      <c r="B1888" s="60" t="n"/>
      <c r="C1888" s="71" t="str">
        <f>IF(B1888="","",IFERROR(INDEX(mat_des,MATCH(B1888,mat_ref,0))&amp;"","Matière inconnue"))</f>
        <v/>
      </c>
      <c r="D1888" s="69" t="str">
        <f>IF(B1888="","",IFERROR(INDEX(mat_unit,MATCH(B1888,mat_ref,0))&amp;"",""))</f>
        <v/>
      </c>
      <c r="E1888" s="72" t="n"/>
      <c r="F1888" s="65" t="n"/>
      <c r="G1888" s="68" t="str">
        <f>IF(J1888&lt;&gt;"OK","",IF(F1888="",N(INDEX(mat_loss,MATCH(B1888,mat_ref,0))),F1888))</f>
        <v/>
      </c>
      <c r="H1888" s="66" t="str">
        <f>IF(J1888&lt;&gt;"OK","",INDEX(mat_price,MATCH(B1888,mat_ref,0)))</f>
        <v/>
      </c>
      <c r="I1888" s="66" t="str">
        <f>IF(J1888&lt;&gt;"OK","",E1888*(1+G1888)*H1888)</f>
        <v/>
      </c>
      <c r="J1888" s="69" t="str">
        <f>IF(AND(A1888="",B1888=""),"",IF(A1888="","Produit manquant",IF(COUNTIF(prod_ref,A1888)=0,"Produit inconnu",IF(B1888="","Matière manquante",IF(ISNA(MATCH(B1888,mat_ref,0)),"Matière inconnue",IF(INDEX(mat_check,MATCH(B1888,mat_ref,0))&lt;&gt;"OK","Matière à corriger",IF(OR(NOT(ISNUMBER(E1888)),N(E1888)&lt;=0),"Quantité invalide",IF(AND(F1888&lt;&gt;"",OR(NOT(ISNUMBER(F1888)),N(F1888)&lt;0,N(F1888)&gt;=1)),"Perte entre 0 et 99 %",IF(COUNTIFS(bom_prod,A1888,bom_mat,B1888)&gt;1,"Matière en double","OK")))))))))</f>
        <v/>
      </c>
      <c r="K1888" s="71" t="str">
        <f>IF(AND(fiche_sel&lt;&gt;"",A1888=fiche_sel),COUNTIF(A$6:A1888,fiche_sel),"")</f>
        <v/>
      </c>
    </row>
    <row r="1889">
      <c r="A1889" s="60" t="n"/>
      <c r="B1889" s="60" t="n"/>
      <c r="C1889" s="71" t="str">
        <f>IF(B1889="","",IFERROR(INDEX(mat_des,MATCH(B1889,mat_ref,0))&amp;"","Matière inconnue"))</f>
        <v/>
      </c>
      <c r="D1889" s="69" t="str">
        <f>IF(B1889="","",IFERROR(INDEX(mat_unit,MATCH(B1889,mat_ref,0))&amp;"",""))</f>
        <v/>
      </c>
      <c r="E1889" s="72" t="n"/>
      <c r="F1889" s="65" t="n"/>
      <c r="G1889" s="68" t="str">
        <f>IF(J1889&lt;&gt;"OK","",IF(F1889="",N(INDEX(mat_loss,MATCH(B1889,mat_ref,0))),F1889))</f>
        <v/>
      </c>
      <c r="H1889" s="66" t="str">
        <f>IF(J1889&lt;&gt;"OK","",INDEX(mat_price,MATCH(B1889,mat_ref,0)))</f>
        <v/>
      </c>
      <c r="I1889" s="66" t="str">
        <f>IF(J1889&lt;&gt;"OK","",E1889*(1+G1889)*H1889)</f>
        <v/>
      </c>
      <c r="J1889" s="69" t="str">
        <f>IF(AND(A1889="",B1889=""),"",IF(A1889="","Produit manquant",IF(COUNTIF(prod_ref,A1889)=0,"Produit inconnu",IF(B1889="","Matière manquante",IF(ISNA(MATCH(B1889,mat_ref,0)),"Matière inconnue",IF(INDEX(mat_check,MATCH(B1889,mat_ref,0))&lt;&gt;"OK","Matière à corriger",IF(OR(NOT(ISNUMBER(E1889)),N(E1889)&lt;=0),"Quantité invalide",IF(AND(F1889&lt;&gt;"",OR(NOT(ISNUMBER(F1889)),N(F1889)&lt;0,N(F1889)&gt;=1)),"Perte entre 0 et 99 %",IF(COUNTIFS(bom_prod,A1889,bom_mat,B1889)&gt;1,"Matière en double","OK")))))))))</f>
        <v/>
      </c>
      <c r="K1889" s="71" t="str">
        <f>IF(AND(fiche_sel&lt;&gt;"",A1889=fiche_sel),COUNTIF(A$6:A1889,fiche_sel),"")</f>
        <v/>
      </c>
    </row>
    <row r="1890">
      <c r="A1890" s="60" t="n"/>
      <c r="B1890" s="60" t="n"/>
      <c r="C1890" s="71" t="str">
        <f>IF(B1890="","",IFERROR(INDEX(mat_des,MATCH(B1890,mat_ref,0))&amp;"","Matière inconnue"))</f>
        <v/>
      </c>
      <c r="D1890" s="69" t="str">
        <f>IF(B1890="","",IFERROR(INDEX(mat_unit,MATCH(B1890,mat_ref,0))&amp;"",""))</f>
        <v/>
      </c>
      <c r="E1890" s="72" t="n"/>
      <c r="F1890" s="65" t="n"/>
      <c r="G1890" s="68" t="str">
        <f>IF(J1890&lt;&gt;"OK","",IF(F1890="",N(INDEX(mat_loss,MATCH(B1890,mat_ref,0))),F1890))</f>
        <v/>
      </c>
      <c r="H1890" s="66" t="str">
        <f>IF(J1890&lt;&gt;"OK","",INDEX(mat_price,MATCH(B1890,mat_ref,0)))</f>
        <v/>
      </c>
      <c r="I1890" s="66" t="str">
        <f>IF(J1890&lt;&gt;"OK","",E1890*(1+G1890)*H1890)</f>
        <v/>
      </c>
      <c r="J1890" s="69" t="str">
        <f>IF(AND(A1890="",B1890=""),"",IF(A1890="","Produit manquant",IF(COUNTIF(prod_ref,A1890)=0,"Produit inconnu",IF(B1890="","Matière manquante",IF(ISNA(MATCH(B1890,mat_ref,0)),"Matière inconnue",IF(INDEX(mat_check,MATCH(B1890,mat_ref,0))&lt;&gt;"OK","Matière à corriger",IF(OR(NOT(ISNUMBER(E1890)),N(E1890)&lt;=0),"Quantité invalide",IF(AND(F1890&lt;&gt;"",OR(NOT(ISNUMBER(F1890)),N(F1890)&lt;0,N(F1890)&gt;=1)),"Perte entre 0 et 99 %",IF(COUNTIFS(bom_prod,A1890,bom_mat,B1890)&gt;1,"Matière en double","OK")))))))))</f>
        <v/>
      </c>
      <c r="K1890" s="71" t="str">
        <f>IF(AND(fiche_sel&lt;&gt;"",A1890=fiche_sel),COUNTIF(A$6:A1890,fiche_sel),"")</f>
        <v/>
      </c>
    </row>
    <row r="1891">
      <c r="A1891" s="60" t="n"/>
      <c r="B1891" s="60" t="n"/>
      <c r="C1891" s="71" t="str">
        <f>IF(B1891="","",IFERROR(INDEX(mat_des,MATCH(B1891,mat_ref,0))&amp;"","Matière inconnue"))</f>
        <v/>
      </c>
      <c r="D1891" s="69" t="str">
        <f>IF(B1891="","",IFERROR(INDEX(mat_unit,MATCH(B1891,mat_ref,0))&amp;"",""))</f>
        <v/>
      </c>
      <c r="E1891" s="72" t="n"/>
      <c r="F1891" s="65" t="n"/>
      <c r="G1891" s="68" t="str">
        <f>IF(J1891&lt;&gt;"OK","",IF(F1891="",N(INDEX(mat_loss,MATCH(B1891,mat_ref,0))),F1891))</f>
        <v/>
      </c>
      <c r="H1891" s="66" t="str">
        <f>IF(J1891&lt;&gt;"OK","",INDEX(mat_price,MATCH(B1891,mat_ref,0)))</f>
        <v/>
      </c>
      <c r="I1891" s="66" t="str">
        <f>IF(J1891&lt;&gt;"OK","",E1891*(1+G1891)*H1891)</f>
        <v/>
      </c>
      <c r="J1891" s="69" t="str">
        <f>IF(AND(A1891="",B1891=""),"",IF(A1891="","Produit manquant",IF(COUNTIF(prod_ref,A1891)=0,"Produit inconnu",IF(B1891="","Matière manquante",IF(ISNA(MATCH(B1891,mat_ref,0)),"Matière inconnue",IF(INDEX(mat_check,MATCH(B1891,mat_ref,0))&lt;&gt;"OK","Matière à corriger",IF(OR(NOT(ISNUMBER(E1891)),N(E1891)&lt;=0),"Quantité invalide",IF(AND(F1891&lt;&gt;"",OR(NOT(ISNUMBER(F1891)),N(F1891)&lt;0,N(F1891)&gt;=1)),"Perte entre 0 et 99 %",IF(COUNTIFS(bom_prod,A1891,bom_mat,B1891)&gt;1,"Matière en double","OK")))))))))</f>
        <v/>
      </c>
      <c r="K1891" s="71" t="str">
        <f>IF(AND(fiche_sel&lt;&gt;"",A1891=fiche_sel),COUNTIF(A$6:A1891,fiche_sel),"")</f>
        <v/>
      </c>
    </row>
    <row r="1892">
      <c r="A1892" s="60" t="n"/>
      <c r="B1892" s="60" t="n"/>
      <c r="C1892" s="71" t="str">
        <f>IF(B1892="","",IFERROR(INDEX(mat_des,MATCH(B1892,mat_ref,0))&amp;"","Matière inconnue"))</f>
        <v/>
      </c>
      <c r="D1892" s="69" t="str">
        <f>IF(B1892="","",IFERROR(INDEX(mat_unit,MATCH(B1892,mat_ref,0))&amp;"",""))</f>
        <v/>
      </c>
      <c r="E1892" s="72" t="n"/>
      <c r="F1892" s="65" t="n"/>
      <c r="G1892" s="68" t="str">
        <f>IF(J1892&lt;&gt;"OK","",IF(F1892="",N(INDEX(mat_loss,MATCH(B1892,mat_ref,0))),F1892))</f>
        <v/>
      </c>
      <c r="H1892" s="66" t="str">
        <f>IF(J1892&lt;&gt;"OK","",INDEX(mat_price,MATCH(B1892,mat_ref,0)))</f>
        <v/>
      </c>
      <c r="I1892" s="66" t="str">
        <f>IF(J1892&lt;&gt;"OK","",E1892*(1+G1892)*H1892)</f>
        <v/>
      </c>
      <c r="J1892" s="69" t="str">
        <f>IF(AND(A1892="",B1892=""),"",IF(A1892="","Produit manquant",IF(COUNTIF(prod_ref,A1892)=0,"Produit inconnu",IF(B1892="","Matière manquante",IF(ISNA(MATCH(B1892,mat_ref,0)),"Matière inconnue",IF(INDEX(mat_check,MATCH(B1892,mat_ref,0))&lt;&gt;"OK","Matière à corriger",IF(OR(NOT(ISNUMBER(E1892)),N(E1892)&lt;=0),"Quantité invalide",IF(AND(F1892&lt;&gt;"",OR(NOT(ISNUMBER(F1892)),N(F1892)&lt;0,N(F1892)&gt;=1)),"Perte entre 0 et 99 %",IF(COUNTIFS(bom_prod,A1892,bom_mat,B1892)&gt;1,"Matière en double","OK")))))))))</f>
        <v/>
      </c>
      <c r="K1892" s="71" t="str">
        <f>IF(AND(fiche_sel&lt;&gt;"",A1892=fiche_sel),COUNTIF(A$6:A1892,fiche_sel),"")</f>
        <v/>
      </c>
    </row>
    <row r="1893">
      <c r="A1893" s="60" t="n"/>
      <c r="B1893" s="60" t="n"/>
      <c r="C1893" s="71" t="str">
        <f>IF(B1893="","",IFERROR(INDEX(mat_des,MATCH(B1893,mat_ref,0))&amp;"","Matière inconnue"))</f>
        <v/>
      </c>
      <c r="D1893" s="69" t="str">
        <f>IF(B1893="","",IFERROR(INDEX(mat_unit,MATCH(B1893,mat_ref,0))&amp;"",""))</f>
        <v/>
      </c>
      <c r="E1893" s="72" t="n"/>
      <c r="F1893" s="65" t="n"/>
      <c r="G1893" s="68" t="str">
        <f>IF(J1893&lt;&gt;"OK","",IF(F1893="",N(INDEX(mat_loss,MATCH(B1893,mat_ref,0))),F1893))</f>
        <v/>
      </c>
      <c r="H1893" s="66" t="str">
        <f>IF(J1893&lt;&gt;"OK","",INDEX(mat_price,MATCH(B1893,mat_ref,0)))</f>
        <v/>
      </c>
      <c r="I1893" s="66" t="str">
        <f>IF(J1893&lt;&gt;"OK","",E1893*(1+G1893)*H1893)</f>
        <v/>
      </c>
      <c r="J1893" s="69" t="str">
        <f>IF(AND(A1893="",B1893=""),"",IF(A1893="","Produit manquant",IF(COUNTIF(prod_ref,A1893)=0,"Produit inconnu",IF(B1893="","Matière manquante",IF(ISNA(MATCH(B1893,mat_ref,0)),"Matière inconnue",IF(INDEX(mat_check,MATCH(B1893,mat_ref,0))&lt;&gt;"OK","Matière à corriger",IF(OR(NOT(ISNUMBER(E1893)),N(E1893)&lt;=0),"Quantité invalide",IF(AND(F1893&lt;&gt;"",OR(NOT(ISNUMBER(F1893)),N(F1893)&lt;0,N(F1893)&gt;=1)),"Perte entre 0 et 99 %",IF(COUNTIFS(bom_prod,A1893,bom_mat,B1893)&gt;1,"Matière en double","OK")))))))))</f>
        <v/>
      </c>
      <c r="K1893" s="71" t="str">
        <f>IF(AND(fiche_sel&lt;&gt;"",A1893=fiche_sel),COUNTIF(A$6:A1893,fiche_sel),"")</f>
        <v/>
      </c>
    </row>
    <row r="1894">
      <c r="A1894" s="60" t="n"/>
      <c r="B1894" s="60" t="n"/>
      <c r="C1894" s="71" t="str">
        <f>IF(B1894="","",IFERROR(INDEX(mat_des,MATCH(B1894,mat_ref,0))&amp;"","Matière inconnue"))</f>
        <v/>
      </c>
      <c r="D1894" s="69" t="str">
        <f>IF(B1894="","",IFERROR(INDEX(mat_unit,MATCH(B1894,mat_ref,0))&amp;"",""))</f>
        <v/>
      </c>
      <c r="E1894" s="72" t="n"/>
      <c r="F1894" s="65" t="n"/>
      <c r="G1894" s="68" t="str">
        <f>IF(J1894&lt;&gt;"OK","",IF(F1894="",N(INDEX(mat_loss,MATCH(B1894,mat_ref,0))),F1894))</f>
        <v/>
      </c>
      <c r="H1894" s="66" t="str">
        <f>IF(J1894&lt;&gt;"OK","",INDEX(mat_price,MATCH(B1894,mat_ref,0)))</f>
        <v/>
      </c>
      <c r="I1894" s="66" t="str">
        <f>IF(J1894&lt;&gt;"OK","",E1894*(1+G1894)*H1894)</f>
        <v/>
      </c>
      <c r="J1894" s="69" t="str">
        <f>IF(AND(A1894="",B1894=""),"",IF(A1894="","Produit manquant",IF(COUNTIF(prod_ref,A1894)=0,"Produit inconnu",IF(B1894="","Matière manquante",IF(ISNA(MATCH(B1894,mat_ref,0)),"Matière inconnue",IF(INDEX(mat_check,MATCH(B1894,mat_ref,0))&lt;&gt;"OK","Matière à corriger",IF(OR(NOT(ISNUMBER(E1894)),N(E1894)&lt;=0),"Quantité invalide",IF(AND(F1894&lt;&gt;"",OR(NOT(ISNUMBER(F1894)),N(F1894)&lt;0,N(F1894)&gt;=1)),"Perte entre 0 et 99 %",IF(COUNTIFS(bom_prod,A1894,bom_mat,B1894)&gt;1,"Matière en double","OK")))))))))</f>
        <v/>
      </c>
      <c r="K1894" s="71" t="str">
        <f>IF(AND(fiche_sel&lt;&gt;"",A1894=fiche_sel),COUNTIF(A$6:A1894,fiche_sel),"")</f>
        <v/>
      </c>
    </row>
    <row r="1895">
      <c r="A1895" s="60" t="n"/>
      <c r="B1895" s="60" t="n"/>
      <c r="C1895" s="71" t="str">
        <f>IF(B1895="","",IFERROR(INDEX(mat_des,MATCH(B1895,mat_ref,0))&amp;"","Matière inconnue"))</f>
        <v/>
      </c>
      <c r="D1895" s="69" t="str">
        <f>IF(B1895="","",IFERROR(INDEX(mat_unit,MATCH(B1895,mat_ref,0))&amp;"",""))</f>
        <v/>
      </c>
      <c r="E1895" s="72" t="n"/>
      <c r="F1895" s="65" t="n"/>
      <c r="G1895" s="68" t="str">
        <f>IF(J1895&lt;&gt;"OK","",IF(F1895="",N(INDEX(mat_loss,MATCH(B1895,mat_ref,0))),F1895))</f>
        <v/>
      </c>
      <c r="H1895" s="66" t="str">
        <f>IF(J1895&lt;&gt;"OK","",INDEX(mat_price,MATCH(B1895,mat_ref,0)))</f>
        <v/>
      </c>
      <c r="I1895" s="66" t="str">
        <f>IF(J1895&lt;&gt;"OK","",E1895*(1+G1895)*H1895)</f>
        <v/>
      </c>
      <c r="J1895" s="69" t="str">
        <f>IF(AND(A1895="",B1895=""),"",IF(A1895="","Produit manquant",IF(COUNTIF(prod_ref,A1895)=0,"Produit inconnu",IF(B1895="","Matière manquante",IF(ISNA(MATCH(B1895,mat_ref,0)),"Matière inconnue",IF(INDEX(mat_check,MATCH(B1895,mat_ref,0))&lt;&gt;"OK","Matière à corriger",IF(OR(NOT(ISNUMBER(E1895)),N(E1895)&lt;=0),"Quantité invalide",IF(AND(F1895&lt;&gt;"",OR(NOT(ISNUMBER(F1895)),N(F1895)&lt;0,N(F1895)&gt;=1)),"Perte entre 0 et 99 %",IF(COUNTIFS(bom_prod,A1895,bom_mat,B1895)&gt;1,"Matière en double","OK")))))))))</f>
        <v/>
      </c>
      <c r="K1895" s="71" t="str">
        <f>IF(AND(fiche_sel&lt;&gt;"",A1895=fiche_sel),COUNTIF(A$6:A1895,fiche_sel),"")</f>
        <v/>
      </c>
    </row>
    <row r="1896">
      <c r="A1896" s="60" t="n"/>
      <c r="B1896" s="60" t="n"/>
      <c r="C1896" s="71" t="str">
        <f>IF(B1896="","",IFERROR(INDEX(mat_des,MATCH(B1896,mat_ref,0))&amp;"","Matière inconnue"))</f>
        <v/>
      </c>
      <c r="D1896" s="69" t="str">
        <f>IF(B1896="","",IFERROR(INDEX(mat_unit,MATCH(B1896,mat_ref,0))&amp;"",""))</f>
        <v/>
      </c>
      <c r="E1896" s="72" t="n"/>
      <c r="F1896" s="65" t="n"/>
      <c r="G1896" s="68" t="str">
        <f>IF(J1896&lt;&gt;"OK","",IF(F1896="",N(INDEX(mat_loss,MATCH(B1896,mat_ref,0))),F1896))</f>
        <v/>
      </c>
      <c r="H1896" s="66" t="str">
        <f>IF(J1896&lt;&gt;"OK","",INDEX(mat_price,MATCH(B1896,mat_ref,0)))</f>
        <v/>
      </c>
      <c r="I1896" s="66" t="str">
        <f>IF(J1896&lt;&gt;"OK","",E1896*(1+G1896)*H1896)</f>
        <v/>
      </c>
      <c r="J1896" s="69" t="str">
        <f>IF(AND(A1896="",B1896=""),"",IF(A1896="","Produit manquant",IF(COUNTIF(prod_ref,A1896)=0,"Produit inconnu",IF(B1896="","Matière manquante",IF(ISNA(MATCH(B1896,mat_ref,0)),"Matière inconnue",IF(INDEX(mat_check,MATCH(B1896,mat_ref,0))&lt;&gt;"OK","Matière à corriger",IF(OR(NOT(ISNUMBER(E1896)),N(E1896)&lt;=0),"Quantité invalide",IF(AND(F1896&lt;&gt;"",OR(NOT(ISNUMBER(F1896)),N(F1896)&lt;0,N(F1896)&gt;=1)),"Perte entre 0 et 99 %",IF(COUNTIFS(bom_prod,A1896,bom_mat,B1896)&gt;1,"Matière en double","OK")))))))))</f>
        <v/>
      </c>
      <c r="K1896" s="71" t="str">
        <f>IF(AND(fiche_sel&lt;&gt;"",A1896=fiche_sel),COUNTIF(A$6:A1896,fiche_sel),"")</f>
        <v/>
      </c>
    </row>
    <row r="1897">
      <c r="A1897" s="60" t="n"/>
      <c r="B1897" s="60" t="n"/>
      <c r="C1897" s="71" t="str">
        <f>IF(B1897="","",IFERROR(INDEX(mat_des,MATCH(B1897,mat_ref,0))&amp;"","Matière inconnue"))</f>
        <v/>
      </c>
      <c r="D1897" s="69" t="str">
        <f>IF(B1897="","",IFERROR(INDEX(mat_unit,MATCH(B1897,mat_ref,0))&amp;"",""))</f>
        <v/>
      </c>
      <c r="E1897" s="72" t="n"/>
      <c r="F1897" s="65" t="n"/>
      <c r="G1897" s="68" t="str">
        <f>IF(J1897&lt;&gt;"OK","",IF(F1897="",N(INDEX(mat_loss,MATCH(B1897,mat_ref,0))),F1897))</f>
        <v/>
      </c>
      <c r="H1897" s="66" t="str">
        <f>IF(J1897&lt;&gt;"OK","",INDEX(mat_price,MATCH(B1897,mat_ref,0)))</f>
        <v/>
      </c>
      <c r="I1897" s="66" t="str">
        <f>IF(J1897&lt;&gt;"OK","",E1897*(1+G1897)*H1897)</f>
        <v/>
      </c>
      <c r="J1897" s="69" t="str">
        <f>IF(AND(A1897="",B1897=""),"",IF(A1897="","Produit manquant",IF(COUNTIF(prod_ref,A1897)=0,"Produit inconnu",IF(B1897="","Matière manquante",IF(ISNA(MATCH(B1897,mat_ref,0)),"Matière inconnue",IF(INDEX(mat_check,MATCH(B1897,mat_ref,0))&lt;&gt;"OK","Matière à corriger",IF(OR(NOT(ISNUMBER(E1897)),N(E1897)&lt;=0),"Quantité invalide",IF(AND(F1897&lt;&gt;"",OR(NOT(ISNUMBER(F1897)),N(F1897)&lt;0,N(F1897)&gt;=1)),"Perte entre 0 et 99 %",IF(COUNTIFS(bom_prod,A1897,bom_mat,B1897)&gt;1,"Matière en double","OK")))))))))</f>
        <v/>
      </c>
      <c r="K1897" s="71" t="str">
        <f>IF(AND(fiche_sel&lt;&gt;"",A1897=fiche_sel),COUNTIF(A$6:A1897,fiche_sel),"")</f>
        <v/>
      </c>
    </row>
    <row r="1898">
      <c r="A1898" s="60" t="n"/>
      <c r="B1898" s="60" t="n"/>
      <c r="C1898" s="71" t="str">
        <f>IF(B1898="","",IFERROR(INDEX(mat_des,MATCH(B1898,mat_ref,0))&amp;"","Matière inconnue"))</f>
        <v/>
      </c>
      <c r="D1898" s="69" t="str">
        <f>IF(B1898="","",IFERROR(INDEX(mat_unit,MATCH(B1898,mat_ref,0))&amp;"",""))</f>
        <v/>
      </c>
      <c r="E1898" s="72" t="n"/>
      <c r="F1898" s="65" t="n"/>
      <c r="G1898" s="68" t="str">
        <f>IF(J1898&lt;&gt;"OK","",IF(F1898="",N(INDEX(mat_loss,MATCH(B1898,mat_ref,0))),F1898))</f>
        <v/>
      </c>
      <c r="H1898" s="66" t="str">
        <f>IF(J1898&lt;&gt;"OK","",INDEX(mat_price,MATCH(B1898,mat_ref,0)))</f>
        <v/>
      </c>
      <c r="I1898" s="66" t="str">
        <f>IF(J1898&lt;&gt;"OK","",E1898*(1+G1898)*H1898)</f>
        <v/>
      </c>
      <c r="J1898" s="69" t="str">
        <f>IF(AND(A1898="",B1898=""),"",IF(A1898="","Produit manquant",IF(COUNTIF(prod_ref,A1898)=0,"Produit inconnu",IF(B1898="","Matière manquante",IF(ISNA(MATCH(B1898,mat_ref,0)),"Matière inconnue",IF(INDEX(mat_check,MATCH(B1898,mat_ref,0))&lt;&gt;"OK","Matière à corriger",IF(OR(NOT(ISNUMBER(E1898)),N(E1898)&lt;=0),"Quantité invalide",IF(AND(F1898&lt;&gt;"",OR(NOT(ISNUMBER(F1898)),N(F1898)&lt;0,N(F1898)&gt;=1)),"Perte entre 0 et 99 %",IF(COUNTIFS(bom_prod,A1898,bom_mat,B1898)&gt;1,"Matière en double","OK")))))))))</f>
        <v/>
      </c>
      <c r="K1898" s="71" t="str">
        <f>IF(AND(fiche_sel&lt;&gt;"",A1898=fiche_sel),COUNTIF(A$6:A1898,fiche_sel),"")</f>
        <v/>
      </c>
    </row>
    <row r="1899">
      <c r="A1899" s="60" t="n"/>
      <c r="B1899" s="60" t="n"/>
      <c r="C1899" s="71" t="str">
        <f>IF(B1899="","",IFERROR(INDEX(mat_des,MATCH(B1899,mat_ref,0))&amp;"","Matière inconnue"))</f>
        <v/>
      </c>
      <c r="D1899" s="69" t="str">
        <f>IF(B1899="","",IFERROR(INDEX(mat_unit,MATCH(B1899,mat_ref,0))&amp;"",""))</f>
        <v/>
      </c>
      <c r="E1899" s="72" t="n"/>
      <c r="F1899" s="65" t="n"/>
      <c r="G1899" s="68" t="str">
        <f>IF(J1899&lt;&gt;"OK","",IF(F1899="",N(INDEX(mat_loss,MATCH(B1899,mat_ref,0))),F1899))</f>
        <v/>
      </c>
      <c r="H1899" s="66" t="str">
        <f>IF(J1899&lt;&gt;"OK","",INDEX(mat_price,MATCH(B1899,mat_ref,0)))</f>
        <v/>
      </c>
      <c r="I1899" s="66" t="str">
        <f>IF(J1899&lt;&gt;"OK","",E1899*(1+G1899)*H1899)</f>
        <v/>
      </c>
      <c r="J1899" s="69" t="str">
        <f>IF(AND(A1899="",B1899=""),"",IF(A1899="","Produit manquant",IF(COUNTIF(prod_ref,A1899)=0,"Produit inconnu",IF(B1899="","Matière manquante",IF(ISNA(MATCH(B1899,mat_ref,0)),"Matière inconnue",IF(INDEX(mat_check,MATCH(B1899,mat_ref,0))&lt;&gt;"OK","Matière à corriger",IF(OR(NOT(ISNUMBER(E1899)),N(E1899)&lt;=0),"Quantité invalide",IF(AND(F1899&lt;&gt;"",OR(NOT(ISNUMBER(F1899)),N(F1899)&lt;0,N(F1899)&gt;=1)),"Perte entre 0 et 99 %",IF(COUNTIFS(bom_prod,A1899,bom_mat,B1899)&gt;1,"Matière en double","OK")))))))))</f>
        <v/>
      </c>
      <c r="K1899" s="71" t="str">
        <f>IF(AND(fiche_sel&lt;&gt;"",A1899=fiche_sel),COUNTIF(A$6:A1899,fiche_sel),"")</f>
        <v/>
      </c>
    </row>
    <row r="1900">
      <c r="A1900" s="60" t="n"/>
      <c r="B1900" s="60" t="n"/>
      <c r="C1900" s="71" t="str">
        <f>IF(B1900="","",IFERROR(INDEX(mat_des,MATCH(B1900,mat_ref,0))&amp;"","Matière inconnue"))</f>
        <v/>
      </c>
      <c r="D1900" s="69" t="str">
        <f>IF(B1900="","",IFERROR(INDEX(mat_unit,MATCH(B1900,mat_ref,0))&amp;"",""))</f>
        <v/>
      </c>
      <c r="E1900" s="72" t="n"/>
      <c r="F1900" s="65" t="n"/>
      <c r="G1900" s="68" t="str">
        <f>IF(J1900&lt;&gt;"OK","",IF(F1900="",N(INDEX(mat_loss,MATCH(B1900,mat_ref,0))),F1900))</f>
        <v/>
      </c>
      <c r="H1900" s="66" t="str">
        <f>IF(J1900&lt;&gt;"OK","",INDEX(mat_price,MATCH(B1900,mat_ref,0)))</f>
        <v/>
      </c>
      <c r="I1900" s="66" t="str">
        <f>IF(J1900&lt;&gt;"OK","",E1900*(1+G1900)*H1900)</f>
        <v/>
      </c>
      <c r="J1900" s="69" t="str">
        <f>IF(AND(A1900="",B1900=""),"",IF(A1900="","Produit manquant",IF(COUNTIF(prod_ref,A1900)=0,"Produit inconnu",IF(B1900="","Matière manquante",IF(ISNA(MATCH(B1900,mat_ref,0)),"Matière inconnue",IF(INDEX(mat_check,MATCH(B1900,mat_ref,0))&lt;&gt;"OK","Matière à corriger",IF(OR(NOT(ISNUMBER(E1900)),N(E1900)&lt;=0),"Quantité invalide",IF(AND(F1900&lt;&gt;"",OR(NOT(ISNUMBER(F1900)),N(F1900)&lt;0,N(F1900)&gt;=1)),"Perte entre 0 et 99 %",IF(COUNTIFS(bom_prod,A1900,bom_mat,B1900)&gt;1,"Matière en double","OK")))))))))</f>
        <v/>
      </c>
      <c r="K1900" s="71" t="str">
        <f>IF(AND(fiche_sel&lt;&gt;"",A1900=fiche_sel),COUNTIF(A$6:A1900,fiche_sel),"")</f>
        <v/>
      </c>
    </row>
    <row r="1901">
      <c r="A1901" s="60" t="n"/>
      <c r="B1901" s="60" t="n"/>
      <c r="C1901" s="71" t="str">
        <f>IF(B1901="","",IFERROR(INDEX(mat_des,MATCH(B1901,mat_ref,0))&amp;"","Matière inconnue"))</f>
        <v/>
      </c>
      <c r="D1901" s="69" t="str">
        <f>IF(B1901="","",IFERROR(INDEX(mat_unit,MATCH(B1901,mat_ref,0))&amp;"",""))</f>
        <v/>
      </c>
      <c r="E1901" s="72" t="n"/>
      <c r="F1901" s="65" t="n"/>
      <c r="G1901" s="68" t="str">
        <f>IF(J1901&lt;&gt;"OK","",IF(F1901="",N(INDEX(mat_loss,MATCH(B1901,mat_ref,0))),F1901))</f>
        <v/>
      </c>
      <c r="H1901" s="66" t="str">
        <f>IF(J1901&lt;&gt;"OK","",INDEX(mat_price,MATCH(B1901,mat_ref,0)))</f>
        <v/>
      </c>
      <c r="I1901" s="66" t="str">
        <f>IF(J1901&lt;&gt;"OK","",E1901*(1+G1901)*H1901)</f>
        <v/>
      </c>
      <c r="J1901" s="69" t="str">
        <f>IF(AND(A1901="",B1901=""),"",IF(A1901="","Produit manquant",IF(COUNTIF(prod_ref,A1901)=0,"Produit inconnu",IF(B1901="","Matière manquante",IF(ISNA(MATCH(B1901,mat_ref,0)),"Matière inconnue",IF(INDEX(mat_check,MATCH(B1901,mat_ref,0))&lt;&gt;"OK","Matière à corriger",IF(OR(NOT(ISNUMBER(E1901)),N(E1901)&lt;=0),"Quantité invalide",IF(AND(F1901&lt;&gt;"",OR(NOT(ISNUMBER(F1901)),N(F1901)&lt;0,N(F1901)&gt;=1)),"Perte entre 0 et 99 %",IF(COUNTIFS(bom_prod,A1901,bom_mat,B1901)&gt;1,"Matière en double","OK")))))))))</f>
        <v/>
      </c>
      <c r="K1901" s="71" t="str">
        <f>IF(AND(fiche_sel&lt;&gt;"",A1901=fiche_sel),COUNTIF(A$6:A1901,fiche_sel),"")</f>
        <v/>
      </c>
    </row>
    <row r="1902">
      <c r="A1902" s="60" t="n"/>
      <c r="B1902" s="60" t="n"/>
      <c r="C1902" s="71" t="str">
        <f>IF(B1902="","",IFERROR(INDEX(mat_des,MATCH(B1902,mat_ref,0))&amp;"","Matière inconnue"))</f>
        <v/>
      </c>
      <c r="D1902" s="69" t="str">
        <f>IF(B1902="","",IFERROR(INDEX(mat_unit,MATCH(B1902,mat_ref,0))&amp;"",""))</f>
        <v/>
      </c>
      <c r="E1902" s="72" t="n"/>
      <c r="F1902" s="65" t="n"/>
      <c r="G1902" s="68" t="str">
        <f>IF(J1902&lt;&gt;"OK","",IF(F1902="",N(INDEX(mat_loss,MATCH(B1902,mat_ref,0))),F1902))</f>
        <v/>
      </c>
      <c r="H1902" s="66" t="str">
        <f>IF(J1902&lt;&gt;"OK","",INDEX(mat_price,MATCH(B1902,mat_ref,0)))</f>
        <v/>
      </c>
      <c r="I1902" s="66" t="str">
        <f>IF(J1902&lt;&gt;"OK","",E1902*(1+G1902)*H1902)</f>
        <v/>
      </c>
      <c r="J1902" s="69" t="str">
        <f>IF(AND(A1902="",B1902=""),"",IF(A1902="","Produit manquant",IF(COUNTIF(prod_ref,A1902)=0,"Produit inconnu",IF(B1902="","Matière manquante",IF(ISNA(MATCH(B1902,mat_ref,0)),"Matière inconnue",IF(INDEX(mat_check,MATCH(B1902,mat_ref,0))&lt;&gt;"OK","Matière à corriger",IF(OR(NOT(ISNUMBER(E1902)),N(E1902)&lt;=0),"Quantité invalide",IF(AND(F1902&lt;&gt;"",OR(NOT(ISNUMBER(F1902)),N(F1902)&lt;0,N(F1902)&gt;=1)),"Perte entre 0 et 99 %",IF(COUNTIFS(bom_prod,A1902,bom_mat,B1902)&gt;1,"Matière en double","OK")))))))))</f>
        <v/>
      </c>
      <c r="K1902" s="71" t="str">
        <f>IF(AND(fiche_sel&lt;&gt;"",A1902=fiche_sel),COUNTIF(A$6:A1902,fiche_sel),"")</f>
        <v/>
      </c>
    </row>
    <row r="1903">
      <c r="A1903" s="60" t="n"/>
      <c r="B1903" s="60" t="n"/>
      <c r="C1903" s="71" t="str">
        <f>IF(B1903="","",IFERROR(INDEX(mat_des,MATCH(B1903,mat_ref,0))&amp;"","Matière inconnue"))</f>
        <v/>
      </c>
      <c r="D1903" s="69" t="str">
        <f>IF(B1903="","",IFERROR(INDEX(mat_unit,MATCH(B1903,mat_ref,0))&amp;"",""))</f>
        <v/>
      </c>
      <c r="E1903" s="72" t="n"/>
      <c r="F1903" s="65" t="n"/>
      <c r="G1903" s="68" t="str">
        <f>IF(J1903&lt;&gt;"OK","",IF(F1903="",N(INDEX(mat_loss,MATCH(B1903,mat_ref,0))),F1903))</f>
        <v/>
      </c>
      <c r="H1903" s="66" t="str">
        <f>IF(J1903&lt;&gt;"OK","",INDEX(mat_price,MATCH(B1903,mat_ref,0)))</f>
        <v/>
      </c>
      <c r="I1903" s="66" t="str">
        <f>IF(J1903&lt;&gt;"OK","",E1903*(1+G1903)*H1903)</f>
        <v/>
      </c>
      <c r="J1903" s="69" t="str">
        <f>IF(AND(A1903="",B1903=""),"",IF(A1903="","Produit manquant",IF(COUNTIF(prod_ref,A1903)=0,"Produit inconnu",IF(B1903="","Matière manquante",IF(ISNA(MATCH(B1903,mat_ref,0)),"Matière inconnue",IF(INDEX(mat_check,MATCH(B1903,mat_ref,0))&lt;&gt;"OK","Matière à corriger",IF(OR(NOT(ISNUMBER(E1903)),N(E1903)&lt;=0),"Quantité invalide",IF(AND(F1903&lt;&gt;"",OR(NOT(ISNUMBER(F1903)),N(F1903)&lt;0,N(F1903)&gt;=1)),"Perte entre 0 et 99 %",IF(COUNTIFS(bom_prod,A1903,bom_mat,B1903)&gt;1,"Matière en double","OK")))))))))</f>
        <v/>
      </c>
      <c r="K1903" s="71" t="str">
        <f>IF(AND(fiche_sel&lt;&gt;"",A1903=fiche_sel),COUNTIF(A$6:A1903,fiche_sel),"")</f>
        <v/>
      </c>
    </row>
    <row r="1904">
      <c r="A1904" s="60" t="n"/>
      <c r="B1904" s="60" t="n"/>
      <c r="C1904" s="71" t="str">
        <f>IF(B1904="","",IFERROR(INDEX(mat_des,MATCH(B1904,mat_ref,0))&amp;"","Matière inconnue"))</f>
        <v/>
      </c>
      <c r="D1904" s="69" t="str">
        <f>IF(B1904="","",IFERROR(INDEX(mat_unit,MATCH(B1904,mat_ref,0))&amp;"",""))</f>
        <v/>
      </c>
      <c r="E1904" s="72" t="n"/>
      <c r="F1904" s="65" t="n"/>
      <c r="G1904" s="68" t="str">
        <f>IF(J1904&lt;&gt;"OK","",IF(F1904="",N(INDEX(mat_loss,MATCH(B1904,mat_ref,0))),F1904))</f>
        <v/>
      </c>
      <c r="H1904" s="66" t="str">
        <f>IF(J1904&lt;&gt;"OK","",INDEX(mat_price,MATCH(B1904,mat_ref,0)))</f>
        <v/>
      </c>
      <c r="I1904" s="66" t="str">
        <f>IF(J1904&lt;&gt;"OK","",E1904*(1+G1904)*H1904)</f>
        <v/>
      </c>
      <c r="J1904" s="69" t="str">
        <f>IF(AND(A1904="",B1904=""),"",IF(A1904="","Produit manquant",IF(COUNTIF(prod_ref,A1904)=0,"Produit inconnu",IF(B1904="","Matière manquante",IF(ISNA(MATCH(B1904,mat_ref,0)),"Matière inconnue",IF(INDEX(mat_check,MATCH(B1904,mat_ref,0))&lt;&gt;"OK","Matière à corriger",IF(OR(NOT(ISNUMBER(E1904)),N(E1904)&lt;=0),"Quantité invalide",IF(AND(F1904&lt;&gt;"",OR(NOT(ISNUMBER(F1904)),N(F1904)&lt;0,N(F1904)&gt;=1)),"Perte entre 0 et 99 %",IF(COUNTIFS(bom_prod,A1904,bom_mat,B1904)&gt;1,"Matière en double","OK")))))))))</f>
        <v/>
      </c>
      <c r="K1904" s="71" t="str">
        <f>IF(AND(fiche_sel&lt;&gt;"",A1904=fiche_sel),COUNTIF(A$6:A1904,fiche_sel),"")</f>
        <v/>
      </c>
    </row>
    <row r="1905">
      <c r="A1905" s="60" t="n"/>
      <c r="B1905" s="60" t="n"/>
      <c r="C1905" s="71" t="str">
        <f>IF(B1905="","",IFERROR(INDEX(mat_des,MATCH(B1905,mat_ref,0))&amp;"","Matière inconnue"))</f>
        <v/>
      </c>
      <c r="D1905" s="69" t="str">
        <f>IF(B1905="","",IFERROR(INDEX(mat_unit,MATCH(B1905,mat_ref,0))&amp;"",""))</f>
        <v/>
      </c>
      <c r="E1905" s="72" t="n"/>
      <c r="F1905" s="65" t="n"/>
      <c r="G1905" s="68" t="str">
        <f>IF(J1905&lt;&gt;"OK","",IF(F1905="",N(INDEX(mat_loss,MATCH(B1905,mat_ref,0))),F1905))</f>
        <v/>
      </c>
      <c r="H1905" s="66" t="str">
        <f>IF(J1905&lt;&gt;"OK","",INDEX(mat_price,MATCH(B1905,mat_ref,0)))</f>
        <v/>
      </c>
      <c r="I1905" s="66" t="str">
        <f>IF(J1905&lt;&gt;"OK","",E1905*(1+G1905)*H1905)</f>
        <v/>
      </c>
      <c r="J1905" s="69" t="str">
        <f>IF(AND(A1905="",B1905=""),"",IF(A1905="","Produit manquant",IF(COUNTIF(prod_ref,A1905)=0,"Produit inconnu",IF(B1905="","Matière manquante",IF(ISNA(MATCH(B1905,mat_ref,0)),"Matière inconnue",IF(INDEX(mat_check,MATCH(B1905,mat_ref,0))&lt;&gt;"OK","Matière à corriger",IF(OR(NOT(ISNUMBER(E1905)),N(E1905)&lt;=0),"Quantité invalide",IF(AND(F1905&lt;&gt;"",OR(NOT(ISNUMBER(F1905)),N(F1905)&lt;0,N(F1905)&gt;=1)),"Perte entre 0 et 99 %",IF(COUNTIFS(bom_prod,A1905,bom_mat,B1905)&gt;1,"Matière en double","OK")))))))))</f>
        <v/>
      </c>
      <c r="K1905" s="71" t="str">
        <f>IF(AND(fiche_sel&lt;&gt;"",A1905=fiche_sel),COUNTIF(A$6:A1905,fiche_sel),"")</f>
        <v/>
      </c>
    </row>
    <row r="1906">
      <c r="A1906" s="60" t="n"/>
      <c r="B1906" s="60" t="n"/>
      <c r="C1906" s="71" t="str">
        <f>IF(B1906="","",IFERROR(INDEX(mat_des,MATCH(B1906,mat_ref,0))&amp;"","Matière inconnue"))</f>
        <v/>
      </c>
      <c r="D1906" s="69" t="str">
        <f>IF(B1906="","",IFERROR(INDEX(mat_unit,MATCH(B1906,mat_ref,0))&amp;"",""))</f>
        <v/>
      </c>
      <c r="E1906" s="72" t="n"/>
      <c r="F1906" s="65" t="n"/>
      <c r="G1906" s="68" t="str">
        <f>IF(J1906&lt;&gt;"OK","",IF(F1906="",N(INDEX(mat_loss,MATCH(B1906,mat_ref,0))),F1906))</f>
        <v/>
      </c>
      <c r="H1906" s="66" t="str">
        <f>IF(J1906&lt;&gt;"OK","",INDEX(mat_price,MATCH(B1906,mat_ref,0)))</f>
        <v/>
      </c>
      <c r="I1906" s="66" t="str">
        <f>IF(J1906&lt;&gt;"OK","",E1906*(1+G1906)*H1906)</f>
        <v/>
      </c>
      <c r="J1906" s="69" t="str">
        <f>IF(AND(A1906="",B1906=""),"",IF(A1906="","Produit manquant",IF(COUNTIF(prod_ref,A1906)=0,"Produit inconnu",IF(B1906="","Matière manquante",IF(ISNA(MATCH(B1906,mat_ref,0)),"Matière inconnue",IF(INDEX(mat_check,MATCH(B1906,mat_ref,0))&lt;&gt;"OK","Matière à corriger",IF(OR(NOT(ISNUMBER(E1906)),N(E1906)&lt;=0),"Quantité invalide",IF(AND(F1906&lt;&gt;"",OR(NOT(ISNUMBER(F1906)),N(F1906)&lt;0,N(F1906)&gt;=1)),"Perte entre 0 et 99 %",IF(COUNTIFS(bom_prod,A1906,bom_mat,B1906)&gt;1,"Matière en double","OK")))))))))</f>
        <v/>
      </c>
      <c r="K1906" s="71" t="str">
        <f>IF(AND(fiche_sel&lt;&gt;"",A1906=fiche_sel),COUNTIF(A$6:A1906,fiche_sel),"")</f>
        <v/>
      </c>
    </row>
    <row r="1907">
      <c r="A1907" s="60" t="n"/>
      <c r="B1907" s="60" t="n"/>
      <c r="C1907" s="71" t="str">
        <f>IF(B1907="","",IFERROR(INDEX(mat_des,MATCH(B1907,mat_ref,0))&amp;"","Matière inconnue"))</f>
        <v/>
      </c>
      <c r="D1907" s="69" t="str">
        <f>IF(B1907="","",IFERROR(INDEX(mat_unit,MATCH(B1907,mat_ref,0))&amp;"",""))</f>
        <v/>
      </c>
      <c r="E1907" s="72" t="n"/>
      <c r="F1907" s="65" t="n"/>
      <c r="G1907" s="68" t="str">
        <f>IF(J1907&lt;&gt;"OK","",IF(F1907="",N(INDEX(mat_loss,MATCH(B1907,mat_ref,0))),F1907))</f>
        <v/>
      </c>
      <c r="H1907" s="66" t="str">
        <f>IF(J1907&lt;&gt;"OK","",INDEX(mat_price,MATCH(B1907,mat_ref,0)))</f>
        <v/>
      </c>
      <c r="I1907" s="66" t="str">
        <f>IF(J1907&lt;&gt;"OK","",E1907*(1+G1907)*H1907)</f>
        <v/>
      </c>
      <c r="J1907" s="69" t="str">
        <f>IF(AND(A1907="",B1907=""),"",IF(A1907="","Produit manquant",IF(COUNTIF(prod_ref,A1907)=0,"Produit inconnu",IF(B1907="","Matière manquante",IF(ISNA(MATCH(B1907,mat_ref,0)),"Matière inconnue",IF(INDEX(mat_check,MATCH(B1907,mat_ref,0))&lt;&gt;"OK","Matière à corriger",IF(OR(NOT(ISNUMBER(E1907)),N(E1907)&lt;=0),"Quantité invalide",IF(AND(F1907&lt;&gt;"",OR(NOT(ISNUMBER(F1907)),N(F1907)&lt;0,N(F1907)&gt;=1)),"Perte entre 0 et 99 %",IF(COUNTIFS(bom_prod,A1907,bom_mat,B1907)&gt;1,"Matière en double","OK")))))))))</f>
        <v/>
      </c>
      <c r="K1907" s="71" t="str">
        <f>IF(AND(fiche_sel&lt;&gt;"",A1907=fiche_sel),COUNTIF(A$6:A1907,fiche_sel),"")</f>
        <v/>
      </c>
    </row>
    <row r="1908">
      <c r="A1908" s="60" t="n"/>
      <c r="B1908" s="60" t="n"/>
      <c r="C1908" s="71" t="str">
        <f>IF(B1908="","",IFERROR(INDEX(mat_des,MATCH(B1908,mat_ref,0))&amp;"","Matière inconnue"))</f>
        <v/>
      </c>
      <c r="D1908" s="69" t="str">
        <f>IF(B1908="","",IFERROR(INDEX(mat_unit,MATCH(B1908,mat_ref,0))&amp;"",""))</f>
        <v/>
      </c>
      <c r="E1908" s="72" t="n"/>
      <c r="F1908" s="65" t="n"/>
      <c r="G1908" s="68" t="str">
        <f>IF(J1908&lt;&gt;"OK","",IF(F1908="",N(INDEX(mat_loss,MATCH(B1908,mat_ref,0))),F1908))</f>
        <v/>
      </c>
      <c r="H1908" s="66" t="str">
        <f>IF(J1908&lt;&gt;"OK","",INDEX(mat_price,MATCH(B1908,mat_ref,0)))</f>
        <v/>
      </c>
      <c r="I1908" s="66" t="str">
        <f>IF(J1908&lt;&gt;"OK","",E1908*(1+G1908)*H1908)</f>
        <v/>
      </c>
      <c r="J1908" s="69" t="str">
        <f>IF(AND(A1908="",B1908=""),"",IF(A1908="","Produit manquant",IF(COUNTIF(prod_ref,A1908)=0,"Produit inconnu",IF(B1908="","Matière manquante",IF(ISNA(MATCH(B1908,mat_ref,0)),"Matière inconnue",IF(INDEX(mat_check,MATCH(B1908,mat_ref,0))&lt;&gt;"OK","Matière à corriger",IF(OR(NOT(ISNUMBER(E1908)),N(E1908)&lt;=0),"Quantité invalide",IF(AND(F1908&lt;&gt;"",OR(NOT(ISNUMBER(F1908)),N(F1908)&lt;0,N(F1908)&gt;=1)),"Perte entre 0 et 99 %",IF(COUNTIFS(bom_prod,A1908,bom_mat,B1908)&gt;1,"Matière en double","OK")))))))))</f>
        <v/>
      </c>
      <c r="K1908" s="71" t="str">
        <f>IF(AND(fiche_sel&lt;&gt;"",A1908=fiche_sel),COUNTIF(A$6:A1908,fiche_sel),"")</f>
        <v/>
      </c>
    </row>
    <row r="1909">
      <c r="A1909" s="60" t="n"/>
      <c r="B1909" s="60" t="n"/>
      <c r="C1909" s="71" t="str">
        <f>IF(B1909="","",IFERROR(INDEX(mat_des,MATCH(B1909,mat_ref,0))&amp;"","Matière inconnue"))</f>
        <v/>
      </c>
      <c r="D1909" s="69" t="str">
        <f>IF(B1909="","",IFERROR(INDEX(mat_unit,MATCH(B1909,mat_ref,0))&amp;"",""))</f>
        <v/>
      </c>
      <c r="E1909" s="72" t="n"/>
      <c r="F1909" s="65" t="n"/>
      <c r="G1909" s="68" t="str">
        <f>IF(J1909&lt;&gt;"OK","",IF(F1909="",N(INDEX(mat_loss,MATCH(B1909,mat_ref,0))),F1909))</f>
        <v/>
      </c>
      <c r="H1909" s="66" t="str">
        <f>IF(J1909&lt;&gt;"OK","",INDEX(mat_price,MATCH(B1909,mat_ref,0)))</f>
        <v/>
      </c>
      <c r="I1909" s="66" t="str">
        <f>IF(J1909&lt;&gt;"OK","",E1909*(1+G1909)*H1909)</f>
        <v/>
      </c>
      <c r="J1909" s="69" t="str">
        <f>IF(AND(A1909="",B1909=""),"",IF(A1909="","Produit manquant",IF(COUNTIF(prod_ref,A1909)=0,"Produit inconnu",IF(B1909="","Matière manquante",IF(ISNA(MATCH(B1909,mat_ref,0)),"Matière inconnue",IF(INDEX(mat_check,MATCH(B1909,mat_ref,0))&lt;&gt;"OK","Matière à corriger",IF(OR(NOT(ISNUMBER(E1909)),N(E1909)&lt;=0),"Quantité invalide",IF(AND(F1909&lt;&gt;"",OR(NOT(ISNUMBER(F1909)),N(F1909)&lt;0,N(F1909)&gt;=1)),"Perte entre 0 et 99 %",IF(COUNTIFS(bom_prod,A1909,bom_mat,B1909)&gt;1,"Matière en double","OK")))))))))</f>
        <v/>
      </c>
      <c r="K1909" s="71" t="str">
        <f>IF(AND(fiche_sel&lt;&gt;"",A1909=fiche_sel),COUNTIF(A$6:A1909,fiche_sel),"")</f>
        <v/>
      </c>
    </row>
    <row r="1910">
      <c r="A1910" s="60" t="n"/>
      <c r="B1910" s="60" t="n"/>
      <c r="C1910" s="71" t="str">
        <f>IF(B1910="","",IFERROR(INDEX(mat_des,MATCH(B1910,mat_ref,0))&amp;"","Matière inconnue"))</f>
        <v/>
      </c>
      <c r="D1910" s="69" t="str">
        <f>IF(B1910="","",IFERROR(INDEX(mat_unit,MATCH(B1910,mat_ref,0))&amp;"",""))</f>
        <v/>
      </c>
      <c r="E1910" s="72" t="n"/>
      <c r="F1910" s="65" t="n"/>
      <c r="G1910" s="68" t="str">
        <f>IF(J1910&lt;&gt;"OK","",IF(F1910="",N(INDEX(mat_loss,MATCH(B1910,mat_ref,0))),F1910))</f>
        <v/>
      </c>
      <c r="H1910" s="66" t="str">
        <f>IF(J1910&lt;&gt;"OK","",INDEX(mat_price,MATCH(B1910,mat_ref,0)))</f>
        <v/>
      </c>
      <c r="I1910" s="66" t="str">
        <f>IF(J1910&lt;&gt;"OK","",E1910*(1+G1910)*H1910)</f>
        <v/>
      </c>
      <c r="J1910" s="69" t="str">
        <f>IF(AND(A1910="",B1910=""),"",IF(A1910="","Produit manquant",IF(COUNTIF(prod_ref,A1910)=0,"Produit inconnu",IF(B1910="","Matière manquante",IF(ISNA(MATCH(B1910,mat_ref,0)),"Matière inconnue",IF(INDEX(mat_check,MATCH(B1910,mat_ref,0))&lt;&gt;"OK","Matière à corriger",IF(OR(NOT(ISNUMBER(E1910)),N(E1910)&lt;=0),"Quantité invalide",IF(AND(F1910&lt;&gt;"",OR(NOT(ISNUMBER(F1910)),N(F1910)&lt;0,N(F1910)&gt;=1)),"Perte entre 0 et 99 %",IF(COUNTIFS(bom_prod,A1910,bom_mat,B1910)&gt;1,"Matière en double","OK")))))))))</f>
        <v/>
      </c>
      <c r="K1910" s="71" t="str">
        <f>IF(AND(fiche_sel&lt;&gt;"",A1910=fiche_sel),COUNTIF(A$6:A1910,fiche_sel),"")</f>
        <v/>
      </c>
    </row>
    <row r="1911">
      <c r="A1911" s="60" t="n"/>
      <c r="B1911" s="60" t="n"/>
      <c r="C1911" s="71" t="str">
        <f>IF(B1911="","",IFERROR(INDEX(mat_des,MATCH(B1911,mat_ref,0))&amp;"","Matière inconnue"))</f>
        <v/>
      </c>
      <c r="D1911" s="69" t="str">
        <f>IF(B1911="","",IFERROR(INDEX(mat_unit,MATCH(B1911,mat_ref,0))&amp;"",""))</f>
        <v/>
      </c>
      <c r="E1911" s="72" t="n"/>
      <c r="F1911" s="65" t="n"/>
      <c r="G1911" s="68" t="str">
        <f>IF(J1911&lt;&gt;"OK","",IF(F1911="",N(INDEX(mat_loss,MATCH(B1911,mat_ref,0))),F1911))</f>
        <v/>
      </c>
      <c r="H1911" s="66" t="str">
        <f>IF(J1911&lt;&gt;"OK","",INDEX(mat_price,MATCH(B1911,mat_ref,0)))</f>
        <v/>
      </c>
      <c r="I1911" s="66" t="str">
        <f>IF(J1911&lt;&gt;"OK","",E1911*(1+G1911)*H1911)</f>
        <v/>
      </c>
      <c r="J1911" s="69" t="str">
        <f>IF(AND(A1911="",B1911=""),"",IF(A1911="","Produit manquant",IF(COUNTIF(prod_ref,A1911)=0,"Produit inconnu",IF(B1911="","Matière manquante",IF(ISNA(MATCH(B1911,mat_ref,0)),"Matière inconnue",IF(INDEX(mat_check,MATCH(B1911,mat_ref,0))&lt;&gt;"OK","Matière à corriger",IF(OR(NOT(ISNUMBER(E1911)),N(E1911)&lt;=0),"Quantité invalide",IF(AND(F1911&lt;&gt;"",OR(NOT(ISNUMBER(F1911)),N(F1911)&lt;0,N(F1911)&gt;=1)),"Perte entre 0 et 99 %",IF(COUNTIFS(bom_prod,A1911,bom_mat,B1911)&gt;1,"Matière en double","OK")))))))))</f>
        <v/>
      </c>
      <c r="K1911" s="71" t="str">
        <f>IF(AND(fiche_sel&lt;&gt;"",A1911=fiche_sel),COUNTIF(A$6:A1911,fiche_sel),"")</f>
        <v/>
      </c>
    </row>
    <row r="1912">
      <c r="A1912" s="60" t="n"/>
      <c r="B1912" s="60" t="n"/>
      <c r="C1912" s="71" t="str">
        <f>IF(B1912="","",IFERROR(INDEX(mat_des,MATCH(B1912,mat_ref,0))&amp;"","Matière inconnue"))</f>
        <v/>
      </c>
      <c r="D1912" s="69" t="str">
        <f>IF(B1912="","",IFERROR(INDEX(mat_unit,MATCH(B1912,mat_ref,0))&amp;"",""))</f>
        <v/>
      </c>
      <c r="E1912" s="72" t="n"/>
      <c r="F1912" s="65" t="n"/>
      <c r="G1912" s="68" t="str">
        <f>IF(J1912&lt;&gt;"OK","",IF(F1912="",N(INDEX(mat_loss,MATCH(B1912,mat_ref,0))),F1912))</f>
        <v/>
      </c>
      <c r="H1912" s="66" t="str">
        <f>IF(J1912&lt;&gt;"OK","",INDEX(mat_price,MATCH(B1912,mat_ref,0)))</f>
        <v/>
      </c>
      <c r="I1912" s="66" t="str">
        <f>IF(J1912&lt;&gt;"OK","",E1912*(1+G1912)*H1912)</f>
        <v/>
      </c>
      <c r="J1912" s="69" t="str">
        <f>IF(AND(A1912="",B1912=""),"",IF(A1912="","Produit manquant",IF(COUNTIF(prod_ref,A1912)=0,"Produit inconnu",IF(B1912="","Matière manquante",IF(ISNA(MATCH(B1912,mat_ref,0)),"Matière inconnue",IF(INDEX(mat_check,MATCH(B1912,mat_ref,0))&lt;&gt;"OK","Matière à corriger",IF(OR(NOT(ISNUMBER(E1912)),N(E1912)&lt;=0),"Quantité invalide",IF(AND(F1912&lt;&gt;"",OR(NOT(ISNUMBER(F1912)),N(F1912)&lt;0,N(F1912)&gt;=1)),"Perte entre 0 et 99 %",IF(COUNTIFS(bom_prod,A1912,bom_mat,B1912)&gt;1,"Matière en double","OK")))))))))</f>
        <v/>
      </c>
      <c r="K1912" s="71" t="str">
        <f>IF(AND(fiche_sel&lt;&gt;"",A1912=fiche_sel),COUNTIF(A$6:A1912,fiche_sel),"")</f>
        <v/>
      </c>
    </row>
    <row r="1913">
      <c r="A1913" s="60" t="n"/>
      <c r="B1913" s="60" t="n"/>
      <c r="C1913" s="71" t="str">
        <f>IF(B1913="","",IFERROR(INDEX(mat_des,MATCH(B1913,mat_ref,0))&amp;"","Matière inconnue"))</f>
        <v/>
      </c>
      <c r="D1913" s="69" t="str">
        <f>IF(B1913="","",IFERROR(INDEX(mat_unit,MATCH(B1913,mat_ref,0))&amp;"",""))</f>
        <v/>
      </c>
      <c r="E1913" s="72" t="n"/>
      <c r="F1913" s="65" t="n"/>
      <c r="G1913" s="68" t="str">
        <f>IF(J1913&lt;&gt;"OK","",IF(F1913="",N(INDEX(mat_loss,MATCH(B1913,mat_ref,0))),F1913))</f>
        <v/>
      </c>
      <c r="H1913" s="66" t="str">
        <f>IF(J1913&lt;&gt;"OK","",INDEX(mat_price,MATCH(B1913,mat_ref,0)))</f>
        <v/>
      </c>
      <c r="I1913" s="66" t="str">
        <f>IF(J1913&lt;&gt;"OK","",E1913*(1+G1913)*H1913)</f>
        <v/>
      </c>
      <c r="J1913" s="69" t="str">
        <f>IF(AND(A1913="",B1913=""),"",IF(A1913="","Produit manquant",IF(COUNTIF(prod_ref,A1913)=0,"Produit inconnu",IF(B1913="","Matière manquante",IF(ISNA(MATCH(B1913,mat_ref,0)),"Matière inconnue",IF(INDEX(mat_check,MATCH(B1913,mat_ref,0))&lt;&gt;"OK","Matière à corriger",IF(OR(NOT(ISNUMBER(E1913)),N(E1913)&lt;=0),"Quantité invalide",IF(AND(F1913&lt;&gt;"",OR(NOT(ISNUMBER(F1913)),N(F1913)&lt;0,N(F1913)&gt;=1)),"Perte entre 0 et 99 %",IF(COUNTIFS(bom_prod,A1913,bom_mat,B1913)&gt;1,"Matière en double","OK")))))))))</f>
        <v/>
      </c>
      <c r="K1913" s="71" t="str">
        <f>IF(AND(fiche_sel&lt;&gt;"",A1913=fiche_sel),COUNTIF(A$6:A1913,fiche_sel),"")</f>
        <v/>
      </c>
    </row>
    <row r="1914">
      <c r="A1914" s="60" t="n"/>
      <c r="B1914" s="60" t="n"/>
      <c r="C1914" s="71" t="str">
        <f>IF(B1914="","",IFERROR(INDEX(mat_des,MATCH(B1914,mat_ref,0))&amp;"","Matière inconnue"))</f>
        <v/>
      </c>
      <c r="D1914" s="69" t="str">
        <f>IF(B1914="","",IFERROR(INDEX(mat_unit,MATCH(B1914,mat_ref,0))&amp;"",""))</f>
        <v/>
      </c>
      <c r="E1914" s="72" t="n"/>
      <c r="F1914" s="65" t="n"/>
      <c r="G1914" s="68" t="str">
        <f>IF(J1914&lt;&gt;"OK","",IF(F1914="",N(INDEX(mat_loss,MATCH(B1914,mat_ref,0))),F1914))</f>
        <v/>
      </c>
      <c r="H1914" s="66" t="str">
        <f>IF(J1914&lt;&gt;"OK","",INDEX(mat_price,MATCH(B1914,mat_ref,0)))</f>
        <v/>
      </c>
      <c r="I1914" s="66" t="str">
        <f>IF(J1914&lt;&gt;"OK","",E1914*(1+G1914)*H1914)</f>
        <v/>
      </c>
      <c r="J1914" s="69" t="str">
        <f>IF(AND(A1914="",B1914=""),"",IF(A1914="","Produit manquant",IF(COUNTIF(prod_ref,A1914)=0,"Produit inconnu",IF(B1914="","Matière manquante",IF(ISNA(MATCH(B1914,mat_ref,0)),"Matière inconnue",IF(INDEX(mat_check,MATCH(B1914,mat_ref,0))&lt;&gt;"OK","Matière à corriger",IF(OR(NOT(ISNUMBER(E1914)),N(E1914)&lt;=0),"Quantité invalide",IF(AND(F1914&lt;&gt;"",OR(NOT(ISNUMBER(F1914)),N(F1914)&lt;0,N(F1914)&gt;=1)),"Perte entre 0 et 99 %",IF(COUNTIFS(bom_prod,A1914,bom_mat,B1914)&gt;1,"Matière en double","OK")))))))))</f>
        <v/>
      </c>
      <c r="K1914" s="71" t="str">
        <f>IF(AND(fiche_sel&lt;&gt;"",A1914=fiche_sel),COUNTIF(A$6:A1914,fiche_sel),"")</f>
        <v/>
      </c>
    </row>
    <row r="1915">
      <c r="A1915" s="60" t="n"/>
      <c r="B1915" s="60" t="n"/>
      <c r="C1915" s="71" t="str">
        <f>IF(B1915="","",IFERROR(INDEX(mat_des,MATCH(B1915,mat_ref,0))&amp;"","Matière inconnue"))</f>
        <v/>
      </c>
      <c r="D1915" s="69" t="str">
        <f>IF(B1915="","",IFERROR(INDEX(mat_unit,MATCH(B1915,mat_ref,0))&amp;"",""))</f>
        <v/>
      </c>
      <c r="E1915" s="72" t="n"/>
      <c r="F1915" s="65" t="n"/>
      <c r="G1915" s="68" t="str">
        <f>IF(J1915&lt;&gt;"OK","",IF(F1915="",N(INDEX(mat_loss,MATCH(B1915,mat_ref,0))),F1915))</f>
        <v/>
      </c>
      <c r="H1915" s="66" t="str">
        <f>IF(J1915&lt;&gt;"OK","",INDEX(mat_price,MATCH(B1915,mat_ref,0)))</f>
        <v/>
      </c>
      <c r="I1915" s="66" t="str">
        <f>IF(J1915&lt;&gt;"OK","",E1915*(1+G1915)*H1915)</f>
        <v/>
      </c>
      <c r="J1915" s="69" t="str">
        <f>IF(AND(A1915="",B1915=""),"",IF(A1915="","Produit manquant",IF(COUNTIF(prod_ref,A1915)=0,"Produit inconnu",IF(B1915="","Matière manquante",IF(ISNA(MATCH(B1915,mat_ref,0)),"Matière inconnue",IF(INDEX(mat_check,MATCH(B1915,mat_ref,0))&lt;&gt;"OK","Matière à corriger",IF(OR(NOT(ISNUMBER(E1915)),N(E1915)&lt;=0),"Quantité invalide",IF(AND(F1915&lt;&gt;"",OR(NOT(ISNUMBER(F1915)),N(F1915)&lt;0,N(F1915)&gt;=1)),"Perte entre 0 et 99 %",IF(COUNTIFS(bom_prod,A1915,bom_mat,B1915)&gt;1,"Matière en double","OK")))))))))</f>
        <v/>
      </c>
      <c r="K1915" s="71" t="str">
        <f>IF(AND(fiche_sel&lt;&gt;"",A1915=fiche_sel),COUNTIF(A$6:A1915,fiche_sel),"")</f>
        <v/>
      </c>
    </row>
    <row r="1916">
      <c r="A1916" s="60" t="n"/>
      <c r="B1916" s="60" t="n"/>
      <c r="C1916" s="71" t="str">
        <f>IF(B1916="","",IFERROR(INDEX(mat_des,MATCH(B1916,mat_ref,0))&amp;"","Matière inconnue"))</f>
        <v/>
      </c>
      <c r="D1916" s="69" t="str">
        <f>IF(B1916="","",IFERROR(INDEX(mat_unit,MATCH(B1916,mat_ref,0))&amp;"",""))</f>
        <v/>
      </c>
      <c r="E1916" s="72" t="n"/>
      <c r="F1916" s="65" t="n"/>
      <c r="G1916" s="68" t="str">
        <f>IF(J1916&lt;&gt;"OK","",IF(F1916="",N(INDEX(mat_loss,MATCH(B1916,mat_ref,0))),F1916))</f>
        <v/>
      </c>
      <c r="H1916" s="66" t="str">
        <f>IF(J1916&lt;&gt;"OK","",INDEX(mat_price,MATCH(B1916,mat_ref,0)))</f>
        <v/>
      </c>
      <c r="I1916" s="66" t="str">
        <f>IF(J1916&lt;&gt;"OK","",E1916*(1+G1916)*H1916)</f>
        <v/>
      </c>
      <c r="J1916" s="69" t="str">
        <f>IF(AND(A1916="",B1916=""),"",IF(A1916="","Produit manquant",IF(COUNTIF(prod_ref,A1916)=0,"Produit inconnu",IF(B1916="","Matière manquante",IF(ISNA(MATCH(B1916,mat_ref,0)),"Matière inconnue",IF(INDEX(mat_check,MATCH(B1916,mat_ref,0))&lt;&gt;"OK","Matière à corriger",IF(OR(NOT(ISNUMBER(E1916)),N(E1916)&lt;=0),"Quantité invalide",IF(AND(F1916&lt;&gt;"",OR(NOT(ISNUMBER(F1916)),N(F1916)&lt;0,N(F1916)&gt;=1)),"Perte entre 0 et 99 %",IF(COUNTIFS(bom_prod,A1916,bom_mat,B1916)&gt;1,"Matière en double","OK")))))))))</f>
        <v/>
      </c>
      <c r="K1916" s="71" t="str">
        <f>IF(AND(fiche_sel&lt;&gt;"",A1916=fiche_sel),COUNTIF(A$6:A1916,fiche_sel),"")</f>
        <v/>
      </c>
    </row>
    <row r="1917">
      <c r="A1917" s="60" t="n"/>
      <c r="B1917" s="60" t="n"/>
      <c r="C1917" s="71" t="str">
        <f>IF(B1917="","",IFERROR(INDEX(mat_des,MATCH(B1917,mat_ref,0))&amp;"","Matière inconnue"))</f>
        <v/>
      </c>
      <c r="D1917" s="69" t="str">
        <f>IF(B1917="","",IFERROR(INDEX(mat_unit,MATCH(B1917,mat_ref,0))&amp;"",""))</f>
        <v/>
      </c>
      <c r="E1917" s="72" t="n"/>
      <c r="F1917" s="65" t="n"/>
      <c r="G1917" s="68" t="str">
        <f>IF(J1917&lt;&gt;"OK","",IF(F1917="",N(INDEX(mat_loss,MATCH(B1917,mat_ref,0))),F1917))</f>
        <v/>
      </c>
      <c r="H1917" s="66" t="str">
        <f>IF(J1917&lt;&gt;"OK","",INDEX(mat_price,MATCH(B1917,mat_ref,0)))</f>
        <v/>
      </c>
      <c r="I1917" s="66" t="str">
        <f>IF(J1917&lt;&gt;"OK","",E1917*(1+G1917)*H1917)</f>
        <v/>
      </c>
      <c r="J1917" s="69" t="str">
        <f>IF(AND(A1917="",B1917=""),"",IF(A1917="","Produit manquant",IF(COUNTIF(prod_ref,A1917)=0,"Produit inconnu",IF(B1917="","Matière manquante",IF(ISNA(MATCH(B1917,mat_ref,0)),"Matière inconnue",IF(INDEX(mat_check,MATCH(B1917,mat_ref,0))&lt;&gt;"OK","Matière à corriger",IF(OR(NOT(ISNUMBER(E1917)),N(E1917)&lt;=0),"Quantité invalide",IF(AND(F1917&lt;&gt;"",OR(NOT(ISNUMBER(F1917)),N(F1917)&lt;0,N(F1917)&gt;=1)),"Perte entre 0 et 99 %",IF(COUNTIFS(bom_prod,A1917,bom_mat,B1917)&gt;1,"Matière en double","OK")))))))))</f>
        <v/>
      </c>
      <c r="K1917" s="71" t="str">
        <f>IF(AND(fiche_sel&lt;&gt;"",A1917=fiche_sel),COUNTIF(A$6:A1917,fiche_sel),"")</f>
        <v/>
      </c>
    </row>
    <row r="1918">
      <c r="A1918" s="60" t="n"/>
      <c r="B1918" s="60" t="n"/>
      <c r="C1918" s="71" t="str">
        <f>IF(B1918="","",IFERROR(INDEX(mat_des,MATCH(B1918,mat_ref,0))&amp;"","Matière inconnue"))</f>
        <v/>
      </c>
      <c r="D1918" s="69" t="str">
        <f>IF(B1918="","",IFERROR(INDEX(mat_unit,MATCH(B1918,mat_ref,0))&amp;"",""))</f>
        <v/>
      </c>
      <c r="E1918" s="72" t="n"/>
      <c r="F1918" s="65" t="n"/>
      <c r="G1918" s="68" t="str">
        <f>IF(J1918&lt;&gt;"OK","",IF(F1918="",N(INDEX(mat_loss,MATCH(B1918,mat_ref,0))),F1918))</f>
        <v/>
      </c>
      <c r="H1918" s="66" t="str">
        <f>IF(J1918&lt;&gt;"OK","",INDEX(mat_price,MATCH(B1918,mat_ref,0)))</f>
        <v/>
      </c>
      <c r="I1918" s="66" t="str">
        <f>IF(J1918&lt;&gt;"OK","",E1918*(1+G1918)*H1918)</f>
        <v/>
      </c>
      <c r="J1918" s="69" t="str">
        <f>IF(AND(A1918="",B1918=""),"",IF(A1918="","Produit manquant",IF(COUNTIF(prod_ref,A1918)=0,"Produit inconnu",IF(B1918="","Matière manquante",IF(ISNA(MATCH(B1918,mat_ref,0)),"Matière inconnue",IF(INDEX(mat_check,MATCH(B1918,mat_ref,0))&lt;&gt;"OK","Matière à corriger",IF(OR(NOT(ISNUMBER(E1918)),N(E1918)&lt;=0),"Quantité invalide",IF(AND(F1918&lt;&gt;"",OR(NOT(ISNUMBER(F1918)),N(F1918)&lt;0,N(F1918)&gt;=1)),"Perte entre 0 et 99 %",IF(COUNTIFS(bom_prod,A1918,bom_mat,B1918)&gt;1,"Matière en double","OK")))))))))</f>
        <v/>
      </c>
      <c r="K1918" s="71" t="str">
        <f>IF(AND(fiche_sel&lt;&gt;"",A1918=fiche_sel),COUNTIF(A$6:A1918,fiche_sel),"")</f>
        <v/>
      </c>
    </row>
    <row r="1919">
      <c r="A1919" s="60" t="n"/>
      <c r="B1919" s="60" t="n"/>
      <c r="C1919" s="71" t="str">
        <f>IF(B1919="","",IFERROR(INDEX(mat_des,MATCH(B1919,mat_ref,0))&amp;"","Matière inconnue"))</f>
        <v/>
      </c>
      <c r="D1919" s="69" t="str">
        <f>IF(B1919="","",IFERROR(INDEX(mat_unit,MATCH(B1919,mat_ref,0))&amp;"",""))</f>
        <v/>
      </c>
      <c r="E1919" s="72" t="n"/>
      <c r="F1919" s="65" t="n"/>
      <c r="G1919" s="68" t="str">
        <f>IF(J1919&lt;&gt;"OK","",IF(F1919="",N(INDEX(mat_loss,MATCH(B1919,mat_ref,0))),F1919))</f>
        <v/>
      </c>
      <c r="H1919" s="66" t="str">
        <f>IF(J1919&lt;&gt;"OK","",INDEX(mat_price,MATCH(B1919,mat_ref,0)))</f>
        <v/>
      </c>
      <c r="I1919" s="66" t="str">
        <f>IF(J1919&lt;&gt;"OK","",E1919*(1+G1919)*H1919)</f>
        <v/>
      </c>
      <c r="J1919" s="69" t="str">
        <f>IF(AND(A1919="",B1919=""),"",IF(A1919="","Produit manquant",IF(COUNTIF(prod_ref,A1919)=0,"Produit inconnu",IF(B1919="","Matière manquante",IF(ISNA(MATCH(B1919,mat_ref,0)),"Matière inconnue",IF(INDEX(mat_check,MATCH(B1919,mat_ref,0))&lt;&gt;"OK","Matière à corriger",IF(OR(NOT(ISNUMBER(E1919)),N(E1919)&lt;=0),"Quantité invalide",IF(AND(F1919&lt;&gt;"",OR(NOT(ISNUMBER(F1919)),N(F1919)&lt;0,N(F1919)&gt;=1)),"Perte entre 0 et 99 %",IF(COUNTIFS(bom_prod,A1919,bom_mat,B1919)&gt;1,"Matière en double","OK")))))))))</f>
        <v/>
      </c>
      <c r="K1919" s="71" t="str">
        <f>IF(AND(fiche_sel&lt;&gt;"",A1919=fiche_sel),COUNTIF(A$6:A1919,fiche_sel),"")</f>
        <v/>
      </c>
    </row>
    <row r="1920">
      <c r="A1920" s="60" t="n"/>
      <c r="B1920" s="60" t="n"/>
      <c r="C1920" s="71" t="str">
        <f>IF(B1920="","",IFERROR(INDEX(mat_des,MATCH(B1920,mat_ref,0))&amp;"","Matière inconnue"))</f>
        <v/>
      </c>
      <c r="D1920" s="69" t="str">
        <f>IF(B1920="","",IFERROR(INDEX(mat_unit,MATCH(B1920,mat_ref,0))&amp;"",""))</f>
        <v/>
      </c>
      <c r="E1920" s="72" t="n"/>
      <c r="F1920" s="65" t="n"/>
      <c r="G1920" s="68" t="str">
        <f>IF(J1920&lt;&gt;"OK","",IF(F1920="",N(INDEX(mat_loss,MATCH(B1920,mat_ref,0))),F1920))</f>
        <v/>
      </c>
      <c r="H1920" s="66" t="str">
        <f>IF(J1920&lt;&gt;"OK","",INDEX(mat_price,MATCH(B1920,mat_ref,0)))</f>
        <v/>
      </c>
      <c r="I1920" s="66" t="str">
        <f>IF(J1920&lt;&gt;"OK","",E1920*(1+G1920)*H1920)</f>
        <v/>
      </c>
      <c r="J1920" s="69" t="str">
        <f>IF(AND(A1920="",B1920=""),"",IF(A1920="","Produit manquant",IF(COUNTIF(prod_ref,A1920)=0,"Produit inconnu",IF(B1920="","Matière manquante",IF(ISNA(MATCH(B1920,mat_ref,0)),"Matière inconnue",IF(INDEX(mat_check,MATCH(B1920,mat_ref,0))&lt;&gt;"OK","Matière à corriger",IF(OR(NOT(ISNUMBER(E1920)),N(E1920)&lt;=0),"Quantité invalide",IF(AND(F1920&lt;&gt;"",OR(NOT(ISNUMBER(F1920)),N(F1920)&lt;0,N(F1920)&gt;=1)),"Perte entre 0 et 99 %",IF(COUNTIFS(bom_prod,A1920,bom_mat,B1920)&gt;1,"Matière en double","OK")))))))))</f>
        <v/>
      </c>
      <c r="K1920" s="71" t="str">
        <f>IF(AND(fiche_sel&lt;&gt;"",A1920=fiche_sel),COUNTIF(A$6:A1920,fiche_sel),"")</f>
        <v/>
      </c>
    </row>
    <row r="1921">
      <c r="A1921" s="60" t="n"/>
      <c r="B1921" s="60" t="n"/>
      <c r="C1921" s="71" t="str">
        <f>IF(B1921="","",IFERROR(INDEX(mat_des,MATCH(B1921,mat_ref,0))&amp;"","Matière inconnue"))</f>
        <v/>
      </c>
      <c r="D1921" s="69" t="str">
        <f>IF(B1921="","",IFERROR(INDEX(mat_unit,MATCH(B1921,mat_ref,0))&amp;"",""))</f>
        <v/>
      </c>
      <c r="E1921" s="72" t="n"/>
      <c r="F1921" s="65" t="n"/>
      <c r="G1921" s="68" t="str">
        <f>IF(J1921&lt;&gt;"OK","",IF(F1921="",N(INDEX(mat_loss,MATCH(B1921,mat_ref,0))),F1921))</f>
        <v/>
      </c>
      <c r="H1921" s="66" t="str">
        <f>IF(J1921&lt;&gt;"OK","",INDEX(mat_price,MATCH(B1921,mat_ref,0)))</f>
        <v/>
      </c>
      <c r="I1921" s="66" t="str">
        <f>IF(J1921&lt;&gt;"OK","",E1921*(1+G1921)*H1921)</f>
        <v/>
      </c>
      <c r="J1921" s="69" t="str">
        <f>IF(AND(A1921="",B1921=""),"",IF(A1921="","Produit manquant",IF(COUNTIF(prod_ref,A1921)=0,"Produit inconnu",IF(B1921="","Matière manquante",IF(ISNA(MATCH(B1921,mat_ref,0)),"Matière inconnue",IF(INDEX(mat_check,MATCH(B1921,mat_ref,0))&lt;&gt;"OK","Matière à corriger",IF(OR(NOT(ISNUMBER(E1921)),N(E1921)&lt;=0),"Quantité invalide",IF(AND(F1921&lt;&gt;"",OR(NOT(ISNUMBER(F1921)),N(F1921)&lt;0,N(F1921)&gt;=1)),"Perte entre 0 et 99 %",IF(COUNTIFS(bom_prod,A1921,bom_mat,B1921)&gt;1,"Matière en double","OK")))))))))</f>
        <v/>
      </c>
      <c r="K1921" s="71" t="str">
        <f>IF(AND(fiche_sel&lt;&gt;"",A1921=fiche_sel),COUNTIF(A$6:A1921,fiche_sel),"")</f>
        <v/>
      </c>
    </row>
    <row r="1922">
      <c r="A1922" s="60" t="n"/>
      <c r="B1922" s="60" t="n"/>
      <c r="C1922" s="71" t="str">
        <f>IF(B1922="","",IFERROR(INDEX(mat_des,MATCH(B1922,mat_ref,0))&amp;"","Matière inconnue"))</f>
        <v/>
      </c>
      <c r="D1922" s="69" t="str">
        <f>IF(B1922="","",IFERROR(INDEX(mat_unit,MATCH(B1922,mat_ref,0))&amp;"",""))</f>
        <v/>
      </c>
      <c r="E1922" s="72" t="n"/>
      <c r="F1922" s="65" t="n"/>
      <c r="G1922" s="68" t="str">
        <f>IF(J1922&lt;&gt;"OK","",IF(F1922="",N(INDEX(mat_loss,MATCH(B1922,mat_ref,0))),F1922))</f>
        <v/>
      </c>
      <c r="H1922" s="66" t="str">
        <f>IF(J1922&lt;&gt;"OK","",INDEX(mat_price,MATCH(B1922,mat_ref,0)))</f>
        <v/>
      </c>
      <c r="I1922" s="66" t="str">
        <f>IF(J1922&lt;&gt;"OK","",E1922*(1+G1922)*H1922)</f>
        <v/>
      </c>
      <c r="J1922" s="69" t="str">
        <f>IF(AND(A1922="",B1922=""),"",IF(A1922="","Produit manquant",IF(COUNTIF(prod_ref,A1922)=0,"Produit inconnu",IF(B1922="","Matière manquante",IF(ISNA(MATCH(B1922,mat_ref,0)),"Matière inconnue",IF(INDEX(mat_check,MATCH(B1922,mat_ref,0))&lt;&gt;"OK","Matière à corriger",IF(OR(NOT(ISNUMBER(E1922)),N(E1922)&lt;=0),"Quantité invalide",IF(AND(F1922&lt;&gt;"",OR(NOT(ISNUMBER(F1922)),N(F1922)&lt;0,N(F1922)&gt;=1)),"Perte entre 0 et 99 %",IF(COUNTIFS(bom_prod,A1922,bom_mat,B1922)&gt;1,"Matière en double","OK")))))))))</f>
        <v/>
      </c>
      <c r="K1922" s="71" t="str">
        <f>IF(AND(fiche_sel&lt;&gt;"",A1922=fiche_sel),COUNTIF(A$6:A1922,fiche_sel),"")</f>
        <v/>
      </c>
    </row>
    <row r="1923">
      <c r="A1923" s="60" t="n"/>
      <c r="B1923" s="60" t="n"/>
      <c r="C1923" s="71" t="str">
        <f>IF(B1923="","",IFERROR(INDEX(mat_des,MATCH(B1923,mat_ref,0))&amp;"","Matière inconnue"))</f>
        <v/>
      </c>
      <c r="D1923" s="69" t="str">
        <f>IF(B1923="","",IFERROR(INDEX(mat_unit,MATCH(B1923,mat_ref,0))&amp;"",""))</f>
        <v/>
      </c>
      <c r="E1923" s="72" t="n"/>
      <c r="F1923" s="65" t="n"/>
      <c r="G1923" s="68" t="str">
        <f>IF(J1923&lt;&gt;"OK","",IF(F1923="",N(INDEX(mat_loss,MATCH(B1923,mat_ref,0))),F1923))</f>
        <v/>
      </c>
      <c r="H1923" s="66" t="str">
        <f>IF(J1923&lt;&gt;"OK","",INDEX(mat_price,MATCH(B1923,mat_ref,0)))</f>
        <v/>
      </c>
      <c r="I1923" s="66" t="str">
        <f>IF(J1923&lt;&gt;"OK","",E1923*(1+G1923)*H1923)</f>
        <v/>
      </c>
      <c r="J1923" s="69" t="str">
        <f>IF(AND(A1923="",B1923=""),"",IF(A1923="","Produit manquant",IF(COUNTIF(prod_ref,A1923)=0,"Produit inconnu",IF(B1923="","Matière manquante",IF(ISNA(MATCH(B1923,mat_ref,0)),"Matière inconnue",IF(INDEX(mat_check,MATCH(B1923,mat_ref,0))&lt;&gt;"OK","Matière à corriger",IF(OR(NOT(ISNUMBER(E1923)),N(E1923)&lt;=0),"Quantité invalide",IF(AND(F1923&lt;&gt;"",OR(NOT(ISNUMBER(F1923)),N(F1923)&lt;0,N(F1923)&gt;=1)),"Perte entre 0 et 99 %",IF(COUNTIFS(bom_prod,A1923,bom_mat,B1923)&gt;1,"Matière en double","OK")))))))))</f>
        <v/>
      </c>
      <c r="K1923" s="71" t="str">
        <f>IF(AND(fiche_sel&lt;&gt;"",A1923=fiche_sel),COUNTIF(A$6:A1923,fiche_sel),"")</f>
        <v/>
      </c>
    </row>
    <row r="1924">
      <c r="A1924" s="60" t="n"/>
      <c r="B1924" s="60" t="n"/>
      <c r="C1924" s="71" t="str">
        <f>IF(B1924="","",IFERROR(INDEX(mat_des,MATCH(B1924,mat_ref,0))&amp;"","Matière inconnue"))</f>
        <v/>
      </c>
      <c r="D1924" s="69" t="str">
        <f>IF(B1924="","",IFERROR(INDEX(mat_unit,MATCH(B1924,mat_ref,0))&amp;"",""))</f>
        <v/>
      </c>
      <c r="E1924" s="72" t="n"/>
      <c r="F1924" s="65" t="n"/>
      <c r="G1924" s="68" t="str">
        <f>IF(J1924&lt;&gt;"OK","",IF(F1924="",N(INDEX(mat_loss,MATCH(B1924,mat_ref,0))),F1924))</f>
        <v/>
      </c>
      <c r="H1924" s="66" t="str">
        <f>IF(J1924&lt;&gt;"OK","",INDEX(mat_price,MATCH(B1924,mat_ref,0)))</f>
        <v/>
      </c>
      <c r="I1924" s="66" t="str">
        <f>IF(J1924&lt;&gt;"OK","",E1924*(1+G1924)*H1924)</f>
        <v/>
      </c>
      <c r="J1924" s="69" t="str">
        <f>IF(AND(A1924="",B1924=""),"",IF(A1924="","Produit manquant",IF(COUNTIF(prod_ref,A1924)=0,"Produit inconnu",IF(B1924="","Matière manquante",IF(ISNA(MATCH(B1924,mat_ref,0)),"Matière inconnue",IF(INDEX(mat_check,MATCH(B1924,mat_ref,0))&lt;&gt;"OK","Matière à corriger",IF(OR(NOT(ISNUMBER(E1924)),N(E1924)&lt;=0),"Quantité invalide",IF(AND(F1924&lt;&gt;"",OR(NOT(ISNUMBER(F1924)),N(F1924)&lt;0,N(F1924)&gt;=1)),"Perte entre 0 et 99 %",IF(COUNTIFS(bom_prod,A1924,bom_mat,B1924)&gt;1,"Matière en double","OK")))))))))</f>
        <v/>
      </c>
      <c r="K1924" s="71" t="str">
        <f>IF(AND(fiche_sel&lt;&gt;"",A1924=fiche_sel),COUNTIF(A$6:A1924,fiche_sel),"")</f>
        <v/>
      </c>
    </row>
    <row r="1925">
      <c r="A1925" s="60" t="n"/>
      <c r="B1925" s="60" t="n"/>
      <c r="C1925" s="71" t="str">
        <f>IF(B1925="","",IFERROR(INDEX(mat_des,MATCH(B1925,mat_ref,0))&amp;"","Matière inconnue"))</f>
        <v/>
      </c>
      <c r="D1925" s="69" t="str">
        <f>IF(B1925="","",IFERROR(INDEX(mat_unit,MATCH(B1925,mat_ref,0))&amp;"",""))</f>
        <v/>
      </c>
      <c r="E1925" s="72" t="n"/>
      <c r="F1925" s="65" t="n"/>
      <c r="G1925" s="68" t="str">
        <f>IF(J1925&lt;&gt;"OK","",IF(F1925="",N(INDEX(mat_loss,MATCH(B1925,mat_ref,0))),F1925))</f>
        <v/>
      </c>
      <c r="H1925" s="66" t="str">
        <f>IF(J1925&lt;&gt;"OK","",INDEX(mat_price,MATCH(B1925,mat_ref,0)))</f>
        <v/>
      </c>
      <c r="I1925" s="66" t="str">
        <f>IF(J1925&lt;&gt;"OK","",E1925*(1+G1925)*H1925)</f>
        <v/>
      </c>
      <c r="J1925" s="69" t="str">
        <f>IF(AND(A1925="",B1925=""),"",IF(A1925="","Produit manquant",IF(COUNTIF(prod_ref,A1925)=0,"Produit inconnu",IF(B1925="","Matière manquante",IF(ISNA(MATCH(B1925,mat_ref,0)),"Matière inconnue",IF(INDEX(mat_check,MATCH(B1925,mat_ref,0))&lt;&gt;"OK","Matière à corriger",IF(OR(NOT(ISNUMBER(E1925)),N(E1925)&lt;=0),"Quantité invalide",IF(AND(F1925&lt;&gt;"",OR(NOT(ISNUMBER(F1925)),N(F1925)&lt;0,N(F1925)&gt;=1)),"Perte entre 0 et 99 %",IF(COUNTIFS(bom_prod,A1925,bom_mat,B1925)&gt;1,"Matière en double","OK")))))))))</f>
        <v/>
      </c>
      <c r="K1925" s="71" t="str">
        <f>IF(AND(fiche_sel&lt;&gt;"",A1925=fiche_sel),COUNTIF(A$6:A1925,fiche_sel),"")</f>
        <v/>
      </c>
    </row>
    <row r="1926">
      <c r="A1926" s="60" t="n"/>
      <c r="B1926" s="60" t="n"/>
      <c r="C1926" s="71" t="str">
        <f>IF(B1926="","",IFERROR(INDEX(mat_des,MATCH(B1926,mat_ref,0))&amp;"","Matière inconnue"))</f>
        <v/>
      </c>
      <c r="D1926" s="69" t="str">
        <f>IF(B1926="","",IFERROR(INDEX(mat_unit,MATCH(B1926,mat_ref,0))&amp;"",""))</f>
        <v/>
      </c>
      <c r="E1926" s="72" t="n"/>
      <c r="F1926" s="65" t="n"/>
      <c r="G1926" s="68" t="str">
        <f>IF(J1926&lt;&gt;"OK","",IF(F1926="",N(INDEX(mat_loss,MATCH(B1926,mat_ref,0))),F1926))</f>
        <v/>
      </c>
      <c r="H1926" s="66" t="str">
        <f>IF(J1926&lt;&gt;"OK","",INDEX(mat_price,MATCH(B1926,mat_ref,0)))</f>
        <v/>
      </c>
      <c r="I1926" s="66" t="str">
        <f>IF(J1926&lt;&gt;"OK","",E1926*(1+G1926)*H1926)</f>
        <v/>
      </c>
      <c r="J1926" s="69" t="str">
        <f>IF(AND(A1926="",B1926=""),"",IF(A1926="","Produit manquant",IF(COUNTIF(prod_ref,A1926)=0,"Produit inconnu",IF(B1926="","Matière manquante",IF(ISNA(MATCH(B1926,mat_ref,0)),"Matière inconnue",IF(INDEX(mat_check,MATCH(B1926,mat_ref,0))&lt;&gt;"OK","Matière à corriger",IF(OR(NOT(ISNUMBER(E1926)),N(E1926)&lt;=0),"Quantité invalide",IF(AND(F1926&lt;&gt;"",OR(NOT(ISNUMBER(F1926)),N(F1926)&lt;0,N(F1926)&gt;=1)),"Perte entre 0 et 99 %",IF(COUNTIFS(bom_prod,A1926,bom_mat,B1926)&gt;1,"Matière en double","OK")))))))))</f>
        <v/>
      </c>
      <c r="K1926" s="71" t="str">
        <f>IF(AND(fiche_sel&lt;&gt;"",A1926=fiche_sel),COUNTIF(A$6:A1926,fiche_sel),"")</f>
        <v/>
      </c>
    </row>
    <row r="1927">
      <c r="A1927" s="60" t="n"/>
      <c r="B1927" s="60" t="n"/>
      <c r="C1927" s="71" t="str">
        <f>IF(B1927="","",IFERROR(INDEX(mat_des,MATCH(B1927,mat_ref,0))&amp;"","Matière inconnue"))</f>
        <v/>
      </c>
      <c r="D1927" s="69" t="str">
        <f>IF(B1927="","",IFERROR(INDEX(mat_unit,MATCH(B1927,mat_ref,0))&amp;"",""))</f>
        <v/>
      </c>
      <c r="E1927" s="72" t="n"/>
      <c r="F1927" s="65" t="n"/>
      <c r="G1927" s="68" t="str">
        <f>IF(J1927&lt;&gt;"OK","",IF(F1927="",N(INDEX(mat_loss,MATCH(B1927,mat_ref,0))),F1927))</f>
        <v/>
      </c>
      <c r="H1927" s="66" t="str">
        <f>IF(J1927&lt;&gt;"OK","",INDEX(mat_price,MATCH(B1927,mat_ref,0)))</f>
        <v/>
      </c>
      <c r="I1927" s="66" t="str">
        <f>IF(J1927&lt;&gt;"OK","",E1927*(1+G1927)*H1927)</f>
        <v/>
      </c>
      <c r="J1927" s="69" t="str">
        <f>IF(AND(A1927="",B1927=""),"",IF(A1927="","Produit manquant",IF(COUNTIF(prod_ref,A1927)=0,"Produit inconnu",IF(B1927="","Matière manquante",IF(ISNA(MATCH(B1927,mat_ref,0)),"Matière inconnue",IF(INDEX(mat_check,MATCH(B1927,mat_ref,0))&lt;&gt;"OK","Matière à corriger",IF(OR(NOT(ISNUMBER(E1927)),N(E1927)&lt;=0),"Quantité invalide",IF(AND(F1927&lt;&gt;"",OR(NOT(ISNUMBER(F1927)),N(F1927)&lt;0,N(F1927)&gt;=1)),"Perte entre 0 et 99 %",IF(COUNTIFS(bom_prod,A1927,bom_mat,B1927)&gt;1,"Matière en double","OK")))))))))</f>
        <v/>
      </c>
      <c r="K1927" s="71" t="str">
        <f>IF(AND(fiche_sel&lt;&gt;"",A1927=fiche_sel),COUNTIF(A$6:A1927,fiche_sel),"")</f>
        <v/>
      </c>
    </row>
    <row r="1928">
      <c r="A1928" s="60" t="n"/>
      <c r="B1928" s="60" t="n"/>
      <c r="C1928" s="71" t="str">
        <f>IF(B1928="","",IFERROR(INDEX(mat_des,MATCH(B1928,mat_ref,0))&amp;"","Matière inconnue"))</f>
        <v/>
      </c>
      <c r="D1928" s="69" t="str">
        <f>IF(B1928="","",IFERROR(INDEX(mat_unit,MATCH(B1928,mat_ref,0))&amp;"",""))</f>
        <v/>
      </c>
      <c r="E1928" s="72" t="n"/>
      <c r="F1928" s="65" t="n"/>
      <c r="G1928" s="68" t="str">
        <f>IF(J1928&lt;&gt;"OK","",IF(F1928="",N(INDEX(mat_loss,MATCH(B1928,mat_ref,0))),F1928))</f>
        <v/>
      </c>
      <c r="H1928" s="66" t="str">
        <f>IF(J1928&lt;&gt;"OK","",INDEX(mat_price,MATCH(B1928,mat_ref,0)))</f>
        <v/>
      </c>
      <c r="I1928" s="66" t="str">
        <f>IF(J1928&lt;&gt;"OK","",E1928*(1+G1928)*H1928)</f>
        <v/>
      </c>
      <c r="J1928" s="69" t="str">
        <f>IF(AND(A1928="",B1928=""),"",IF(A1928="","Produit manquant",IF(COUNTIF(prod_ref,A1928)=0,"Produit inconnu",IF(B1928="","Matière manquante",IF(ISNA(MATCH(B1928,mat_ref,0)),"Matière inconnue",IF(INDEX(mat_check,MATCH(B1928,mat_ref,0))&lt;&gt;"OK","Matière à corriger",IF(OR(NOT(ISNUMBER(E1928)),N(E1928)&lt;=0),"Quantité invalide",IF(AND(F1928&lt;&gt;"",OR(NOT(ISNUMBER(F1928)),N(F1928)&lt;0,N(F1928)&gt;=1)),"Perte entre 0 et 99 %",IF(COUNTIFS(bom_prod,A1928,bom_mat,B1928)&gt;1,"Matière en double","OK")))))))))</f>
        <v/>
      </c>
      <c r="K1928" s="71" t="str">
        <f>IF(AND(fiche_sel&lt;&gt;"",A1928=fiche_sel),COUNTIF(A$6:A1928,fiche_sel),"")</f>
        <v/>
      </c>
    </row>
    <row r="1929">
      <c r="A1929" s="60" t="n"/>
      <c r="B1929" s="60" t="n"/>
      <c r="C1929" s="71" t="str">
        <f>IF(B1929="","",IFERROR(INDEX(mat_des,MATCH(B1929,mat_ref,0))&amp;"","Matière inconnue"))</f>
        <v/>
      </c>
      <c r="D1929" s="69" t="str">
        <f>IF(B1929="","",IFERROR(INDEX(mat_unit,MATCH(B1929,mat_ref,0))&amp;"",""))</f>
        <v/>
      </c>
      <c r="E1929" s="72" t="n"/>
      <c r="F1929" s="65" t="n"/>
      <c r="G1929" s="68" t="str">
        <f>IF(J1929&lt;&gt;"OK","",IF(F1929="",N(INDEX(mat_loss,MATCH(B1929,mat_ref,0))),F1929))</f>
        <v/>
      </c>
      <c r="H1929" s="66" t="str">
        <f>IF(J1929&lt;&gt;"OK","",INDEX(mat_price,MATCH(B1929,mat_ref,0)))</f>
        <v/>
      </c>
      <c r="I1929" s="66" t="str">
        <f>IF(J1929&lt;&gt;"OK","",E1929*(1+G1929)*H1929)</f>
        <v/>
      </c>
      <c r="J1929" s="69" t="str">
        <f>IF(AND(A1929="",B1929=""),"",IF(A1929="","Produit manquant",IF(COUNTIF(prod_ref,A1929)=0,"Produit inconnu",IF(B1929="","Matière manquante",IF(ISNA(MATCH(B1929,mat_ref,0)),"Matière inconnue",IF(INDEX(mat_check,MATCH(B1929,mat_ref,0))&lt;&gt;"OK","Matière à corriger",IF(OR(NOT(ISNUMBER(E1929)),N(E1929)&lt;=0),"Quantité invalide",IF(AND(F1929&lt;&gt;"",OR(NOT(ISNUMBER(F1929)),N(F1929)&lt;0,N(F1929)&gt;=1)),"Perte entre 0 et 99 %",IF(COUNTIFS(bom_prod,A1929,bom_mat,B1929)&gt;1,"Matière en double","OK")))))))))</f>
        <v/>
      </c>
      <c r="K1929" s="71" t="str">
        <f>IF(AND(fiche_sel&lt;&gt;"",A1929=fiche_sel),COUNTIF(A$6:A1929,fiche_sel),"")</f>
        <v/>
      </c>
    </row>
    <row r="1930">
      <c r="A1930" s="60" t="n"/>
      <c r="B1930" s="60" t="n"/>
      <c r="C1930" s="71" t="str">
        <f>IF(B1930="","",IFERROR(INDEX(mat_des,MATCH(B1930,mat_ref,0))&amp;"","Matière inconnue"))</f>
        <v/>
      </c>
      <c r="D1930" s="69" t="str">
        <f>IF(B1930="","",IFERROR(INDEX(mat_unit,MATCH(B1930,mat_ref,0))&amp;"",""))</f>
        <v/>
      </c>
      <c r="E1930" s="72" t="n"/>
      <c r="F1930" s="65" t="n"/>
      <c r="G1930" s="68" t="str">
        <f>IF(J1930&lt;&gt;"OK","",IF(F1930="",N(INDEX(mat_loss,MATCH(B1930,mat_ref,0))),F1930))</f>
        <v/>
      </c>
      <c r="H1930" s="66" t="str">
        <f>IF(J1930&lt;&gt;"OK","",INDEX(mat_price,MATCH(B1930,mat_ref,0)))</f>
        <v/>
      </c>
      <c r="I1930" s="66" t="str">
        <f>IF(J1930&lt;&gt;"OK","",E1930*(1+G1930)*H1930)</f>
        <v/>
      </c>
      <c r="J1930" s="69" t="str">
        <f>IF(AND(A1930="",B1930=""),"",IF(A1930="","Produit manquant",IF(COUNTIF(prod_ref,A1930)=0,"Produit inconnu",IF(B1930="","Matière manquante",IF(ISNA(MATCH(B1930,mat_ref,0)),"Matière inconnue",IF(INDEX(mat_check,MATCH(B1930,mat_ref,0))&lt;&gt;"OK","Matière à corriger",IF(OR(NOT(ISNUMBER(E1930)),N(E1930)&lt;=0),"Quantité invalide",IF(AND(F1930&lt;&gt;"",OR(NOT(ISNUMBER(F1930)),N(F1930)&lt;0,N(F1930)&gt;=1)),"Perte entre 0 et 99 %",IF(COUNTIFS(bom_prod,A1930,bom_mat,B1930)&gt;1,"Matière en double","OK")))))))))</f>
        <v/>
      </c>
      <c r="K1930" s="71" t="str">
        <f>IF(AND(fiche_sel&lt;&gt;"",A1930=fiche_sel),COUNTIF(A$6:A1930,fiche_sel),"")</f>
        <v/>
      </c>
    </row>
    <row r="1931">
      <c r="A1931" s="60" t="n"/>
      <c r="B1931" s="60" t="n"/>
      <c r="C1931" s="71" t="str">
        <f>IF(B1931="","",IFERROR(INDEX(mat_des,MATCH(B1931,mat_ref,0))&amp;"","Matière inconnue"))</f>
        <v/>
      </c>
      <c r="D1931" s="69" t="str">
        <f>IF(B1931="","",IFERROR(INDEX(mat_unit,MATCH(B1931,mat_ref,0))&amp;"",""))</f>
        <v/>
      </c>
      <c r="E1931" s="72" t="n"/>
      <c r="F1931" s="65" t="n"/>
      <c r="G1931" s="68" t="str">
        <f>IF(J1931&lt;&gt;"OK","",IF(F1931="",N(INDEX(mat_loss,MATCH(B1931,mat_ref,0))),F1931))</f>
        <v/>
      </c>
      <c r="H1931" s="66" t="str">
        <f>IF(J1931&lt;&gt;"OK","",INDEX(mat_price,MATCH(B1931,mat_ref,0)))</f>
        <v/>
      </c>
      <c r="I1931" s="66" t="str">
        <f>IF(J1931&lt;&gt;"OK","",E1931*(1+G1931)*H1931)</f>
        <v/>
      </c>
      <c r="J1931" s="69" t="str">
        <f>IF(AND(A1931="",B1931=""),"",IF(A1931="","Produit manquant",IF(COUNTIF(prod_ref,A1931)=0,"Produit inconnu",IF(B1931="","Matière manquante",IF(ISNA(MATCH(B1931,mat_ref,0)),"Matière inconnue",IF(INDEX(mat_check,MATCH(B1931,mat_ref,0))&lt;&gt;"OK","Matière à corriger",IF(OR(NOT(ISNUMBER(E1931)),N(E1931)&lt;=0),"Quantité invalide",IF(AND(F1931&lt;&gt;"",OR(NOT(ISNUMBER(F1931)),N(F1931)&lt;0,N(F1931)&gt;=1)),"Perte entre 0 et 99 %",IF(COUNTIFS(bom_prod,A1931,bom_mat,B1931)&gt;1,"Matière en double","OK")))))))))</f>
        <v/>
      </c>
      <c r="K1931" s="71" t="str">
        <f>IF(AND(fiche_sel&lt;&gt;"",A1931=fiche_sel),COUNTIF(A$6:A1931,fiche_sel),"")</f>
        <v/>
      </c>
    </row>
    <row r="1932">
      <c r="A1932" s="60" t="n"/>
      <c r="B1932" s="60" t="n"/>
      <c r="C1932" s="71" t="str">
        <f>IF(B1932="","",IFERROR(INDEX(mat_des,MATCH(B1932,mat_ref,0))&amp;"","Matière inconnue"))</f>
        <v/>
      </c>
      <c r="D1932" s="69" t="str">
        <f>IF(B1932="","",IFERROR(INDEX(mat_unit,MATCH(B1932,mat_ref,0))&amp;"",""))</f>
        <v/>
      </c>
      <c r="E1932" s="72" t="n"/>
      <c r="F1932" s="65" t="n"/>
      <c r="G1932" s="68" t="str">
        <f>IF(J1932&lt;&gt;"OK","",IF(F1932="",N(INDEX(mat_loss,MATCH(B1932,mat_ref,0))),F1932))</f>
        <v/>
      </c>
      <c r="H1932" s="66" t="str">
        <f>IF(J1932&lt;&gt;"OK","",INDEX(mat_price,MATCH(B1932,mat_ref,0)))</f>
        <v/>
      </c>
      <c r="I1932" s="66" t="str">
        <f>IF(J1932&lt;&gt;"OK","",E1932*(1+G1932)*H1932)</f>
        <v/>
      </c>
      <c r="J1932" s="69" t="str">
        <f>IF(AND(A1932="",B1932=""),"",IF(A1932="","Produit manquant",IF(COUNTIF(prod_ref,A1932)=0,"Produit inconnu",IF(B1932="","Matière manquante",IF(ISNA(MATCH(B1932,mat_ref,0)),"Matière inconnue",IF(INDEX(mat_check,MATCH(B1932,mat_ref,0))&lt;&gt;"OK","Matière à corriger",IF(OR(NOT(ISNUMBER(E1932)),N(E1932)&lt;=0),"Quantité invalide",IF(AND(F1932&lt;&gt;"",OR(NOT(ISNUMBER(F1932)),N(F1932)&lt;0,N(F1932)&gt;=1)),"Perte entre 0 et 99 %",IF(COUNTIFS(bom_prod,A1932,bom_mat,B1932)&gt;1,"Matière en double","OK")))))))))</f>
        <v/>
      </c>
      <c r="K1932" s="71" t="str">
        <f>IF(AND(fiche_sel&lt;&gt;"",A1932=fiche_sel),COUNTIF(A$6:A1932,fiche_sel),"")</f>
        <v/>
      </c>
    </row>
    <row r="1933">
      <c r="A1933" s="60" t="n"/>
      <c r="B1933" s="60" t="n"/>
      <c r="C1933" s="71" t="str">
        <f>IF(B1933="","",IFERROR(INDEX(mat_des,MATCH(B1933,mat_ref,0))&amp;"","Matière inconnue"))</f>
        <v/>
      </c>
      <c r="D1933" s="69" t="str">
        <f>IF(B1933="","",IFERROR(INDEX(mat_unit,MATCH(B1933,mat_ref,0))&amp;"",""))</f>
        <v/>
      </c>
      <c r="E1933" s="72" t="n"/>
      <c r="F1933" s="65" t="n"/>
      <c r="G1933" s="68" t="str">
        <f>IF(J1933&lt;&gt;"OK","",IF(F1933="",N(INDEX(mat_loss,MATCH(B1933,mat_ref,0))),F1933))</f>
        <v/>
      </c>
      <c r="H1933" s="66" t="str">
        <f>IF(J1933&lt;&gt;"OK","",INDEX(mat_price,MATCH(B1933,mat_ref,0)))</f>
        <v/>
      </c>
      <c r="I1933" s="66" t="str">
        <f>IF(J1933&lt;&gt;"OK","",E1933*(1+G1933)*H1933)</f>
        <v/>
      </c>
      <c r="J1933" s="69" t="str">
        <f>IF(AND(A1933="",B1933=""),"",IF(A1933="","Produit manquant",IF(COUNTIF(prod_ref,A1933)=0,"Produit inconnu",IF(B1933="","Matière manquante",IF(ISNA(MATCH(B1933,mat_ref,0)),"Matière inconnue",IF(INDEX(mat_check,MATCH(B1933,mat_ref,0))&lt;&gt;"OK","Matière à corriger",IF(OR(NOT(ISNUMBER(E1933)),N(E1933)&lt;=0),"Quantité invalide",IF(AND(F1933&lt;&gt;"",OR(NOT(ISNUMBER(F1933)),N(F1933)&lt;0,N(F1933)&gt;=1)),"Perte entre 0 et 99 %",IF(COUNTIFS(bom_prod,A1933,bom_mat,B1933)&gt;1,"Matière en double","OK")))))))))</f>
        <v/>
      </c>
      <c r="K1933" s="71" t="str">
        <f>IF(AND(fiche_sel&lt;&gt;"",A1933=fiche_sel),COUNTIF(A$6:A1933,fiche_sel),"")</f>
        <v/>
      </c>
    </row>
    <row r="1934">
      <c r="A1934" s="60" t="n"/>
      <c r="B1934" s="60" t="n"/>
      <c r="C1934" s="71" t="str">
        <f>IF(B1934="","",IFERROR(INDEX(mat_des,MATCH(B1934,mat_ref,0))&amp;"","Matière inconnue"))</f>
        <v/>
      </c>
      <c r="D1934" s="69" t="str">
        <f>IF(B1934="","",IFERROR(INDEX(mat_unit,MATCH(B1934,mat_ref,0))&amp;"",""))</f>
        <v/>
      </c>
      <c r="E1934" s="72" t="n"/>
      <c r="F1934" s="65" t="n"/>
      <c r="G1934" s="68" t="str">
        <f>IF(J1934&lt;&gt;"OK","",IF(F1934="",N(INDEX(mat_loss,MATCH(B1934,mat_ref,0))),F1934))</f>
        <v/>
      </c>
      <c r="H1934" s="66" t="str">
        <f>IF(J1934&lt;&gt;"OK","",INDEX(mat_price,MATCH(B1934,mat_ref,0)))</f>
        <v/>
      </c>
      <c r="I1934" s="66" t="str">
        <f>IF(J1934&lt;&gt;"OK","",E1934*(1+G1934)*H1934)</f>
        <v/>
      </c>
      <c r="J1934" s="69" t="str">
        <f>IF(AND(A1934="",B1934=""),"",IF(A1934="","Produit manquant",IF(COUNTIF(prod_ref,A1934)=0,"Produit inconnu",IF(B1934="","Matière manquante",IF(ISNA(MATCH(B1934,mat_ref,0)),"Matière inconnue",IF(INDEX(mat_check,MATCH(B1934,mat_ref,0))&lt;&gt;"OK","Matière à corriger",IF(OR(NOT(ISNUMBER(E1934)),N(E1934)&lt;=0),"Quantité invalide",IF(AND(F1934&lt;&gt;"",OR(NOT(ISNUMBER(F1934)),N(F1934)&lt;0,N(F1934)&gt;=1)),"Perte entre 0 et 99 %",IF(COUNTIFS(bom_prod,A1934,bom_mat,B1934)&gt;1,"Matière en double","OK")))))))))</f>
        <v/>
      </c>
      <c r="K1934" s="71" t="str">
        <f>IF(AND(fiche_sel&lt;&gt;"",A1934=fiche_sel),COUNTIF(A$6:A1934,fiche_sel),"")</f>
        <v/>
      </c>
    </row>
    <row r="1935">
      <c r="A1935" s="60" t="n"/>
      <c r="B1935" s="60" t="n"/>
      <c r="C1935" s="71" t="str">
        <f>IF(B1935="","",IFERROR(INDEX(mat_des,MATCH(B1935,mat_ref,0))&amp;"","Matière inconnue"))</f>
        <v/>
      </c>
      <c r="D1935" s="69" t="str">
        <f>IF(B1935="","",IFERROR(INDEX(mat_unit,MATCH(B1935,mat_ref,0))&amp;"",""))</f>
        <v/>
      </c>
      <c r="E1935" s="72" t="n"/>
      <c r="F1935" s="65" t="n"/>
      <c r="G1935" s="68" t="str">
        <f>IF(J1935&lt;&gt;"OK","",IF(F1935="",N(INDEX(mat_loss,MATCH(B1935,mat_ref,0))),F1935))</f>
        <v/>
      </c>
      <c r="H1935" s="66" t="str">
        <f>IF(J1935&lt;&gt;"OK","",INDEX(mat_price,MATCH(B1935,mat_ref,0)))</f>
        <v/>
      </c>
      <c r="I1935" s="66" t="str">
        <f>IF(J1935&lt;&gt;"OK","",E1935*(1+G1935)*H1935)</f>
        <v/>
      </c>
      <c r="J1935" s="69" t="str">
        <f>IF(AND(A1935="",B1935=""),"",IF(A1935="","Produit manquant",IF(COUNTIF(prod_ref,A1935)=0,"Produit inconnu",IF(B1935="","Matière manquante",IF(ISNA(MATCH(B1935,mat_ref,0)),"Matière inconnue",IF(INDEX(mat_check,MATCH(B1935,mat_ref,0))&lt;&gt;"OK","Matière à corriger",IF(OR(NOT(ISNUMBER(E1935)),N(E1935)&lt;=0),"Quantité invalide",IF(AND(F1935&lt;&gt;"",OR(NOT(ISNUMBER(F1935)),N(F1935)&lt;0,N(F1935)&gt;=1)),"Perte entre 0 et 99 %",IF(COUNTIFS(bom_prod,A1935,bom_mat,B1935)&gt;1,"Matière en double","OK")))))))))</f>
        <v/>
      </c>
      <c r="K1935" s="71" t="str">
        <f>IF(AND(fiche_sel&lt;&gt;"",A1935=fiche_sel),COUNTIF(A$6:A1935,fiche_sel),"")</f>
        <v/>
      </c>
    </row>
    <row r="1936">
      <c r="A1936" s="60" t="n"/>
      <c r="B1936" s="60" t="n"/>
      <c r="C1936" s="71" t="str">
        <f>IF(B1936="","",IFERROR(INDEX(mat_des,MATCH(B1936,mat_ref,0))&amp;"","Matière inconnue"))</f>
        <v/>
      </c>
      <c r="D1936" s="69" t="str">
        <f>IF(B1936="","",IFERROR(INDEX(mat_unit,MATCH(B1936,mat_ref,0))&amp;"",""))</f>
        <v/>
      </c>
      <c r="E1936" s="72" t="n"/>
      <c r="F1936" s="65" t="n"/>
      <c r="G1936" s="68" t="str">
        <f>IF(J1936&lt;&gt;"OK","",IF(F1936="",N(INDEX(mat_loss,MATCH(B1936,mat_ref,0))),F1936))</f>
        <v/>
      </c>
      <c r="H1936" s="66" t="str">
        <f>IF(J1936&lt;&gt;"OK","",INDEX(mat_price,MATCH(B1936,mat_ref,0)))</f>
        <v/>
      </c>
      <c r="I1936" s="66" t="str">
        <f>IF(J1936&lt;&gt;"OK","",E1936*(1+G1936)*H1936)</f>
        <v/>
      </c>
      <c r="J1936" s="69" t="str">
        <f>IF(AND(A1936="",B1936=""),"",IF(A1936="","Produit manquant",IF(COUNTIF(prod_ref,A1936)=0,"Produit inconnu",IF(B1936="","Matière manquante",IF(ISNA(MATCH(B1936,mat_ref,0)),"Matière inconnue",IF(INDEX(mat_check,MATCH(B1936,mat_ref,0))&lt;&gt;"OK","Matière à corriger",IF(OR(NOT(ISNUMBER(E1936)),N(E1936)&lt;=0),"Quantité invalide",IF(AND(F1936&lt;&gt;"",OR(NOT(ISNUMBER(F1936)),N(F1936)&lt;0,N(F1936)&gt;=1)),"Perte entre 0 et 99 %",IF(COUNTIFS(bom_prod,A1936,bom_mat,B1936)&gt;1,"Matière en double","OK")))))))))</f>
        <v/>
      </c>
      <c r="K1936" s="71" t="str">
        <f>IF(AND(fiche_sel&lt;&gt;"",A1936=fiche_sel),COUNTIF(A$6:A1936,fiche_sel),"")</f>
        <v/>
      </c>
    </row>
    <row r="1937">
      <c r="A1937" s="60" t="n"/>
      <c r="B1937" s="60" t="n"/>
      <c r="C1937" s="71" t="str">
        <f>IF(B1937="","",IFERROR(INDEX(mat_des,MATCH(B1937,mat_ref,0))&amp;"","Matière inconnue"))</f>
        <v/>
      </c>
      <c r="D1937" s="69" t="str">
        <f>IF(B1937="","",IFERROR(INDEX(mat_unit,MATCH(B1937,mat_ref,0))&amp;"",""))</f>
        <v/>
      </c>
      <c r="E1937" s="72" t="n"/>
      <c r="F1937" s="65" t="n"/>
      <c r="G1937" s="68" t="str">
        <f>IF(J1937&lt;&gt;"OK","",IF(F1937="",N(INDEX(mat_loss,MATCH(B1937,mat_ref,0))),F1937))</f>
        <v/>
      </c>
      <c r="H1937" s="66" t="str">
        <f>IF(J1937&lt;&gt;"OK","",INDEX(mat_price,MATCH(B1937,mat_ref,0)))</f>
        <v/>
      </c>
      <c r="I1937" s="66" t="str">
        <f>IF(J1937&lt;&gt;"OK","",E1937*(1+G1937)*H1937)</f>
        <v/>
      </c>
      <c r="J1937" s="69" t="str">
        <f>IF(AND(A1937="",B1937=""),"",IF(A1937="","Produit manquant",IF(COUNTIF(prod_ref,A1937)=0,"Produit inconnu",IF(B1937="","Matière manquante",IF(ISNA(MATCH(B1937,mat_ref,0)),"Matière inconnue",IF(INDEX(mat_check,MATCH(B1937,mat_ref,0))&lt;&gt;"OK","Matière à corriger",IF(OR(NOT(ISNUMBER(E1937)),N(E1937)&lt;=0),"Quantité invalide",IF(AND(F1937&lt;&gt;"",OR(NOT(ISNUMBER(F1937)),N(F1937)&lt;0,N(F1937)&gt;=1)),"Perte entre 0 et 99 %",IF(COUNTIFS(bom_prod,A1937,bom_mat,B1937)&gt;1,"Matière en double","OK")))))))))</f>
        <v/>
      </c>
      <c r="K1937" s="71" t="str">
        <f>IF(AND(fiche_sel&lt;&gt;"",A1937=fiche_sel),COUNTIF(A$6:A1937,fiche_sel),"")</f>
        <v/>
      </c>
    </row>
    <row r="1938">
      <c r="A1938" s="60" t="n"/>
      <c r="B1938" s="60" t="n"/>
      <c r="C1938" s="71" t="str">
        <f>IF(B1938="","",IFERROR(INDEX(mat_des,MATCH(B1938,mat_ref,0))&amp;"","Matière inconnue"))</f>
        <v/>
      </c>
      <c r="D1938" s="69" t="str">
        <f>IF(B1938="","",IFERROR(INDEX(mat_unit,MATCH(B1938,mat_ref,0))&amp;"",""))</f>
        <v/>
      </c>
      <c r="E1938" s="72" t="n"/>
      <c r="F1938" s="65" t="n"/>
      <c r="G1938" s="68" t="str">
        <f>IF(J1938&lt;&gt;"OK","",IF(F1938="",N(INDEX(mat_loss,MATCH(B1938,mat_ref,0))),F1938))</f>
        <v/>
      </c>
      <c r="H1938" s="66" t="str">
        <f>IF(J1938&lt;&gt;"OK","",INDEX(mat_price,MATCH(B1938,mat_ref,0)))</f>
        <v/>
      </c>
      <c r="I1938" s="66" t="str">
        <f>IF(J1938&lt;&gt;"OK","",E1938*(1+G1938)*H1938)</f>
        <v/>
      </c>
      <c r="J1938" s="69" t="str">
        <f>IF(AND(A1938="",B1938=""),"",IF(A1938="","Produit manquant",IF(COUNTIF(prod_ref,A1938)=0,"Produit inconnu",IF(B1938="","Matière manquante",IF(ISNA(MATCH(B1938,mat_ref,0)),"Matière inconnue",IF(INDEX(mat_check,MATCH(B1938,mat_ref,0))&lt;&gt;"OK","Matière à corriger",IF(OR(NOT(ISNUMBER(E1938)),N(E1938)&lt;=0),"Quantité invalide",IF(AND(F1938&lt;&gt;"",OR(NOT(ISNUMBER(F1938)),N(F1938)&lt;0,N(F1938)&gt;=1)),"Perte entre 0 et 99 %",IF(COUNTIFS(bom_prod,A1938,bom_mat,B1938)&gt;1,"Matière en double","OK")))))))))</f>
        <v/>
      </c>
      <c r="K1938" s="71" t="str">
        <f>IF(AND(fiche_sel&lt;&gt;"",A1938=fiche_sel),COUNTIF(A$6:A1938,fiche_sel),"")</f>
        <v/>
      </c>
    </row>
    <row r="1939">
      <c r="A1939" s="60" t="n"/>
      <c r="B1939" s="60" t="n"/>
      <c r="C1939" s="71" t="str">
        <f>IF(B1939="","",IFERROR(INDEX(mat_des,MATCH(B1939,mat_ref,0))&amp;"","Matière inconnue"))</f>
        <v/>
      </c>
      <c r="D1939" s="69" t="str">
        <f>IF(B1939="","",IFERROR(INDEX(mat_unit,MATCH(B1939,mat_ref,0))&amp;"",""))</f>
        <v/>
      </c>
      <c r="E1939" s="72" t="n"/>
      <c r="F1939" s="65" t="n"/>
      <c r="G1939" s="68" t="str">
        <f>IF(J1939&lt;&gt;"OK","",IF(F1939="",N(INDEX(mat_loss,MATCH(B1939,mat_ref,0))),F1939))</f>
        <v/>
      </c>
      <c r="H1939" s="66" t="str">
        <f>IF(J1939&lt;&gt;"OK","",INDEX(mat_price,MATCH(B1939,mat_ref,0)))</f>
        <v/>
      </c>
      <c r="I1939" s="66" t="str">
        <f>IF(J1939&lt;&gt;"OK","",E1939*(1+G1939)*H1939)</f>
        <v/>
      </c>
      <c r="J1939" s="69" t="str">
        <f>IF(AND(A1939="",B1939=""),"",IF(A1939="","Produit manquant",IF(COUNTIF(prod_ref,A1939)=0,"Produit inconnu",IF(B1939="","Matière manquante",IF(ISNA(MATCH(B1939,mat_ref,0)),"Matière inconnue",IF(INDEX(mat_check,MATCH(B1939,mat_ref,0))&lt;&gt;"OK","Matière à corriger",IF(OR(NOT(ISNUMBER(E1939)),N(E1939)&lt;=0),"Quantité invalide",IF(AND(F1939&lt;&gt;"",OR(NOT(ISNUMBER(F1939)),N(F1939)&lt;0,N(F1939)&gt;=1)),"Perte entre 0 et 99 %",IF(COUNTIFS(bom_prod,A1939,bom_mat,B1939)&gt;1,"Matière en double","OK")))))))))</f>
        <v/>
      </c>
      <c r="K1939" s="71" t="str">
        <f>IF(AND(fiche_sel&lt;&gt;"",A1939=fiche_sel),COUNTIF(A$6:A1939,fiche_sel),"")</f>
        <v/>
      </c>
    </row>
    <row r="1940">
      <c r="A1940" s="60" t="n"/>
      <c r="B1940" s="60" t="n"/>
      <c r="C1940" s="71" t="str">
        <f>IF(B1940="","",IFERROR(INDEX(mat_des,MATCH(B1940,mat_ref,0))&amp;"","Matière inconnue"))</f>
        <v/>
      </c>
      <c r="D1940" s="69" t="str">
        <f>IF(B1940="","",IFERROR(INDEX(mat_unit,MATCH(B1940,mat_ref,0))&amp;"",""))</f>
        <v/>
      </c>
      <c r="E1940" s="72" t="n"/>
      <c r="F1940" s="65" t="n"/>
      <c r="G1940" s="68" t="str">
        <f>IF(J1940&lt;&gt;"OK","",IF(F1940="",N(INDEX(mat_loss,MATCH(B1940,mat_ref,0))),F1940))</f>
        <v/>
      </c>
      <c r="H1940" s="66" t="str">
        <f>IF(J1940&lt;&gt;"OK","",INDEX(mat_price,MATCH(B1940,mat_ref,0)))</f>
        <v/>
      </c>
      <c r="I1940" s="66" t="str">
        <f>IF(J1940&lt;&gt;"OK","",E1940*(1+G1940)*H1940)</f>
        <v/>
      </c>
      <c r="J1940" s="69" t="str">
        <f>IF(AND(A1940="",B1940=""),"",IF(A1940="","Produit manquant",IF(COUNTIF(prod_ref,A1940)=0,"Produit inconnu",IF(B1940="","Matière manquante",IF(ISNA(MATCH(B1940,mat_ref,0)),"Matière inconnue",IF(INDEX(mat_check,MATCH(B1940,mat_ref,0))&lt;&gt;"OK","Matière à corriger",IF(OR(NOT(ISNUMBER(E1940)),N(E1940)&lt;=0),"Quantité invalide",IF(AND(F1940&lt;&gt;"",OR(NOT(ISNUMBER(F1940)),N(F1940)&lt;0,N(F1940)&gt;=1)),"Perte entre 0 et 99 %",IF(COUNTIFS(bom_prod,A1940,bom_mat,B1940)&gt;1,"Matière en double","OK")))))))))</f>
        <v/>
      </c>
      <c r="K1940" s="71" t="str">
        <f>IF(AND(fiche_sel&lt;&gt;"",A1940=fiche_sel),COUNTIF(A$6:A1940,fiche_sel),"")</f>
        <v/>
      </c>
    </row>
    <row r="1941">
      <c r="A1941" s="60" t="n"/>
      <c r="B1941" s="60" t="n"/>
      <c r="C1941" s="71" t="str">
        <f>IF(B1941="","",IFERROR(INDEX(mat_des,MATCH(B1941,mat_ref,0))&amp;"","Matière inconnue"))</f>
        <v/>
      </c>
      <c r="D1941" s="69" t="str">
        <f>IF(B1941="","",IFERROR(INDEX(mat_unit,MATCH(B1941,mat_ref,0))&amp;"",""))</f>
        <v/>
      </c>
      <c r="E1941" s="72" t="n"/>
      <c r="F1941" s="65" t="n"/>
      <c r="G1941" s="68" t="str">
        <f>IF(J1941&lt;&gt;"OK","",IF(F1941="",N(INDEX(mat_loss,MATCH(B1941,mat_ref,0))),F1941))</f>
        <v/>
      </c>
      <c r="H1941" s="66" t="str">
        <f>IF(J1941&lt;&gt;"OK","",INDEX(mat_price,MATCH(B1941,mat_ref,0)))</f>
        <v/>
      </c>
      <c r="I1941" s="66" t="str">
        <f>IF(J1941&lt;&gt;"OK","",E1941*(1+G1941)*H1941)</f>
        <v/>
      </c>
      <c r="J1941" s="69" t="str">
        <f>IF(AND(A1941="",B1941=""),"",IF(A1941="","Produit manquant",IF(COUNTIF(prod_ref,A1941)=0,"Produit inconnu",IF(B1941="","Matière manquante",IF(ISNA(MATCH(B1941,mat_ref,0)),"Matière inconnue",IF(INDEX(mat_check,MATCH(B1941,mat_ref,0))&lt;&gt;"OK","Matière à corriger",IF(OR(NOT(ISNUMBER(E1941)),N(E1941)&lt;=0),"Quantité invalide",IF(AND(F1941&lt;&gt;"",OR(NOT(ISNUMBER(F1941)),N(F1941)&lt;0,N(F1941)&gt;=1)),"Perte entre 0 et 99 %",IF(COUNTIFS(bom_prod,A1941,bom_mat,B1941)&gt;1,"Matière en double","OK")))))))))</f>
        <v/>
      </c>
      <c r="K1941" s="71" t="str">
        <f>IF(AND(fiche_sel&lt;&gt;"",A1941=fiche_sel),COUNTIF(A$6:A1941,fiche_sel),"")</f>
        <v/>
      </c>
    </row>
    <row r="1942">
      <c r="A1942" s="60" t="n"/>
      <c r="B1942" s="60" t="n"/>
      <c r="C1942" s="71" t="str">
        <f>IF(B1942="","",IFERROR(INDEX(mat_des,MATCH(B1942,mat_ref,0))&amp;"","Matière inconnue"))</f>
        <v/>
      </c>
      <c r="D1942" s="69" t="str">
        <f>IF(B1942="","",IFERROR(INDEX(mat_unit,MATCH(B1942,mat_ref,0))&amp;"",""))</f>
        <v/>
      </c>
      <c r="E1942" s="72" t="n"/>
      <c r="F1942" s="65" t="n"/>
      <c r="G1942" s="68" t="str">
        <f>IF(J1942&lt;&gt;"OK","",IF(F1942="",N(INDEX(mat_loss,MATCH(B1942,mat_ref,0))),F1942))</f>
        <v/>
      </c>
      <c r="H1942" s="66" t="str">
        <f>IF(J1942&lt;&gt;"OK","",INDEX(mat_price,MATCH(B1942,mat_ref,0)))</f>
        <v/>
      </c>
      <c r="I1942" s="66" t="str">
        <f>IF(J1942&lt;&gt;"OK","",E1942*(1+G1942)*H1942)</f>
        <v/>
      </c>
      <c r="J1942" s="69" t="str">
        <f>IF(AND(A1942="",B1942=""),"",IF(A1942="","Produit manquant",IF(COUNTIF(prod_ref,A1942)=0,"Produit inconnu",IF(B1942="","Matière manquante",IF(ISNA(MATCH(B1942,mat_ref,0)),"Matière inconnue",IF(INDEX(mat_check,MATCH(B1942,mat_ref,0))&lt;&gt;"OK","Matière à corriger",IF(OR(NOT(ISNUMBER(E1942)),N(E1942)&lt;=0),"Quantité invalide",IF(AND(F1942&lt;&gt;"",OR(NOT(ISNUMBER(F1942)),N(F1942)&lt;0,N(F1942)&gt;=1)),"Perte entre 0 et 99 %",IF(COUNTIFS(bom_prod,A1942,bom_mat,B1942)&gt;1,"Matière en double","OK")))))))))</f>
        <v/>
      </c>
      <c r="K1942" s="71" t="str">
        <f>IF(AND(fiche_sel&lt;&gt;"",A1942=fiche_sel),COUNTIF(A$6:A1942,fiche_sel),"")</f>
        <v/>
      </c>
    </row>
    <row r="1943">
      <c r="A1943" s="60" t="n"/>
      <c r="B1943" s="60" t="n"/>
      <c r="C1943" s="71" t="str">
        <f>IF(B1943="","",IFERROR(INDEX(mat_des,MATCH(B1943,mat_ref,0))&amp;"","Matière inconnue"))</f>
        <v/>
      </c>
      <c r="D1943" s="69" t="str">
        <f>IF(B1943="","",IFERROR(INDEX(mat_unit,MATCH(B1943,mat_ref,0))&amp;"",""))</f>
        <v/>
      </c>
      <c r="E1943" s="72" t="n"/>
      <c r="F1943" s="65" t="n"/>
      <c r="G1943" s="68" t="str">
        <f>IF(J1943&lt;&gt;"OK","",IF(F1943="",N(INDEX(mat_loss,MATCH(B1943,mat_ref,0))),F1943))</f>
        <v/>
      </c>
      <c r="H1943" s="66" t="str">
        <f>IF(J1943&lt;&gt;"OK","",INDEX(mat_price,MATCH(B1943,mat_ref,0)))</f>
        <v/>
      </c>
      <c r="I1943" s="66" t="str">
        <f>IF(J1943&lt;&gt;"OK","",E1943*(1+G1943)*H1943)</f>
        <v/>
      </c>
      <c r="J1943" s="69" t="str">
        <f>IF(AND(A1943="",B1943=""),"",IF(A1943="","Produit manquant",IF(COUNTIF(prod_ref,A1943)=0,"Produit inconnu",IF(B1943="","Matière manquante",IF(ISNA(MATCH(B1943,mat_ref,0)),"Matière inconnue",IF(INDEX(mat_check,MATCH(B1943,mat_ref,0))&lt;&gt;"OK","Matière à corriger",IF(OR(NOT(ISNUMBER(E1943)),N(E1943)&lt;=0),"Quantité invalide",IF(AND(F1943&lt;&gt;"",OR(NOT(ISNUMBER(F1943)),N(F1943)&lt;0,N(F1943)&gt;=1)),"Perte entre 0 et 99 %",IF(COUNTIFS(bom_prod,A1943,bom_mat,B1943)&gt;1,"Matière en double","OK")))))))))</f>
        <v/>
      </c>
      <c r="K1943" s="71" t="str">
        <f>IF(AND(fiche_sel&lt;&gt;"",A1943=fiche_sel),COUNTIF(A$6:A1943,fiche_sel),"")</f>
        <v/>
      </c>
    </row>
    <row r="1944">
      <c r="A1944" s="60" t="n"/>
      <c r="B1944" s="60" t="n"/>
      <c r="C1944" s="71" t="str">
        <f>IF(B1944="","",IFERROR(INDEX(mat_des,MATCH(B1944,mat_ref,0))&amp;"","Matière inconnue"))</f>
        <v/>
      </c>
      <c r="D1944" s="69" t="str">
        <f>IF(B1944="","",IFERROR(INDEX(mat_unit,MATCH(B1944,mat_ref,0))&amp;"",""))</f>
        <v/>
      </c>
      <c r="E1944" s="72" t="n"/>
      <c r="F1944" s="65" t="n"/>
      <c r="G1944" s="68" t="str">
        <f>IF(J1944&lt;&gt;"OK","",IF(F1944="",N(INDEX(mat_loss,MATCH(B1944,mat_ref,0))),F1944))</f>
        <v/>
      </c>
      <c r="H1944" s="66" t="str">
        <f>IF(J1944&lt;&gt;"OK","",INDEX(mat_price,MATCH(B1944,mat_ref,0)))</f>
        <v/>
      </c>
      <c r="I1944" s="66" t="str">
        <f>IF(J1944&lt;&gt;"OK","",E1944*(1+G1944)*H1944)</f>
        <v/>
      </c>
      <c r="J1944" s="69" t="str">
        <f>IF(AND(A1944="",B1944=""),"",IF(A1944="","Produit manquant",IF(COUNTIF(prod_ref,A1944)=0,"Produit inconnu",IF(B1944="","Matière manquante",IF(ISNA(MATCH(B1944,mat_ref,0)),"Matière inconnue",IF(INDEX(mat_check,MATCH(B1944,mat_ref,0))&lt;&gt;"OK","Matière à corriger",IF(OR(NOT(ISNUMBER(E1944)),N(E1944)&lt;=0),"Quantité invalide",IF(AND(F1944&lt;&gt;"",OR(NOT(ISNUMBER(F1944)),N(F1944)&lt;0,N(F1944)&gt;=1)),"Perte entre 0 et 99 %",IF(COUNTIFS(bom_prod,A1944,bom_mat,B1944)&gt;1,"Matière en double","OK")))))))))</f>
        <v/>
      </c>
      <c r="K1944" s="71" t="str">
        <f>IF(AND(fiche_sel&lt;&gt;"",A1944=fiche_sel),COUNTIF(A$6:A1944,fiche_sel),"")</f>
        <v/>
      </c>
    </row>
    <row r="1945">
      <c r="A1945" s="60" t="n"/>
      <c r="B1945" s="60" t="n"/>
      <c r="C1945" s="71" t="str">
        <f>IF(B1945="","",IFERROR(INDEX(mat_des,MATCH(B1945,mat_ref,0))&amp;"","Matière inconnue"))</f>
        <v/>
      </c>
      <c r="D1945" s="69" t="str">
        <f>IF(B1945="","",IFERROR(INDEX(mat_unit,MATCH(B1945,mat_ref,0))&amp;"",""))</f>
        <v/>
      </c>
      <c r="E1945" s="72" t="n"/>
      <c r="F1945" s="65" t="n"/>
      <c r="G1945" s="68" t="str">
        <f>IF(J1945&lt;&gt;"OK","",IF(F1945="",N(INDEX(mat_loss,MATCH(B1945,mat_ref,0))),F1945))</f>
        <v/>
      </c>
      <c r="H1945" s="66" t="str">
        <f>IF(J1945&lt;&gt;"OK","",INDEX(mat_price,MATCH(B1945,mat_ref,0)))</f>
        <v/>
      </c>
      <c r="I1945" s="66" t="str">
        <f>IF(J1945&lt;&gt;"OK","",E1945*(1+G1945)*H1945)</f>
        <v/>
      </c>
      <c r="J1945" s="69" t="str">
        <f>IF(AND(A1945="",B1945=""),"",IF(A1945="","Produit manquant",IF(COUNTIF(prod_ref,A1945)=0,"Produit inconnu",IF(B1945="","Matière manquante",IF(ISNA(MATCH(B1945,mat_ref,0)),"Matière inconnue",IF(INDEX(mat_check,MATCH(B1945,mat_ref,0))&lt;&gt;"OK","Matière à corriger",IF(OR(NOT(ISNUMBER(E1945)),N(E1945)&lt;=0),"Quantité invalide",IF(AND(F1945&lt;&gt;"",OR(NOT(ISNUMBER(F1945)),N(F1945)&lt;0,N(F1945)&gt;=1)),"Perte entre 0 et 99 %",IF(COUNTIFS(bom_prod,A1945,bom_mat,B1945)&gt;1,"Matière en double","OK")))))))))</f>
        <v/>
      </c>
      <c r="K1945" s="71" t="str">
        <f>IF(AND(fiche_sel&lt;&gt;"",A1945=fiche_sel),COUNTIF(A$6:A1945,fiche_sel),"")</f>
        <v/>
      </c>
    </row>
    <row r="1946">
      <c r="A1946" s="60" t="n"/>
      <c r="B1946" s="60" t="n"/>
      <c r="C1946" s="71" t="str">
        <f>IF(B1946="","",IFERROR(INDEX(mat_des,MATCH(B1946,mat_ref,0))&amp;"","Matière inconnue"))</f>
        <v/>
      </c>
      <c r="D1946" s="69" t="str">
        <f>IF(B1946="","",IFERROR(INDEX(mat_unit,MATCH(B1946,mat_ref,0))&amp;"",""))</f>
        <v/>
      </c>
      <c r="E1946" s="72" t="n"/>
      <c r="F1946" s="65" t="n"/>
      <c r="G1946" s="68" t="str">
        <f>IF(J1946&lt;&gt;"OK","",IF(F1946="",N(INDEX(mat_loss,MATCH(B1946,mat_ref,0))),F1946))</f>
        <v/>
      </c>
      <c r="H1946" s="66" t="str">
        <f>IF(J1946&lt;&gt;"OK","",INDEX(mat_price,MATCH(B1946,mat_ref,0)))</f>
        <v/>
      </c>
      <c r="I1946" s="66" t="str">
        <f>IF(J1946&lt;&gt;"OK","",E1946*(1+G1946)*H1946)</f>
        <v/>
      </c>
      <c r="J1946" s="69" t="str">
        <f>IF(AND(A1946="",B1946=""),"",IF(A1946="","Produit manquant",IF(COUNTIF(prod_ref,A1946)=0,"Produit inconnu",IF(B1946="","Matière manquante",IF(ISNA(MATCH(B1946,mat_ref,0)),"Matière inconnue",IF(INDEX(mat_check,MATCH(B1946,mat_ref,0))&lt;&gt;"OK","Matière à corriger",IF(OR(NOT(ISNUMBER(E1946)),N(E1946)&lt;=0),"Quantité invalide",IF(AND(F1946&lt;&gt;"",OR(NOT(ISNUMBER(F1946)),N(F1946)&lt;0,N(F1946)&gt;=1)),"Perte entre 0 et 99 %",IF(COUNTIFS(bom_prod,A1946,bom_mat,B1946)&gt;1,"Matière en double","OK")))))))))</f>
        <v/>
      </c>
      <c r="K1946" s="71" t="str">
        <f>IF(AND(fiche_sel&lt;&gt;"",A1946=fiche_sel),COUNTIF(A$6:A1946,fiche_sel),"")</f>
        <v/>
      </c>
    </row>
    <row r="1947">
      <c r="A1947" s="60" t="n"/>
      <c r="B1947" s="60" t="n"/>
      <c r="C1947" s="71" t="str">
        <f>IF(B1947="","",IFERROR(INDEX(mat_des,MATCH(B1947,mat_ref,0))&amp;"","Matière inconnue"))</f>
        <v/>
      </c>
      <c r="D1947" s="69" t="str">
        <f>IF(B1947="","",IFERROR(INDEX(mat_unit,MATCH(B1947,mat_ref,0))&amp;"",""))</f>
        <v/>
      </c>
      <c r="E1947" s="72" t="n"/>
      <c r="F1947" s="65" t="n"/>
      <c r="G1947" s="68" t="str">
        <f>IF(J1947&lt;&gt;"OK","",IF(F1947="",N(INDEX(mat_loss,MATCH(B1947,mat_ref,0))),F1947))</f>
        <v/>
      </c>
      <c r="H1947" s="66" t="str">
        <f>IF(J1947&lt;&gt;"OK","",INDEX(mat_price,MATCH(B1947,mat_ref,0)))</f>
        <v/>
      </c>
      <c r="I1947" s="66" t="str">
        <f>IF(J1947&lt;&gt;"OK","",E1947*(1+G1947)*H1947)</f>
        <v/>
      </c>
      <c r="J1947" s="69" t="str">
        <f>IF(AND(A1947="",B1947=""),"",IF(A1947="","Produit manquant",IF(COUNTIF(prod_ref,A1947)=0,"Produit inconnu",IF(B1947="","Matière manquante",IF(ISNA(MATCH(B1947,mat_ref,0)),"Matière inconnue",IF(INDEX(mat_check,MATCH(B1947,mat_ref,0))&lt;&gt;"OK","Matière à corriger",IF(OR(NOT(ISNUMBER(E1947)),N(E1947)&lt;=0),"Quantité invalide",IF(AND(F1947&lt;&gt;"",OR(NOT(ISNUMBER(F1947)),N(F1947)&lt;0,N(F1947)&gt;=1)),"Perte entre 0 et 99 %",IF(COUNTIFS(bom_prod,A1947,bom_mat,B1947)&gt;1,"Matière en double","OK")))))))))</f>
        <v/>
      </c>
      <c r="K1947" s="71" t="str">
        <f>IF(AND(fiche_sel&lt;&gt;"",A1947=fiche_sel),COUNTIF(A$6:A1947,fiche_sel),"")</f>
        <v/>
      </c>
    </row>
    <row r="1948">
      <c r="A1948" s="60" t="n"/>
      <c r="B1948" s="60" t="n"/>
      <c r="C1948" s="71" t="str">
        <f>IF(B1948="","",IFERROR(INDEX(mat_des,MATCH(B1948,mat_ref,0))&amp;"","Matière inconnue"))</f>
        <v/>
      </c>
      <c r="D1948" s="69" t="str">
        <f>IF(B1948="","",IFERROR(INDEX(mat_unit,MATCH(B1948,mat_ref,0))&amp;"",""))</f>
        <v/>
      </c>
      <c r="E1948" s="72" t="n"/>
      <c r="F1948" s="65" t="n"/>
      <c r="G1948" s="68" t="str">
        <f>IF(J1948&lt;&gt;"OK","",IF(F1948="",N(INDEX(mat_loss,MATCH(B1948,mat_ref,0))),F1948))</f>
        <v/>
      </c>
      <c r="H1948" s="66" t="str">
        <f>IF(J1948&lt;&gt;"OK","",INDEX(mat_price,MATCH(B1948,mat_ref,0)))</f>
        <v/>
      </c>
      <c r="I1948" s="66" t="str">
        <f>IF(J1948&lt;&gt;"OK","",E1948*(1+G1948)*H1948)</f>
        <v/>
      </c>
      <c r="J1948" s="69" t="str">
        <f>IF(AND(A1948="",B1948=""),"",IF(A1948="","Produit manquant",IF(COUNTIF(prod_ref,A1948)=0,"Produit inconnu",IF(B1948="","Matière manquante",IF(ISNA(MATCH(B1948,mat_ref,0)),"Matière inconnue",IF(INDEX(mat_check,MATCH(B1948,mat_ref,0))&lt;&gt;"OK","Matière à corriger",IF(OR(NOT(ISNUMBER(E1948)),N(E1948)&lt;=0),"Quantité invalide",IF(AND(F1948&lt;&gt;"",OR(NOT(ISNUMBER(F1948)),N(F1948)&lt;0,N(F1948)&gt;=1)),"Perte entre 0 et 99 %",IF(COUNTIFS(bom_prod,A1948,bom_mat,B1948)&gt;1,"Matière en double","OK")))))))))</f>
        <v/>
      </c>
      <c r="K1948" s="71" t="str">
        <f>IF(AND(fiche_sel&lt;&gt;"",A1948=fiche_sel),COUNTIF(A$6:A1948,fiche_sel),"")</f>
        <v/>
      </c>
    </row>
    <row r="1949">
      <c r="A1949" s="60" t="n"/>
      <c r="B1949" s="60" t="n"/>
      <c r="C1949" s="71" t="str">
        <f>IF(B1949="","",IFERROR(INDEX(mat_des,MATCH(B1949,mat_ref,0))&amp;"","Matière inconnue"))</f>
        <v/>
      </c>
      <c r="D1949" s="69" t="str">
        <f>IF(B1949="","",IFERROR(INDEX(mat_unit,MATCH(B1949,mat_ref,0))&amp;"",""))</f>
        <v/>
      </c>
      <c r="E1949" s="72" t="n"/>
      <c r="F1949" s="65" t="n"/>
      <c r="G1949" s="68" t="str">
        <f>IF(J1949&lt;&gt;"OK","",IF(F1949="",N(INDEX(mat_loss,MATCH(B1949,mat_ref,0))),F1949))</f>
        <v/>
      </c>
      <c r="H1949" s="66" t="str">
        <f>IF(J1949&lt;&gt;"OK","",INDEX(mat_price,MATCH(B1949,mat_ref,0)))</f>
        <v/>
      </c>
      <c r="I1949" s="66" t="str">
        <f>IF(J1949&lt;&gt;"OK","",E1949*(1+G1949)*H1949)</f>
        <v/>
      </c>
      <c r="J1949" s="69" t="str">
        <f>IF(AND(A1949="",B1949=""),"",IF(A1949="","Produit manquant",IF(COUNTIF(prod_ref,A1949)=0,"Produit inconnu",IF(B1949="","Matière manquante",IF(ISNA(MATCH(B1949,mat_ref,0)),"Matière inconnue",IF(INDEX(mat_check,MATCH(B1949,mat_ref,0))&lt;&gt;"OK","Matière à corriger",IF(OR(NOT(ISNUMBER(E1949)),N(E1949)&lt;=0),"Quantité invalide",IF(AND(F1949&lt;&gt;"",OR(NOT(ISNUMBER(F1949)),N(F1949)&lt;0,N(F1949)&gt;=1)),"Perte entre 0 et 99 %",IF(COUNTIFS(bom_prod,A1949,bom_mat,B1949)&gt;1,"Matière en double","OK")))))))))</f>
        <v/>
      </c>
      <c r="K1949" s="71" t="str">
        <f>IF(AND(fiche_sel&lt;&gt;"",A1949=fiche_sel),COUNTIF(A$6:A1949,fiche_sel),"")</f>
        <v/>
      </c>
    </row>
    <row r="1950">
      <c r="A1950" s="60" t="n"/>
      <c r="B1950" s="60" t="n"/>
      <c r="C1950" s="71" t="str">
        <f>IF(B1950="","",IFERROR(INDEX(mat_des,MATCH(B1950,mat_ref,0))&amp;"","Matière inconnue"))</f>
        <v/>
      </c>
      <c r="D1950" s="69" t="str">
        <f>IF(B1950="","",IFERROR(INDEX(mat_unit,MATCH(B1950,mat_ref,0))&amp;"",""))</f>
        <v/>
      </c>
      <c r="E1950" s="72" t="n"/>
      <c r="F1950" s="65" t="n"/>
      <c r="G1950" s="68" t="str">
        <f>IF(J1950&lt;&gt;"OK","",IF(F1950="",N(INDEX(mat_loss,MATCH(B1950,mat_ref,0))),F1950))</f>
        <v/>
      </c>
      <c r="H1950" s="66" t="str">
        <f>IF(J1950&lt;&gt;"OK","",INDEX(mat_price,MATCH(B1950,mat_ref,0)))</f>
        <v/>
      </c>
      <c r="I1950" s="66" t="str">
        <f>IF(J1950&lt;&gt;"OK","",E1950*(1+G1950)*H1950)</f>
        <v/>
      </c>
      <c r="J1950" s="69" t="str">
        <f>IF(AND(A1950="",B1950=""),"",IF(A1950="","Produit manquant",IF(COUNTIF(prod_ref,A1950)=0,"Produit inconnu",IF(B1950="","Matière manquante",IF(ISNA(MATCH(B1950,mat_ref,0)),"Matière inconnue",IF(INDEX(mat_check,MATCH(B1950,mat_ref,0))&lt;&gt;"OK","Matière à corriger",IF(OR(NOT(ISNUMBER(E1950)),N(E1950)&lt;=0),"Quantité invalide",IF(AND(F1950&lt;&gt;"",OR(NOT(ISNUMBER(F1950)),N(F1950)&lt;0,N(F1950)&gt;=1)),"Perte entre 0 et 99 %",IF(COUNTIFS(bom_prod,A1950,bom_mat,B1950)&gt;1,"Matière en double","OK")))))))))</f>
        <v/>
      </c>
      <c r="K1950" s="71" t="str">
        <f>IF(AND(fiche_sel&lt;&gt;"",A1950=fiche_sel),COUNTIF(A$6:A1950,fiche_sel),"")</f>
        <v/>
      </c>
    </row>
    <row r="1951">
      <c r="A1951" s="60" t="n"/>
      <c r="B1951" s="60" t="n"/>
      <c r="C1951" s="71" t="str">
        <f>IF(B1951="","",IFERROR(INDEX(mat_des,MATCH(B1951,mat_ref,0))&amp;"","Matière inconnue"))</f>
        <v/>
      </c>
      <c r="D1951" s="69" t="str">
        <f>IF(B1951="","",IFERROR(INDEX(mat_unit,MATCH(B1951,mat_ref,0))&amp;"",""))</f>
        <v/>
      </c>
      <c r="E1951" s="72" t="n"/>
      <c r="F1951" s="65" t="n"/>
      <c r="G1951" s="68" t="str">
        <f>IF(J1951&lt;&gt;"OK","",IF(F1951="",N(INDEX(mat_loss,MATCH(B1951,mat_ref,0))),F1951))</f>
        <v/>
      </c>
      <c r="H1951" s="66" t="str">
        <f>IF(J1951&lt;&gt;"OK","",INDEX(mat_price,MATCH(B1951,mat_ref,0)))</f>
        <v/>
      </c>
      <c r="I1951" s="66" t="str">
        <f>IF(J1951&lt;&gt;"OK","",E1951*(1+G1951)*H1951)</f>
        <v/>
      </c>
      <c r="J1951" s="69" t="str">
        <f>IF(AND(A1951="",B1951=""),"",IF(A1951="","Produit manquant",IF(COUNTIF(prod_ref,A1951)=0,"Produit inconnu",IF(B1951="","Matière manquante",IF(ISNA(MATCH(B1951,mat_ref,0)),"Matière inconnue",IF(INDEX(mat_check,MATCH(B1951,mat_ref,0))&lt;&gt;"OK","Matière à corriger",IF(OR(NOT(ISNUMBER(E1951)),N(E1951)&lt;=0),"Quantité invalide",IF(AND(F1951&lt;&gt;"",OR(NOT(ISNUMBER(F1951)),N(F1951)&lt;0,N(F1951)&gt;=1)),"Perte entre 0 et 99 %",IF(COUNTIFS(bom_prod,A1951,bom_mat,B1951)&gt;1,"Matière en double","OK")))))))))</f>
        <v/>
      </c>
      <c r="K1951" s="71" t="str">
        <f>IF(AND(fiche_sel&lt;&gt;"",A1951=fiche_sel),COUNTIF(A$6:A1951,fiche_sel),"")</f>
        <v/>
      </c>
    </row>
    <row r="1952">
      <c r="A1952" s="60" t="n"/>
      <c r="B1952" s="60" t="n"/>
      <c r="C1952" s="71" t="str">
        <f>IF(B1952="","",IFERROR(INDEX(mat_des,MATCH(B1952,mat_ref,0))&amp;"","Matière inconnue"))</f>
        <v/>
      </c>
      <c r="D1952" s="69" t="str">
        <f>IF(B1952="","",IFERROR(INDEX(mat_unit,MATCH(B1952,mat_ref,0))&amp;"",""))</f>
        <v/>
      </c>
      <c r="E1952" s="72" t="n"/>
      <c r="F1952" s="65" t="n"/>
      <c r="G1952" s="68" t="str">
        <f>IF(J1952&lt;&gt;"OK","",IF(F1952="",N(INDEX(mat_loss,MATCH(B1952,mat_ref,0))),F1952))</f>
        <v/>
      </c>
      <c r="H1952" s="66" t="str">
        <f>IF(J1952&lt;&gt;"OK","",INDEX(mat_price,MATCH(B1952,mat_ref,0)))</f>
        <v/>
      </c>
      <c r="I1952" s="66" t="str">
        <f>IF(J1952&lt;&gt;"OK","",E1952*(1+G1952)*H1952)</f>
        <v/>
      </c>
      <c r="J1952" s="69" t="str">
        <f>IF(AND(A1952="",B1952=""),"",IF(A1952="","Produit manquant",IF(COUNTIF(prod_ref,A1952)=0,"Produit inconnu",IF(B1952="","Matière manquante",IF(ISNA(MATCH(B1952,mat_ref,0)),"Matière inconnue",IF(INDEX(mat_check,MATCH(B1952,mat_ref,0))&lt;&gt;"OK","Matière à corriger",IF(OR(NOT(ISNUMBER(E1952)),N(E1952)&lt;=0),"Quantité invalide",IF(AND(F1952&lt;&gt;"",OR(NOT(ISNUMBER(F1952)),N(F1952)&lt;0,N(F1952)&gt;=1)),"Perte entre 0 et 99 %",IF(COUNTIFS(bom_prod,A1952,bom_mat,B1952)&gt;1,"Matière en double","OK")))))))))</f>
        <v/>
      </c>
      <c r="K1952" s="71" t="str">
        <f>IF(AND(fiche_sel&lt;&gt;"",A1952=fiche_sel),COUNTIF(A$6:A1952,fiche_sel),"")</f>
        <v/>
      </c>
    </row>
    <row r="1953">
      <c r="A1953" s="60" t="n"/>
      <c r="B1953" s="60" t="n"/>
      <c r="C1953" s="71" t="str">
        <f>IF(B1953="","",IFERROR(INDEX(mat_des,MATCH(B1953,mat_ref,0))&amp;"","Matière inconnue"))</f>
        <v/>
      </c>
      <c r="D1953" s="69" t="str">
        <f>IF(B1953="","",IFERROR(INDEX(mat_unit,MATCH(B1953,mat_ref,0))&amp;"",""))</f>
        <v/>
      </c>
      <c r="E1953" s="72" t="n"/>
      <c r="F1953" s="65" t="n"/>
      <c r="G1953" s="68" t="str">
        <f>IF(J1953&lt;&gt;"OK","",IF(F1953="",N(INDEX(mat_loss,MATCH(B1953,mat_ref,0))),F1953))</f>
        <v/>
      </c>
      <c r="H1953" s="66" t="str">
        <f>IF(J1953&lt;&gt;"OK","",INDEX(mat_price,MATCH(B1953,mat_ref,0)))</f>
        <v/>
      </c>
      <c r="I1953" s="66" t="str">
        <f>IF(J1953&lt;&gt;"OK","",E1953*(1+G1953)*H1953)</f>
        <v/>
      </c>
      <c r="J1953" s="69" t="str">
        <f>IF(AND(A1953="",B1953=""),"",IF(A1953="","Produit manquant",IF(COUNTIF(prod_ref,A1953)=0,"Produit inconnu",IF(B1953="","Matière manquante",IF(ISNA(MATCH(B1953,mat_ref,0)),"Matière inconnue",IF(INDEX(mat_check,MATCH(B1953,mat_ref,0))&lt;&gt;"OK","Matière à corriger",IF(OR(NOT(ISNUMBER(E1953)),N(E1953)&lt;=0),"Quantité invalide",IF(AND(F1953&lt;&gt;"",OR(NOT(ISNUMBER(F1953)),N(F1953)&lt;0,N(F1953)&gt;=1)),"Perte entre 0 et 99 %",IF(COUNTIFS(bom_prod,A1953,bom_mat,B1953)&gt;1,"Matière en double","OK")))))))))</f>
        <v/>
      </c>
      <c r="K1953" s="71" t="str">
        <f>IF(AND(fiche_sel&lt;&gt;"",A1953=fiche_sel),COUNTIF(A$6:A1953,fiche_sel),"")</f>
        <v/>
      </c>
    </row>
    <row r="1954">
      <c r="A1954" s="60" t="n"/>
      <c r="B1954" s="60" t="n"/>
      <c r="C1954" s="71" t="str">
        <f>IF(B1954="","",IFERROR(INDEX(mat_des,MATCH(B1954,mat_ref,0))&amp;"","Matière inconnue"))</f>
        <v/>
      </c>
      <c r="D1954" s="69" t="str">
        <f>IF(B1954="","",IFERROR(INDEX(mat_unit,MATCH(B1954,mat_ref,0))&amp;"",""))</f>
        <v/>
      </c>
      <c r="E1954" s="72" t="n"/>
      <c r="F1954" s="65" t="n"/>
      <c r="G1954" s="68" t="str">
        <f>IF(J1954&lt;&gt;"OK","",IF(F1954="",N(INDEX(mat_loss,MATCH(B1954,mat_ref,0))),F1954))</f>
        <v/>
      </c>
      <c r="H1954" s="66" t="str">
        <f>IF(J1954&lt;&gt;"OK","",INDEX(mat_price,MATCH(B1954,mat_ref,0)))</f>
        <v/>
      </c>
      <c r="I1954" s="66" t="str">
        <f>IF(J1954&lt;&gt;"OK","",E1954*(1+G1954)*H1954)</f>
        <v/>
      </c>
      <c r="J1954" s="69" t="str">
        <f>IF(AND(A1954="",B1954=""),"",IF(A1954="","Produit manquant",IF(COUNTIF(prod_ref,A1954)=0,"Produit inconnu",IF(B1954="","Matière manquante",IF(ISNA(MATCH(B1954,mat_ref,0)),"Matière inconnue",IF(INDEX(mat_check,MATCH(B1954,mat_ref,0))&lt;&gt;"OK","Matière à corriger",IF(OR(NOT(ISNUMBER(E1954)),N(E1954)&lt;=0),"Quantité invalide",IF(AND(F1954&lt;&gt;"",OR(NOT(ISNUMBER(F1954)),N(F1954)&lt;0,N(F1954)&gt;=1)),"Perte entre 0 et 99 %",IF(COUNTIFS(bom_prod,A1954,bom_mat,B1954)&gt;1,"Matière en double","OK")))))))))</f>
        <v/>
      </c>
      <c r="K1954" s="71" t="str">
        <f>IF(AND(fiche_sel&lt;&gt;"",A1954=fiche_sel),COUNTIF(A$6:A1954,fiche_sel),"")</f>
        <v/>
      </c>
    </row>
    <row r="1955">
      <c r="A1955" s="60" t="n"/>
      <c r="B1955" s="60" t="n"/>
      <c r="C1955" s="71" t="str">
        <f>IF(B1955="","",IFERROR(INDEX(mat_des,MATCH(B1955,mat_ref,0))&amp;"","Matière inconnue"))</f>
        <v/>
      </c>
      <c r="D1955" s="69" t="str">
        <f>IF(B1955="","",IFERROR(INDEX(mat_unit,MATCH(B1955,mat_ref,0))&amp;"",""))</f>
        <v/>
      </c>
      <c r="E1955" s="72" t="n"/>
      <c r="F1955" s="65" t="n"/>
      <c r="G1955" s="68" t="str">
        <f>IF(J1955&lt;&gt;"OK","",IF(F1955="",N(INDEX(mat_loss,MATCH(B1955,mat_ref,0))),F1955))</f>
        <v/>
      </c>
      <c r="H1955" s="66" t="str">
        <f>IF(J1955&lt;&gt;"OK","",INDEX(mat_price,MATCH(B1955,mat_ref,0)))</f>
        <v/>
      </c>
      <c r="I1955" s="66" t="str">
        <f>IF(J1955&lt;&gt;"OK","",E1955*(1+G1955)*H1955)</f>
        <v/>
      </c>
      <c r="J1955" s="69" t="str">
        <f>IF(AND(A1955="",B1955=""),"",IF(A1955="","Produit manquant",IF(COUNTIF(prod_ref,A1955)=0,"Produit inconnu",IF(B1955="","Matière manquante",IF(ISNA(MATCH(B1955,mat_ref,0)),"Matière inconnue",IF(INDEX(mat_check,MATCH(B1955,mat_ref,0))&lt;&gt;"OK","Matière à corriger",IF(OR(NOT(ISNUMBER(E1955)),N(E1955)&lt;=0),"Quantité invalide",IF(AND(F1955&lt;&gt;"",OR(NOT(ISNUMBER(F1955)),N(F1955)&lt;0,N(F1955)&gt;=1)),"Perte entre 0 et 99 %",IF(COUNTIFS(bom_prod,A1955,bom_mat,B1955)&gt;1,"Matière en double","OK")))))))))</f>
        <v/>
      </c>
      <c r="K1955" s="71" t="str">
        <f>IF(AND(fiche_sel&lt;&gt;"",A1955=fiche_sel),COUNTIF(A$6:A1955,fiche_sel),"")</f>
        <v/>
      </c>
    </row>
    <row r="1956">
      <c r="A1956" s="60" t="n"/>
      <c r="B1956" s="60" t="n"/>
      <c r="C1956" s="71" t="str">
        <f>IF(B1956="","",IFERROR(INDEX(mat_des,MATCH(B1956,mat_ref,0))&amp;"","Matière inconnue"))</f>
        <v/>
      </c>
      <c r="D1956" s="69" t="str">
        <f>IF(B1956="","",IFERROR(INDEX(mat_unit,MATCH(B1956,mat_ref,0))&amp;"",""))</f>
        <v/>
      </c>
      <c r="E1956" s="72" t="n"/>
      <c r="F1956" s="65" t="n"/>
      <c r="G1956" s="68" t="str">
        <f>IF(J1956&lt;&gt;"OK","",IF(F1956="",N(INDEX(mat_loss,MATCH(B1956,mat_ref,0))),F1956))</f>
        <v/>
      </c>
      <c r="H1956" s="66" t="str">
        <f>IF(J1956&lt;&gt;"OK","",INDEX(mat_price,MATCH(B1956,mat_ref,0)))</f>
        <v/>
      </c>
      <c r="I1956" s="66" t="str">
        <f>IF(J1956&lt;&gt;"OK","",E1956*(1+G1956)*H1956)</f>
        <v/>
      </c>
      <c r="J1956" s="69" t="str">
        <f>IF(AND(A1956="",B1956=""),"",IF(A1956="","Produit manquant",IF(COUNTIF(prod_ref,A1956)=0,"Produit inconnu",IF(B1956="","Matière manquante",IF(ISNA(MATCH(B1956,mat_ref,0)),"Matière inconnue",IF(INDEX(mat_check,MATCH(B1956,mat_ref,0))&lt;&gt;"OK","Matière à corriger",IF(OR(NOT(ISNUMBER(E1956)),N(E1956)&lt;=0),"Quantité invalide",IF(AND(F1956&lt;&gt;"",OR(NOT(ISNUMBER(F1956)),N(F1956)&lt;0,N(F1956)&gt;=1)),"Perte entre 0 et 99 %",IF(COUNTIFS(bom_prod,A1956,bom_mat,B1956)&gt;1,"Matière en double","OK")))))))))</f>
        <v/>
      </c>
      <c r="K1956" s="71" t="str">
        <f>IF(AND(fiche_sel&lt;&gt;"",A1956=fiche_sel),COUNTIF(A$6:A1956,fiche_sel),"")</f>
        <v/>
      </c>
    </row>
    <row r="1957">
      <c r="A1957" s="60" t="n"/>
      <c r="B1957" s="60" t="n"/>
      <c r="C1957" s="71" t="str">
        <f>IF(B1957="","",IFERROR(INDEX(mat_des,MATCH(B1957,mat_ref,0))&amp;"","Matière inconnue"))</f>
        <v/>
      </c>
      <c r="D1957" s="69" t="str">
        <f>IF(B1957="","",IFERROR(INDEX(mat_unit,MATCH(B1957,mat_ref,0))&amp;"",""))</f>
        <v/>
      </c>
      <c r="E1957" s="72" t="n"/>
      <c r="F1957" s="65" t="n"/>
      <c r="G1957" s="68" t="str">
        <f>IF(J1957&lt;&gt;"OK","",IF(F1957="",N(INDEX(mat_loss,MATCH(B1957,mat_ref,0))),F1957))</f>
        <v/>
      </c>
      <c r="H1957" s="66" t="str">
        <f>IF(J1957&lt;&gt;"OK","",INDEX(mat_price,MATCH(B1957,mat_ref,0)))</f>
        <v/>
      </c>
      <c r="I1957" s="66" t="str">
        <f>IF(J1957&lt;&gt;"OK","",E1957*(1+G1957)*H1957)</f>
        <v/>
      </c>
      <c r="J1957" s="69" t="str">
        <f>IF(AND(A1957="",B1957=""),"",IF(A1957="","Produit manquant",IF(COUNTIF(prod_ref,A1957)=0,"Produit inconnu",IF(B1957="","Matière manquante",IF(ISNA(MATCH(B1957,mat_ref,0)),"Matière inconnue",IF(INDEX(mat_check,MATCH(B1957,mat_ref,0))&lt;&gt;"OK","Matière à corriger",IF(OR(NOT(ISNUMBER(E1957)),N(E1957)&lt;=0),"Quantité invalide",IF(AND(F1957&lt;&gt;"",OR(NOT(ISNUMBER(F1957)),N(F1957)&lt;0,N(F1957)&gt;=1)),"Perte entre 0 et 99 %",IF(COUNTIFS(bom_prod,A1957,bom_mat,B1957)&gt;1,"Matière en double","OK")))))))))</f>
        <v/>
      </c>
      <c r="K1957" s="71" t="str">
        <f>IF(AND(fiche_sel&lt;&gt;"",A1957=fiche_sel),COUNTIF(A$6:A1957,fiche_sel),"")</f>
        <v/>
      </c>
    </row>
    <row r="1958">
      <c r="A1958" s="60" t="n"/>
      <c r="B1958" s="60" t="n"/>
      <c r="C1958" s="71" t="str">
        <f>IF(B1958="","",IFERROR(INDEX(mat_des,MATCH(B1958,mat_ref,0))&amp;"","Matière inconnue"))</f>
        <v/>
      </c>
      <c r="D1958" s="69" t="str">
        <f>IF(B1958="","",IFERROR(INDEX(mat_unit,MATCH(B1958,mat_ref,0))&amp;"",""))</f>
        <v/>
      </c>
      <c r="E1958" s="72" t="n"/>
      <c r="F1958" s="65" t="n"/>
      <c r="G1958" s="68" t="str">
        <f>IF(J1958&lt;&gt;"OK","",IF(F1958="",N(INDEX(mat_loss,MATCH(B1958,mat_ref,0))),F1958))</f>
        <v/>
      </c>
      <c r="H1958" s="66" t="str">
        <f>IF(J1958&lt;&gt;"OK","",INDEX(mat_price,MATCH(B1958,mat_ref,0)))</f>
        <v/>
      </c>
      <c r="I1958" s="66" t="str">
        <f>IF(J1958&lt;&gt;"OK","",E1958*(1+G1958)*H1958)</f>
        <v/>
      </c>
      <c r="J1958" s="69" t="str">
        <f>IF(AND(A1958="",B1958=""),"",IF(A1958="","Produit manquant",IF(COUNTIF(prod_ref,A1958)=0,"Produit inconnu",IF(B1958="","Matière manquante",IF(ISNA(MATCH(B1958,mat_ref,0)),"Matière inconnue",IF(INDEX(mat_check,MATCH(B1958,mat_ref,0))&lt;&gt;"OK","Matière à corriger",IF(OR(NOT(ISNUMBER(E1958)),N(E1958)&lt;=0),"Quantité invalide",IF(AND(F1958&lt;&gt;"",OR(NOT(ISNUMBER(F1958)),N(F1958)&lt;0,N(F1958)&gt;=1)),"Perte entre 0 et 99 %",IF(COUNTIFS(bom_prod,A1958,bom_mat,B1958)&gt;1,"Matière en double","OK")))))))))</f>
        <v/>
      </c>
      <c r="K1958" s="71" t="str">
        <f>IF(AND(fiche_sel&lt;&gt;"",A1958=fiche_sel),COUNTIF(A$6:A1958,fiche_sel),"")</f>
        <v/>
      </c>
    </row>
    <row r="1959">
      <c r="A1959" s="60" t="n"/>
      <c r="B1959" s="60" t="n"/>
      <c r="C1959" s="71" t="str">
        <f>IF(B1959="","",IFERROR(INDEX(mat_des,MATCH(B1959,mat_ref,0))&amp;"","Matière inconnue"))</f>
        <v/>
      </c>
      <c r="D1959" s="69" t="str">
        <f>IF(B1959="","",IFERROR(INDEX(mat_unit,MATCH(B1959,mat_ref,0))&amp;"",""))</f>
        <v/>
      </c>
      <c r="E1959" s="72" t="n"/>
      <c r="F1959" s="65" t="n"/>
      <c r="G1959" s="68" t="str">
        <f>IF(J1959&lt;&gt;"OK","",IF(F1959="",N(INDEX(mat_loss,MATCH(B1959,mat_ref,0))),F1959))</f>
        <v/>
      </c>
      <c r="H1959" s="66" t="str">
        <f>IF(J1959&lt;&gt;"OK","",INDEX(mat_price,MATCH(B1959,mat_ref,0)))</f>
        <v/>
      </c>
      <c r="I1959" s="66" t="str">
        <f>IF(J1959&lt;&gt;"OK","",E1959*(1+G1959)*H1959)</f>
        <v/>
      </c>
      <c r="J1959" s="69" t="str">
        <f>IF(AND(A1959="",B1959=""),"",IF(A1959="","Produit manquant",IF(COUNTIF(prod_ref,A1959)=0,"Produit inconnu",IF(B1959="","Matière manquante",IF(ISNA(MATCH(B1959,mat_ref,0)),"Matière inconnue",IF(INDEX(mat_check,MATCH(B1959,mat_ref,0))&lt;&gt;"OK","Matière à corriger",IF(OR(NOT(ISNUMBER(E1959)),N(E1959)&lt;=0),"Quantité invalide",IF(AND(F1959&lt;&gt;"",OR(NOT(ISNUMBER(F1959)),N(F1959)&lt;0,N(F1959)&gt;=1)),"Perte entre 0 et 99 %",IF(COUNTIFS(bom_prod,A1959,bom_mat,B1959)&gt;1,"Matière en double","OK")))))))))</f>
        <v/>
      </c>
      <c r="K1959" s="71" t="str">
        <f>IF(AND(fiche_sel&lt;&gt;"",A1959=fiche_sel),COUNTIF(A$6:A1959,fiche_sel),"")</f>
        <v/>
      </c>
    </row>
    <row r="1960">
      <c r="A1960" s="60" t="n"/>
      <c r="B1960" s="60" t="n"/>
      <c r="C1960" s="71" t="str">
        <f>IF(B1960="","",IFERROR(INDEX(mat_des,MATCH(B1960,mat_ref,0))&amp;"","Matière inconnue"))</f>
        <v/>
      </c>
      <c r="D1960" s="69" t="str">
        <f>IF(B1960="","",IFERROR(INDEX(mat_unit,MATCH(B1960,mat_ref,0))&amp;"",""))</f>
        <v/>
      </c>
      <c r="E1960" s="72" t="n"/>
      <c r="F1960" s="65" t="n"/>
      <c r="G1960" s="68" t="str">
        <f>IF(J1960&lt;&gt;"OK","",IF(F1960="",N(INDEX(mat_loss,MATCH(B1960,mat_ref,0))),F1960))</f>
        <v/>
      </c>
      <c r="H1960" s="66" t="str">
        <f>IF(J1960&lt;&gt;"OK","",INDEX(mat_price,MATCH(B1960,mat_ref,0)))</f>
        <v/>
      </c>
      <c r="I1960" s="66" t="str">
        <f>IF(J1960&lt;&gt;"OK","",E1960*(1+G1960)*H1960)</f>
        <v/>
      </c>
      <c r="J1960" s="69" t="str">
        <f>IF(AND(A1960="",B1960=""),"",IF(A1960="","Produit manquant",IF(COUNTIF(prod_ref,A1960)=0,"Produit inconnu",IF(B1960="","Matière manquante",IF(ISNA(MATCH(B1960,mat_ref,0)),"Matière inconnue",IF(INDEX(mat_check,MATCH(B1960,mat_ref,0))&lt;&gt;"OK","Matière à corriger",IF(OR(NOT(ISNUMBER(E1960)),N(E1960)&lt;=0),"Quantité invalide",IF(AND(F1960&lt;&gt;"",OR(NOT(ISNUMBER(F1960)),N(F1960)&lt;0,N(F1960)&gt;=1)),"Perte entre 0 et 99 %",IF(COUNTIFS(bom_prod,A1960,bom_mat,B1960)&gt;1,"Matière en double","OK")))))))))</f>
        <v/>
      </c>
      <c r="K1960" s="71" t="str">
        <f>IF(AND(fiche_sel&lt;&gt;"",A1960=fiche_sel),COUNTIF(A$6:A1960,fiche_sel),"")</f>
        <v/>
      </c>
    </row>
    <row r="1961">
      <c r="A1961" s="60" t="n"/>
      <c r="B1961" s="60" t="n"/>
      <c r="C1961" s="71" t="str">
        <f>IF(B1961="","",IFERROR(INDEX(mat_des,MATCH(B1961,mat_ref,0))&amp;"","Matière inconnue"))</f>
        <v/>
      </c>
      <c r="D1961" s="69" t="str">
        <f>IF(B1961="","",IFERROR(INDEX(mat_unit,MATCH(B1961,mat_ref,0))&amp;"",""))</f>
        <v/>
      </c>
      <c r="E1961" s="72" t="n"/>
      <c r="F1961" s="65" t="n"/>
      <c r="G1961" s="68" t="str">
        <f>IF(J1961&lt;&gt;"OK","",IF(F1961="",N(INDEX(mat_loss,MATCH(B1961,mat_ref,0))),F1961))</f>
        <v/>
      </c>
      <c r="H1961" s="66" t="str">
        <f>IF(J1961&lt;&gt;"OK","",INDEX(mat_price,MATCH(B1961,mat_ref,0)))</f>
        <v/>
      </c>
      <c r="I1961" s="66" t="str">
        <f>IF(J1961&lt;&gt;"OK","",E1961*(1+G1961)*H1961)</f>
        <v/>
      </c>
      <c r="J1961" s="69" t="str">
        <f>IF(AND(A1961="",B1961=""),"",IF(A1961="","Produit manquant",IF(COUNTIF(prod_ref,A1961)=0,"Produit inconnu",IF(B1961="","Matière manquante",IF(ISNA(MATCH(B1961,mat_ref,0)),"Matière inconnue",IF(INDEX(mat_check,MATCH(B1961,mat_ref,0))&lt;&gt;"OK","Matière à corriger",IF(OR(NOT(ISNUMBER(E1961)),N(E1961)&lt;=0),"Quantité invalide",IF(AND(F1961&lt;&gt;"",OR(NOT(ISNUMBER(F1961)),N(F1961)&lt;0,N(F1961)&gt;=1)),"Perte entre 0 et 99 %",IF(COUNTIFS(bom_prod,A1961,bom_mat,B1961)&gt;1,"Matière en double","OK")))))))))</f>
        <v/>
      </c>
      <c r="K1961" s="71" t="str">
        <f>IF(AND(fiche_sel&lt;&gt;"",A1961=fiche_sel),COUNTIF(A$6:A1961,fiche_sel),"")</f>
        <v/>
      </c>
    </row>
    <row r="1962">
      <c r="A1962" s="60" t="n"/>
      <c r="B1962" s="60" t="n"/>
      <c r="C1962" s="71" t="str">
        <f>IF(B1962="","",IFERROR(INDEX(mat_des,MATCH(B1962,mat_ref,0))&amp;"","Matière inconnue"))</f>
        <v/>
      </c>
      <c r="D1962" s="69" t="str">
        <f>IF(B1962="","",IFERROR(INDEX(mat_unit,MATCH(B1962,mat_ref,0))&amp;"",""))</f>
        <v/>
      </c>
      <c r="E1962" s="72" t="n"/>
      <c r="F1962" s="65" t="n"/>
      <c r="G1962" s="68" t="str">
        <f>IF(J1962&lt;&gt;"OK","",IF(F1962="",N(INDEX(mat_loss,MATCH(B1962,mat_ref,0))),F1962))</f>
        <v/>
      </c>
      <c r="H1962" s="66" t="str">
        <f>IF(J1962&lt;&gt;"OK","",INDEX(mat_price,MATCH(B1962,mat_ref,0)))</f>
        <v/>
      </c>
      <c r="I1962" s="66" t="str">
        <f>IF(J1962&lt;&gt;"OK","",E1962*(1+G1962)*H1962)</f>
        <v/>
      </c>
      <c r="J1962" s="69" t="str">
        <f>IF(AND(A1962="",B1962=""),"",IF(A1962="","Produit manquant",IF(COUNTIF(prod_ref,A1962)=0,"Produit inconnu",IF(B1962="","Matière manquante",IF(ISNA(MATCH(B1962,mat_ref,0)),"Matière inconnue",IF(INDEX(mat_check,MATCH(B1962,mat_ref,0))&lt;&gt;"OK","Matière à corriger",IF(OR(NOT(ISNUMBER(E1962)),N(E1962)&lt;=0),"Quantité invalide",IF(AND(F1962&lt;&gt;"",OR(NOT(ISNUMBER(F1962)),N(F1962)&lt;0,N(F1962)&gt;=1)),"Perte entre 0 et 99 %",IF(COUNTIFS(bom_prod,A1962,bom_mat,B1962)&gt;1,"Matière en double","OK")))))))))</f>
        <v/>
      </c>
      <c r="K1962" s="71" t="str">
        <f>IF(AND(fiche_sel&lt;&gt;"",A1962=fiche_sel),COUNTIF(A$6:A1962,fiche_sel),"")</f>
        <v/>
      </c>
    </row>
    <row r="1963">
      <c r="A1963" s="60" t="n"/>
      <c r="B1963" s="60" t="n"/>
      <c r="C1963" s="71" t="str">
        <f>IF(B1963="","",IFERROR(INDEX(mat_des,MATCH(B1963,mat_ref,0))&amp;"","Matière inconnue"))</f>
        <v/>
      </c>
      <c r="D1963" s="69" t="str">
        <f>IF(B1963="","",IFERROR(INDEX(mat_unit,MATCH(B1963,mat_ref,0))&amp;"",""))</f>
        <v/>
      </c>
      <c r="E1963" s="72" t="n"/>
      <c r="F1963" s="65" t="n"/>
      <c r="G1963" s="68" t="str">
        <f>IF(J1963&lt;&gt;"OK","",IF(F1963="",N(INDEX(mat_loss,MATCH(B1963,mat_ref,0))),F1963))</f>
        <v/>
      </c>
      <c r="H1963" s="66" t="str">
        <f>IF(J1963&lt;&gt;"OK","",INDEX(mat_price,MATCH(B1963,mat_ref,0)))</f>
        <v/>
      </c>
      <c r="I1963" s="66" t="str">
        <f>IF(J1963&lt;&gt;"OK","",E1963*(1+G1963)*H1963)</f>
        <v/>
      </c>
      <c r="J1963" s="69" t="str">
        <f>IF(AND(A1963="",B1963=""),"",IF(A1963="","Produit manquant",IF(COUNTIF(prod_ref,A1963)=0,"Produit inconnu",IF(B1963="","Matière manquante",IF(ISNA(MATCH(B1963,mat_ref,0)),"Matière inconnue",IF(INDEX(mat_check,MATCH(B1963,mat_ref,0))&lt;&gt;"OK","Matière à corriger",IF(OR(NOT(ISNUMBER(E1963)),N(E1963)&lt;=0),"Quantité invalide",IF(AND(F1963&lt;&gt;"",OR(NOT(ISNUMBER(F1963)),N(F1963)&lt;0,N(F1963)&gt;=1)),"Perte entre 0 et 99 %",IF(COUNTIFS(bom_prod,A1963,bom_mat,B1963)&gt;1,"Matière en double","OK")))))))))</f>
        <v/>
      </c>
      <c r="K1963" s="71" t="str">
        <f>IF(AND(fiche_sel&lt;&gt;"",A1963=fiche_sel),COUNTIF(A$6:A1963,fiche_sel),"")</f>
        <v/>
      </c>
    </row>
    <row r="1964">
      <c r="A1964" s="60" t="n"/>
      <c r="B1964" s="60" t="n"/>
      <c r="C1964" s="71" t="str">
        <f>IF(B1964="","",IFERROR(INDEX(mat_des,MATCH(B1964,mat_ref,0))&amp;"","Matière inconnue"))</f>
        <v/>
      </c>
      <c r="D1964" s="69" t="str">
        <f>IF(B1964="","",IFERROR(INDEX(mat_unit,MATCH(B1964,mat_ref,0))&amp;"",""))</f>
        <v/>
      </c>
      <c r="E1964" s="72" t="n"/>
      <c r="F1964" s="65" t="n"/>
      <c r="G1964" s="68" t="str">
        <f>IF(J1964&lt;&gt;"OK","",IF(F1964="",N(INDEX(mat_loss,MATCH(B1964,mat_ref,0))),F1964))</f>
        <v/>
      </c>
      <c r="H1964" s="66" t="str">
        <f>IF(J1964&lt;&gt;"OK","",INDEX(mat_price,MATCH(B1964,mat_ref,0)))</f>
        <v/>
      </c>
      <c r="I1964" s="66" t="str">
        <f>IF(J1964&lt;&gt;"OK","",E1964*(1+G1964)*H1964)</f>
        <v/>
      </c>
      <c r="J1964" s="69" t="str">
        <f>IF(AND(A1964="",B1964=""),"",IF(A1964="","Produit manquant",IF(COUNTIF(prod_ref,A1964)=0,"Produit inconnu",IF(B1964="","Matière manquante",IF(ISNA(MATCH(B1964,mat_ref,0)),"Matière inconnue",IF(INDEX(mat_check,MATCH(B1964,mat_ref,0))&lt;&gt;"OK","Matière à corriger",IF(OR(NOT(ISNUMBER(E1964)),N(E1964)&lt;=0),"Quantité invalide",IF(AND(F1964&lt;&gt;"",OR(NOT(ISNUMBER(F1964)),N(F1964)&lt;0,N(F1964)&gt;=1)),"Perte entre 0 et 99 %",IF(COUNTIFS(bom_prod,A1964,bom_mat,B1964)&gt;1,"Matière en double","OK")))))))))</f>
        <v/>
      </c>
      <c r="K1964" s="71" t="str">
        <f>IF(AND(fiche_sel&lt;&gt;"",A1964=fiche_sel),COUNTIF(A$6:A1964,fiche_sel),"")</f>
        <v/>
      </c>
    </row>
    <row r="1965">
      <c r="A1965" s="60" t="n"/>
      <c r="B1965" s="60" t="n"/>
      <c r="C1965" s="71" t="str">
        <f>IF(B1965="","",IFERROR(INDEX(mat_des,MATCH(B1965,mat_ref,0))&amp;"","Matière inconnue"))</f>
        <v/>
      </c>
      <c r="D1965" s="69" t="str">
        <f>IF(B1965="","",IFERROR(INDEX(mat_unit,MATCH(B1965,mat_ref,0))&amp;"",""))</f>
        <v/>
      </c>
      <c r="E1965" s="72" t="n"/>
      <c r="F1965" s="65" t="n"/>
      <c r="G1965" s="68" t="str">
        <f>IF(J1965&lt;&gt;"OK","",IF(F1965="",N(INDEX(mat_loss,MATCH(B1965,mat_ref,0))),F1965))</f>
        <v/>
      </c>
      <c r="H1965" s="66" t="str">
        <f>IF(J1965&lt;&gt;"OK","",INDEX(mat_price,MATCH(B1965,mat_ref,0)))</f>
        <v/>
      </c>
      <c r="I1965" s="66" t="str">
        <f>IF(J1965&lt;&gt;"OK","",E1965*(1+G1965)*H1965)</f>
        <v/>
      </c>
      <c r="J1965" s="69" t="str">
        <f>IF(AND(A1965="",B1965=""),"",IF(A1965="","Produit manquant",IF(COUNTIF(prod_ref,A1965)=0,"Produit inconnu",IF(B1965="","Matière manquante",IF(ISNA(MATCH(B1965,mat_ref,0)),"Matière inconnue",IF(INDEX(mat_check,MATCH(B1965,mat_ref,0))&lt;&gt;"OK","Matière à corriger",IF(OR(NOT(ISNUMBER(E1965)),N(E1965)&lt;=0),"Quantité invalide",IF(AND(F1965&lt;&gt;"",OR(NOT(ISNUMBER(F1965)),N(F1965)&lt;0,N(F1965)&gt;=1)),"Perte entre 0 et 99 %",IF(COUNTIFS(bom_prod,A1965,bom_mat,B1965)&gt;1,"Matière en double","OK")))))))))</f>
        <v/>
      </c>
      <c r="K1965" s="71" t="str">
        <f>IF(AND(fiche_sel&lt;&gt;"",A1965=fiche_sel),COUNTIF(A$6:A1965,fiche_sel),"")</f>
        <v/>
      </c>
    </row>
    <row r="1966">
      <c r="A1966" s="60" t="n"/>
      <c r="B1966" s="60" t="n"/>
      <c r="C1966" s="71" t="str">
        <f>IF(B1966="","",IFERROR(INDEX(mat_des,MATCH(B1966,mat_ref,0))&amp;"","Matière inconnue"))</f>
        <v/>
      </c>
      <c r="D1966" s="69" t="str">
        <f>IF(B1966="","",IFERROR(INDEX(mat_unit,MATCH(B1966,mat_ref,0))&amp;"",""))</f>
        <v/>
      </c>
      <c r="E1966" s="72" t="n"/>
      <c r="F1966" s="65" t="n"/>
      <c r="G1966" s="68" t="str">
        <f>IF(J1966&lt;&gt;"OK","",IF(F1966="",N(INDEX(mat_loss,MATCH(B1966,mat_ref,0))),F1966))</f>
        <v/>
      </c>
      <c r="H1966" s="66" t="str">
        <f>IF(J1966&lt;&gt;"OK","",INDEX(mat_price,MATCH(B1966,mat_ref,0)))</f>
        <v/>
      </c>
      <c r="I1966" s="66" t="str">
        <f>IF(J1966&lt;&gt;"OK","",E1966*(1+G1966)*H1966)</f>
        <v/>
      </c>
      <c r="J1966" s="69" t="str">
        <f>IF(AND(A1966="",B1966=""),"",IF(A1966="","Produit manquant",IF(COUNTIF(prod_ref,A1966)=0,"Produit inconnu",IF(B1966="","Matière manquante",IF(ISNA(MATCH(B1966,mat_ref,0)),"Matière inconnue",IF(INDEX(mat_check,MATCH(B1966,mat_ref,0))&lt;&gt;"OK","Matière à corriger",IF(OR(NOT(ISNUMBER(E1966)),N(E1966)&lt;=0),"Quantité invalide",IF(AND(F1966&lt;&gt;"",OR(NOT(ISNUMBER(F1966)),N(F1966)&lt;0,N(F1966)&gt;=1)),"Perte entre 0 et 99 %",IF(COUNTIFS(bom_prod,A1966,bom_mat,B1966)&gt;1,"Matière en double","OK")))))))))</f>
        <v/>
      </c>
      <c r="K1966" s="71" t="str">
        <f>IF(AND(fiche_sel&lt;&gt;"",A1966=fiche_sel),COUNTIF(A$6:A1966,fiche_sel),"")</f>
        <v/>
      </c>
    </row>
    <row r="1967">
      <c r="A1967" s="60" t="n"/>
      <c r="B1967" s="60" t="n"/>
      <c r="C1967" s="71" t="str">
        <f>IF(B1967="","",IFERROR(INDEX(mat_des,MATCH(B1967,mat_ref,0))&amp;"","Matière inconnue"))</f>
        <v/>
      </c>
      <c r="D1967" s="69" t="str">
        <f>IF(B1967="","",IFERROR(INDEX(mat_unit,MATCH(B1967,mat_ref,0))&amp;"",""))</f>
        <v/>
      </c>
      <c r="E1967" s="72" t="n"/>
      <c r="F1967" s="65" t="n"/>
      <c r="G1967" s="68" t="str">
        <f>IF(J1967&lt;&gt;"OK","",IF(F1967="",N(INDEX(mat_loss,MATCH(B1967,mat_ref,0))),F1967))</f>
        <v/>
      </c>
      <c r="H1967" s="66" t="str">
        <f>IF(J1967&lt;&gt;"OK","",INDEX(mat_price,MATCH(B1967,mat_ref,0)))</f>
        <v/>
      </c>
      <c r="I1967" s="66" t="str">
        <f>IF(J1967&lt;&gt;"OK","",E1967*(1+G1967)*H1967)</f>
        <v/>
      </c>
      <c r="J1967" s="69" t="str">
        <f>IF(AND(A1967="",B1967=""),"",IF(A1967="","Produit manquant",IF(COUNTIF(prod_ref,A1967)=0,"Produit inconnu",IF(B1967="","Matière manquante",IF(ISNA(MATCH(B1967,mat_ref,0)),"Matière inconnue",IF(INDEX(mat_check,MATCH(B1967,mat_ref,0))&lt;&gt;"OK","Matière à corriger",IF(OR(NOT(ISNUMBER(E1967)),N(E1967)&lt;=0),"Quantité invalide",IF(AND(F1967&lt;&gt;"",OR(NOT(ISNUMBER(F1967)),N(F1967)&lt;0,N(F1967)&gt;=1)),"Perte entre 0 et 99 %",IF(COUNTIFS(bom_prod,A1967,bom_mat,B1967)&gt;1,"Matière en double","OK")))))))))</f>
        <v/>
      </c>
      <c r="K1967" s="71" t="str">
        <f>IF(AND(fiche_sel&lt;&gt;"",A1967=fiche_sel),COUNTIF(A$6:A1967,fiche_sel),"")</f>
        <v/>
      </c>
    </row>
    <row r="1968">
      <c r="A1968" s="60" t="n"/>
      <c r="B1968" s="60" t="n"/>
      <c r="C1968" s="71" t="str">
        <f>IF(B1968="","",IFERROR(INDEX(mat_des,MATCH(B1968,mat_ref,0))&amp;"","Matière inconnue"))</f>
        <v/>
      </c>
      <c r="D1968" s="69" t="str">
        <f>IF(B1968="","",IFERROR(INDEX(mat_unit,MATCH(B1968,mat_ref,0))&amp;"",""))</f>
        <v/>
      </c>
      <c r="E1968" s="72" t="n"/>
      <c r="F1968" s="65" t="n"/>
      <c r="G1968" s="68" t="str">
        <f>IF(J1968&lt;&gt;"OK","",IF(F1968="",N(INDEX(mat_loss,MATCH(B1968,mat_ref,0))),F1968))</f>
        <v/>
      </c>
      <c r="H1968" s="66" t="str">
        <f>IF(J1968&lt;&gt;"OK","",INDEX(mat_price,MATCH(B1968,mat_ref,0)))</f>
        <v/>
      </c>
      <c r="I1968" s="66" t="str">
        <f>IF(J1968&lt;&gt;"OK","",E1968*(1+G1968)*H1968)</f>
        <v/>
      </c>
      <c r="J1968" s="69" t="str">
        <f>IF(AND(A1968="",B1968=""),"",IF(A1968="","Produit manquant",IF(COUNTIF(prod_ref,A1968)=0,"Produit inconnu",IF(B1968="","Matière manquante",IF(ISNA(MATCH(B1968,mat_ref,0)),"Matière inconnue",IF(INDEX(mat_check,MATCH(B1968,mat_ref,0))&lt;&gt;"OK","Matière à corriger",IF(OR(NOT(ISNUMBER(E1968)),N(E1968)&lt;=0),"Quantité invalide",IF(AND(F1968&lt;&gt;"",OR(NOT(ISNUMBER(F1968)),N(F1968)&lt;0,N(F1968)&gt;=1)),"Perte entre 0 et 99 %",IF(COUNTIFS(bom_prod,A1968,bom_mat,B1968)&gt;1,"Matière en double","OK")))))))))</f>
        <v/>
      </c>
      <c r="K1968" s="71" t="str">
        <f>IF(AND(fiche_sel&lt;&gt;"",A1968=fiche_sel),COUNTIF(A$6:A1968,fiche_sel),"")</f>
        <v/>
      </c>
    </row>
    <row r="1969">
      <c r="A1969" s="60" t="n"/>
      <c r="B1969" s="60" t="n"/>
      <c r="C1969" s="71" t="str">
        <f>IF(B1969="","",IFERROR(INDEX(mat_des,MATCH(B1969,mat_ref,0))&amp;"","Matière inconnue"))</f>
        <v/>
      </c>
      <c r="D1969" s="69" t="str">
        <f>IF(B1969="","",IFERROR(INDEX(mat_unit,MATCH(B1969,mat_ref,0))&amp;"",""))</f>
        <v/>
      </c>
      <c r="E1969" s="72" t="n"/>
      <c r="F1969" s="65" t="n"/>
      <c r="G1969" s="68" t="str">
        <f>IF(J1969&lt;&gt;"OK","",IF(F1969="",N(INDEX(mat_loss,MATCH(B1969,mat_ref,0))),F1969))</f>
        <v/>
      </c>
      <c r="H1969" s="66" t="str">
        <f>IF(J1969&lt;&gt;"OK","",INDEX(mat_price,MATCH(B1969,mat_ref,0)))</f>
        <v/>
      </c>
      <c r="I1969" s="66" t="str">
        <f>IF(J1969&lt;&gt;"OK","",E1969*(1+G1969)*H1969)</f>
        <v/>
      </c>
      <c r="J1969" s="69" t="str">
        <f>IF(AND(A1969="",B1969=""),"",IF(A1969="","Produit manquant",IF(COUNTIF(prod_ref,A1969)=0,"Produit inconnu",IF(B1969="","Matière manquante",IF(ISNA(MATCH(B1969,mat_ref,0)),"Matière inconnue",IF(INDEX(mat_check,MATCH(B1969,mat_ref,0))&lt;&gt;"OK","Matière à corriger",IF(OR(NOT(ISNUMBER(E1969)),N(E1969)&lt;=0),"Quantité invalide",IF(AND(F1969&lt;&gt;"",OR(NOT(ISNUMBER(F1969)),N(F1969)&lt;0,N(F1969)&gt;=1)),"Perte entre 0 et 99 %",IF(COUNTIFS(bom_prod,A1969,bom_mat,B1969)&gt;1,"Matière en double","OK")))))))))</f>
        <v/>
      </c>
      <c r="K1969" s="71" t="str">
        <f>IF(AND(fiche_sel&lt;&gt;"",A1969=fiche_sel),COUNTIF(A$6:A1969,fiche_sel),"")</f>
        <v/>
      </c>
    </row>
    <row r="1970">
      <c r="A1970" s="60" t="n"/>
      <c r="B1970" s="60" t="n"/>
      <c r="C1970" s="71" t="str">
        <f>IF(B1970="","",IFERROR(INDEX(mat_des,MATCH(B1970,mat_ref,0))&amp;"","Matière inconnue"))</f>
        <v/>
      </c>
      <c r="D1970" s="69" t="str">
        <f>IF(B1970="","",IFERROR(INDEX(mat_unit,MATCH(B1970,mat_ref,0))&amp;"",""))</f>
        <v/>
      </c>
      <c r="E1970" s="72" t="n"/>
      <c r="F1970" s="65" t="n"/>
      <c r="G1970" s="68" t="str">
        <f>IF(J1970&lt;&gt;"OK","",IF(F1970="",N(INDEX(mat_loss,MATCH(B1970,mat_ref,0))),F1970))</f>
        <v/>
      </c>
      <c r="H1970" s="66" t="str">
        <f>IF(J1970&lt;&gt;"OK","",INDEX(mat_price,MATCH(B1970,mat_ref,0)))</f>
        <v/>
      </c>
      <c r="I1970" s="66" t="str">
        <f>IF(J1970&lt;&gt;"OK","",E1970*(1+G1970)*H1970)</f>
        <v/>
      </c>
      <c r="J1970" s="69" t="str">
        <f>IF(AND(A1970="",B1970=""),"",IF(A1970="","Produit manquant",IF(COUNTIF(prod_ref,A1970)=0,"Produit inconnu",IF(B1970="","Matière manquante",IF(ISNA(MATCH(B1970,mat_ref,0)),"Matière inconnue",IF(INDEX(mat_check,MATCH(B1970,mat_ref,0))&lt;&gt;"OK","Matière à corriger",IF(OR(NOT(ISNUMBER(E1970)),N(E1970)&lt;=0),"Quantité invalide",IF(AND(F1970&lt;&gt;"",OR(NOT(ISNUMBER(F1970)),N(F1970)&lt;0,N(F1970)&gt;=1)),"Perte entre 0 et 99 %",IF(COUNTIFS(bom_prod,A1970,bom_mat,B1970)&gt;1,"Matière en double","OK")))))))))</f>
        <v/>
      </c>
      <c r="K1970" s="71" t="str">
        <f>IF(AND(fiche_sel&lt;&gt;"",A1970=fiche_sel),COUNTIF(A$6:A1970,fiche_sel),"")</f>
        <v/>
      </c>
    </row>
    <row r="1971">
      <c r="A1971" s="60" t="n"/>
      <c r="B1971" s="60" t="n"/>
      <c r="C1971" s="71" t="str">
        <f>IF(B1971="","",IFERROR(INDEX(mat_des,MATCH(B1971,mat_ref,0))&amp;"","Matière inconnue"))</f>
        <v/>
      </c>
      <c r="D1971" s="69" t="str">
        <f>IF(B1971="","",IFERROR(INDEX(mat_unit,MATCH(B1971,mat_ref,0))&amp;"",""))</f>
        <v/>
      </c>
      <c r="E1971" s="72" t="n"/>
      <c r="F1971" s="65" t="n"/>
      <c r="G1971" s="68" t="str">
        <f>IF(J1971&lt;&gt;"OK","",IF(F1971="",N(INDEX(mat_loss,MATCH(B1971,mat_ref,0))),F1971))</f>
        <v/>
      </c>
      <c r="H1971" s="66" t="str">
        <f>IF(J1971&lt;&gt;"OK","",INDEX(mat_price,MATCH(B1971,mat_ref,0)))</f>
        <v/>
      </c>
      <c r="I1971" s="66" t="str">
        <f>IF(J1971&lt;&gt;"OK","",E1971*(1+G1971)*H1971)</f>
        <v/>
      </c>
      <c r="J1971" s="69" t="str">
        <f>IF(AND(A1971="",B1971=""),"",IF(A1971="","Produit manquant",IF(COUNTIF(prod_ref,A1971)=0,"Produit inconnu",IF(B1971="","Matière manquante",IF(ISNA(MATCH(B1971,mat_ref,0)),"Matière inconnue",IF(INDEX(mat_check,MATCH(B1971,mat_ref,0))&lt;&gt;"OK","Matière à corriger",IF(OR(NOT(ISNUMBER(E1971)),N(E1971)&lt;=0),"Quantité invalide",IF(AND(F1971&lt;&gt;"",OR(NOT(ISNUMBER(F1971)),N(F1971)&lt;0,N(F1971)&gt;=1)),"Perte entre 0 et 99 %",IF(COUNTIFS(bom_prod,A1971,bom_mat,B1971)&gt;1,"Matière en double","OK")))))))))</f>
        <v/>
      </c>
      <c r="K1971" s="71" t="str">
        <f>IF(AND(fiche_sel&lt;&gt;"",A1971=fiche_sel),COUNTIF(A$6:A1971,fiche_sel),"")</f>
        <v/>
      </c>
    </row>
    <row r="1972">
      <c r="A1972" s="60" t="n"/>
      <c r="B1972" s="60" t="n"/>
      <c r="C1972" s="71" t="str">
        <f>IF(B1972="","",IFERROR(INDEX(mat_des,MATCH(B1972,mat_ref,0))&amp;"","Matière inconnue"))</f>
        <v/>
      </c>
      <c r="D1972" s="69" t="str">
        <f>IF(B1972="","",IFERROR(INDEX(mat_unit,MATCH(B1972,mat_ref,0))&amp;"",""))</f>
        <v/>
      </c>
      <c r="E1972" s="72" t="n"/>
      <c r="F1972" s="65" t="n"/>
      <c r="G1972" s="68" t="str">
        <f>IF(J1972&lt;&gt;"OK","",IF(F1972="",N(INDEX(mat_loss,MATCH(B1972,mat_ref,0))),F1972))</f>
        <v/>
      </c>
      <c r="H1972" s="66" t="str">
        <f>IF(J1972&lt;&gt;"OK","",INDEX(mat_price,MATCH(B1972,mat_ref,0)))</f>
        <v/>
      </c>
      <c r="I1972" s="66" t="str">
        <f>IF(J1972&lt;&gt;"OK","",E1972*(1+G1972)*H1972)</f>
        <v/>
      </c>
      <c r="J1972" s="69" t="str">
        <f>IF(AND(A1972="",B1972=""),"",IF(A1972="","Produit manquant",IF(COUNTIF(prod_ref,A1972)=0,"Produit inconnu",IF(B1972="","Matière manquante",IF(ISNA(MATCH(B1972,mat_ref,0)),"Matière inconnue",IF(INDEX(mat_check,MATCH(B1972,mat_ref,0))&lt;&gt;"OK","Matière à corriger",IF(OR(NOT(ISNUMBER(E1972)),N(E1972)&lt;=0),"Quantité invalide",IF(AND(F1972&lt;&gt;"",OR(NOT(ISNUMBER(F1972)),N(F1972)&lt;0,N(F1972)&gt;=1)),"Perte entre 0 et 99 %",IF(COUNTIFS(bom_prod,A1972,bom_mat,B1972)&gt;1,"Matière en double","OK")))))))))</f>
        <v/>
      </c>
      <c r="K1972" s="71" t="str">
        <f>IF(AND(fiche_sel&lt;&gt;"",A1972=fiche_sel),COUNTIF(A$6:A1972,fiche_sel),"")</f>
        <v/>
      </c>
    </row>
    <row r="1973">
      <c r="A1973" s="60" t="n"/>
      <c r="B1973" s="60" t="n"/>
      <c r="C1973" s="71" t="str">
        <f>IF(B1973="","",IFERROR(INDEX(mat_des,MATCH(B1973,mat_ref,0))&amp;"","Matière inconnue"))</f>
        <v/>
      </c>
      <c r="D1973" s="69" t="str">
        <f>IF(B1973="","",IFERROR(INDEX(mat_unit,MATCH(B1973,mat_ref,0))&amp;"",""))</f>
        <v/>
      </c>
      <c r="E1973" s="72" t="n"/>
      <c r="F1973" s="65" t="n"/>
      <c r="G1973" s="68" t="str">
        <f>IF(J1973&lt;&gt;"OK","",IF(F1973="",N(INDEX(mat_loss,MATCH(B1973,mat_ref,0))),F1973))</f>
        <v/>
      </c>
      <c r="H1973" s="66" t="str">
        <f>IF(J1973&lt;&gt;"OK","",INDEX(mat_price,MATCH(B1973,mat_ref,0)))</f>
        <v/>
      </c>
      <c r="I1973" s="66" t="str">
        <f>IF(J1973&lt;&gt;"OK","",E1973*(1+G1973)*H1973)</f>
        <v/>
      </c>
      <c r="J1973" s="69" t="str">
        <f>IF(AND(A1973="",B1973=""),"",IF(A1973="","Produit manquant",IF(COUNTIF(prod_ref,A1973)=0,"Produit inconnu",IF(B1973="","Matière manquante",IF(ISNA(MATCH(B1973,mat_ref,0)),"Matière inconnue",IF(INDEX(mat_check,MATCH(B1973,mat_ref,0))&lt;&gt;"OK","Matière à corriger",IF(OR(NOT(ISNUMBER(E1973)),N(E1973)&lt;=0),"Quantité invalide",IF(AND(F1973&lt;&gt;"",OR(NOT(ISNUMBER(F1973)),N(F1973)&lt;0,N(F1973)&gt;=1)),"Perte entre 0 et 99 %",IF(COUNTIFS(bom_prod,A1973,bom_mat,B1973)&gt;1,"Matière en double","OK")))))))))</f>
        <v/>
      </c>
      <c r="K1973" s="71" t="str">
        <f>IF(AND(fiche_sel&lt;&gt;"",A1973=fiche_sel),COUNTIF(A$6:A1973,fiche_sel),"")</f>
        <v/>
      </c>
    </row>
    <row r="1974">
      <c r="A1974" s="60" t="n"/>
      <c r="B1974" s="60" t="n"/>
      <c r="C1974" s="71" t="str">
        <f>IF(B1974="","",IFERROR(INDEX(mat_des,MATCH(B1974,mat_ref,0))&amp;"","Matière inconnue"))</f>
        <v/>
      </c>
      <c r="D1974" s="69" t="str">
        <f>IF(B1974="","",IFERROR(INDEX(mat_unit,MATCH(B1974,mat_ref,0))&amp;"",""))</f>
        <v/>
      </c>
      <c r="E1974" s="72" t="n"/>
      <c r="F1974" s="65" t="n"/>
      <c r="G1974" s="68" t="str">
        <f>IF(J1974&lt;&gt;"OK","",IF(F1974="",N(INDEX(mat_loss,MATCH(B1974,mat_ref,0))),F1974))</f>
        <v/>
      </c>
      <c r="H1974" s="66" t="str">
        <f>IF(J1974&lt;&gt;"OK","",INDEX(mat_price,MATCH(B1974,mat_ref,0)))</f>
        <v/>
      </c>
      <c r="I1974" s="66" t="str">
        <f>IF(J1974&lt;&gt;"OK","",E1974*(1+G1974)*H1974)</f>
        <v/>
      </c>
      <c r="J1974" s="69" t="str">
        <f>IF(AND(A1974="",B1974=""),"",IF(A1974="","Produit manquant",IF(COUNTIF(prod_ref,A1974)=0,"Produit inconnu",IF(B1974="","Matière manquante",IF(ISNA(MATCH(B1974,mat_ref,0)),"Matière inconnue",IF(INDEX(mat_check,MATCH(B1974,mat_ref,0))&lt;&gt;"OK","Matière à corriger",IF(OR(NOT(ISNUMBER(E1974)),N(E1974)&lt;=0),"Quantité invalide",IF(AND(F1974&lt;&gt;"",OR(NOT(ISNUMBER(F1974)),N(F1974)&lt;0,N(F1974)&gt;=1)),"Perte entre 0 et 99 %",IF(COUNTIFS(bom_prod,A1974,bom_mat,B1974)&gt;1,"Matière en double","OK")))))))))</f>
        <v/>
      </c>
      <c r="K1974" s="71" t="str">
        <f>IF(AND(fiche_sel&lt;&gt;"",A1974=fiche_sel),COUNTIF(A$6:A1974,fiche_sel),"")</f>
        <v/>
      </c>
    </row>
    <row r="1975">
      <c r="A1975" s="60" t="n"/>
      <c r="B1975" s="60" t="n"/>
      <c r="C1975" s="71" t="str">
        <f>IF(B1975="","",IFERROR(INDEX(mat_des,MATCH(B1975,mat_ref,0))&amp;"","Matière inconnue"))</f>
        <v/>
      </c>
      <c r="D1975" s="69" t="str">
        <f>IF(B1975="","",IFERROR(INDEX(mat_unit,MATCH(B1975,mat_ref,0))&amp;"",""))</f>
        <v/>
      </c>
      <c r="E1975" s="72" t="n"/>
      <c r="F1975" s="65" t="n"/>
      <c r="G1975" s="68" t="str">
        <f>IF(J1975&lt;&gt;"OK","",IF(F1975="",N(INDEX(mat_loss,MATCH(B1975,mat_ref,0))),F1975))</f>
        <v/>
      </c>
      <c r="H1975" s="66" t="str">
        <f>IF(J1975&lt;&gt;"OK","",INDEX(mat_price,MATCH(B1975,mat_ref,0)))</f>
        <v/>
      </c>
      <c r="I1975" s="66" t="str">
        <f>IF(J1975&lt;&gt;"OK","",E1975*(1+G1975)*H1975)</f>
        <v/>
      </c>
      <c r="J1975" s="69" t="str">
        <f>IF(AND(A1975="",B1975=""),"",IF(A1975="","Produit manquant",IF(COUNTIF(prod_ref,A1975)=0,"Produit inconnu",IF(B1975="","Matière manquante",IF(ISNA(MATCH(B1975,mat_ref,0)),"Matière inconnue",IF(INDEX(mat_check,MATCH(B1975,mat_ref,0))&lt;&gt;"OK","Matière à corriger",IF(OR(NOT(ISNUMBER(E1975)),N(E1975)&lt;=0),"Quantité invalide",IF(AND(F1975&lt;&gt;"",OR(NOT(ISNUMBER(F1975)),N(F1975)&lt;0,N(F1975)&gt;=1)),"Perte entre 0 et 99 %",IF(COUNTIFS(bom_prod,A1975,bom_mat,B1975)&gt;1,"Matière en double","OK")))))))))</f>
        <v/>
      </c>
      <c r="K1975" s="71" t="str">
        <f>IF(AND(fiche_sel&lt;&gt;"",A1975=fiche_sel),COUNTIF(A$6:A1975,fiche_sel),"")</f>
        <v/>
      </c>
    </row>
    <row r="1976">
      <c r="A1976" s="60" t="n"/>
      <c r="B1976" s="60" t="n"/>
      <c r="C1976" s="71" t="str">
        <f>IF(B1976="","",IFERROR(INDEX(mat_des,MATCH(B1976,mat_ref,0))&amp;"","Matière inconnue"))</f>
        <v/>
      </c>
      <c r="D1976" s="69" t="str">
        <f>IF(B1976="","",IFERROR(INDEX(mat_unit,MATCH(B1976,mat_ref,0))&amp;"",""))</f>
        <v/>
      </c>
      <c r="E1976" s="72" t="n"/>
      <c r="F1976" s="65" t="n"/>
      <c r="G1976" s="68" t="str">
        <f>IF(J1976&lt;&gt;"OK","",IF(F1976="",N(INDEX(mat_loss,MATCH(B1976,mat_ref,0))),F1976))</f>
        <v/>
      </c>
      <c r="H1976" s="66" t="str">
        <f>IF(J1976&lt;&gt;"OK","",INDEX(mat_price,MATCH(B1976,mat_ref,0)))</f>
        <v/>
      </c>
      <c r="I1976" s="66" t="str">
        <f>IF(J1976&lt;&gt;"OK","",E1976*(1+G1976)*H1976)</f>
        <v/>
      </c>
      <c r="J1976" s="69" t="str">
        <f>IF(AND(A1976="",B1976=""),"",IF(A1976="","Produit manquant",IF(COUNTIF(prod_ref,A1976)=0,"Produit inconnu",IF(B1976="","Matière manquante",IF(ISNA(MATCH(B1976,mat_ref,0)),"Matière inconnue",IF(INDEX(mat_check,MATCH(B1976,mat_ref,0))&lt;&gt;"OK","Matière à corriger",IF(OR(NOT(ISNUMBER(E1976)),N(E1976)&lt;=0),"Quantité invalide",IF(AND(F1976&lt;&gt;"",OR(NOT(ISNUMBER(F1976)),N(F1976)&lt;0,N(F1976)&gt;=1)),"Perte entre 0 et 99 %",IF(COUNTIFS(bom_prod,A1976,bom_mat,B1976)&gt;1,"Matière en double","OK")))))))))</f>
        <v/>
      </c>
      <c r="K1976" s="71" t="str">
        <f>IF(AND(fiche_sel&lt;&gt;"",A1976=fiche_sel),COUNTIF(A$6:A1976,fiche_sel),"")</f>
        <v/>
      </c>
    </row>
    <row r="1977">
      <c r="A1977" s="60" t="n"/>
      <c r="B1977" s="60" t="n"/>
      <c r="C1977" s="71" t="str">
        <f>IF(B1977="","",IFERROR(INDEX(mat_des,MATCH(B1977,mat_ref,0))&amp;"","Matière inconnue"))</f>
        <v/>
      </c>
      <c r="D1977" s="69" t="str">
        <f>IF(B1977="","",IFERROR(INDEX(mat_unit,MATCH(B1977,mat_ref,0))&amp;"",""))</f>
        <v/>
      </c>
      <c r="E1977" s="72" t="n"/>
      <c r="F1977" s="65" t="n"/>
      <c r="G1977" s="68" t="str">
        <f>IF(J1977&lt;&gt;"OK","",IF(F1977="",N(INDEX(mat_loss,MATCH(B1977,mat_ref,0))),F1977))</f>
        <v/>
      </c>
      <c r="H1977" s="66" t="str">
        <f>IF(J1977&lt;&gt;"OK","",INDEX(mat_price,MATCH(B1977,mat_ref,0)))</f>
        <v/>
      </c>
      <c r="I1977" s="66" t="str">
        <f>IF(J1977&lt;&gt;"OK","",E1977*(1+G1977)*H1977)</f>
        <v/>
      </c>
      <c r="J1977" s="69" t="str">
        <f>IF(AND(A1977="",B1977=""),"",IF(A1977="","Produit manquant",IF(COUNTIF(prod_ref,A1977)=0,"Produit inconnu",IF(B1977="","Matière manquante",IF(ISNA(MATCH(B1977,mat_ref,0)),"Matière inconnue",IF(INDEX(mat_check,MATCH(B1977,mat_ref,0))&lt;&gt;"OK","Matière à corriger",IF(OR(NOT(ISNUMBER(E1977)),N(E1977)&lt;=0),"Quantité invalide",IF(AND(F1977&lt;&gt;"",OR(NOT(ISNUMBER(F1977)),N(F1977)&lt;0,N(F1977)&gt;=1)),"Perte entre 0 et 99 %",IF(COUNTIFS(bom_prod,A1977,bom_mat,B1977)&gt;1,"Matière en double","OK")))))))))</f>
        <v/>
      </c>
      <c r="K1977" s="71" t="str">
        <f>IF(AND(fiche_sel&lt;&gt;"",A1977=fiche_sel),COUNTIF(A$6:A1977,fiche_sel),"")</f>
        <v/>
      </c>
    </row>
    <row r="1978">
      <c r="A1978" s="60" t="n"/>
      <c r="B1978" s="60" t="n"/>
      <c r="C1978" s="71" t="str">
        <f>IF(B1978="","",IFERROR(INDEX(mat_des,MATCH(B1978,mat_ref,0))&amp;"","Matière inconnue"))</f>
        <v/>
      </c>
      <c r="D1978" s="69" t="str">
        <f>IF(B1978="","",IFERROR(INDEX(mat_unit,MATCH(B1978,mat_ref,0))&amp;"",""))</f>
        <v/>
      </c>
      <c r="E1978" s="72" t="n"/>
      <c r="F1978" s="65" t="n"/>
      <c r="G1978" s="68" t="str">
        <f>IF(J1978&lt;&gt;"OK","",IF(F1978="",N(INDEX(mat_loss,MATCH(B1978,mat_ref,0))),F1978))</f>
        <v/>
      </c>
      <c r="H1978" s="66" t="str">
        <f>IF(J1978&lt;&gt;"OK","",INDEX(mat_price,MATCH(B1978,mat_ref,0)))</f>
        <v/>
      </c>
      <c r="I1978" s="66" t="str">
        <f>IF(J1978&lt;&gt;"OK","",E1978*(1+G1978)*H1978)</f>
        <v/>
      </c>
      <c r="J1978" s="69" t="str">
        <f>IF(AND(A1978="",B1978=""),"",IF(A1978="","Produit manquant",IF(COUNTIF(prod_ref,A1978)=0,"Produit inconnu",IF(B1978="","Matière manquante",IF(ISNA(MATCH(B1978,mat_ref,0)),"Matière inconnue",IF(INDEX(mat_check,MATCH(B1978,mat_ref,0))&lt;&gt;"OK","Matière à corriger",IF(OR(NOT(ISNUMBER(E1978)),N(E1978)&lt;=0),"Quantité invalide",IF(AND(F1978&lt;&gt;"",OR(NOT(ISNUMBER(F1978)),N(F1978)&lt;0,N(F1978)&gt;=1)),"Perte entre 0 et 99 %",IF(COUNTIFS(bom_prod,A1978,bom_mat,B1978)&gt;1,"Matière en double","OK")))))))))</f>
        <v/>
      </c>
      <c r="K1978" s="71" t="str">
        <f>IF(AND(fiche_sel&lt;&gt;"",A1978=fiche_sel),COUNTIF(A$6:A1978,fiche_sel),"")</f>
        <v/>
      </c>
    </row>
    <row r="1979">
      <c r="A1979" s="60" t="n"/>
      <c r="B1979" s="60" t="n"/>
      <c r="C1979" s="71" t="str">
        <f>IF(B1979="","",IFERROR(INDEX(mat_des,MATCH(B1979,mat_ref,0))&amp;"","Matière inconnue"))</f>
        <v/>
      </c>
      <c r="D1979" s="69" t="str">
        <f>IF(B1979="","",IFERROR(INDEX(mat_unit,MATCH(B1979,mat_ref,0))&amp;"",""))</f>
        <v/>
      </c>
      <c r="E1979" s="72" t="n"/>
      <c r="F1979" s="65" t="n"/>
      <c r="G1979" s="68" t="str">
        <f>IF(J1979&lt;&gt;"OK","",IF(F1979="",N(INDEX(mat_loss,MATCH(B1979,mat_ref,0))),F1979))</f>
        <v/>
      </c>
      <c r="H1979" s="66" t="str">
        <f>IF(J1979&lt;&gt;"OK","",INDEX(mat_price,MATCH(B1979,mat_ref,0)))</f>
        <v/>
      </c>
      <c r="I1979" s="66" t="str">
        <f>IF(J1979&lt;&gt;"OK","",E1979*(1+G1979)*H1979)</f>
        <v/>
      </c>
      <c r="J1979" s="69" t="str">
        <f>IF(AND(A1979="",B1979=""),"",IF(A1979="","Produit manquant",IF(COUNTIF(prod_ref,A1979)=0,"Produit inconnu",IF(B1979="","Matière manquante",IF(ISNA(MATCH(B1979,mat_ref,0)),"Matière inconnue",IF(INDEX(mat_check,MATCH(B1979,mat_ref,0))&lt;&gt;"OK","Matière à corriger",IF(OR(NOT(ISNUMBER(E1979)),N(E1979)&lt;=0),"Quantité invalide",IF(AND(F1979&lt;&gt;"",OR(NOT(ISNUMBER(F1979)),N(F1979)&lt;0,N(F1979)&gt;=1)),"Perte entre 0 et 99 %",IF(COUNTIFS(bom_prod,A1979,bom_mat,B1979)&gt;1,"Matière en double","OK")))))))))</f>
        <v/>
      </c>
      <c r="K1979" s="71" t="str">
        <f>IF(AND(fiche_sel&lt;&gt;"",A1979=fiche_sel),COUNTIF(A$6:A1979,fiche_sel),"")</f>
        <v/>
      </c>
    </row>
    <row r="1980">
      <c r="A1980" s="60" t="n"/>
      <c r="B1980" s="60" t="n"/>
      <c r="C1980" s="71" t="str">
        <f>IF(B1980="","",IFERROR(INDEX(mat_des,MATCH(B1980,mat_ref,0))&amp;"","Matière inconnue"))</f>
        <v/>
      </c>
      <c r="D1980" s="69" t="str">
        <f>IF(B1980="","",IFERROR(INDEX(mat_unit,MATCH(B1980,mat_ref,0))&amp;"",""))</f>
        <v/>
      </c>
      <c r="E1980" s="72" t="n"/>
      <c r="F1980" s="65" t="n"/>
      <c r="G1980" s="68" t="str">
        <f>IF(J1980&lt;&gt;"OK","",IF(F1980="",N(INDEX(mat_loss,MATCH(B1980,mat_ref,0))),F1980))</f>
        <v/>
      </c>
      <c r="H1980" s="66" t="str">
        <f>IF(J1980&lt;&gt;"OK","",INDEX(mat_price,MATCH(B1980,mat_ref,0)))</f>
        <v/>
      </c>
      <c r="I1980" s="66" t="str">
        <f>IF(J1980&lt;&gt;"OK","",E1980*(1+G1980)*H1980)</f>
        <v/>
      </c>
      <c r="J1980" s="69" t="str">
        <f>IF(AND(A1980="",B1980=""),"",IF(A1980="","Produit manquant",IF(COUNTIF(prod_ref,A1980)=0,"Produit inconnu",IF(B1980="","Matière manquante",IF(ISNA(MATCH(B1980,mat_ref,0)),"Matière inconnue",IF(INDEX(mat_check,MATCH(B1980,mat_ref,0))&lt;&gt;"OK","Matière à corriger",IF(OR(NOT(ISNUMBER(E1980)),N(E1980)&lt;=0),"Quantité invalide",IF(AND(F1980&lt;&gt;"",OR(NOT(ISNUMBER(F1980)),N(F1980)&lt;0,N(F1980)&gt;=1)),"Perte entre 0 et 99 %",IF(COUNTIFS(bom_prod,A1980,bom_mat,B1980)&gt;1,"Matière en double","OK")))))))))</f>
        <v/>
      </c>
      <c r="K1980" s="71" t="str">
        <f>IF(AND(fiche_sel&lt;&gt;"",A1980=fiche_sel),COUNTIF(A$6:A1980,fiche_sel),"")</f>
        <v/>
      </c>
    </row>
    <row r="1981">
      <c r="A1981" s="60" t="n"/>
      <c r="B1981" s="60" t="n"/>
      <c r="C1981" s="71" t="str">
        <f>IF(B1981="","",IFERROR(INDEX(mat_des,MATCH(B1981,mat_ref,0))&amp;"","Matière inconnue"))</f>
        <v/>
      </c>
      <c r="D1981" s="69" t="str">
        <f>IF(B1981="","",IFERROR(INDEX(mat_unit,MATCH(B1981,mat_ref,0))&amp;"",""))</f>
        <v/>
      </c>
      <c r="E1981" s="72" t="n"/>
      <c r="F1981" s="65" t="n"/>
      <c r="G1981" s="68" t="str">
        <f>IF(J1981&lt;&gt;"OK","",IF(F1981="",N(INDEX(mat_loss,MATCH(B1981,mat_ref,0))),F1981))</f>
        <v/>
      </c>
      <c r="H1981" s="66" t="str">
        <f>IF(J1981&lt;&gt;"OK","",INDEX(mat_price,MATCH(B1981,mat_ref,0)))</f>
        <v/>
      </c>
      <c r="I1981" s="66" t="str">
        <f>IF(J1981&lt;&gt;"OK","",E1981*(1+G1981)*H1981)</f>
        <v/>
      </c>
      <c r="J1981" s="69" t="str">
        <f>IF(AND(A1981="",B1981=""),"",IF(A1981="","Produit manquant",IF(COUNTIF(prod_ref,A1981)=0,"Produit inconnu",IF(B1981="","Matière manquante",IF(ISNA(MATCH(B1981,mat_ref,0)),"Matière inconnue",IF(INDEX(mat_check,MATCH(B1981,mat_ref,0))&lt;&gt;"OK","Matière à corriger",IF(OR(NOT(ISNUMBER(E1981)),N(E1981)&lt;=0),"Quantité invalide",IF(AND(F1981&lt;&gt;"",OR(NOT(ISNUMBER(F1981)),N(F1981)&lt;0,N(F1981)&gt;=1)),"Perte entre 0 et 99 %",IF(COUNTIFS(bom_prod,A1981,bom_mat,B1981)&gt;1,"Matière en double","OK")))))))))</f>
        <v/>
      </c>
      <c r="K1981" s="71" t="str">
        <f>IF(AND(fiche_sel&lt;&gt;"",A1981=fiche_sel),COUNTIF(A$6:A1981,fiche_sel),"")</f>
        <v/>
      </c>
    </row>
    <row r="1982">
      <c r="A1982" s="60" t="n"/>
      <c r="B1982" s="60" t="n"/>
      <c r="C1982" s="71" t="str">
        <f>IF(B1982="","",IFERROR(INDEX(mat_des,MATCH(B1982,mat_ref,0))&amp;"","Matière inconnue"))</f>
        <v/>
      </c>
      <c r="D1982" s="69" t="str">
        <f>IF(B1982="","",IFERROR(INDEX(mat_unit,MATCH(B1982,mat_ref,0))&amp;"",""))</f>
        <v/>
      </c>
      <c r="E1982" s="72" t="n"/>
      <c r="F1982" s="65" t="n"/>
      <c r="G1982" s="68" t="str">
        <f>IF(J1982&lt;&gt;"OK","",IF(F1982="",N(INDEX(mat_loss,MATCH(B1982,mat_ref,0))),F1982))</f>
        <v/>
      </c>
      <c r="H1982" s="66" t="str">
        <f>IF(J1982&lt;&gt;"OK","",INDEX(mat_price,MATCH(B1982,mat_ref,0)))</f>
        <v/>
      </c>
      <c r="I1982" s="66" t="str">
        <f>IF(J1982&lt;&gt;"OK","",E1982*(1+G1982)*H1982)</f>
        <v/>
      </c>
      <c r="J1982" s="69" t="str">
        <f>IF(AND(A1982="",B1982=""),"",IF(A1982="","Produit manquant",IF(COUNTIF(prod_ref,A1982)=0,"Produit inconnu",IF(B1982="","Matière manquante",IF(ISNA(MATCH(B1982,mat_ref,0)),"Matière inconnue",IF(INDEX(mat_check,MATCH(B1982,mat_ref,0))&lt;&gt;"OK","Matière à corriger",IF(OR(NOT(ISNUMBER(E1982)),N(E1982)&lt;=0),"Quantité invalide",IF(AND(F1982&lt;&gt;"",OR(NOT(ISNUMBER(F1982)),N(F1982)&lt;0,N(F1982)&gt;=1)),"Perte entre 0 et 99 %",IF(COUNTIFS(bom_prod,A1982,bom_mat,B1982)&gt;1,"Matière en double","OK")))))))))</f>
        <v/>
      </c>
      <c r="K1982" s="71" t="str">
        <f>IF(AND(fiche_sel&lt;&gt;"",A1982=fiche_sel),COUNTIF(A$6:A1982,fiche_sel),"")</f>
        <v/>
      </c>
    </row>
    <row r="1983">
      <c r="A1983" s="60" t="n"/>
      <c r="B1983" s="60" t="n"/>
      <c r="C1983" s="71" t="str">
        <f>IF(B1983="","",IFERROR(INDEX(mat_des,MATCH(B1983,mat_ref,0))&amp;"","Matière inconnue"))</f>
        <v/>
      </c>
      <c r="D1983" s="69" t="str">
        <f>IF(B1983="","",IFERROR(INDEX(mat_unit,MATCH(B1983,mat_ref,0))&amp;"",""))</f>
        <v/>
      </c>
      <c r="E1983" s="72" t="n"/>
      <c r="F1983" s="65" t="n"/>
      <c r="G1983" s="68" t="str">
        <f>IF(J1983&lt;&gt;"OK","",IF(F1983="",N(INDEX(mat_loss,MATCH(B1983,mat_ref,0))),F1983))</f>
        <v/>
      </c>
      <c r="H1983" s="66" t="str">
        <f>IF(J1983&lt;&gt;"OK","",INDEX(mat_price,MATCH(B1983,mat_ref,0)))</f>
        <v/>
      </c>
      <c r="I1983" s="66" t="str">
        <f>IF(J1983&lt;&gt;"OK","",E1983*(1+G1983)*H1983)</f>
        <v/>
      </c>
      <c r="J1983" s="69" t="str">
        <f>IF(AND(A1983="",B1983=""),"",IF(A1983="","Produit manquant",IF(COUNTIF(prod_ref,A1983)=0,"Produit inconnu",IF(B1983="","Matière manquante",IF(ISNA(MATCH(B1983,mat_ref,0)),"Matière inconnue",IF(INDEX(mat_check,MATCH(B1983,mat_ref,0))&lt;&gt;"OK","Matière à corriger",IF(OR(NOT(ISNUMBER(E1983)),N(E1983)&lt;=0),"Quantité invalide",IF(AND(F1983&lt;&gt;"",OR(NOT(ISNUMBER(F1983)),N(F1983)&lt;0,N(F1983)&gt;=1)),"Perte entre 0 et 99 %",IF(COUNTIFS(bom_prod,A1983,bom_mat,B1983)&gt;1,"Matière en double","OK")))))))))</f>
        <v/>
      </c>
      <c r="K1983" s="71" t="str">
        <f>IF(AND(fiche_sel&lt;&gt;"",A1983=fiche_sel),COUNTIF(A$6:A1983,fiche_sel),"")</f>
        <v/>
      </c>
    </row>
    <row r="1984">
      <c r="A1984" s="60" t="n"/>
      <c r="B1984" s="60" t="n"/>
      <c r="C1984" s="71" t="str">
        <f>IF(B1984="","",IFERROR(INDEX(mat_des,MATCH(B1984,mat_ref,0))&amp;"","Matière inconnue"))</f>
        <v/>
      </c>
      <c r="D1984" s="69" t="str">
        <f>IF(B1984="","",IFERROR(INDEX(mat_unit,MATCH(B1984,mat_ref,0))&amp;"",""))</f>
        <v/>
      </c>
      <c r="E1984" s="72" t="n"/>
      <c r="F1984" s="65" t="n"/>
      <c r="G1984" s="68" t="str">
        <f>IF(J1984&lt;&gt;"OK","",IF(F1984="",N(INDEX(mat_loss,MATCH(B1984,mat_ref,0))),F1984))</f>
        <v/>
      </c>
      <c r="H1984" s="66" t="str">
        <f>IF(J1984&lt;&gt;"OK","",INDEX(mat_price,MATCH(B1984,mat_ref,0)))</f>
        <v/>
      </c>
      <c r="I1984" s="66" t="str">
        <f>IF(J1984&lt;&gt;"OK","",E1984*(1+G1984)*H1984)</f>
        <v/>
      </c>
      <c r="J1984" s="69" t="str">
        <f>IF(AND(A1984="",B1984=""),"",IF(A1984="","Produit manquant",IF(COUNTIF(prod_ref,A1984)=0,"Produit inconnu",IF(B1984="","Matière manquante",IF(ISNA(MATCH(B1984,mat_ref,0)),"Matière inconnue",IF(INDEX(mat_check,MATCH(B1984,mat_ref,0))&lt;&gt;"OK","Matière à corriger",IF(OR(NOT(ISNUMBER(E1984)),N(E1984)&lt;=0),"Quantité invalide",IF(AND(F1984&lt;&gt;"",OR(NOT(ISNUMBER(F1984)),N(F1984)&lt;0,N(F1984)&gt;=1)),"Perte entre 0 et 99 %",IF(COUNTIFS(bom_prod,A1984,bom_mat,B1984)&gt;1,"Matière en double","OK")))))))))</f>
        <v/>
      </c>
      <c r="K1984" s="71" t="str">
        <f>IF(AND(fiche_sel&lt;&gt;"",A1984=fiche_sel),COUNTIF(A$6:A1984,fiche_sel),"")</f>
        <v/>
      </c>
    </row>
    <row r="1985">
      <c r="A1985" s="60" t="n"/>
      <c r="B1985" s="60" t="n"/>
      <c r="C1985" s="71" t="str">
        <f>IF(B1985="","",IFERROR(INDEX(mat_des,MATCH(B1985,mat_ref,0))&amp;"","Matière inconnue"))</f>
        <v/>
      </c>
      <c r="D1985" s="69" t="str">
        <f>IF(B1985="","",IFERROR(INDEX(mat_unit,MATCH(B1985,mat_ref,0))&amp;"",""))</f>
        <v/>
      </c>
      <c r="E1985" s="72" t="n"/>
      <c r="F1985" s="65" t="n"/>
      <c r="G1985" s="68" t="str">
        <f>IF(J1985&lt;&gt;"OK","",IF(F1985="",N(INDEX(mat_loss,MATCH(B1985,mat_ref,0))),F1985))</f>
        <v/>
      </c>
      <c r="H1985" s="66" t="str">
        <f>IF(J1985&lt;&gt;"OK","",INDEX(mat_price,MATCH(B1985,mat_ref,0)))</f>
        <v/>
      </c>
      <c r="I1985" s="66" t="str">
        <f>IF(J1985&lt;&gt;"OK","",E1985*(1+G1985)*H1985)</f>
        <v/>
      </c>
      <c r="J1985" s="69" t="str">
        <f>IF(AND(A1985="",B1985=""),"",IF(A1985="","Produit manquant",IF(COUNTIF(prod_ref,A1985)=0,"Produit inconnu",IF(B1985="","Matière manquante",IF(ISNA(MATCH(B1985,mat_ref,0)),"Matière inconnue",IF(INDEX(mat_check,MATCH(B1985,mat_ref,0))&lt;&gt;"OK","Matière à corriger",IF(OR(NOT(ISNUMBER(E1985)),N(E1985)&lt;=0),"Quantité invalide",IF(AND(F1985&lt;&gt;"",OR(NOT(ISNUMBER(F1985)),N(F1985)&lt;0,N(F1985)&gt;=1)),"Perte entre 0 et 99 %",IF(COUNTIFS(bom_prod,A1985,bom_mat,B1985)&gt;1,"Matière en double","OK")))))))))</f>
        <v/>
      </c>
      <c r="K1985" s="71" t="str">
        <f>IF(AND(fiche_sel&lt;&gt;"",A1985=fiche_sel),COUNTIF(A$6:A1985,fiche_sel),"")</f>
        <v/>
      </c>
    </row>
    <row r="1986">
      <c r="A1986" s="60" t="n"/>
      <c r="B1986" s="60" t="n"/>
      <c r="C1986" s="71" t="str">
        <f>IF(B1986="","",IFERROR(INDEX(mat_des,MATCH(B1986,mat_ref,0))&amp;"","Matière inconnue"))</f>
        <v/>
      </c>
      <c r="D1986" s="69" t="str">
        <f>IF(B1986="","",IFERROR(INDEX(mat_unit,MATCH(B1986,mat_ref,0))&amp;"",""))</f>
        <v/>
      </c>
      <c r="E1986" s="72" t="n"/>
      <c r="F1986" s="65" t="n"/>
      <c r="G1986" s="68" t="str">
        <f>IF(J1986&lt;&gt;"OK","",IF(F1986="",N(INDEX(mat_loss,MATCH(B1986,mat_ref,0))),F1986))</f>
        <v/>
      </c>
      <c r="H1986" s="66" t="str">
        <f>IF(J1986&lt;&gt;"OK","",INDEX(mat_price,MATCH(B1986,mat_ref,0)))</f>
        <v/>
      </c>
      <c r="I1986" s="66" t="str">
        <f>IF(J1986&lt;&gt;"OK","",E1986*(1+G1986)*H1986)</f>
        <v/>
      </c>
      <c r="J1986" s="69" t="str">
        <f>IF(AND(A1986="",B1986=""),"",IF(A1986="","Produit manquant",IF(COUNTIF(prod_ref,A1986)=0,"Produit inconnu",IF(B1986="","Matière manquante",IF(ISNA(MATCH(B1986,mat_ref,0)),"Matière inconnue",IF(INDEX(mat_check,MATCH(B1986,mat_ref,0))&lt;&gt;"OK","Matière à corriger",IF(OR(NOT(ISNUMBER(E1986)),N(E1986)&lt;=0),"Quantité invalide",IF(AND(F1986&lt;&gt;"",OR(NOT(ISNUMBER(F1986)),N(F1986)&lt;0,N(F1986)&gt;=1)),"Perte entre 0 et 99 %",IF(COUNTIFS(bom_prod,A1986,bom_mat,B1986)&gt;1,"Matière en double","OK")))))))))</f>
        <v/>
      </c>
      <c r="K1986" s="71" t="str">
        <f>IF(AND(fiche_sel&lt;&gt;"",A1986=fiche_sel),COUNTIF(A$6:A1986,fiche_sel),"")</f>
        <v/>
      </c>
    </row>
    <row r="1987">
      <c r="A1987" s="60" t="n"/>
      <c r="B1987" s="60" t="n"/>
      <c r="C1987" s="71" t="str">
        <f>IF(B1987="","",IFERROR(INDEX(mat_des,MATCH(B1987,mat_ref,0))&amp;"","Matière inconnue"))</f>
        <v/>
      </c>
      <c r="D1987" s="69" t="str">
        <f>IF(B1987="","",IFERROR(INDEX(mat_unit,MATCH(B1987,mat_ref,0))&amp;"",""))</f>
        <v/>
      </c>
      <c r="E1987" s="72" t="n"/>
      <c r="F1987" s="65" t="n"/>
      <c r="G1987" s="68" t="str">
        <f>IF(J1987&lt;&gt;"OK","",IF(F1987="",N(INDEX(mat_loss,MATCH(B1987,mat_ref,0))),F1987))</f>
        <v/>
      </c>
      <c r="H1987" s="66" t="str">
        <f>IF(J1987&lt;&gt;"OK","",INDEX(mat_price,MATCH(B1987,mat_ref,0)))</f>
        <v/>
      </c>
      <c r="I1987" s="66" t="str">
        <f>IF(J1987&lt;&gt;"OK","",E1987*(1+G1987)*H1987)</f>
        <v/>
      </c>
      <c r="J1987" s="69" t="str">
        <f>IF(AND(A1987="",B1987=""),"",IF(A1987="","Produit manquant",IF(COUNTIF(prod_ref,A1987)=0,"Produit inconnu",IF(B1987="","Matière manquante",IF(ISNA(MATCH(B1987,mat_ref,0)),"Matière inconnue",IF(INDEX(mat_check,MATCH(B1987,mat_ref,0))&lt;&gt;"OK","Matière à corriger",IF(OR(NOT(ISNUMBER(E1987)),N(E1987)&lt;=0),"Quantité invalide",IF(AND(F1987&lt;&gt;"",OR(NOT(ISNUMBER(F1987)),N(F1987)&lt;0,N(F1987)&gt;=1)),"Perte entre 0 et 99 %",IF(COUNTIFS(bom_prod,A1987,bom_mat,B1987)&gt;1,"Matière en double","OK")))))))))</f>
        <v/>
      </c>
      <c r="K1987" s="71" t="str">
        <f>IF(AND(fiche_sel&lt;&gt;"",A1987=fiche_sel),COUNTIF(A$6:A1987,fiche_sel),"")</f>
        <v/>
      </c>
    </row>
    <row r="1988">
      <c r="A1988" s="60" t="n"/>
      <c r="B1988" s="60" t="n"/>
      <c r="C1988" s="71" t="str">
        <f>IF(B1988="","",IFERROR(INDEX(mat_des,MATCH(B1988,mat_ref,0))&amp;"","Matière inconnue"))</f>
        <v/>
      </c>
      <c r="D1988" s="69" t="str">
        <f>IF(B1988="","",IFERROR(INDEX(mat_unit,MATCH(B1988,mat_ref,0))&amp;"",""))</f>
        <v/>
      </c>
      <c r="E1988" s="72" t="n"/>
      <c r="F1988" s="65" t="n"/>
      <c r="G1988" s="68" t="str">
        <f>IF(J1988&lt;&gt;"OK","",IF(F1988="",N(INDEX(mat_loss,MATCH(B1988,mat_ref,0))),F1988))</f>
        <v/>
      </c>
      <c r="H1988" s="66" t="str">
        <f>IF(J1988&lt;&gt;"OK","",INDEX(mat_price,MATCH(B1988,mat_ref,0)))</f>
        <v/>
      </c>
      <c r="I1988" s="66" t="str">
        <f>IF(J1988&lt;&gt;"OK","",E1988*(1+G1988)*H1988)</f>
        <v/>
      </c>
      <c r="J1988" s="69" t="str">
        <f>IF(AND(A1988="",B1988=""),"",IF(A1988="","Produit manquant",IF(COUNTIF(prod_ref,A1988)=0,"Produit inconnu",IF(B1988="","Matière manquante",IF(ISNA(MATCH(B1988,mat_ref,0)),"Matière inconnue",IF(INDEX(mat_check,MATCH(B1988,mat_ref,0))&lt;&gt;"OK","Matière à corriger",IF(OR(NOT(ISNUMBER(E1988)),N(E1988)&lt;=0),"Quantité invalide",IF(AND(F1988&lt;&gt;"",OR(NOT(ISNUMBER(F1988)),N(F1988)&lt;0,N(F1988)&gt;=1)),"Perte entre 0 et 99 %",IF(COUNTIFS(bom_prod,A1988,bom_mat,B1988)&gt;1,"Matière en double","OK")))))))))</f>
        <v/>
      </c>
      <c r="K1988" s="71" t="str">
        <f>IF(AND(fiche_sel&lt;&gt;"",A1988=fiche_sel),COUNTIF(A$6:A1988,fiche_sel),"")</f>
        <v/>
      </c>
    </row>
    <row r="1989">
      <c r="A1989" s="60" t="n"/>
      <c r="B1989" s="60" t="n"/>
      <c r="C1989" s="71" t="str">
        <f>IF(B1989="","",IFERROR(INDEX(mat_des,MATCH(B1989,mat_ref,0))&amp;"","Matière inconnue"))</f>
        <v/>
      </c>
      <c r="D1989" s="69" t="str">
        <f>IF(B1989="","",IFERROR(INDEX(mat_unit,MATCH(B1989,mat_ref,0))&amp;"",""))</f>
        <v/>
      </c>
      <c r="E1989" s="72" t="n"/>
      <c r="F1989" s="65" t="n"/>
      <c r="G1989" s="68" t="str">
        <f>IF(J1989&lt;&gt;"OK","",IF(F1989="",N(INDEX(mat_loss,MATCH(B1989,mat_ref,0))),F1989))</f>
        <v/>
      </c>
      <c r="H1989" s="66" t="str">
        <f>IF(J1989&lt;&gt;"OK","",INDEX(mat_price,MATCH(B1989,mat_ref,0)))</f>
        <v/>
      </c>
      <c r="I1989" s="66" t="str">
        <f>IF(J1989&lt;&gt;"OK","",E1989*(1+G1989)*H1989)</f>
        <v/>
      </c>
      <c r="J1989" s="69" t="str">
        <f>IF(AND(A1989="",B1989=""),"",IF(A1989="","Produit manquant",IF(COUNTIF(prod_ref,A1989)=0,"Produit inconnu",IF(B1989="","Matière manquante",IF(ISNA(MATCH(B1989,mat_ref,0)),"Matière inconnue",IF(INDEX(mat_check,MATCH(B1989,mat_ref,0))&lt;&gt;"OK","Matière à corriger",IF(OR(NOT(ISNUMBER(E1989)),N(E1989)&lt;=0),"Quantité invalide",IF(AND(F1989&lt;&gt;"",OR(NOT(ISNUMBER(F1989)),N(F1989)&lt;0,N(F1989)&gt;=1)),"Perte entre 0 et 99 %",IF(COUNTIFS(bom_prod,A1989,bom_mat,B1989)&gt;1,"Matière en double","OK")))))))))</f>
        <v/>
      </c>
      <c r="K1989" s="71" t="str">
        <f>IF(AND(fiche_sel&lt;&gt;"",A1989=fiche_sel),COUNTIF(A$6:A1989,fiche_sel),"")</f>
        <v/>
      </c>
    </row>
    <row r="1990">
      <c r="A1990" s="60" t="n"/>
      <c r="B1990" s="60" t="n"/>
      <c r="C1990" s="71" t="str">
        <f>IF(B1990="","",IFERROR(INDEX(mat_des,MATCH(B1990,mat_ref,0))&amp;"","Matière inconnue"))</f>
        <v/>
      </c>
      <c r="D1990" s="69" t="str">
        <f>IF(B1990="","",IFERROR(INDEX(mat_unit,MATCH(B1990,mat_ref,0))&amp;"",""))</f>
        <v/>
      </c>
      <c r="E1990" s="72" t="n"/>
      <c r="F1990" s="65" t="n"/>
      <c r="G1990" s="68" t="str">
        <f>IF(J1990&lt;&gt;"OK","",IF(F1990="",N(INDEX(mat_loss,MATCH(B1990,mat_ref,0))),F1990))</f>
        <v/>
      </c>
      <c r="H1990" s="66" t="str">
        <f>IF(J1990&lt;&gt;"OK","",INDEX(mat_price,MATCH(B1990,mat_ref,0)))</f>
        <v/>
      </c>
      <c r="I1990" s="66" t="str">
        <f>IF(J1990&lt;&gt;"OK","",E1990*(1+G1990)*H1990)</f>
        <v/>
      </c>
      <c r="J1990" s="69" t="str">
        <f>IF(AND(A1990="",B1990=""),"",IF(A1990="","Produit manquant",IF(COUNTIF(prod_ref,A1990)=0,"Produit inconnu",IF(B1990="","Matière manquante",IF(ISNA(MATCH(B1990,mat_ref,0)),"Matière inconnue",IF(INDEX(mat_check,MATCH(B1990,mat_ref,0))&lt;&gt;"OK","Matière à corriger",IF(OR(NOT(ISNUMBER(E1990)),N(E1990)&lt;=0),"Quantité invalide",IF(AND(F1990&lt;&gt;"",OR(NOT(ISNUMBER(F1990)),N(F1990)&lt;0,N(F1990)&gt;=1)),"Perte entre 0 et 99 %",IF(COUNTIFS(bom_prod,A1990,bom_mat,B1990)&gt;1,"Matière en double","OK")))))))))</f>
        <v/>
      </c>
      <c r="K1990" s="71" t="str">
        <f>IF(AND(fiche_sel&lt;&gt;"",A1990=fiche_sel),COUNTIF(A$6:A1990,fiche_sel),"")</f>
        <v/>
      </c>
    </row>
    <row r="1991">
      <c r="A1991" s="60" t="n"/>
      <c r="B1991" s="60" t="n"/>
      <c r="C1991" s="71" t="str">
        <f>IF(B1991="","",IFERROR(INDEX(mat_des,MATCH(B1991,mat_ref,0))&amp;"","Matière inconnue"))</f>
        <v/>
      </c>
      <c r="D1991" s="69" t="str">
        <f>IF(B1991="","",IFERROR(INDEX(mat_unit,MATCH(B1991,mat_ref,0))&amp;"",""))</f>
        <v/>
      </c>
      <c r="E1991" s="72" t="n"/>
      <c r="F1991" s="65" t="n"/>
      <c r="G1991" s="68" t="str">
        <f>IF(J1991&lt;&gt;"OK","",IF(F1991="",N(INDEX(mat_loss,MATCH(B1991,mat_ref,0))),F1991))</f>
        <v/>
      </c>
      <c r="H1991" s="66" t="str">
        <f>IF(J1991&lt;&gt;"OK","",INDEX(mat_price,MATCH(B1991,mat_ref,0)))</f>
        <v/>
      </c>
      <c r="I1991" s="66" t="str">
        <f>IF(J1991&lt;&gt;"OK","",E1991*(1+G1991)*H1991)</f>
        <v/>
      </c>
      <c r="J1991" s="69" t="str">
        <f>IF(AND(A1991="",B1991=""),"",IF(A1991="","Produit manquant",IF(COUNTIF(prod_ref,A1991)=0,"Produit inconnu",IF(B1991="","Matière manquante",IF(ISNA(MATCH(B1991,mat_ref,0)),"Matière inconnue",IF(INDEX(mat_check,MATCH(B1991,mat_ref,0))&lt;&gt;"OK","Matière à corriger",IF(OR(NOT(ISNUMBER(E1991)),N(E1991)&lt;=0),"Quantité invalide",IF(AND(F1991&lt;&gt;"",OR(NOT(ISNUMBER(F1991)),N(F1991)&lt;0,N(F1991)&gt;=1)),"Perte entre 0 et 99 %",IF(COUNTIFS(bom_prod,A1991,bom_mat,B1991)&gt;1,"Matière en double","OK")))))))))</f>
        <v/>
      </c>
      <c r="K1991" s="71" t="str">
        <f>IF(AND(fiche_sel&lt;&gt;"",A1991=fiche_sel),COUNTIF(A$6:A1991,fiche_sel),"")</f>
        <v/>
      </c>
    </row>
    <row r="1992">
      <c r="A1992" s="60" t="n"/>
      <c r="B1992" s="60" t="n"/>
      <c r="C1992" s="71" t="str">
        <f>IF(B1992="","",IFERROR(INDEX(mat_des,MATCH(B1992,mat_ref,0))&amp;"","Matière inconnue"))</f>
        <v/>
      </c>
      <c r="D1992" s="69" t="str">
        <f>IF(B1992="","",IFERROR(INDEX(mat_unit,MATCH(B1992,mat_ref,0))&amp;"",""))</f>
        <v/>
      </c>
      <c r="E1992" s="72" t="n"/>
      <c r="F1992" s="65" t="n"/>
      <c r="G1992" s="68" t="str">
        <f>IF(J1992&lt;&gt;"OK","",IF(F1992="",N(INDEX(mat_loss,MATCH(B1992,mat_ref,0))),F1992))</f>
        <v/>
      </c>
      <c r="H1992" s="66" t="str">
        <f>IF(J1992&lt;&gt;"OK","",INDEX(mat_price,MATCH(B1992,mat_ref,0)))</f>
        <v/>
      </c>
      <c r="I1992" s="66" t="str">
        <f>IF(J1992&lt;&gt;"OK","",E1992*(1+G1992)*H1992)</f>
        <v/>
      </c>
      <c r="J1992" s="69" t="str">
        <f>IF(AND(A1992="",B1992=""),"",IF(A1992="","Produit manquant",IF(COUNTIF(prod_ref,A1992)=0,"Produit inconnu",IF(B1992="","Matière manquante",IF(ISNA(MATCH(B1992,mat_ref,0)),"Matière inconnue",IF(INDEX(mat_check,MATCH(B1992,mat_ref,0))&lt;&gt;"OK","Matière à corriger",IF(OR(NOT(ISNUMBER(E1992)),N(E1992)&lt;=0),"Quantité invalide",IF(AND(F1992&lt;&gt;"",OR(NOT(ISNUMBER(F1992)),N(F1992)&lt;0,N(F1992)&gt;=1)),"Perte entre 0 et 99 %",IF(COUNTIFS(bom_prod,A1992,bom_mat,B1992)&gt;1,"Matière en double","OK")))))))))</f>
        <v/>
      </c>
      <c r="K1992" s="71" t="str">
        <f>IF(AND(fiche_sel&lt;&gt;"",A1992=fiche_sel),COUNTIF(A$6:A1992,fiche_sel),"")</f>
        <v/>
      </c>
    </row>
    <row r="1993">
      <c r="A1993" s="60" t="n"/>
      <c r="B1993" s="60" t="n"/>
      <c r="C1993" s="71" t="str">
        <f>IF(B1993="","",IFERROR(INDEX(mat_des,MATCH(B1993,mat_ref,0))&amp;"","Matière inconnue"))</f>
        <v/>
      </c>
      <c r="D1993" s="69" t="str">
        <f>IF(B1993="","",IFERROR(INDEX(mat_unit,MATCH(B1993,mat_ref,0))&amp;"",""))</f>
        <v/>
      </c>
      <c r="E1993" s="72" t="n"/>
      <c r="F1993" s="65" t="n"/>
      <c r="G1993" s="68" t="str">
        <f>IF(J1993&lt;&gt;"OK","",IF(F1993="",N(INDEX(mat_loss,MATCH(B1993,mat_ref,0))),F1993))</f>
        <v/>
      </c>
      <c r="H1993" s="66" t="str">
        <f>IF(J1993&lt;&gt;"OK","",INDEX(mat_price,MATCH(B1993,mat_ref,0)))</f>
        <v/>
      </c>
      <c r="I1993" s="66" t="str">
        <f>IF(J1993&lt;&gt;"OK","",E1993*(1+G1993)*H1993)</f>
        <v/>
      </c>
      <c r="J1993" s="69" t="str">
        <f>IF(AND(A1993="",B1993=""),"",IF(A1993="","Produit manquant",IF(COUNTIF(prod_ref,A1993)=0,"Produit inconnu",IF(B1993="","Matière manquante",IF(ISNA(MATCH(B1993,mat_ref,0)),"Matière inconnue",IF(INDEX(mat_check,MATCH(B1993,mat_ref,0))&lt;&gt;"OK","Matière à corriger",IF(OR(NOT(ISNUMBER(E1993)),N(E1993)&lt;=0),"Quantité invalide",IF(AND(F1993&lt;&gt;"",OR(NOT(ISNUMBER(F1993)),N(F1993)&lt;0,N(F1993)&gt;=1)),"Perte entre 0 et 99 %",IF(COUNTIFS(bom_prod,A1993,bom_mat,B1993)&gt;1,"Matière en double","OK")))))))))</f>
        <v/>
      </c>
      <c r="K1993" s="71" t="str">
        <f>IF(AND(fiche_sel&lt;&gt;"",A1993=fiche_sel),COUNTIF(A$6:A1993,fiche_sel),"")</f>
        <v/>
      </c>
    </row>
    <row r="1994">
      <c r="A1994" s="60" t="n"/>
      <c r="B1994" s="60" t="n"/>
      <c r="C1994" s="71" t="str">
        <f>IF(B1994="","",IFERROR(INDEX(mat_des,MATCH(B1994,mat_ref,0))&amp;"","Matière inconnue"))</f>
        <v/>
      </c>
      <c r="D1994" s="69" t="str">
        <f>IF(B1994="","",IFERROR(INDEX(mat_unit,MATCH(B1994,mat_ref,0))&amp;"",""))</f>
        <v/>
      </c>
      <c r="E1994" s="72" t="n"/>
      <c r="F1994" s="65" t="n"/>
      <c r="G1994" s="68" t="str">
        <f>IF(J1994&lt;&gt;"OK","",IF(F1994="",N(INDEX(mat_loss,MATCH(B1994,mat_ref,0))),F1994))</f>
        <v/>
      </c>
      <c r="H1994" s="66" t="str">
        <f>IF(J1994&lt;&gt;"OK","",INDEX(mat_price,MATCH(B1994,mat_ref,0)))</f>
        <v/>
      </c>
      <c r="I1994" s="66" t="str">
        <f>IF(J1994&lt;&gt;"OK","",E1994*(1+G1994)*H1994)</f>
        <v/>
      </c>
      <c r="J1994" s="69" t="str">
        <f>IF(AND(A1994="",B1994=""),"",IF(A1994="","Produit manquant",IF(COUNTIF(prod_ref,A1994)=0,"Produit inconnu",IF(B1994="","Matière manquante",IF(ISNA(MATCH(B1994,mat_ref,0)),"Matière inconnue",IF(INDEX(mat_check,MATCH(B1994,mat_ref,0))&lt;&gt;"OK","Matière à corriger",IF(OR(NOT(ISNUMBER(E1994)),N(E1994)&lt;=0),"Quantité invalide",IF(AND(F1994&lt;&gt;"",OR(NOT(ISNUMBER(F1994)),N(F1994)&lt;0,N(F1994)&gt;=1)),"Perte entre 0 et 99 %",IF(COUNTIFS(bom_prod,A1994,bom_mat,B1994)&gt;1,"Matière en double","OK")))))))))</f>
        <v/>
      </c>
      <c r="K1994" s="71" t="str">
        <f>IF(AND(fiche_sel&lt;&gt;"",A1994=fiche_sel),COUNTIF(A$6:A1994,fiche_sel),"")</f>
        <v/>
      </c>
    </row>
    <row r="1995">
      <c r="A1995" s="60" t="n"/>
      <c r="B1995" s="60" t="n"/>
      <c r="C1995" s="71" t="str">
        <f>IF(B1995="","",IFERROR(INDEX(mat_des,MATCH(B1995,mat_ref,0))&amp;"","Matière inconnue"))</f>
        <v/>
      </c>
      <c r="D1995" s="69" t="str">
        <f>IF(B1995="","",IFERROR(INDEX(mat_unit,MATCH(B1995,mat_ref,0))&amp;"",""))</f>
        <v/>
      </c>
      <c r="E1995" s="72" t="n"/>
      <c r="F1995" s="65" t="n"/>
      <c r="G1995" s="68" t="str">
        <f>IF(J1995&lt;&gt;"OK","",IF(F1995="",N(INDEX(mat_loss,MATCH(B1995,mat_ref,0))),F1995))</f>
        <v/>
      </c>
      <c r="H1995" s="66" t="str">
        <f>IF(J1995&lt;&gt;"OK","",INDEX(mat_price,MATCH(B1995,mat_ref,0)))</f>
        <v/>
      </c>
      <c r="I1995" s="66" t="str">
        <f>IF(J1995&lt;&gt;"OK","",E1995*(1+G1995)*H1995)</f>
        <v/>
      </c>
      <c r="J1995" s="69" t="str">
        <f>IF(AND(A1995="",B1995=""),"",IF(A1995="","Produit manquant",IF(COUNTIF(prod_ref,A1995)=0,"Produit inconnu",IF(B1995="","Matière manquante",IF(ISNA(MATCH(B1995,mat_ref,0)),"Matière inconnue",IF(INDEX(mat_check,MATCH(B1995,mat_ref,0))&lt;&gt;"OK","Matière à corriger",IF(OR(NOT(ISNUMBER(E1995)),N(E1995)&lt;=0),"Quantité invalide",IF(AND(F1995&lt;&gt;"",OR(NOT(ISNUMBER(F1995)),N(F1995)&lt;0,N(F1995)&gt;=1)),"Perte entre 0 et 99 %",IF(COUNTIFS(bom_prod,A1995,bom_mat,B1995)&gt;1,"Matière en double","OK")))))))))</f>
        <v/>
      </c>
      <c r="K1995" s="71" t="str">
        <f>IF(AND(fiche_sel&lt;&gt;"",A1995=fiche_sel),COUNTIF(A$6:A1995,fiche_sel),"")</f>
        <v/>
      </c>
    </row>
    <row r="1996">
      <c r="A1996" s="60" t="n"/>
      <c r="B1996" s="60" t="n"/>
      <c r="C1996" s="71" t="str">
        <f>IF(B1996="","",IFERROR(INDEX(mat_des,MATCH(B1996,mat_ref,0))&amp;"","Matière inconnue"))</f>
        <v/>
      </c>
      <c r="D1996" s="69" t="str">
        <f>IF(B1996="","",IFERROR(INDEX(mat_unit,MATCH(B1996,mat_ref,0))&amp;"",""))</f>
        <v/>
      </c>
      <c r="E1996" s="72" t="n"/>
      <c r="F1996" s="65" t="n"/>
      <c r="G1996" s="68" t="str">
        <f>IF(J1996&lt;&gt;"OK","",IF(F1996="",N(INDEX(mat_loss,MATCH(B1996,mat_ref,0))),F1996))</f>
        <v/>
      </c>
      <c r="H1996" s="66" t="str">
        <f>IF(J1996&lt;&gt;"OK","",INDEX(mat_price,MATCH(B1996,mat_ref,0)))</f>
        <v/>
      </c>
      <c r="I1996" s="66" t="str">
        <f>IF(J1996&lt;&gt;"OK","",E1996*(1+G1996)*H1996)</f>
        <v/>
      </c>
      <c r="J1996" s="69" t="str">
        <f>IF(AND(A1996="",B1996=""),"",IF(A1996="","Produit manquant",IF(COUNTIF(prod_ref,A1996)=0,"Produit inconnu",IF(B1996="","Matière manquante",IF(ISNA(MATCH(B1996,mat_ref,0)),"Matière inconnue",IF(INDEX(mat_check,MATCH(B1996,mat_ref,0))&lt;&gt;"OK","Matière à corriger",IF(OR(NOT(ISNUMBER(E1996)),N(E1996)&lt;=0),"Quantité invalide",IF(AND(F1996&lt;&gt;"",OR(NOT(ISNUMBER(F1996)),N(F1996)&lt;0,N(F1996)&gt;=1)),"Perte entre 0 et 99 %",IF(COUNTIFS(bom_prod,A1996,bom_mat,B1996)&gt;1,"Matière en double","OK")))))))))</f>
        <v/>
      </c>
      <c r="K1996" s="71" t="str">
        <f>IF(AND(fiche_sel&lt;&gt;"",A1996=fiche_sel),COUNTIF(A$6:A1996,fiche_sel),"")</f>
        <v/>
      </c>
    </row>
    <row r="1997">
      <c r="A1997" s="60" t="n"/>
      <c r="B1997" s="60" t="n"/>
      <c r="C1997" s="71" t="str">
        <f>IF(B1997="","",IFERROR(INDEX(mat_des,MATCH(B1997,mat_ref,0))&amp;"","Matière inconnue"))</f>
        <v/>
      </c>
      <c r="D1997" s="69" t="str">
        <f>IF(B1997="","",IFERROR(INDEX(mat_unit,MATCH(B1997,mat_ref,0))&amp;"",""))</f>
        <v/>
      </c>
      <c r="E1997" s="72" t="n"/>
      <c r="F1997" s="65" t="n"/>
      <c r="G1997" s="68" t="str">
        <f>IF(J1997&lt;&gt;"OK","",IF(F1997="",N(INDEX(mat_loss,MATCH(B1997,mat_ref,0))),F1997))</f>
        <v/>
      </c>
      <c r="H1997" s="66" t="str">
        <f>IF(J1997&lt;&gt;"OK","",INDEX(mat_price,MATCH(B1997,mat_ref,0)))</f>
        <v/>
      </c>
      <c r="I1997" s="66" t="str">
        <f>IF(J1997&lt;&gt;"OK","",E1997*(1+G1997)*H1997)</f>
        <v/>
      </c>
      <c r="J1997" s="69" t="str">
        <f>IF(AND(A1997="",B1997=""),"",IF(A1997="","Produit manquant",IF(COUNTIF(prod_ref,A1997)=0,"Produit inconnu",IF(B1997="","Matière manquante",IF(ISNA(MATCH(B1997,mat_ref,0)),"Matière inconnue",IF(INDEX(mat_check,MATCH(B1997,mat_ref,0))&lt;&gt;"OK","Matière à corriger",IF(OR(NOT(ISNUMBER(E1997)),N(E1997)&lt;=0),"Quantité invalide",IF(AND(F1997&lt;&gt;"",OR(NOT(ISNUMBER(F1997)),N(F1997)&lt;0,N(F1997)&gt;=1)),"Perte entre 0 et 99 %",IF(COUNTIFS(bom_prod,A1997,bom_mat,B1997)&gt;1,"Matière en double","OK")))))))))</f>
        <v/>
      </c>
      <c r="K1997" s="71" t="str">
        <f>IF(AND(fiche_sel&lt;&gt;"",A1997=fiche_sel),COUNTIF(A$6:A1997,fiche_sel),"")</f>
        <v/>
      </c>
    </row>
    <row r="1998">
      <c r="A1998" s="60" t="n"/>
      <c r="B1998" s="60" t="n"/>
      <c r="C1998" s="71" t="str">
        <f>IF(B1998="","",IFERROR(INDEX(mat_des,MATCH(B1998,mat_ref,0))&amp;"","Matière inconnue"))</f>
        <v/>
      </c>
      <c r="D1998" s="69" t="str">
        <f>IF(B1998="","",IFERROR(INDEX(mat_unit,MATCH(B1998,mat_ref,0))&amp;"",""))</f>
        <v/>
      </c>
      <c r="E1998" s="72" t="n"/>
      <c r="F1998" s="65" t="n"/>
      <c r="G1998" s="68" t="str">
        <f>IF(J1998&lt;&gt;"OK","",IF(F1998="",N(INDEX(mat_loss,MATCH(B1998,mat_ref,0))),F1998))</f>
        <v/>
      </c>
      <c r="H1998" s="66" t="str">
        <f>IF(J1998&lt;&gt;"OK","",INDEX(mat_price,MATCH(B1998,mat_ref,0)))</f>
        <v/>
      </c>
      <c r="I1998" s="66" t="str">
        <f>IF(J1998&lt;&gt;"OK","",E1998*(1+G1998)*H1998)</f>
        <v/>
      </c>
      <c r="J1998" s="69" t="str">
        <f>IF(AND(A1998="",B1998=""),"",IF(A1998="","Produit manquant",IF(COUNTIF(prod_ref,A1998)=0,"Produit inconnu",IF(B1998="","Matière manquante",IF(ISNA(MATCH(B1998,mat_ref,0)),"Matière inconnue",IF(INDEX(mat_check,MATCH(B1998,mat_ref,0))&lt;&gt;"OK","Matière à corriger",IF(OR(NOT(ISNUMBER(E1998)),N(E1998)&lt;=0),"Quantité invalide",IF(AND(F1998&lt;&gt;"",OR(NOT(ISNUMBER(F1998)),N(F1998)&lt;0,N(F1998)&gt;=1)),"Perte entre 0 et 99 %",IF(COUNTIFS(bom_prod,A1998,bom_mat,B1998)&gt;1,"Matière en double","OK")))))))))</f>
        <v/>
      </c>
      <c r="K1998" s="71" t="str">
        <f>IF(AND(fiche_sel&lt;&gt;"",A1998=fiche_sel),COUNTIF(A$6:A1998,fiche_sel),"")</f>
        <v/>
      </c>
    </row>
    <row r="1999">
      <c r="A1999" s="60" t="n"/>
      <c r="B1999" s="60" t="n"/>
      <c r="C1999" s="71" t="str">
        <f>IF(B1999="","",IFERROR(INDEX(mat_des,MATCH(B1999,mat_ref,0))&amp;"","Matière inconnue"))</f>
        <v/>
      </c>
      <c r="D1999" s="69" t="str">
        <f>IF(B1999="","",IFERROR(INDEX(mat_unit,MATCH(B1999,mat_ref,0))&amp;"",""))</f>
        <v/>
      </c>
      <c r="E1999" s="72" t="n"/>
      <c r="F1999" s="65" t="n"/>
      <c r="G1999" s="68" t="str">
        <f>IF(J1999&lt;&gt;"OK","",IF(F1999="",N(INDEX(mat_loss,MATCH(B1999,mat_ref,0))),F1999))</f>
        <v/>
      </c>
      <c r="H1999" s="66" t="str">
        <f>IF(J1999&lt;&gt;"OK","",INDEX(mat_price,MATCH(B1999,mat_ref,0)))</f>
        <v/>
      </c>
      <c r="I1999" s="66" t="str">
        <f>IF(J1999&lt;&gt;"OK","",E1999*(1+G1999)*H1999)</f>
        <v/>
      </c>
      <c r="J1999" s="69" t="str">
        <f>IF(AND(A1999="",B1999=""),"",IF(A1999="","Produit manquant",IF(COUNTIF(prod_ref,A1999)=0,"Produit inconnu",IF(B1999="","Matière manquante",IF(ISNA(MATCH(B1999,mat_ref,0)),"Matière inconnue",IF(INDEX(mat_check,MATCH(B1999,mat_ref,0))&lt;&gt;"OK","Matière à corriger",IF(OR(NOT(ISNUMBER(E1999)),N(E1999)&lt;=0),"Quantité invalide",IF(AND(F1999&lt;&gt;"",OR(NOT(ISNUMBER(F1999)),N(F1999)&lt;0,N(F1999)&gt;=1)),"Perte entre 0 et 99 %",IF(COUNTIFS(bom_prod,A1999,bom_mat,B1999)&gt;1,"Matière en double","OK")))))))))</f>
        <v/>
      </c>
      <c r="K1999" s="71" t="str">
        <f>IF(AND(fiche_sel&lt;&gt;"",A1999=fiche_sel),COUNTIF(A$6:A1999,fiche_sel),"")</f>
        <v/>
      </c>
    </row>
    <row r="2000">
      <c r="A2000" s="60" t="n"/>
      <c r="B2000" s="60" t="n"/>
      <c r="C2000" s="71" t="str">
        <f>IF(B2000="","",IFERROR(INDEX(mat_des,MATCH(B2000,mat_ref,0))&amp;"","Matière inconnue"))</f>
        <v/>
      </c>
      <c r="D2000" s="69" t="str">
        <f>IF(B2000="","",IFERROR(INDEX(mat_unit,MATCH(B2000,mat_ref,0))&amp;"",""))</f>
        <v/>
      </c>
      <c r="E2000" s="72" t="n"/>
      <c r="F2000" s="65" t="n"/>
      <c r="G2000" s="68" t="str">
        <f>IF(J2000&lt;&gt;"OK","",IF(F2000="",N(INDEX(mat_loss,MATCH(B2000,mat_ref,0))),F2000))</f>
        <v/>
      </c>
      <c r="H2000" s="66" t="str">
        <f>IF(J2000&lt;&gt;"OK","",INDEX(mat_price,MATCH(B2000,mat_ref,0)))</f>
        <v/>
      </c>
      <c r="I2000" s="66" t="str">
        <f>IF(J2000&lt;&gt;"OK","",E2000*(1+G2000)*H2000)</f>
        <v/>
      </c>
      <c r="J2000" s="69" t="str">
        <f>IF(AND(A2000="",B2000=""),"",IF(A2000="","Produit manquant",IF(COUNTIF(prod_ref,A2000)=0,"Produit inconnu",IF(B2000="","Matière manquante",IF(ISNA(MATCH(B2000,mat_ref,0)),"Matière inconnue",IF(INDEX(mat_check,MATCH(B2000,mat_ref,0))&lt;&gt;"OK","Matière à corriger",IF(OR(NOT(ISNUMBER(E2000)),N(E2000)&lt;=0),"Quantité invalide",IF(AND(F2000&lt;&gt;"",OR(NOT(ISNUMBER(F2000)),N(F2000)&lt;0,N(F2000)&gt;=1)),"Perte entre 0 et 99 %",IF(COUNTIFS(bom_prod,A2000,bom_mat,B2000)&gt;1,"Matière en double","OK")))))))))</f>
        <v/>
      </c>
      <c r="K2000" s="71" t="str">
        <f>IF(AND(fiche_sel&lt;&gt;"",A2000=fiche_sel),COUNTIF(A$6:A2000,fiche_sel),"")</f>
        <v/>
      </c>
    </row>
    <row r="2001">
      <c r="A2001" s="60" t="n"/>
      <c r="B2001" s="60" t="n"/>
      <c r="C2001" s="71" t="str">
        <f>IF(B2001="","",IFERROR(INDEX(mat_des,MATCH(B2001,mat_ref,0))&amp;"","Matière inconnue"))</f>
        <v/>
      </c>
      <c r="D2001" s="69" t="str">
        <f>IF(B2001="","",IFERROR(INDEX(mat_unit,MATCH(B2001,mat_ref,0))&amp;"",""))</f>
        <v/>
      </c>
      <c r="E2001" s="72" t="n"/>
      <c r="F2001" s="65" t="n"/>
      <c r="G2001" s="68" t="str">
        <f>IF(J2001&lt;&gt;"OK","",IF(F2001="",N(INDEX(mat_loss,MATCH(B2001,mat_ref,0))),F2001))</f>
        <v/>
      </c>
      <c r="H2001" s="66" t="str">
        <f>IF(J2001&lt;&gt;"OK","",INDEX(mat_price,MATCH(B2001,mat_ref,0)))</f>
        <v/>
      </c>
      <c r="I2001" s="66" t="str">
        <f>IF(J2001&lt;&gt;"OK","",E2001*(1+G2001)*H2001)</f>
        <v/>
      </c>
      <c r="J2001" s="69" t="str">
        <f>IF(AND(A2001="",B2001=""),"",IF(A2001="","Produit manquant",IF(COUNTIF(prod_ref,A2001)=0,"Produit inconnu",IF(B2001="","Matière manquante",IF(ISNA(MATCH(B2001,mat_ref,0)),"Matière inconnue",IF(INDEX(mat_check,MATCH(B2001,mat_ref,0))&lt;&gt;"OK","Matière à corriger",IF(OR(NOT(ISNUMBER(E2001)),N(E2001)&lt;=0),"Quantité invalide",IF(AND(F2001&lt;&gt;"",OR(NOT(ISNUMBER(F2001)),N(F2001)&lt;0,N(F2001)&gt;=1)),"Perte entre 0 et 99 %",IF(COUNTIFS(bom_prod,A2001,bom_mat,B2001)&gt;1,"Matière en double","OK")))))))))</f>
        <v/>
      </c>
      <c r="K2001" s="71" t="str">
        <f>IF(AND(fiche_sel&lt;&gt;"",A2001=fiche_sel),COUNTIF(A$6:A2001,fiche_sel),"")</f>
        <v/>
      </c>
    </row>
    <row r="2002">
      <c r="A2002" s="60" t="n"/>
      <c r="B2002" s="60" t="n"/>
      <c r="C2002" s="71" t="str">
        <f>IF(B2002="","",IFERROR(INDEX(mat_des,MATCH(B2002,mat_ref,0))&amp;"","Matière inconnue"))</f>
        <v/>
      </c>
      <c r="D2002" s="69" t="str">
        <f>IF(B2002="","",IFERROR(INDEX(mat_unit,MATCH(B2002,mat_ref,0))&amp;"",""))</f>
        <v/>
      </c>
      <c r="E2002" s="72" t="n"/>
      <c r="F2002" s="65" t="n"/>
      <c r="G2002" s="68" t="str">
        <f>IF(J2002&lt;&gt;"OK","",IF(F2002="",N(INDEX(mat_loss,MATCH(B2002,mat_ref,0))),F2002))</f>
        <v/>
      </c>
      <c r="H2002" s="66" t="str">
        <f>IF(J2002&lt;&gt;"OK","",INDEX(mat_price,MATCH(B2002,mat_ref,0)))</f>
        <v/>
      </c>
      <c r="I2002" s="66" t="str">
        <f>IF(J2002&lt;&gt;"OK","",E2002*(1+G2002)*H2002)</f>
        <v/>
      </c>
      <c r="J2002" s="69" t="str">
        <f>IF(AND(A2002="",B2002=""),"",IF(A2002="","Produit manquant",IF(COUNTIF(prod_ref,A2002)=0,"Produit inconnu",IF(B2002="","Matière manquante",IF(ISNA(MATCH(B2002,mat_ref,0)),"Matière inconnue",IF(INDEX(mat_check,MATCH(B2002,mat_ref,0))&lt;&gt;"OK","Matière à corriger",IF(OR(NOT(ISNUMBER(E2002)),N(E2002)&lt;=0),"Quantité invalide",IF(AND(F2002&lt;&gt;"",OR(NOT(ISNUMBER(F2002)),N(F2002)&lt;0,N(F2002)&gt;=1)),"Perte entre 0 et 99 %",IF(COUNTIFS(bom_prod,A2002,bom_mat,B2002)&gt;1,"Matière en double","OK")))))))))</f>
        <v/>
      </c>
      <c r="K2002" s="71" t="str">
        <f>IF(AND(fiche_sel&lt;&gt;"",A2002=fiche_sel),COUNTIF(A$6:A2002,fiche_sel),"")</f>
        <v/>
      </c>
    </row>
    <row r="2003">
      <c r="A2003" s="60" t="n"/>
      <c r="B2003" s="60" t="n"/>
      <c r="C2003" s="71" t="str">
        <f>IF(B2003="","",IFERROR(INDEX(mat_des,MATCH(B2003,mat_ref,0))&amp;"","Matière inconnue"))</f>
        <v/>
      </c>
      <c r="D2003" s="69" t="str">
        <f>IF(B2003="","",IFERROR(INDEX(mat_unit,MATCH(B2003,mat_ref,0))&amp;"",""))</f>
        <v/>
      </c>
      <c r="E2003" s="72" t="n"/>
      <c r="F2003" s="65" t="n"/>
      <c r="G2003" s="68" t="str">
        <f>IF(J2003&lt;&gt;"OK","",IF(F2003="",N(INDEX(mat_loss,MATCH(B2003,mat_ref,0))),F2003))</f>
        <v/>
      </c>
      <c r="H2003" s="66" t="str">
        <f>IF(J2003&lt;&gt;"OK","",INDEX(mat_price,MATCH(B2003,mat_ref,0)))</f>
        <v/>
      </c>
      <c r="I2003" s="66" t="str">
        <f>IF(J2003&lt;&gt;"OK","",E2003*(1+G2003)*H2003)</f>
        <v/>
      </c>
      <c r="J2003" s="69" t="str">
        <f>IF(AND(A2003="",B2003=""),"",IF(A2003="","Produit manquant",IF(COUNTIF(prod_ref,A2003)=0,"Produit inconnu",IF(B2003="","Matière manquante",IF(ISNA(MATCH(B2003,mat_ref,0)),"Matière inconnue",IF(INDEX(mat_check,MATCH(B2003,mat_ref,0))&lt;&gt;"OK","Matière à corriger",IF(OR(NOT(ISNUMBER(E2003)),N(E2003)&lt;=0),"Quantité invalide",IF(AND(F2003&lt;&gt;"",OR(NOT(ISNUMBER(F2003)),N(F2003)&lt;0,N(F2003)&gt;=1)),"Perte entre 0 et 99 %",IF(COUNTIFS(bom_prod,A2003,bom_mat,B2003)&gt;1,"Matière en double","OK")))))))))</f>
        <v/>
      </c>
      <c r="K2003" s="71" t="str">
        <f>IF(AND(fiche_sel&lt;&gt;"",A2003=fiche_sel),COUNTIF(A$6:A2003,fiche_sel),"")</f>
        <v/>
      </c>
    </row>
    <row r="2004">
      <c r="A2004" s="60" t="n"/>
      <c r="B2004" s="60" t="n"/>
      <c r="C2004" s="71" t="str">
        <f>IF(B2004="","",IFERROR(INDEX(mat_des,MATCH(B2004,mat_ref,0))&amp;"","Matière inconnue"))</f>
        <v/>
      </c>
      <c r="D2004" s="69" t="str">
        <f>IF(B2004="","",IFERROR(INDEX(mat_unit,MATCH(B2004,mat_ref,0))&amp;"",""))</f>
        <v/>
      </c>
      <c r="E2004" s="72" t="n"/>
      <c r="F2004" s="65" t="n"/>
      <c r="G2004" s="68" t="str">
        <f>IF(J2004&lt;&gt;"OK","",IF(F2004="",N(INDEX(mat_loss,MATCH(B2004,mat_ref,0))),F2004))</f>
        <v/>
      </c>
      <c r="H2004" s="66" t="str">
        <f>IF(J2004&lt;&gt;"OK","",INDEX(mat_price,MATCH(B2004,mat_ref,0)))</f>
        <v/>
      </c>
      <c r="I2004" s="66" t="str">
        <f>IF(J2004&lt;&gt;"OK","",E2004*(1+G2004)*H2004)</f>
        <v/>
      </c>
      <c r="J2004" s="69" t="str">
        <f>IF(AND(A2004="",B2004=""),"",IF(A2004="","Produit manquant",IF(COUNTIF(prod_ref,A2004)=0,"Produit inconnu",IF(B2004="","Matière manquante",IF(ISNA(MATCH(B2004,mat_ref,0)),"Matière inconnue",IF(INDEX(mat_check,MATCH(B2004,mat_ref,0))&lt;&gt;"OK","Matière à corriger",IF(OR(NOT(ISNUMBER(E2004)),N(E2004)&lt;=0),"Quantité invalide",IF(AND(F2004&lt;&gt;"",OR(NOT(ISNUMBER(F2004)),N(F2004)&lt;0,N(F2004)&gt;=1)),"Perte entre 0 et 99 %",IF(COUNTIFS(bom_prod,A2004,bom_mat,B2004)&gt;1,"Matière en double","OK")))))))))</f>
        <v/>
      </c>
      <c r="K2004" s="71" t="str">
        <f>IF(AND(fiche_sel&lt;&gt;"",A2004=fiche_sel),COUNTIF(A$6:A2004,fiche_sel),"")</f>
        <v/>
      </c>
    </row>
    <row r="2005">
      <c r="A2005" s="60" t="n"/>
      <c r="B2005" s="60" t="n"/>
      <c r="C2005" s="71" t="str">
        <f>IF(B2005="","",IFERROR(INDEX(mat_des,MATCH(B2005,mat_ref,0))&amp;"","Matière inconnue"))</f>
        <v/>
      </c>
      <c r="D2005" s="69" t="str">
        <f>IF(B2005="","",IFERROR(INDEX(mat_unit,MATCH(B2005,mat_ref,0))&amp;"",""))</f>
        <v/>
      </c>
      <c r="E2005" s="72" t="n"/>
      <c r="F2005" s="65" t="n"/>
      <c r="G2005" s="68" t="str">
        <f>IF(J2005&lt;&gt;"OK","",IF(F2005="",N(INDEX(mat_loss,MATCH(B2005,mat_ref,0))),F2005))</f>
        <v/>
      </c>
      <c r="H2005" s="66" t="str">
        <f>IF(J2005&lt;&gt;"OK","",INDEX(mat_price,MATCH(B2005,mat_ref,0)))</f>
        <v/>
      </c>
      <c r="I2005" s="66" t="str">
        <f>IF(J2005&lt;&gt;"OK","",E2005*(1+G2005)*H2005)</f>
        <v/>
      </c>
      <c r="J2005" s="69" t="str">
        <f>IF(AND(A2005="",B2005=""),"",IF(A2005="","Produit manquant",IF(COUNTIF(prod_ref,A2005)=0,"Produit inconnu",IF(B2005="","Matière manquante",IF(ISNA(MATCH(B2005,mat_ref,0)),"Matière inconnue",IF(INDEX(mat_check,MATCH(B2005,mat_ref,0))&lt;&gt;"OK","Matière à corriger",IF(OR(NOT(ISNUMBER(E2005)),N(E2005)&lt;=0),"Quantité invalide",IF(AND(F2005&lt;&gt;"",OR(NOT(ISNUMBER(F2005)),N(F2005)&lt;0,N(F2005)&gt;=1)),"Perte entre 0 et 99 %",IF(COUNTIFS(bom_prod,A2005,bom_mat,B2005)&gt;1,"Matière en double","OK")))))))))</f>
        <v/>
      </c>
      <c r="K2005" s="71" t="str">
        <f>IF(AND(fiche_sel&lt;&gt;"",A2005=fiche_sel),COUNTIF(A$6:A2005,fiche_sel),"")</f>
        <v/>
      </c>
    </row>
    <row r="2006">
      <c r="A2006" s="60" t="n"/>
      <c r="B2006" s="60" t="n"/>
      <c r="C2006" s="71" t="str">
        <f>IF(B2006="","",IFERROR(INDEX(mat_des,MATCH(B2006,mat_ref,0))&amp;"","Matière inconnue"))</f>
        <v/>
      </c>
      <c r="D2006" s="69" t="str">
        <f>IF(B2006="","",IFERROR(INDEX(mat_unit,MATCH(B2006,mat_ref,0))&amp;"",""))</f>
        <v/>
      </c>
      <c r="E2006" s="72" t="n"/>
      <c r="F2006" s="65" t="n"/>
      <c r="G2006" s="68" t="str">
        <f>IF(J2006&lt;&gt;"OK","",IF(F2006="",N(INDEX(mat_loss,MATCH(B2006,mat_ref,0))),F2006))</f>
        <v/>
      </c>
      <c r="H2006" s="66" t="str">
        <f>IF(J2006&lt;&gt;"OK","",INDEX(mat_price,MATCH(B2006,mat_ref,0)))</f>
        <v/>
      </c>
      <c r="I2006" s="66" t="str">
        <f>IF(J2006&lt;&gt;"OK","",E2006*(1+G2006)*H2006)</f>
        <v/>
      </c>
      <c r="J2006" s="69" t="str">
        <f>IF(AND(A2006="",B2006=""),"",IF(A2006="","Produit manquant",IF(COUNTIF(prod_ref,A2006)=0,"Produit inconnu",IF(B2006="","Matière manquante",IF(ISNA(MATCH(B2006,mat_ref,0)),"Matière inconnue",IF(INDEX(mat_check,MATCH(B2006,mat_ref,0))&lt;&gt;"OK","Matière à corriger",IF(OR(NOT(ISNUMBER(E2006)),N(E2006)&lt;=0),"Quantité invalide",IF(AND(F2006&lt;&gt;"",OR(NOT(ISNUMBER(F2006)),N(F2006)&lt;0,N(F2006)&gt;=1)),"Perte entre 0 et 99 %",IF(COUNTIFS(bom_prod,A2006,bom_mat,B2006)&gt;1,"Matière en double","OK")))))))))</f>
        <v/>
      </c>
      <c r="K2006" s="71" t="str">
        <f>IF(AND(fiche_sel&lt;&gt;"",A2006=fiche_sel),COUNTIF(A$6:A2006,fiche_sel),"")</f>
        <v/>
      </c>
    </row>
    <row r="2007">
      <c r="A2007" s="60" t="n"/>
      <c r="B2007" s="60" t="n"/>
      <c r="C2007" s="71" t="str">
        <f>IF(B2007="","",IFERROR(INDEX(mat_des,MATCH(B2007,mat_ref,0))&amp;"","Matière inconnue"))</f>
        <v/>
      </c>
      <c r="D2007" s="69" t="str">
        <f>IF(B2007="","",IFERROR(INDEX(mat_unit,MATCH(B2007,mat_ref,0))&amp;"",""))</f>
        <v/>
      </c>
      <c r="E2007" s="72" t="n"/>
      <c r="F2007" s="65" t="n"/>
      <c r="G2007" s="68" t="str">
        <f>IF(J2007&lt;&gt;"OK","",IF(F2007="",N(INDEX(mat_loss,MATCH(B2007,mat_ref,0))),F2007))</f>
        <v/>
      </c>
      <c r="H2007" s="66" t="str">
        <f>IF(J2007&lt;&gt;"OK","",INDEX(mat_price,MATCH(B2007,mat_ref,0)))</f>
        <v/>
      </c>
      <c r="I2007" s="66" t="str">
        <f>IF(J2007&lt;&gt;"OK","",E2007*(1+G2007)*H2007)</f>
        <v/>
      </c>
      <c r="J2007" s="69" t="str">
        <f>IF(AND(A2007="",B2007=""),"",IF(A2007="","Produit manquant",IF(COUNTIF(prod_ref,A2007)=0,"Produit inconnu",IF(B2007="","Matière manquante",IF(ISNA(MATCH(B2007,mat_ref,0)),"Matière inconnue",IF(INDEX(mat_check,MATCH(B2007,mat_ref,0))&lt;&gt;"OK","Matière à corriger",IF(OR(NOT(ISNUMBER(E2007)),N(E2007)&lt;=0),"Quantité invalide",IF(AND(F2007&lt;&gt;"",OR(NOT(ISNUMBER(F2007)),N(F2007)&lt;0,N(F2007)&gt;=1)),"Perte entre 0 et 99 %",IF(COUNTIFS(bom_prod,A2007,bom_mat,B2007)&gt;1,"Matière en double","OK")))))))))</f>
        <v/>
      </c>
      <c r="K2007" s="71" t="str">
        <f>IF(AND(fiche_sel&lt;&gt;"",A2007=fiche_sel),COUNTIF(A$6:A2007,fiche_sel),"")</f>
        <v/>
      </c>
    </row>
    <row r="2008">
      <c r="A2008" s="60" t="n"/>
      <c r="B2008" s="60" t="n"/>
      <c r="C2008" s="71" t="str">
        <f>IF(B2008="","",IFERROR(INDEX(mat_des,MATCH(B2008,mat_ref,0))&amp;"","Matière inconnue"))</f>
        <v/>
      </c>
      <c r="D2008" s="69" t="str">
        <f>IF(B2008="","",IFERROR(INDEX(mat_unit,MATCH(B2008,mat_ref,0))&amp;"",""))</f>
        <v/>
      </c>
      <c r="E2008" s="72" t="n"/>
      <c r="F2008" s="65" t="n"/>
      <c r="G2008" s="68" t="str">
        <f>IF(J2008&lt;&gt;"OK","",IF(F2008="",N(INDEX(mat_loss,MATCH(B2008,mat_ref,0))),F2008))</f>
        <v/>
      </c>
      <c r="H2008" s="66" t="str">
        <f>IF(J2008&lt;&gt;"OK","",INDEX(mat_price,MATCH(B2008,mat_ref,0)))</f>
        <v/>
      </c>
      <c r="I2008" s="66" t="str">
        <f>IF(J2008&lt;&gt;"OK","",E2008*(1+G2008)*H2008)</f>
        <v/>
      </c>
      <c r="J2008" s="69" t="str">
        <f>IF(AND(A2008="",B2008=""),"",IF(A2008="","Produit manquant",IF(COUNTIF(prod_ref,A2008)=0,"Produit inconnu",IF(B2008="","Matière manquante",IF(ISNA(MATCH(B2008,mat_ref,0)),"Matière inconnue",IF(INDEX(mat_check,MATCH(B2008,mat_ref,0))&lt;&gt;"OK","Matière à corriger",IF(OR(NOT(ISNUMBER(E2008)),N(E2008)&lt;=0),"Quantité invalide",IF(AND(F2008&lt;&gt;"",OR(NOT(ISNUMBER(F2008)),N(F2008)&lt;0,N(F2008)&gt;=1)),"Perte entre 0 et 99 %",IF(COUNTIFS(bom_prod,A2008,bom_mat,B2008)&gt;1,"Matière en double","OK")))))))))</f>
        <v/>
      </c>
      <c r="K2008" s="71" t="str">
        <f>IF(AND(fiche_sel&lt;&gt;"",A2008=fiche_sel),COUNTIF(A$6:A2008,fiche_sel),"")</f>
        <v/>
      </c>
    </row>
    <row r="2009">
      <c r="A2009" s="60" t="n"/>
      <c r="B2009" s="60" t="n"/>
      <c r="C2009" s="71" t="str">
        <f>IF(B2009="","",IFERROR(INDEX(mat_des,MATCH(B2009,mat_ref,0))&amp;"","Matière inconnue"))</f>
        <v/>
      </c>
      <c r="D2009" s="69" t="str">
        <f>IF(B2009="","",IFERROR(INDEX(mat_unit,MATCH(B2009,mat_ref,0))&amp;"",""))</f>
        <v/>
      </c>
      <c r="E2009" s="72" t="n"/>
      <c r="F2009" s="65" t="n"/>
      <c r="G2009" s="68" t="str">
        <f>IF(J2009&lt;&gt;"OK","",IF(F2009="",N(INDEX(mat_loss,MATCH(B2009,mat_ref,0))),F2009))</f>
        <v/>
      </c>
      <c r="H2009" s="66" t="str">
        <f>IF(J2009&lt;&gt;"OK","",INDEX(mat_price,MATCH(B2009,mat_ref,0)))</f>
        <v/>
      </c>
      <c r="I2009" s="66" t="str">
        <f>IF(J2009&lt;&gt;"OK","",E2009*(1+G2009)*H2009)</f>
        <v/>
      </c>
      <c r="J2009" s="69" t="str">
        <f>IF(AND(A2009="",B2009=""),"",IF(A2009="","Produit manquant",IF(COUNTIF(prod_ref,A2009)=0,"Produit inconnu",IF(B2009="","Matière manquante",IF(ISNA(MATCH(B2009,mat_ref,0)),"Matière inconnue",IF(INDEX(mat_check,MATCH(B2009,mat_ref,0))&lt;&gt;"OK","Matière à corriger",IF(OR(NOT(ISNUMBER(E2009)),N(E2009)&lt;=0),"Quantité invalide",IF(AND(F2009&lt;&gt;"",OR(NOT(ISNUMBER(F2009)),N(F2009)&lt;0,N(F2009)&gt;=1)),"Perte entre 0 et 99 %",IF(COUNTIFS(bom_prod,A2009,bom_mat,B2009)&gt;1,"Matière en double","OK")))))))))</f>
        <v/>
      </c>
      <c r="K2009" s="71" t="str">
        <f>IF(AND(fiche_sel&lt;&gt;"",A2009=fiche_sel),COUNTIF(A$6:A2009,fiche_sel),"")</f>
        <v/>
      </c>
    </row>
    <row r="2010">
      <c r="A2010" s="60" t="n"/>
      <c r="B2010" s="60" t="n"/>
      <c r="C2010" s="71" t="str">
        <f>IF(B2010="","",IFERROR(INDEX(mat_des,MATCH(B2010,mat_ref,0))&amp;"","Matière inconnue"))</f>
        <v/>
      </c>
      <c r="D2010" s="69" t="str">
        <f>IF(B2010="","",IFERROR(INDEX(mat_unit,MATCH(B2010,mat_ref,0))&amp;"",""))</f>
        <v/>
      </c>
      <c r="E2010" s="72" t="n"/>
      <c r="F2010" s="65" t="n"/>
      <c r="G2010" s="68" t="str">
        <f>IF(J2010&lt;&gt;"OK","",IF(F2010="",N(INDEX(mat_loss,MATCH(B2010,mat_ref,0))),F2010))</f>
        <v/>
      </c>
      <c r="H2010" s="66" t="str">
        <f>IF(J2010&lt;&gt;"OK","",INDEX(mat_price,MATCH(B2010,mat_ref,0)))</f>
        <v/>
      </c>
      <c r="I2010" s="66" t="str">
        <f>IF(J2010&lt;&gt;"OK","",E2010*(1+G2010)*H2010)</f>
        <v/>
      </c>
      <c r="J2010" s="69" t="str">
        <f>IF(AND(A2010="",B2010=""),"",IF(A2010="","Produit manquant",IF(COUNTIF(prod_ref,A2010)=0,"Produit inconnu",IF(B2010="","Matière manquante",IF(ISNA(MATCH(B2010,mat_ref,0)),"Matière inconnue",IF(INDEX(mat_check,MATCH(B2010,mat_ref,0))&lt;&gt;"OK","Matière à corriger",IF(OR(NOT(ISNUMBER(E2010)),N(E2010)&lt;=0),"Quantité invalide",IF(AND(F2010&lt;&gt;"",OR(NOT(ISNUMBER(F2010)),N(F2010)&lt;0,N(F2010)&gt;=1)),"Perte entre 0 et 99 %",IF(COUNTIFS(bom_prod,A2010,bom_mat,B2010)&gt;1,"Matière en double","OK")))))))))</f>
        <v/>
      </c>
      <c r="K2010" s="71" t="str">
        <f>IF(AND(fiche_sel&lt;&gt;"",A2010=fiche_sel),COUNTIF(A$6:A2010,fiche_sel),"")</f>
        <v/>
      </c>
    </row>
    <row r="2011">
      <c r="A2011" s="60" t="n"/>
      <c r="B2011" s="60" t="n"/>
      <c r="C2011" s="71" t="str">
        <f>IF(B2011="","",IFERROR(INDEX(mat_des,MATCH(B2011,mat_ref,0))&amp;"","Matière inconnue"))</f>
        <v/>
      </c>
      <c r="D2011" s="69" t="str">
        <f>IF(B2011="","",IFERROR(INDEX(mat_unit,MATCH(B2011,mat_ref,0))&amp;"",""))</f>
        <v/>
      </c>
      <c r="E2011" s="72" t="n"/>
      <c r="F2011" s="65" t="n"/>
      <c r="G2011" s="68" t="str">
        <f>IF(J2011&lt;&gt;"OK","",IF(F2011="",N(INDEX(mat_loss,MATCH(B2011,mat_ref,0))),F2011))</f>
        <v/>
      </c>
      <c r="H2011" s="66" t="str">
        <f>IF(J2011&lt;&gt;"OK","",INDEX(mat_price,MATCH(B2011,mat_ref,0)))</f>
        <v/>
      </c>
      <c r="I2011" s="66" t="str">
        <f>IF(J2011&lt;&gt;"OK","",E2011*(1+G2011)*H2011)</f>
        <v/>
      </c>
      <c r="J2011" s="69" t="str">
        <f>IF(AND(A2011="",B2011=""),"",IF(A2011="","Produit manquant",IF(COUNTIF(prod_ref,A2011)=0,"Produit inconnu",IF(B2011="","Matière manquante",IF(ISNA(MATCH(B2011,mat_ref,0)),"Matière inconnue",IF(INDEX(mat_check,MATCH(B2011,mat_ref,0))&lt;&gt;"OK","Matière à corriger",IF(OR(NOT(ISNUMBER(E2011)),N(E2011)&lt;=0),"Quantité invalide",IF(AND(F2011&lt;&gt;"",OR(NOT(ISNUMBER(F2011)),N(F2011)&lt;0,N(F2011)&gt;=1)),"Perte entre 0 et 99 %",IF(COUNTIFS(bom_prod,A2011,bom_mat,B2011)&gt;1,"Matière en double","OK")))))))))</f>
        <v/>
      </c>
      <c r="K2011" s="71" t="str">
        <f>IF(AND(fiche_sel&lt;&gt;"",A2011=fiche_sel),COUNTIF(A$6:A2011,fiche_sel),"")</f>
        <v/>
      </c>
    </row>
    <row r="2012">
      <c r="A2012" s="60" t="n"/>
      <c r="B2012" s="60" t="n"/>
      <c r="C2012" s="71" t="str">
        <f>IF(B2012="","",IFERROR(INDEX(mat_des,MATCH(B2012,mat_ref,0))&amp;"","Matière inconnue"))</f>
        <v/>
      </c>
      <c r="D2012" s="69" t="str">
        <f>IF(B2012="","",IFERROR(INDEX(mat_unit,MATCH(B2012,mat_ref,0))&amp;"",""))</f>
        <v/>
      </c>
      <c r="E2012" s="72" t="n"/>
      <c r="F2012" s="65" t="n"/>
      <c r="G2012" s="68" t="str">
        <f>IF(J2012&lt;&gt;"OK","",IF(F2012="",N(INDEX(mat_loss,MATCH(B2012,mat_ref,0))),F2012))</f>
        <v/>
      </c>
      <c r="H2012" s="66" t="str">
        <f>IF(J2012&lt;&gt;"OK","",INDEX(mat_price,MATCH(B2012,mat_ref,0)))</f>
        <v/>
      </c>
      <c r="I2012" s="66" t="str">
        <f>IF(J2012&lt;&gt;"OK","",E2012*(1+G2012)*H2012)</f>
        <v/>
      </c>
      <c r="J2012" s="69" t="str">
        <f>IF(AND(A2012="",B2012=""),"",IF(A2012="","Produit manquant",IF(COUNTIF(prod_ref,A2012)=0,"Produit inconnu",IF(B2012="","Matière manquante",IF(ISNA(MATCH(B2012,mat_ref,0)),"Matière inconnue",IF(INDEX(mat_check,MATCH(B2012,mat_ref,0))&lt;&gt;"OK","Matière à corriger",IF(OR(NOT(ISNUMBER(E2012)),N(E2012)&lt;=0),"Quantité invalide",IF(AND(F2012&lt;&gt;"",OR(NOT(ISNUMBER(F2012)),N(F2012)&lt;0,N(F2012)&gt;=1)),"Perte entre 0 et 99 %",IF(COUNTIFS(bom_prod,A2012,bom_mat,B2012)&gt;1,"Matière en double","OK")))))))))</f>
        <v/>
      </c>
      <c r="K2012" s="71" t="str">
        <f>IF(AND(fiche_sel&lt;&gt;"",A2012=fiche_sel),COUNTIF(A$6:A2012,fiche_sel),"")</f>
        <v/>
      </c>
    </row>
    <row r="2013">
      <c r="A2013" s="60" t="n"/>
      <c r="B2013" s="60" t="n"/>
      <c r="C2013" s="71" t="str">
        <f>IF(B2013="","",IFERROR(INDEX(mat_des,MATCH(B2013,mat_ref,0))&amp;"","Matière inconnue"))</f>
        <v/>
      </c>
      <c r="D2013" s="69" t="str">
        <f>IF(B2013="","",IFERROR(INDEX(mat_unit,MATCH(B2013,mat_ref,0))&amp;"",""))</f>
        <v/>
      </c>
      <c r="E2013" s="72" t="n"/>
      <c r="F2013" s="65" t="n"/>
      <c r="G2013" s="68" t="str">
        <f>IF(J2013&lt;&gt;"OK","",IF(F2013="",N(INDEX(mat_loss,MATCH(B2013,mat_ref,0))),F2013))</f>
        <v/>
      </c>
      <c r="H2013" s="66" t="str">
        <f>IF(J2013&lt;&gt;"OK","",INDEX(mat_price,MATCH(B2013,mat_ref,0)))</f>
        <v/>
      </c>
      <c r="I2013" s="66" t="str">
        <f>IF(J2013&lt;&gt;"OK","",E2013*(1+G2013)*H2013)</f>
        <v/>
      </c>
      <c r="J2013" s="69" t="str">
        <f>IF(AND(A2013="",B2013=""),"",IF(A2013="","Produit manquant",IF(COUNTIF(prod_ref,A2013)=0,"Produit inconnu",IF(B2013="","Matière manquante",IF(ISNA(MATCH(B2013,mat_ref,0)),"Matière inconnue",IF(INDEX(mat_check,MATCH(B2013,mat_ref,0))&lt;&gt;"OK","Matière à corriger",IF(OR(NOT(ISNUMBER(E2013)),N(E2013)&lt;=0),"Quantité invalide",IF(AND(F2013&lt;&gt;"",OR(NOT(ISNUMBER(F2013)),N(F2013)&lt;0,N(F2013)&gt;=1)),"Perte entre 0 et 99 %",IF(COUNTIFS(bom_prod,A2013,bom_mat,B2013)&gt;1,"Matière en double","OK")))))))))</f>
        <v/>
      </c>
      <c r="K2013" s="71" t="str">
        <f>IF(AND(fiche_sel&lt;&gt;"",A2013=fiche_sel),COUNTIF(A$6:A2013,fiche_sel),"")</f>
        <v/>
      </c>
    </row>
    <row r="2014">
      <c r="A2014" s="60" t="n"/>
      <c r="B2014" s="60" t="n"/>
      <c r="C2014" s="71" t="str">
        <f>IF(B2014="","",IFERROR(INDEX(mat_des,MATCH(B2014,mat_ref,0))&amp;"","Matière inconnue"))</f>
        <v/>
      </c>
      <c r="D2014" s="69" t="str">
        <f>IF(B2014="","",IFERROR(INDEX(mat_unit,MATCH(B2014,mat_ref,0))&amp;"",""))</f>
        <v/>
      </c>
      <c r="E2014" s="72" t="n"/>
      <c r="F2014" s="65" t="n"/>
      <c r="G2014" s="68" t="str">
        <f>IF(J2014&lt;&gt;"OK","",IF(F2014="",N(INDEX(mat_loss,MATCH(B2014,mat_ref,0))),F2014))</f>
        <v/>
      </c>
      <c r="H2014" s="66" t="str">
        <f>IF(J2014&lt;&gt;"OK","",INDEX(mat_price,MATCH(B2014,mat_ref,0)))</f>
        <v/>
      </c>
      <c r="I2014" s="66" t="str">
        <f>IF(J2014&lt;&gt;"OK","",E2014*(1+G2014)*H2014)</f>
        <v/>
      </c>
      <c r="J2014" s="69" t="str">
        <f>IF(AND(A2014="",B2014=""),"",IF(A2014="","Produit manquant",IF(COUNTIF(prod_ref,A2014)=0,"Produit inconnu",IF(B2014="","Matière manquante",IF(ISNA(MATCH(B2014,mat_ref,0)),"Matière inconnue",IF(INDEX(mat_check,MATCH(B2014,mat_ref,0))&lt;&gt;"OK","Matière à corriger",IF(OR(NOT(ISNUMBER(E2014)),N(E2014)&lt;=0),"Quantité invalide",IF(AND(F2014&lt;&gt;"",OR(NOT(ISNUMBER(F2014)),N(F2014)&lt;0,N(F2014)&gt;=1)),"Perte entre 0 et 99 %",IF(COUNTIFS(bom_prod,A2014,bom_mat,B2014)&gt;1,"Matière en double","OK")))))))))</f>
        <v/>
      </c>
      <c r="K2014" s="71" t="str">
        <f>IF(AND(fiche_sel&lt;&gt;"",A2014=fiche_sel),COUNTIF(A$6:A2014,fiche_sel),"")</f>
        <v/>
      </c>
    </row>
    <row r="2015">
      <c r="A2015" s="60" t="n"/>
      <c r="B2015" s="60" t="n"/>
      <c r="C2015" s="71" t="str">
        <f>IF(B2015="","",IFERROR(INDEX(mat_des,MATCH(B2015,mat_ref,0))&amp;"","Matière inconnue"))</f>
        <v/>
      </c>
      <c r="D2015" s="69" t="str">
        <f>IF(B2015="","",IFERROR(INDEX(mat_unit,MATCH(B2015,mat_ref,0))&amp;"",""))</f>
        <v/>
      </c>
      <c r="E2015" s="72" t="n"/>
      <c r="F2015" s="65" t="n"/>
      <c r="G2015" s="68" t="str">
        <f>IF(J2015&lt;&gt;"OK","",IF(F2015="",N(INDEX(mat_loss,MATCH(B2015,mat_ref,0))),F2015))</f>
        <v/>
      </c>
      <c r="H2015" s="66" t="str">
        <f>IF(J2015&lt;&gt;"OK","",INDEX(mat_price,MATCH(B2015,mat_ref,0)))</f>
        <v/>
      </c>
      <c r="I2015" s="66" t="str">
        <f>IF(J2015&lt;&gt;"OK","",E2015*(1+G2015)*H2015)</f>
        <v/>
      </c>
      <c r="J2015" s="69" t="str">
        <f>IF(AND(A2015="",B2015=""),"",IF(A2015="","Produit manquant",IF(COUNTIF(prod_ref,A2015)=0,"Produit inconnu",IF(B2015="","Matière manquante",IF(ISNA(MATCH(B2015,mat_ref,0)),"Matière inconnue",IF(INDEX(mat_check,MATCH(B2015,mat_ref,0))&lt;&gt;"OK","Matière à corriger",IF(OR(NOT(ISNUMBER(E2015)),N(E2015)&lt;=0),"Quantité invalide",IF(AND(F2015&lt;&gt;"",OR(NOT(ISNUMBER(F2015)),N(F2015)&lt;0,N(F2015)&gt;=1)),"Perte entre 0 et 99 %",IF(COUNTIFS(bom_prod,A2015,bom_mat,B2015)&gt;1,"Matière en double","OK")))))))))</f>
        <v/>
      </c>
      <c r="K2015" s="71" t="str">
        <f>IF(AND(fiche_sel&lt;&gt;"",A2015=fiche_sel),COUNTIF(A$6:A2015,fiche_sel),"")</f>
        <v/>
      </c>
    </row>
    <row r="2016">
      <c r="A2016" s="60" t="n"/>
      <c r="B2016" s="60" t="n"/>
      <c r="C2016" s="71" t="str">
        <f>IF(B2016="","",IFERROR(INDEX(mat_des,MATCH(B2016,mat_ref,0))&amp;"","Matière inconnue"))</f>
        <v/>
      </c>
      <c r="D2016" s="69" t="str">
        <f>IF(B2016="","",IFERROR(INDEX(mat_unit,MATCH(B2016,mat_ref,0))&amp;"",""))</f>
        <v/>
      </c>
      <c r="E2016" s="72" t="n"/>
      <c r="F2016" s="65" t="n"/>
      <c r="G2016" s="68" t="str">
        <f>IF(J2016&lt;&gt;"OK","",IF(F2016="",N(INDEX(mat_loss,MATCH(B2016,mat_ref,0))),F2016))</f>
        <v/>
      </c>
      <c r="H2016" s="66" t="str">
        <f>IF(J2016&lt;&gt;"OK","",INDEX(mat_price,MATCH(B2016,mat_ref,0)))</f>
        <v/>
      </c>
      <c r="I2016" s="66" t="str">
        <f>IF(J2016&lt;&gt;"OK","",E2016*(1+G2016)*H2016)</f>
        <v/>
      </c>
      <c r="J2016" s="69" t="str">
        <f>IF(AND(A2016="",B2016=""),"",IF(A2016="","Produit manquant",IF(COUNTIF(prod_ref,A2016)=0,"Produit inconnu",IF(B2016="","Matière manquante",IF(ISNA(MATCH(B2016,mat_ref,0)),"Matière inconnue",IF(INDEX(mat_check,MATCH(B2016,mat_ref,0))&lt;&gt;"OK","Matière à corriger",IF(OR(NOT(ISNUMBER(E2016)),N(E2016)&lt;=0),"Quantité invalide",IF(AND(F2016&lt;&gt;"",OR(NOT(ISNUMBER(F2016)),N(F2016)&lt;0,N(F2016)&gt;=1)),"Perte entre 0 et 99 %",IF(COUNTIFS(bom_prod,A2016,bom_mat,B2016)&gt;1,"Matière en double","OK")))))))))</f>
        <v/>
      </c>
      <c r="K2016" s="71" t="str">
        <f>IF(AND(fiche_sel&lt;&gt;"",A2016=fiche_sel),COUNTIF(A$6:A2016,fiche_sel),"")</f>
        <v/>
      </c>
    </row>
    <row r="2017">
      <c r="A2017" s="60" t="n"/>
      <c r="B2017" s="60" t="n"/>
      <c r="C2017" s="71" t="str">
        <f>IF(B2017="","",IFERROR(INDEX(mat_des,MATCH(B2017,mat_ref,0))&amp;"","Matière inconnue"))</f>
        <v/>
      </c>
      <c r="D2017" s="69" t="str">
        <f>IF(B2017="","",IFERROR(INDEX(mat_unit,MATCH(B2017,mat_ref,0))&amp;"",""))</f>
        <v/>
      </c>
      <c r="E2017" s="72" t="n"/>
      <c r="F2017" s="65" t="n"/>
      <c r="G2017" s="68" t="str">
        <f>IF(J2017&lt;&gt;"OK","",IF(F2017="",N(INDEX(mat_loss,MATCH(B2017,mat_ref,0))),F2017))</f>
        <v/>
      </c>
      <c r="H2017" s="66" t="str">
        <f>IF(J2017&lt;&gt;"OK","",INDEX(mat_price,MATCH(B2017,mat_ref,0)))</f>
        <v/>
      </c>
      <c r="I2017" s="66" t="str">
        <f>IF(J2017&lt;&gt;"OK","",E2017*(1+G2017)*H2017)</f>
        <v/>
      </c>
      <c r="J2017" s="69" t="str">
        <f>IF(AND(A2017="",B2017=""),"",IF(A2017="","Produit manquant",IF(COUNTIF(prod_ref,A2017)=0,"Produit inconnu",IF(B2017="","Matière manquante",IF(ISNA(MATCH(B2017,mat_ref,0)),"Matière inconnue",IF(INDEX(mat_check,MATCH(B2017,mat_ref,0))&lt;&gt;"OK","Matière à corriger",IF(OR(NOT(ISNUMBER(E2017)),N(E2017)&lt;=0),"Quantité invalide",IF(AND(F2017&lt;&gt;"",OR(NOT(ISNUMBER(F2017)),N(F2017)&lt;0,N(F2017)&gt;=1)),"Perte entre 0 et 99 %",IF(COUNTIFS(bom_prod,A2017,bom_mat,B2017)&gt;1,"Matière en double","OK")))))))))</f>
        <v/>
      </c>
      <c r="K2017" s="71" t="str">
        <f>IF(AND(fiche_sel&lt;&gt;"",A2017=fiche_sel),COUNTIF(A$6:A2017,fiche_sel),"")</f>
        <v/>
      </c>
    </row>
    <row r="2018">
      <c r="A2018" s="60" t="n"/>
      <c r="B2018" s="60" t="n"/>
      <c r="C2018" s="71" t="str">
        <f>IF(B2018="","",IFERROR(INDEX(mat_des,MATCH(B2018,mat_ref,0))&amp;"","Matière inconnue"))</f>
        <v/>
      </c>
      <c r="D2018" s="69" t="str">
        <f>IF(B2018="","",IFERROR(INDEX(mat_unit,MATCH(B2018,mat_ref,0))&amp;"",""))</f>
        <v/>
      </c>
      <c r="E2018" s="72" t="n"/>
      <c r="F2018" s="65" t="n"/>
      <c r="G2018" s="68" t="str">
        <f>IF(J2018&lt;&gt;"OK","",IF(F2018="",N(INDEX(mat_loss,MATCH(B2018,mat_ref,0))),F2018))</f>
        <v/>
      </c>
      <c r="H2018" s="66" t="str">
        <f>IF(J2018&lt;&gt;"OK","",INDEX(mat_price,MATCH(B2018,mat_ref,0)))</f>
        <v/>
      </c>
      <c r="I2018" s="66" t="str">
        <f>IF(J2018&lt;&gt;"OK","",E2018*(1+G2018)*H2018)</f>
        <v/>
      </c>
      <c r="J2018" s="69" t="str">
        <f>IF(AND(A2018="",B2018=""),"",IF(A2018="","Produit manquant",IF(COUNTIF(prod_ref,A2018)=0,"Produit inconnu",IF(B2018="","Matière manquante",IF(ISNA(MATCH(B2018,mat_ref,0)),"Matière inconnue",IF(INDEX(mat_check,MATCH(B2018,mat_ref,0))&lt;&gt;"OK","Matière à corriger",IF(OR(NOT(ISNUMBER(E2018)),N(E2018)&lt;=0),"Quantité invalide",IF(AND(F2018&lt;&gt;"",OR(NOT(ISNUMBER(F2018)),N(F2018)&lt;0,N(F2018)&gt;=1)),"Perte entre 0 et 99 %",IF(COUNTIFS(bom_prod,A2018,bom_mat,B2018)&gt;1,"Matière en double","OK")))))))))</f>
        <v/>
      </c>
      <c r="K2018" s="71" t="str">
        <f>IF(AND(fiche_sel&lt;&gt;"",A2018=fiche_sel),COUNTIF(A$6:A2018,fiche_sel),"")</f>
        <v/>
      </c>
    </row>
    <row r="2019">
      <c r="A2019" s="60" t="n"/>
      <c r="B2019" s="60" t="n"/>
      <c r="C2019" s="71" t="str">
        <f>IF(B2019="","",IFERROR(INDEX(mat_des,MATCH(B2019,mat_ref,0))&amp;"","Matière inconnue"))</f>
        <v/>
      </c>
      <c r="D2019" s="69" t="str">
        <f>IF(B2019="","",IFERROR(INDEX(mat_unit,MATCH(B2019,mat_ref,0))&amp;"",""))</f>
        <v/>
      </c>
      <c r="E2019" s="72" t="n"/>
      <c r="F2019" s="65" t="n"/>
      <c r="G2019" s="68" t="str">
        <f>IF(J2019&lt;&gt;"OK","",IF(F2019="",N(INDEX(mat_loss,MATCH(B2019,mat_ref,0))),F2019))</f>
        <v/>
      </c>
      <c r="H2019" s="66" t="str">
        <f>IF(J2019&lt;&gt;"OK","",INDEX(mat_price,MATCH(B2019,mat_ref,0)))</f>
        <v/>
      </c>
      <c r="I2019" s="66" t="str">
        <f>IF(J2019&lt;&gt;"OK","",E2019*(1+G2019)*H2019)</f>
        <v/>
      </c>
      <c r="J2019" s="69" t="str">
        <f>IF(AND(A2019="",B2019=""),"",IF(A2019="","Produit manquant",IF(COUNTIF(prod_ref,A2019)=0,"Produit inconnu",IF(B2019="","Matière manquante",IF(ISNA(MATCH(B2019,mat_ref,0)),"Matière inconnue",IF(INDEX(mat_check,MATCH(B2019,mat_ref,0))&lt;&gt;"OK","Matière à corriger",IF(OR(NOT(ISNUMBER(E2019)),N(E2019)&lt;=0),"Quantité invalide",IF(AND(F2019&lt;&gt;"",OR(NOT(ISNUMBER(F2019)),N(F2019)&lt;0,N(F2019)&gt;=1)),"Perte entre 0 et 99 %",IF(COUNTIFS(bom_prod,A2019,bom_mat,B2019)&gt;1,"Matière en double","OK")))))))))</f>
        <v/>
      </c>
      <c r="K2019" s="71" t="str">
        <f>IF(AND(fiche_sel&lt;&gt;"",A2019=fiche_sel),COUNTIF(A$6:A2019,fiche_sel),"")</f>
        <v/>
      </c>
    </row>
    <row r="2020">
      <c r="A2020" s="60" t="n"/>
      <c r="B2020" s="60" t="n"/>
      <c r="C2020" s="71" t="str">
        <f>IF(B2020="","",IFERROR(INDEX(mat_des,MATCH(B2020,mat_ref,0))&amp;"","Matière inconnue"))</f>
        <v/>
      </c>
      <c r="D2020" s="69" t="str">
        <f>IF(B2020="","",IFERROR(INDEX(mat_unit,MATCH(B2020,mat_ref,0))&amp;"",""))</f>
        <v/>
      </c>
      <c r="E2020" s="72" t="n"/>
      <c r="F2020" s="65" t="n"/>
      <c r="G2020" s="68" t="str">
        <f>IF(J2020&lt;&gt;"OK","",IF(F2020="",N(INDEX(mat_loss,MATCH(B2020,mat_ref,0))),F2020))</f>
        <v/>
      </c>
      <c r="H2020" s="66" t="str">
        <f>IF(J2020&lt;&gt;"OK","",INDEX(mat_price,MATCH(B2020,mat_ref,0)))</f>
        <v/>
      </c>
      <c r="I2020" s="66" t="str">
        <f>IF(J2020&lt;&gt;"OK","",E2020*(1+G2020)*H2020)</f>
        <v/>
      </c>
      <c r="J2020" s="69" t="str">
        <f>IF(AND(A2020="",B2020=""),"",IF(A2020="","Produit manquant",IF(COUNTIF(prod_ref,A2020)=0,"Produit inconnu",IF(B2020="","Matière manquante",IF(ISNA(MATCH(B2020,mat_ref,0)),"Matière inconnue",IF(INDEX(mat_check,MATCH(B2020,mat_ref,0))&lt;&gt;"OK","Matière à corriger",IF(OR(NOT(ISNUMBER(E2020)),N(E2020)&lt;=0),"Quantité invalide",IF(AND(F2020&lt;&gt;"",OR(NOT(ISNUMBER(F2020)),N(F2020)&lt;0,N(F2020)&gt;=1)),"Perte entre 0 et 99 %",IF(COUNTIFS(bom_prod,A2020,bom_mat,B2020)&gt;1,"Matière en double","OK")))))))))</f>
        <v/>
      </c>
      <c r="K2020" s="71" t="str">
        <f>IF(AND(fiche_sel&lt;&gt;"",A2020=fiche_sel),COUNTIF(A$6:A2020,fiche_sel),"")</f>
        <v/>
      </c>
    </row>
    <row r="2021">
      <c r="A2021" s="60" t="n"/>
      <c r="B2021" s="60" t="n"/>
      <c r="C2021" s="71" t="str">
        <f>IF(B2021="","",IFERROR(INDEX(mat_des,MATCH(B2021,mat_ref,0))&amp;"","Matière inconnue"))</f>
        <v/>
      </c>
      <c r="D2021" s="69" t="str">
        <f>IF(B2021="","",IFERROR(INDEX(mat_unit,MATCH(B2021,mat_ref,0))&amp;"",""))</f>
        <v/>
      </c>
      <c r="E2021" s="72" t="n"/>
      <c r="F2021" s="65" t="n"/>
      <c r="G2021" s="68" t="str">
        <f>IF(J2021&lt;&gt;"OK","",IF(F2021="",N(INDEX(mat_loss,MATCH(B2021,mat_ref,0))),F2021))</f>
        <v/>
      </c>
      <c r="H2021" s="66" t="str">
        <f>IF(J2021&lt;&gt;"OK","",INDEX(mat_price,MATCH(B2021,mat_ref,0)))</f>
        <v/>
      </c>
      <c r="I2021" s="66" t="str">
        <f>IF(J2021&lt;&gt;"OK","",E2021*(1+G2021)*H2021)</f>
        <v/>
      </c>
      <c r="J2021" s="69" t="str">
        <f>IF(AND(A2021="",B2021=""),"",IF(A2021="","Produit manquant",IF(COUNTIF(prod_ref,A2021)=0,"Produit inconnu",IF(B2021="","Matière manquante",IF(ISNA(MATCH(B2021,mat_ref,0)),"Matière inconnue",IF(INDEX(mat_check,MATCH(B2021,mat_ref,0))&lt;&gt;"OK","Matière à corriger",IF(OR(NOT(ISNUMBER(E2021)),N(E2021)&lt;=0),"Quantité invalide",IF(AND(F2021&lt;&gt;"",OR(NOT(ISNUMBER(F2021)),N(F2021)&lt;0,N(F2021)&gt;=1)),"Perte entre 0 et 99 %",IF(COUNTIFS(bom_prod,A2021,bom_mat,B2021)&gt;1,"Matière en double","OK")))))))))</f>
        <v/>
      </c>
      <c r="K2021" s="71" t="str">
        <f>IF(AND(fiche_sel&lt;&gt;"",A2021=fiche_sel),COUNTIF(A$6:A2021,fiche_sel),"")</f>
        <v/>
      </c>
    </row>
    <row r="2022">
      <c r="A2022" s="60" t="n"/>
      <c r="B2022" s="60" t="n"/>
      <c r="C2022" s="71" t="str">
        <f>IF(B2022="","",IFERROR(INDEX(mat_des,MATCH(B2022,mat_ref,0))&amp;"","Matière inconnue"))</f>
        <v/>
      </c>
      <c r="D2022" s="69" t="str">
        <f>IF(B2022="","",IFERROR(INDEX(mat_unit,MATCH(B2022,mat_ref,0))&amp;"",""))</f>
        <v/>
      </c>
      <c r="E2022" s="72" t="n"/>
      <c r="F2022" s="65" t="n"/>
      <c r="G2022" s="68" t="str">
        <f>IF(J2022&lt;&gt;"OK","",IF(F2022="",N(INDEX(mat_loss,MATCH(B2022,mat_ref,0))),F2022))</f>
        <v/>
      </c>
      <c r="H2022" s="66" t="str">
        <f>IF(J2022&lt;&gt;"OK","",INDEX(mat_price,MATCH(B2022,mat_ref,0)))</f>
        <v/>
      </c>
      <c r="I2022" s="66" t="str">
        <f>IF(J2022&lt;&gt;"OK","",E2022*(1+G2022)*H2022)</f>
        <v/>
      </c>
      <c r="J2022" s="69" t="str">
        <f>IF(AND(A2022="",B2022=""),"",IF(A2022="","Produit manquant",IF(COUNTIF(prod_ref,A2022)=0,"Produit inconnu",IF(B2022="","Matière manquante",IF(ISNA(MATCH(B2022,mat_ref,0)),"Matière inconnue",IF(INDEX(mat_check,MATCH(B2022,mat_ref,0))&lt;&gt;"OK","Matière à corriger",IF(OR(NOT(ISNUMBER(E2022)),N(E2022)&lt;=0),"Quantité invalide",IF(AND(F2022&lt;&gt;"",OR(NOT(ISNUMBER(F2022)),N(F2022)&lt;0,N(F2022)&gt;=1)),"Perte entre 0 et 99 %",IF(COUNTIFS(bom_prod,A2022,bom_mat,B2022)&gt;1,"Matière en double","OK")))))))))</f>
        <v/>
      </c>
      <c r="K2022" s="71" t="str">
        <f>IF(AND(fiche_sel&lt;&gt;"",A2022=fiche_sel),COUNTIF(A$6:A2022,fiche_sel),"")</f>
        <v/>
      </c>
    </row>
    <row r="2023">
      <c r="A2023" s="60" t="n"/>
      <c r="B2023" s="60" t="n"/>
      <c r="C2023" s="71" t="str">
        <f>IF(B2023="","",IFERROR(INDEX(mat_des,MATCH(B2023,mat_ref,0))&amp;"","Matière inconnue"))</f>
        <v/>
      </c>
      <c r="D2023" s="69" t="str">
        <f>IF(B2023="","",IFERROR(INDEX(mat_unit,MATCH(B2023,mat_ref,0))&amp;"",""))</f>
        <v/>
      </c>
      <c r="E2023" s="72" t="n"/>
      <c r="F2023" s="65" t="n"/>
      <c r="G2023" s="68" t="str">
        <f>IF(J2023&lt;&gt;"OK","",IF(F2023="",N(INDEX(mat_loss,MATCH(B2023,mat_ref,0))),F2023))</f>
        <v/>
      </c>
      <c r="H2023" s="66" t="str">
        <f>IF(J2023&lt;&gt;"OK","",INDEX(mat_price,MATCH(B2023,mat_ref,0)))</f>
        <v/>
      </c>
      <c r="I2023" s="66" t="str">
        <f>IF(J2023&lt;&gt;"OK","",E2023*(1+G2023)*H2023)</f>
        <v/>
      </c>
      <c r="J2023" s="69" t="str">
        <f>IF(AND(A2023="",B2023=""),"",IF(A2023="","Produit manquant",IF(COUNTIF(prod_ref,A2023)=0,"Produit inconnu",IF(B2023="","Matière manquante",IF(ISNA(MATCH(B2023,mat_ref,0)),"Matière inconnue",IF(INDEX(mat_check,MATCH(B2023,mat_ref,0))&lt;&gt;"OK","Matière à corriger",IF(OR(NOT(ISNUMBER(E2023)),N(E2023)&lt;=0),"Quantité invalide",IF(AND(F2023&lt;&gt;"",OR(NOT(ISNUMBER(F2023)),N(F2023)&lt;0,N(F2023)&gt;=1)),"Perte entre 0 et 99 %",IF(COUNTIFS(bom_prod,A2023,bom_mat,B2023)&gt;1,"Matière en double","OK")))))))))</f>
        <v/>
      </c>
      <c r="K2023" s="71" t="str">
        <f>IF(AND(fiche_sel&lt;&gt;"",A2023=fiche_sel),COUNTIF(A$6:A2023,fiche_sel),"")</f>
        <v/>
      </c>
    </row>
    <row r="2024">
      <c r="A2024" s="60" t="n"/>
      <c r="B2024" s="60" t="n"/>
      <c r="C2024" s="71" t="str">
        <f>IF(B2024="","",IFERROR(INDEX(mat_des,MATCH(B2024,mat_ref,0))&amp;"","Matière inconnue"))</f>
        <v/>
      </c>
      <c r="D2024" s="69" t="str">
        <f>IF(B2024="","",IFERROR(INDEX(mat_unit,MATCH(B2024,mat_ref,0))&amp;"",""))</f>
        <v/>
      </c>
      <c r="E2024" s="72" t="n"/>
      <c r="F2024" s="65" t="n"/>
      <c r="G2024" s="68" t="str">
        <f>IF(J2024&lt;&gt;"OK","",IF(F2024="",N(INDEX(mat_loss,MATCH(B2024,mat_ref,0))),F2024))</f>
        <v/>
      </c>
      <c r="H2024" s="66" t="str">
        <f>IF(J2024&lt;&gt;"OK","",INDEX(mat_price,MATCH(B2024,mat_ref,0)))</f>
        <v/>
      </c>
      <c r="I2024" s="66" t="str">
        <f>IF(J2024&lt;&gt;"OK","",E2024*(1+G2024)*H2024)</f>
        <v/>
      </c>
      <c r="J2024" s="69" t="str">
        <f>IF(AND(A2024="",B2024=""),"",IF(A2024="","Produit manquant",IF(COUNTIF(prod_ref,A2024)=0,"Produit inconnu",IF(B2024="","Matière manquante",IF(ISNA(MATCH(B2024,mat_ref,0)),"Matière inconnue",IF(INDEX(mat_check,MATCH(B2024,mat_ref,0))&lt;&gt;"OK","Matière à corriger",IF(OR(NOT(ISNUMBER(E2024)),N(E2024)&lt;=0),"Quantité invalide",IF(AND(F2024&lt;&gt;"",OR(NOT(ISNUMBER(F2024)),N(F2024)&lt;0,N(F2024)&gt;=1)),"Perte entre 0 et 99 %",IF(COUNTIFS(bom_prod,A2024,bom_mat,B2024)&gt;1,"Matière en double","OK")))))))))</f>
        <v/>
      </c>
      <c r="K2024" s="71" t="str">
        <f>IF(AND(fiche_sel&lt;&gt;"",A2024=fiche_sel),COUNTIF(A$6:A2024,fiche_sel),"")</f>
        <v/>
      </c>
    </row>
    <row r="2025">
      <c r="A2025" s="60" t="n"/>
      <c r="B2025" s="60" t="n"/>
      <c r="C2025" s="71" t="str">
        <f>IF(B2025="","",IFERROR(INDEX(mat_des,MATCH(B2025,mat_ref,0))&amp;"","Matière inconnue"))</f>
        <v/>
      </c>
      <c r="D2025" s="69" t="str">
        <f>IF(B2025="","",IFERROR(INDEX(mat_unit,MATCH(B2025,mat_ref,0))&amp;"",""))</f>
        <v/>
      </c>
      <c r="E2025" s="72" t="n"/>
      <c r="F2025" s="65" t="n"/>
      <c r="G2025" s="68" t="str">
        <f>IF(J2025&lt;&gt;"OK","",IF(F2025="",N(INDEX(mat_loss,MATCH(B2025,mat_ref,0))),F2025))</f>
        <v/>
      </c>
      <c r="H2025" s="66" t="str">
        <f>IF(J2025&lt;&gt;"OK","",INDEX(mat_price,MATCH(B2025,mat_ref,0)))</f>
        <v/>
      </c>
      <c r="I2025" s="66" t="str">
        <f>IF(J2025&lt;&gt;"OK","",E2025*(1+G2025)*H2025)</f>
        <v/>
      </c>
      <c r="J2025" s="69" t="str">
        <f>IF(AND(A2025="",B2025=""),"",IF(A2025="","Produit manquant",IF(COUNTIF(prod_ref,A2025)=0,"Produit inconnu",IF(B2025="","Matière manquante",IF(ISNA(MATCH(B2025,mat_ref,0)),"Matière inconnue",IF(INDEX(mat_check,MATCH(B2025,mat_ref,0))&lt;&gt;"OK","Matière à corriger",IF(OR(NOT(ISNUMBER(E2025)),N(E2025)&lt;=0),"Quantité invalide",IF(AND(F2025&lt;&gt;"",OR(NOT(ISNUMBER(F2025)),N(F2025)&lt;0,N(F2025)&gt;=1)),"Perte entre 0 et 99 %",IF(COUNTIFS(bom_prod,A2025,bom_mat,B2025)&gt;1,"Matière en double","OK")))))))))</f>
        <v/>
      </c>
      <c r="K2025" s="71" t="str">
        <f>IF(AND(fiche_sel&lt;&gt;"",A2025=fiche_sel),COUNTIF(A$6:A2025,fiche_sel),"")</f>
        <v/>
      </c>
    </row>
    <row r="2026">
      <c r="A2026" s="60" t="n"/>
      <c r="B2026" s="60" t="n"/>
      <c r="C2026" s="71" t="str">
        <f>IF(B2026="","",IFERROR(INDEX(mat_des,MATCH(B2026,mat_ref,0))&amp;"","Matière inconnue"))</f>
        <v/>
      </c>
      <c r="D2026" s="69" t="str">
        <f>IF(B2026="","",IFERROR(INDEX(mat_unit,MATCH(B2026,mat_ref,0))&amp;"",""))</f>
        <v/>
      </c>
      <c r="E2026" s="72" t="n"/>
      <c r="F2026" s="65" t="n"/>
      <c r="G2026" s="68" t="str">
        <f>IF(J2026&lt;&gt;"OK","",IF(F2026="",N(INDEX(mat_loss,MATCH(B2026,mat_ref,0))),F2026))</f>
        <v/>
      </c>
      <c r="H2026" s="66" t="str">
        <f>IF(J2026&lt;&gt;"OK","",INDEX(mat_price,MATCH(B2026,mat_ref,0)))</f>
        <v/>
      </c>
      <c r="I2026" s="66" t="str">
        <f>IF(J2026&lt;&gt;"OK","",E2026*(1+G2026)*H2026)</f>
        <v/>
      </c>
      <c r="J2026" s="69" t="str">
        <f>IF(AND(A2026="",B2026=""),"",IF(A2026="","Produit manquant",IF(COUNTIF(prod_ref,A2026)=0,"Produit inconnu",IF(B2026="","Matière manquante",IF(ISNA(MATCH(B2026,mat_ref,0)),"Matière inconnue",IF(INDEX(mat_check,MATCH(B2026,mat_ref,0))&lt;&gt;"OK","Matière à corriger",IF(OR(NOT(ISNUMBER(E2026)),N(E2026)&lt;=0),"Quantité invalide",IF(AND(F2026&lt;&gt;"",OR(NOT(ISNUMBER(F2026)),N(F2026)&lt;0,N(F2026)&gt;=1)),"Perte entre 0 et 99 %",IF(COUNTIFS(bom_prod,A2026,bom_mat,B2026)&gt;1,"Matière en double","OK")))))))))</f>
        <v/>
      </c>
      <c r="K2026" s="71" t="str">
        <f>IF(AND(fiche_sel&lt;&gt;"",A2026=fiche_sel),COUNTIF(A$6:A2026,fiche_sel),"")</f>
        <v/>
      </c>
    </row>
    <row r="2027">
      <c r="A2027" s="60" t="n"/>
      <c r="B2027" s="60" t="n"/>
      <c r="C2027" s="71" t="str">
        <f>IF(B2027="","",IFERROR(INDEX(mat_des,MATCH(B2027,mat_ref,0))&amp;"","Matière inconnue"))</f>
        <v/>
      </c>
      <c r="D2027" s="69" t="str">
        <f>IF(B2027="","",IFERROR(INDEX(mat_unit,MATCH(B2027,mat_ref,0))&amp;"",""))</f>
        <v/>
      </c>
      <c r="E2027" s="72" t="n"/>
      <c r="F2027" s="65" t="n"/>
      <c r="G2027" s="68" t="str">
        <f>IF(J2027&lt;&gt;"OK","",IF(F2027="",N(INDEX(mat_loss,MATCH(B2027,mat_ref,0))),F2027))</f>
        <v/>
      </c>
      <c r="H2027" s="66" t="str">
        <f>IF(J2027&lt;&gt;"OK","",INDEX(mat_price,MATCH(B2027,mat_ref,0)))</f>
        <v/>
      </c>
      <c r="I2027" s="66" t="str">
        <f>IF(J2027&lt;&gt;"OK","",E2027*(1+G2027)*H2027)</f>
        <v/>
      </c>
      <c r="J2027" s="69" t="str">
        <f>IF(AND(A2027="",B2027=""),"",IF(A2027="","Produit manquant",IF(COUNTIF(prod_ref,A2027)=0,"Produit inconnu",IF(B2027="","Matière manquante",IF(ISNA(MATCH(B2027,mat_ref,0)),"Matière inconnue",IF(INDEX(mat_check,MATCH(B2027,mat_ref,0))&lt;&gt;"OK","Matière à corriger",IF(OR(NOT(ISNUMBER(E2027)),N(E2027)&lt;=0),"Quantité invalide",IF(AND(F2027&lt;&gt;"",OR(NOT(ISNUMBER(F2027)),N(F2027)&lt;0,N(F2027)&gt;=1)),"Perte entre 0 et 99 %",IF(COUNTIFS(bom_prod,A2027,bom_mat,B2027)&gt;1,"Matière en double","OK")))))))))</f>
        <v/>
      </c>
      <c r="K2027" s="71" t="str">
        <f>IF(AND(fiche_sel&lt;&gt;"",A2027=fiche_sel),COUNTIF(A$6:A2027,fiche_sel),"")</f>
        <v/>
      </c>
    </row>
    <row r="2028">
      <c r="A2028" s="60" t="n"/>
      <c r="B2028" s="60" t="n"/>
      <c r="C2028" s="71" t="str">
        <f>IF(B2028="","",IFERROR(INDEX(mat_des,MATCH(B2028,mat_ref,0))&amp;"","Matière inconnue"))</f>
        <v/>
      </c>
      <c r="D2028" s="69" t="str">
        <f>IF(B2028="","",IFERROR(INDEX(mat_unit,MATCH(B2028,mat_ref,0))&amp;"",""))</f>
        <v/>
      </c>
      <c r="E2028" s="72" t="n"/>
      <c r="F2028" s="65" t="n"/>
      <c r="G2028" s="68" t="str">
        <f>IF(J2028&lt;&gt;"OK","",IF(F2028="",N(INDEX(mat_loss,MATCH(B2028,mat_ref,0))),F2028))</f>
        <v/>
      </c>
      <c r="H2028" s="66" t="str">
        <f>IF(J2028&lt;&gt;"OK","",INDEX(mat_price,MATCH(B2028,mat_ref,0)))</f>
        <v/>
      </c>
      <c r="I2028" s="66" t="str">
        <f>IF(J2028&lt;&gt;"OK","",E2028*(1+G2028)*H2028)</f>
        <v/>
      </c>
      <c r="J2028" s="69" t="str">
        <f>IF(AND(A2028="",B2028=""),"",IF(A2028="","Produit manquant",IF(COUNTIF(prod_ref,A2028)=0,"Produit inconnu",IF(B2028="","Matière manquante",IF(ISNA(MATCH(B2028,mat_ref,0)),"Matière inconnue",IF(INDEX(mat_check,MATCH(B2028,mat_ref,0))&lt;&gt;"OK","Matière à corriger",IF(OR(NOT(ISNUMBER(E2028)),N(E2028)&lt;=0),"Quantité invalide",IF(AND(F2028&lt;&gt;"",OR(NOT(ISNUMBER(F2028)),N(F2028)&lt;0,N(F2028)&gt;=1)),"Perte entre 0 et 99 %",IF(COUNTIFS(bom_prod,A2028,bom_mat,B2028)&gt;1,"Matière en double","OK")))))))))</f>
        <v/>
      </c>
      <c r="K2028" s="71" t="str">
        <f>IF(AND(fiche_sel&lt;&gt;"",A2028=fiche_sel),COUNTIF(A$6:A2028,fiche_sel),"")</f>
        <v/>
      </c>
    </row>
    <row r="2029">
      <c r="A2029" s="60" t="n"/>
      <c r="B2029" s="60" t="n"/>
      <c r="C2029" s="71" t="str">
        <f>IF(B2029="","",IFERROR(INDEX(mat_des,MATCH(B2029,mat_ref,0))&amp;"","Matière inconnue"))</f>
        <v/>
      </c>
      <c r="D2029" s="69" t="str">
        <f>IF(B2029="","",IFERROR(INDEX(mat_unit,MATCH(B2029,mat_ref,0))&amp;"",""))</f>
        <v/>
      </c>
      <c r="E2029" s="72" t="n"/>
      <c r="F2029" s="65" t="n"/>
      <c r="G2029" s="68" t="str">
        <f>IF(J2029&lt;&gt;"OK","",IF(F2029="",N(INDEX(mat_loss,MATCH(B2029,mat_ref,0))),F2029))</f>
        <v/>
      </c>
      <c r="H2029" s="66" t="str">
        <f>IF(J2029&lt;&gt;"OK","",INDEX(mat_price,MATCH(B2029,mat_ref,0)))</f>
        <v/>
      </c>
      <c r="I2029" s="66" t="str">
        <f>IF(J2029&lt;&gt;"OK","",E2029*(1+G2029)*H2029)</f>
        <v/>
      </c>
      <c r="J2029" s="69" t="str">
        <f>IF(AND(A2029="",B2029=""),"",IF(A2029="","Produit manquant",IF(COUNTIF(prod_ref,A2029)=0,"Produit inconnu",IF(B2029="","Matière manquante",IF(ISNA(MATCH(B2029,mat_ref,0)),"Matière inconnue",IF(INDEX(mat_check,MATCH(B2029,mat_ref,0))&lt;&gt;"OK","Matière à corriger",IF(OR(NOT(ISNUMBER(E2029)),N(E2029)&lt;=0),"Quantité invalide",IF(AND(F2029&lt;&gt;"",OR(NOT(ISNUMBER(F2029)),N(F2029)&lt;0,N(F2029)&gt;=1)),"Perte entre 0 et 99 %",IF(COUNTIFS(bom_prod,A2029,bom_mat,B2029)&gt;1,"Matière en double","OK")))))))))</f>
        <v/>
      </c>
      <c r="K2029" s="71" t="str">
        <f>IF(AND(fiche_sel&lt;&gt;"",A2029=fiche_sel),COUNTIF(A$6:A2029,fiche_sel),"")</f>
        <v/>
      </c>
    </row>
    <row r="2030">
      <c r="A2030" s="60" t="n"/>
      <c r="B2030" s="60" t="n"/>
      <c r="C2030" s="71" t="str">
        <f>IF(B2030="","",IFERROR(INDEX(mat_des,MATCH(B2030,mat_ref,0))&amp;"","Matière inconnue"))</f>
        <v/>
      </c>
      <c r="D2030" s="69" t="str">
        <f>IF(B2030="","",IFERROR(INDEX(mat_unit,MATCH(B2030,mat_ref,0))&amp;"",""))</f>
        <v/>
      </c>
      <c r="E2030" s="72" t="n"/>
      <c r="F2030" s="65" t="n"/>
      <c r="G2030" s="68" t="str">
        <f>IF(J2030&lt;&gt;"OK","",IF(F2030="",N(INDEX(mat_loss,MATCH(B2030,mat_ref,0))),F2030))</f>
        <v/>
      </c>
      <c r="H2030" s="66" t="str">
        <f>IF(J2030&lt;&gt;"OK","",INDEX(mat_price,MATCH(B2030,mat_ref,0)))</f>
        <v/>
      </c>
      <c r="I2030" s="66" t="str">
        <f>IF(J2030&lt;&gt;"OK","",E2030*(1+G2030)*H2030)</f>
        <v/>
      </c>
      <c r="J2030" s="69" t="str">
        <f>IF(AND(A2030="",B2030=""),"",IF(A2030="","Produit manquant",IF(COUNTIF(prod_ref,A2030)=0,"Produit inconnu",IF(B2030="","Matière manquante",IF(ISNA(MATCH(B2030,mat_ref,0)),"Matière inconnue",IF(INDEX(mat_check,MATCH(B2030,mat_ref,0))&lt;&gt;"OK","Matière à corriger",IF(OR(NOT(ISNUMBER(E2030)),N(E2030)&lt;=0),"Quantité invalide",IF(AND(F2030&lt;&gt;"",OR(NOT(ISNUMBER(F2030)),N(F2030)&lt;0,N(F2030)&gt;=1)),"Perte entre 0 et 99 %",IF(COUNTIFS(bom_prod,A2030,bom_mat,B2030)&gt;1,"Matière en double","OK")))))))))</f>
        <v/>
      </c>
      <c r="K2030" s="71" t="str">
        <f>IF(AND(fiche_sel&lt;&gt;"",A2030=fiche_sel),COUNTIF(A$6:A2030,fiche_sel),"")</f>
        <v/>
      </c>
    </row>
    <row r="2031">
      <c r="A2031" s="60" t="n"/>
      <c r="B2031" s="60" t="n"/>
      <c r="C2031" s="71" t="str">
        <f>IF(B2031="","",IFERROR(INDEX(mat_des,MATCH(B2031,mat_ref,0))&amp;"","Matière inconnue"))</f>
        <v/>
      </c>
      <c r="D2031" s="69" t="str">
        <f>IF(B2031="","",IFERROR(INDEX(mat_unit,MATCH(B2031,mat_ref,0))&amp;"",""))</f>
        <v/>
      </c>
      <c r="E2031" s="72" t="n"/>
      <c r="F2031" s="65" t="n"/>
      <c r="G2031" s="68" t="str">
        <f>IF(J2031&lt;&gt;"OK","",IF(F2031="",N(INDEX(mat_loss,MATCH(B2031,mat_ref,0))),F2031))</f>
        <v/>
      </c>
      <c r="H2031" s="66" t="str">
        <f>IF(J2031&lt;&gt;"OK","",INDEX(mat_price,MATCH(B2031,mat_ref,0)))</f>
        <v/>
      </c>
      <c r="I2031" s="66" t="str">
        <f>IF(J2031&lt;&gt;"OK","",E2031*(1+G2031)*H2031)</f>
        <v/>
      </c>
      <c r="J2031" s="69" t="str">
        <f>IF(AND(A2031="",B2031=""),"",IF(A2031="","Produit manquant",IF(COUNTIF(prod_ref,A2031)=0,"Produit inconnu",IF(B2031="","Matière manquante",IF(ISNA(MATCH(B2031,mat_ref,0)),"Matière inconnue",IF(INDEX(mat_check,MATCH(B2031,mat_ref,0))&lt;&gt;"OK","Matière à corriger",IF(OR(NOT(ISNUMBER(E2031)),N(E2031)&lt;=0),"Quantité invalide",IF(AND(F2031&lt;&gt;"",OR(NOT(ISNUMBER(F2031)),N(F2031)&lt;0,N(F2031)&gt;=1)),"Perte entre 0 et 99 %",IF(COUNTIFS(bom_prod,A2031,bom_mat,B2031)&gt;1,"Matière en double","OK")))))))))</f>
        <v/>
      </c>
      <c r="K2031" s="71" t="str">
        <f>IF(AND(fiche_sel&lt;&gt;"",A2031=fiche_sel),COUNTIF(A$6:A2031,fiche_sel),"")</f>
        <v/>
      </c>
    </row>
    <row r="2032">
      <c r="A2032" s="60" t="n"/>
      <c r="B2032" s="60" t="n"/>
      <c r="C2032" s="71" t="str">
        <f>IF(B2032="","",IFERROR(INDEX(mat_des,MATCH(B2032,mat_ref,0))&amp;"","Matière inconnue"))</f>
        <v/>
      </c>
      <c r="D2032" s="69" t="str">
        <f>IF(B2032="","",IFERROR(INDEX(mat_unit,MATCH(B2032,mat_ref,0))&amp;"",""))</f>
        <v/>
      </c>
      <c r="E2032" s="72" t="n"/>
      <c r="F2032" s="65" t="n"/>
      <c r="G2032" s="68" t="str">
        <f>IF(J2032&lt;&gt;"OK","",IF(F2032="",N(INDEX(mat_loss,MATCH(B2032,mat_ref,0))),F2032))</f>
        <v/>
      </c>
      <c r="H2032" s="66" t="str">
        <f>IF(J2032&lt;&gt;"OK","",INDEX(mat_price,MATCH(B2032,mat_ref,0)))</f>
        <v/>
      </c>
      <c r="I2032" s="66" t="str">
        <f>IF(J2032&lt;&gt;"OK","",E2032*(1+G2032)*H2032)</f>
        <v/>
      </c>
      <c r="J2032" s="69" t="str">
        <f>IF(AND(A2032="",B2032=""),"",IF(A2032="","Produit manquant",IF(COUNTIF(prod_ref,A2032)=0,"Produit inconnu",IF(B2032="","Matière manquante",IF(ISNA(MATCH(B2032,mat_ref,0)),"Matière inconnue",IF(INDEX(mat_check,MATCH(B2032,mat_ref,0))&lt;&gt;"OK","Matière à corriger",IF(OR(NOT(ISNUMBER(E2032)),N(E2032)&lt;=0),"Quantité invalide",IF(AND(F2032&lt;&gt;"",OR(NOT(ISNUMBER(F2032)),N(F2032)&lt;0,N(F2032)&gt;=1)),"Perte entre 0 et 99 %",IF(COUNTIFS(bom_prod,A2032,bom_mat,B2032)&gt;1,"Matière en double","OK")))))))))</f>
        <v/>
      </c>
      <c r="K2032" s="71" t="str">
        <f>IF(AND(fiche_sel&lt;&gt;"",A2032=fiche_sel),COUNTIF(A$6:A2032,fiche_sel),"")</f>
        <v/>
      </c>
    </row>
    <row r="2033">
      <c r="A2033" s="60" t="n"/>
      <c r="B2033" s="60" t="n"/>
      <c r="C2033" s="71" t="str">
        <f>IF(B2033="","",IFERROR(INDEX(mat_des,MATCH(B2033,mat_ref,0))&amp;"","Matière inconnue"))</f>
        <v/>
      </c>
      <c r="D2033" s="69" t="str">
        <f>IF(B2033="","",IFERROR(INDEX(mat_unit,MATCH(B2033,mat_ref,0))&amp;"",""))</f>
        <v/>
      </c>
      <c r="E2033" s="72" t="n"/>
      <c r="F2033" s="65" t="n"/>
      <c r="G2033" s="68" t="str">
        <f>IF(J2033&lt;&gt;"OK","",IF(F2033="",N(INDEX(mat_loss,MATCH(B2033,mat_ref,0))),F2033))</f>
        <v/>
      </c>
      <c r="H2033" s="66" t="str">
        <f>IF(J2033&lt;&gt;"OK","",INDEX(mat_price,MATCH(B2033,mat_ref,0)))</f>
        <v/>
      </c>
      <c r="I2033" s="66" t="str">
        <f>IF(J2033&lt;&gt;"OK","",E2033*(1+G2033)*H2033)</f>
        <v/>
      </c>
      <c r="J2033" s="69" t="str">
        <f>IF(AND(A2033="",B2033=""),"",IF(A2033="","Produit manquant",IF(COUNTIF(prod_ref,A2033)=0,"Produit inconnu",IF(B2033="","Matière manquante",IF(ISNA(MATCH(B2033,mat_ref,0)),"Matière inconnue",IF(INDEX(mat_check,MATCH(B2033,mat_ref,0))&lt;&gt;"OK","Matière à corriger",IF(OR(NOT(ISNUMBER(E2033)),N(E2033)&lt;=0),"Quantité invalide",IF(AND(F2033&lt;&gt;"",OR(NOT(ISNUMBER(F2033)),N(F2033)&lt;0,N(F2033)&gt;=1)),"Perte entre 0 et 99 %",IF(COUNTIFS(bom_prod,A2033,bom_mat,B2033)&gt;1,"Matière en double","OK")))))))))</f>
        <v/>
      </c>
      <c r="K2033" s="71" t="str">
        <f>IF(AND(fiche_sel&lt;&gt;"",A2033=fiche_sel),COUNTIF(A$6:A2033,fiche_sel),"")</f>
        <v/>
      </c>
    </row>
    <row r="2034">
      <c r="A2034" s="60" t="n"/>
      <c r="B2034" s="60" t="n"/>
      <c r="C2034" s="71" t="str">
        <f>IF(B2034="","",IFERROR(INDEX(mat_des,MATCH(B2034,mat_ref,0))&amp;"","Matière inconnue"))</f>
        <v/>
      </c>
      <c r="D2034" s="69" t="str">
        <f>IF(B2034="","",IFERROR(INDEX(mat_unit,MATCH(B2034,mat_ref,0))&amp;"",""))</f>
        <v/>
      </c>
      <c r="E2034" s="72" t="n"/>
      <c r="F2034" s="65" t="n"/>
      <c r="G2034" s="68" t="str">
        <f>IF(J2034&lt;&gt;"OK","",IF(F2034="",N(INDEX(mat_loss,MATCH(B2034,mat_ref,0))),F2034))</f>
        <v/>
      </c>
      <c r="H2034" s="66" t="str">
        <f>IF(J2034&lt;&gt;"OK","",INDEX(mat_price,MATCH(B2034,mat_ref,0)))</f>
        <v/>
      </c>
      <c r="I2034" s="66" t="str">
        <f>IF(J2034&lt;&gt;"OK","",E2034*(1+G2034)*H2034)</f>
        <v/>
      </c>
      <c r="J2034" s="69" t="str">
        <f>IF(AND(A2034="",B2034=""),"",IF(A2034="","Produit manquant",IF(COUNTIF(prod_ref,A2034)=0,"Produit inconnu",IF(B2034="","Matière manquante",IF(ISNA(MATCH(B2034,mat_ref,0)),"Matière inconnue",IF(INDEX(mat_check,MATCH(B2034,mat_ref,0))&lt;&gt;"OK","Matière à corriger",IF(OR(NOT(ISNUMBER(E2034)),N(E2034)&lt;=0),"Quantité invalide",IF(AND(F2034&lt;&gt;"",OR(NOT(ISNUMBER(F2034)),N(F2034)&lt;0,N(F2034)&gt;=1)),"Perte entre 0 et 99 %",IF(COUNTIFS(bom_prod,A2034,bom_mat,B2034)&gt;1,"Matière en double","OK")))))))))</f>
        <v/>
      </c>
      <c r="K2034" s="71" t="str">
        <f>IF(AND(fiche_sel&lt;&gt;"",A2034=fiche_sel),COUNTIF(A$6:A2034,fiche_sel),"")</f>
        <v/>
      </c>
    </row>
    <row r="2035">
      <c r="A2035" s="60" t="n"/>
      <c r="B2035" s="60" t="n"/>
      <c r="C2035" s="71" t="str">
        <f>IF(B2035="","",IFERROR(INDEX(mat_des,MATCH(B2035,mat_ref,0))&amp;"","Matière inconnue"))</f>
        <v/>
      </c>
      <c r="D2035" s="69" t="str">
        <f>IF(B2035="","",IFERROR(INDEX(mat_unit,MATCH(B2035,mat_ref,0))&amp;"",""))</f>
        <v/>
      </c>
      <c r="E2035" s="72" t="n"/>
      <c r="F2035" s="65" t="n"/>
      <c r="G2035" s="68" t="str">
        <f>IF(J2035&lt;&gt;"OK","",IF(F2035="",N(INDEX(mat_loss,MATCH(B2035,mat_ref,0))),F2035))</f>
        <v/>
      </c>
      <c r="H2035" s="66" t="str">
        <f>IF(J2035&lt;&gt;"OK","",INDEX(mat_price,MATCH(B2035,mat_ref,0)))</f>
        <v/>
      </c>
      <c r="I2035" s="66" t="str">
        <f>IF(J2035&lt;&gt;"OK","",E2035*(1+G2035)*H2035)</f>
        <v/>
      </c>
      <c r="J2035" s="69" t="str">
        <f>IF(AND(A2035="",B2035=""),"",IF(A2035="","Produit manquant",IF(COUNTIF(prod_ref,A2035)=0,"Produit inconnu",IF(B2035="","Matière manquante",IF(ISNA(MATCH(B2035,mat_ref,0)),"Matière inconnue",IF(INDEX(mat_check,MATCH(B2035,mat_ref,0))&lt;&gt;"OK","Matière à corriger",IF(OR(NOT(ISNUMBER(E2035)),N(E2035)&lt;=0),"Quantité invalide",IF(AND(F2035&lt;&gt;"",OR(NOT(ISNUMBER(F2035)),N(F2035)&lt;0,N(F2035)&gt;=1)),"Perte entre 0 et 99 %",IF(COUNTIFS(bom_prod,A2035,bom_mat,B2035)&gt;1,"Matière en double","OK")))))))))</f>
        <v/>
      </c>
      <c r="K2035" s="71" t="str">
        <f>IF(AND(fiche_sel&lt;&gt;"",A2035=fiche_sel),COUNTIF(A$6:A2035,fiche_sel),"")</f>
        <v/>
      </c>
    </row>
    <row r="2036">
      <c r="A2036" s="60" t="n"/>
      <c r="B2036" s="60" t="n"/>
      <c r="C2036" s="71" t="str">
        <f>IF(B2036="","",IFERROR(INDEX(mat_des,MATCH(B2036,mat_ref,0))&amp;"","Matière inconnue"))</f>
        <v/>
      </c>
      <c r="D2036" s="69" t="str">
        <f>IF(B2036="","",IFERROR(INDEX(mat_unit,MATCH(B2036,mat_ref,0))&amp;"",""))</f>
        <v/>
      </c>
      <c r="E2036" s="72" t="n"/>
      <c r="F2036" s="65" t="n"/>
      <c r="G2036" s="68" t="str">
        <f>IF(J2036&lt;&gt;"OK","",IF(F2036="",N(INDEX(mat_loss,MATCH(B2036,mat_ref,0))),F2036))</f>
        <v/>
      </c>
      <c r="H2036" s="66" t="str">
        <f>IF(J2036&lt;&gt;"OK","",INDEX(mat_price,MATCH(B2036,mat_ref,0)))</f>
        <v/>
      </c>
      <c r="I2036" s="66" t="str">
        <f>IF(J2036&lt;&gt;"OK","",E2036*(1+G2036)*H2036)</f>
        <v/>
      </c>
      <c r="J2036" s="69" t="str">
        <f>IF(AND(A2036="",B2036=""),"",IF(A2036="","Produit manquant",IF(COUNTIF(prod_ref,A2036)=0,"Produit inconnu",IF(B2036="","Matière manquante",IF(ISNA(MATCH(B2036,mat_ref,0)),"Matière inconnue",IF(INDEX(mat_check,MATCH(B2036,mat_ref,0))&lt;&gt;"OK","Matière à corriger",IF(OR(NOT(ISNUMBER(E2036)),N(E2036)&lt;=0),"Quantité invalide",IF(AND(F2036&lt;&gt;"",OR(NOT(ISNUMBER(F2036)),N(F2036)&lt;0,N(F2036)&gt;=1)),"Perte entre 0 et 99 %",IF(COUNTIFS(bom_prod,A2036,bom_mat,B2036)&gt;1,"Matière en double","OK")))))))))</f>
        <v/>
      </c>
      <c r="K2036" s="71" t="str">
        <f>IF(AND(fiche_sel&lt;&gt;"",A2036=fiche_sel),COUNTIF(A$6:A2036,fiche_sel),"")</f>
        <v/>
      </c>
    </row>
    <row r="2037">
      <c r="A2037" s="60" t="n"/>
      <c r="B2037" s="60" t="n"/>
      <c r="C2037" s="71" t="str">
        <f>IF(B2037="","",IFERROR(INDEX(mat_des,MATCH(B2037,mat_ref,0))&amp;"","Matière inconnue"))</f>
        <v/>
      </c>
      <c r="D2037" s="69" t="str">
        <f>IF(B2037="","",IFERROR(INDEX(mat_unit,MATCH(B2037,mat_ref,0))&amp;"",""))</f>
        <v/>
      </c>
      <c r="E2037" s="72" t="n"/>
      <c r="F2037" s="65" t="n"/>
      <c r="G2037" s="68" t="str">
        <f>IF(J2037&lt;&gt;"OK","",IF(F2037="",N(INDEX(mat_loss,MATCH(B2037,mat_ref,0))),F2037))</f>
        <v/>
      </c>
      <c r="H2037" s="66" t="str">
        <f>IF(J2037&lt;&gt;"OK","",INDEX(mat_price,MATCH(B2037,mat_ref,0)))</f>
        <v/>
      </c>
      <c r="I2037" s="66" t="str">
        <f>IF(J2037&lt;&gt;"OK","",E2037*(1+G2037)*H2037)</f>
        <v/>
      </c>
      <c r="J2037" s="69" t="str">
        <f>IF(AND(A2037="",B2037=""),"",IF(A2037="","Produit manquant",IF(COUNTIF(prod_ref,A2037)=0,"Produit inconnu",IF(B2037="","Matière manquante",IF(ISNA(MATCH(B2037,mat_ref,0)),"Matière inconnue",IF(INDEX(mat_check,MATCH(B2037,mat_ref,0))&lt;&gt;"OK","Matière à corriger",IF(OR(NOT(ISNUMBER(E2037)),N(E2037)&lt;=0),"Quantité invalide",IF(AND(F2037&lt;&gt;"",OR(NOT(ISNUMBER(F2037)),N(F2037)&lt;0,N(F2037)&gt;=1)),"Perte entre 0 et 99 %",IF(COUNTIFS(bom_prod,A2037,bom_mat,B2037)&gt;1,"Matière en double","OK")))))))))</f>
        <v/>
      </c>
      <c r="K2037" s="71" t="str">
        <f>IF(AND(fiche_sel&lt;&gt;"",A2037=fiche_sel),COUNTIF(A$6:A2037,fiche_sel),"")</f>
        <v/>
      </c>
    </row>
    <row r="2038">
      <c r="A2038" s="60" t="n"/>
      <c r="B2038" s="60" t="n"/>
      <c r="C2038" s="71" t="str">
        <f>IF(B2038="","",IFERROR(INDEX(mat_des,MATCH(B2038,mat_ref,0))&amp;"","Matière inconnue"))</f>
        <v/>
      </c>
      <c r="D2038" s="69" t="str">
        <f>IF(B2038="","",IFERROR(INDEX(mat_unit,MATCH(B2038,mat_ref,0))&amp;"",""))</f>
        <v/>
      </c>
      <c r="E2038" s="72" t="n"/>
      <c r="F2038" s="65" t="n"/>
      <c r="G2038" s="68" t="str">
        <f>IF(J2038&lt;&gt;"OK","",IF(F2038="",N(INDEX(mat_loss,MATCH(B2038,mat_ref,0))),F2038))</f>
        <v/>
      </c>
      <c r="H2038" s="66" t="str">
        <f>IF(J2038&lt;&gt;"OK","",INDEX(mat_price,MATCH(B2038,mat_ref,0)))</f>
        <v/>
      </c>
      <c r="I2038" s="66" t="str">
        <f>IF(J2038&lt;&gt;"OK","",E2038*(1+G2038)*H2038)</f>
        <v/>
      </c>
      <c r="J2038" s="69" t="str">
        <f>IF(AND(A2038="",B2038=""),"",IF(A2038="","Produit manquant",IF(COUNTIF(prod_ref,A2038)=0,"Produit inconnu",IF(B2038="","Matière manquante",IF(ISNA(MATCH(B2038,mat_ref,0)),"Matière inconnue",IF(INDEX(mat_check,MATCH(B2038,mat_ref,0))&lt;&gt;"OK","Matière à corriger",IF(OR(NOT(ISNUMBER(E2038)),N(E2038)&lt;=0),"Quantité invalide",IF(AND(F2038&lt;&gt;"",OR(NOT(ISNUMBER(F2038)),N(F2038)&lt;0,N(F2038)&gt;=1)),"Perte entre 0 et 99 %",IF(COUNTIFS(bom_prod,A2038,bom_mat,B2038)&gt;1,"Matière en double","OK")))))))))</f>
        <v/>
      </c>
      <c r="K2038" s="71" t="str">
        <f>IF(AND(fiche_sel&lt;&gt;"",A2038=fiche_sel),COUNTIF(A$6:A2038,fiche_sel),"")</f>
        <v/>
      </c>
    </row>
    <row r="2039">
      <c r="A2039" s="60" t="n"/>
      <c r="B2039" s="60" t="n"/>
      <c r="C2039" s="71" t="str">
        <f>IF(B2039="","",IFERROR(INDEX(mat_des,MATCH(B2039,mat_ref,0))&amp;"","Matière inconnue"))</f>
        <v/>
      </c>
      <c r="D2039" s="69" t="str">
        <f>IF(B2039="","",IFERROR(INDEX(mat_unit,MATCH(B2039,mat_ref,0))&amp;"",""))</f>
        <v/>
      </c>
      <c r="E2039" s="72" t="n"/>
      <c r="F2039" s="65" t="n"/>
      <c r="G2039" s="68" t="str">
        <f>IF(J2039&lt;&gt;"OK","",IF(F2039="",N(INDEX(mat_loss,MATCH(B2039,mat_ref,0))),F2039))</f>
        <v/>
      </c>
      <c r="H2039" s="66" t="str">
        <f>IF(J2039&lt;&gt;"OK","",INDEX(mat_price,MATCH(B2039,mat_ref,0)))</f>
        <v/>
      </c>
      <c r="I2039" s="66" t="str">
        <f>IF(J2039&lt;&gt;"OK","",E2039*(1+G2039)*H2039)</f>
        <v/>
      </c>
      <c r="J2039" s="69" t="str">
        <f>IF(AND(A2039="",B2039=""),"",IF(A2039="","Produit manquant",IF(COUNTIF(prod_ref,A2039)=0,"Produit inconnu",IF(B2039="","Matière manquante",IF(ISNA(MATCH(B2039,mat_ref,0)),"Matière inconnue",IF(INDEX(mat_check,MATCH(B2039,mat_ref,0))&lt;&gt;"OK","Matière à corriger",IF(OR(NOT(ISNUMBER(E2039)),N(E2039)&lt;=0),"Quantité invalide",IF(AND(F2039&lt;&gt;"",OR(NOT(ISNUMBER(F2039)),N(F2039)&lt;0,N(F2039)&gt;=1)),"Perte entre 0 et 99 %",IF(COUNTIFS(bom_prod,A2039,bom_mat,B2039)&gt;1,"Matière en double","OK")))))))))</f>
        <v/>
      </c>
      <c r="K2039" s="71" t="str">
        <f>IF(AND(fiche_sel&lt;&gt;"",A2039=fiche_sel),COUNTIF(A$6:A2039,fiche_sel),"")</f>
        <v/>
      </c>
    </row>
    <row r="2040">
      <c r="A2040" s="60" t="n"/>
      <c r="B2040" s="60" t="n"/>
      <c r="C2040" s="71" t="str">
        <f>IF(B2040="","",IFERROR(INDEX(mat_des,MATCH(B2040,mat_ref,0))&amp;"","Matière inconnue"))</f>
        <v/>
      </c>
      <c r="D2040" s="69" t="str">
        <f>IF(B2040="","",IFERROR(INDEX(mat_unit,MATCH(B2040,mat_ref,0))&amp;"",""))</f>
        <v/>
      </c>
      <c r="E2040" s="72" t="n"/>
      <c r="F2040" s="65" t="n"/>
      <c r="G2040" s="68" t="str">
        <f>IF(J2040&lt;&gt;"OK","",IF(F2040="",N(INDEX(mat_loss,MATCH(B2040,mat_ref,0))),F2040))</f>
        <v/>
      </c>
      <c r="H2040" s="66" t="str">
        <f>IF(J2040&lt;&gt;"OK","",INDEX(mat_price,MATCH(B2040,mat_ref,0)))</f>
        <v/>
      </c>
      <c r="I2040" s="66" t="str">
        <f>IF(J2040&lt;&gt;"OK","",E2040*(1+G2040)*H2040)</f>
        <v/>
      </c>
      <c r="J2040" s="69" t="str">
        <f>IF(AND(A2040="",B2040=""),"",IF(A2040="","Produit manquant",IF(COUNTIF(prod_ref,A2040)=0,"Produit inconnu",IF(B2040="","Matière manquante",IF(ISNA(MATCH(B2040,mat_ref,0)),"Matière inconnue",IF(INDEX(mat_check,MATCH(B2040,mat_ref,0))&lt;&gt;"OK","Matière à corriger",IF(OR(NOT(ISNUMBER(E2040)),N(E2040)&lt;=0),"Quantité invalide",IF(AND(F2040&lt;&gt;"",OR(NOT(ISNUMBER(F2040)),N(F2040)&lt;0,N(F2040)&gt;=1)),"Perte entre 0 et 99 %",IF(COUNTIFS(bom_prod,A2040,bom_mat,B2040)&gt;1,"Matière en double","OK")))))))))</f>
        <v/>
      </c>
      <c r="K2040" s="71" t="str">
        <f>IF(AND(fiche_sel&lt;&gt;"",A2040=fiche_sel),COUNTIF(A$6:A2040,fiche_sel),"")</f>
        <v/>
      </c>
    </row>
    <row r="2041">
      <c r="A2041" s="60" t="n"/>
      <c r="B2041" s="60" t="n"/>
      <c r="C2041" s="71" t="str">
        <f>IF(B2041="","",IFERROR(INDEX(mat_des,MATCH(B2041,mat_ref,0))&amp;"","Matière inconnue"))</f>
        <v/>
      </c>
      <c r="D2041" s="69" t="str">
        <f>IF(B2041="","",IFERROR(INDEX(mat_unit,MATCH(B2041,mat_ref,0))&amp;"",""))</f>
        <v/>
      </c>
      <c r="E2041" s="72" t="n"/>
      <c r="F2041" s="65" t="n"/>
      <c r="G2041" s="68" t="str">
        <f>IF(J2041&lt;&gt;"OK","",IF(F2041="",N(INDEX(mat_loss,MATCH(B2041,mat_ref,0))),F2041))</f>
        <v/>
      </c>
      <c r="H2041" s="66" t="str">
        <f>IF(J2041&lt;&gt;"OK","",INDEX(mat_price,MATCH(B2041,mat_ref,0)))</f>
        <v/>
      </c>
      <c r="I2041" s="66" t="str">
        <f>IF(J2041&lt;&gt;"OK","",E2041*(1+G2041)*H2041)</f>
        <v/>
      </c>
      <c r="J2041" s="69" t="str">
        <f>IF(AND(A2041="",B2041=""),"",IF(A2041="","Produit manquant",IF(COUNTIF(prod_ref,A2041)=0,"Produit inconnu",IF(B2041="","Matière manquante",IF(ISNA(MATCH(B2041,mat_ref,0)),"Matière inconnue",IF(INDEX(mat_check,MATCH(B2041,mat_ref,0))&lt;&gt;"OK","Matière à corriger",IF(OR(NOT(ISNUMBER(E2041)),N(E2041)&lt;=0),"Quantité invalide",IF(AND(F2041&lt;&gt;"",OR(NOT(ISNUMBER(F2041)),N(F2041)&lt;0,N(F2041)&gt;=1)),"Perte entre 0 et 99 %",IF(COUNTIFS(bom_prod,A2041,bom_mat,B2041)&gt;1,"Matière en double","OK")))))))))</f>
        <v/>
      </c>
      <c r="K2041" s="71" t="str">
        <f>IF(AND(fiche_sel&lt;&gt;"",A2041=fiche_sel),COUNTIF(A$6:A2041,fiche_sel),"")</f>
        <v/>
      </c>
    </row>
    <row r="2042">
      <c r="A2042" s="60" t="n"/>
      <c r="B2042" s="60" t="n"/>
      <c r="C2042" s="71" t="str">
        <f>IF(B2042="","",IFERROR(INDEX(mat_des,MATCH(B2042,mat_ref,0))&amp;"","Matière inconnue"))</f>
        <v/>
      </c>
      <c r="D2042" s="69" t="str">
        <f>IF(B2042="","",IFERROR(INDEX(mat_unit,MATCH(B2042,mat_ref,0))&amp;"",""))</f>
        <v/>
      </c>
      <c r="E2042" s="72" t="n"/>
      <c r="F2042" s="65" t="n"/>
      <c r="G2042" s="68" t="str">
        <f>IF(J2042&lt;&gt;"OK","",IF(F2042="",N(INDEX(mat_loss,MATCH(B2042,mat_ref,0))),F2042))</f>
        <v/>
      </c>
      <c r="H2042" s="66" t="str">
        <f>IF(J2042&lt;&gt;"OK","",INDEX(mat_price,MATCH(B2042,mat_ref,0)))</f>
        <v/>
      </c>
      <c r="I2042" s="66" t="str">
        <f>IF(J2042&lt;&gt;"OK","",E2042*(1+G2042)*H2042)</f>
        <v/>
      </c>
      <c r="J2042" s="69" t="str">
        <f>IF(AND(A2042="",B2042=""),"",IF(A2042="","Produit manquant",IF(COUNTIF(prod_ref,A2042)=0,"Produit inconnu",IF(B2042="","Matière manquante",IF(ISNA(MATCH(B2042,mat_ref,0)),"Matière inconnue",IF(INDEX(mat_check,MATCH(B2042,mat_ref,0))&lt;&gt;"OK","Matière à corriger",IF(OR(NOT(ISNUMBER(E2042)),N(E2042)&lt;=0),"Quantité invalide",IF(AND(F2042&lt;&gt;"",OR(NOT(ISNUMBER(F2042)),N(F2042)&lt;0,N(F2042)&gt;=1)),"Perte entre 0 et 99 %",IF(COUNTIFS(bom_prod,A2042,bom_mat,B2042)&gt;1,"Matière en double","OK")))))))))</f>
        <v/>
      </c>
      <c r="K2042" s="71" t="str">
        <f>IF(AND(fiche_sel&lt;&gt;"",A2042=fiche_sel),COUNTIF(A$6:A2042,fiche_sel),"")</f>
        <v/>
      </c>
    </row>
    <row r="2043">
      <c r="A2043" s="60" t="n"/>
      <c r="B2043" s="60" t="n"/>
      <c r="C2043" s="71" t="str">
        <f>IF(B2043="","",IFERROR(INDEX(mat_des,MATCH(B2043,mat_ref,0))&amp;"","Matière inconnue"))</f>
        <v/>
      </c>
      <c r="D2043" s="69" t="str">
        <f>IF(B2043="","",IFERROR(INDEX(mat_unit,MATCH(B2043,mat_ref,0))&amp;"",""))</f>
        <v/>
      </c>
      <c r="E2043" s="72" t="n"/>
      <c r="F2043" s="65" t="n"/>
      <c r="G2043" s="68" t="str">
        <f>IF(J2043&lt;&gt;"OK","",IF(F2043="",N(INDEX(mat_loss,MATCH(B2043,mat_ref,0))),F2043))</f>
        <v/>
      </c>
      <c r="H2043" s="66" t="str">
        <f>IF(J2043&lt;&gt;"OK","",INDEX(mat_price,MATCH(B2043,mat_ref,0)))</f>
        <v/>
      </c>
      <c r="I2043" s="66" t="str">
        <f>IF(J2043&lt;&gt;"OK","",E2043*(1+G2043)*H2043)</f>
        <v/>
      </c>
      <c r="J2043" s="69" t="str">
        <f>IF(AND(A2043="",B2043=""),"",IF(A2043="","Produit manquant",IF(COUNTIF(prod_ref,A2043)=0,"Produit inconnu",IF(B2043="","Matière manquante",IF(ISNA(MATCH(B2043,mat_ref,0)),"Matière inconnue",IF(INDEX(mat_check,MATCH(B2043,mat_ref,0))&lt;&gt;"OK","Matière à corriger",IF(OR(NOT(ISNUMBER(E2043)),N(E2043)&lt;=0),"Quantité invalide",IF(AND(F2043&lt;&gt;"",OR(NOT(ISNUMBER(F2043)),N(F2043)&lt;0,N(F2043)&gt;=1)),"Perte entre 0 et 99 %",IF(COUNTIFS(bom_prod,A2043,bom_mat,B2043)&gt;1,"Matière en double","OK")))))))))</f>
        <v/>
      </c>
      <c r="K2043" s="71" t="str">
        <f>IF(AND(fiche_sel&lt;&gt;"",A2043=fiche_sel),COUNTIF(A$6:A2043,fiche_sel),"")</f>
        <v/>
      </c>
    </row>
    <row r="2044">
      <c r="A2044" s="60" t="n"/>
      <c r="B2044" s="60" t="n"/>
      <c r="C2044" s="71" t="str">
        <f>IF(B2044="","",IFERROR(INDEX(mat_des,MATCH(B2044,mat_ref,0))&amp;"","Matière inconnue"))</f>
        <v/>
      </c>
      <c r="D2044" s="69" t="str">
        <f>IF(B2044="","",IFERROR(INDEX(mat_unit,MATCH(B2044,mat_ref,0))&amp;"",""))</f>
        <v/>
      </c>
      <c r="E2044" s="72" t="n"/>
      <c r="F2044" s="65" t="n"/>
      <c r="G2044" s="68" t="str">
        <f>IF(J2044&lt;&gt;"OK","",IF(F2044="",N(INDEX(mat_loss,MATCH(B2044,mat_ref,0))),F2044))</f>
        <v/>
      </c>
      <c r="H2044" s="66" t="str">
        <f>IF(J2044&lt;&gt;"OK","",INDEX(mat_price,MATCH(B2044,mat_ref,0)))</f>
        <v/>
      </c>
      <c r="I2044" s="66" t="str">
        <f>IF(J2044&lt;&gt;"OK","",E2044*(1+G2044)*H2044)</f>
        <v/>
      </c>
      <c r="J2044" s="69" t="str">
        <f>IF(AND(A2044="",B2044=""),"",IF(A2044="","Produit manquant",IF(COUNTIF(prod_ref,A2044)=0,"Produit inconnu",IF(B2044="","Matière manquante",IF(ISNA(MATCH(B2044,mat_ref,0)),"Matière inconnue",IF(INDEX(mat_check,MATCH(B2044,mat_ref,0))&lt;&gt;"OK","Matière à corriger",IF(OR(NOT(ISNUMBER(E2044)),N(E2044)&lt;=0),"Quantité invalide",IF(AND(F2044&lt;&gt;"",OR(NOT(ISNUMBER(F2044)),N(F2044)&lt;0,N(F2044)&gt;=1)),"Perte entre 0 et 99 %",IF(COUNTIFS(bom_prod,A2044,bom_mat,B2044)&gt;1,"Matière en double","OK")))))))))</f>
        <v/>
      </c>
      <c r="K2044" s="71" t="str">
        <f>IF(AND(fiche_sel&lt;&gt;"",A2044=fiche_sel),COUNTIF(A$6:A2044,fiche_sel),"")</f>
        <v/>
      </c>
    </row>
    <row r="2045">
      <c r="A2045" s="60" t="n"/>
      <c r="B2045" s="60" t="n"/>
      <c r="C2045" s="71" t="str">
        <f>IF(B2045="","",IFERROR(INDEX(mat_des,MATCH(B2045,mat_ref,0))&amp;"","Matière inconnue"))</f>
        <v/>
      </c>
      <c r="D2045" s="69" t="str">
        <f>IF(B2045="","",IFERROR(INDEX(mat_unit,MATCH(B2045,mat_ref,0))&amp;"",""))</f>
        <v/>
      </c>
      <c r="E2045" s="72" t="n"/>
      <c r="F2045" s="65" t="n"/>
      <c r="G2045" s="68" t="str">
        <f>IF(J2045&lt;&gt;"OK","",IF(F2045="",N(INDEX(mat_loss,MATCH(B2045,mat_ref,0))),F2045))</f>
        <v/>
      </c>
      <c r="H2045" s="66" t="str">
        <f>IF(J2045&lt;&gt;"OK","",INDEX(mat_price,MATCH(B2045,mat_ref,0)))</f>
        <v/>
      </c>
      <c r="I2045" s="66" t="str">
        <f>IF(J2045&lt;&gt;"OK","",E2045*(1+G2045)*H2045)</f>
        <v/>
      </c>
      <c r="J2045" s="69" t="str">
        <f>IF(AND(A2045="",B2045=""),"",IF(A2045="","Produit manquant",IF(COUNTIF(prod_ref,A2045)=0,"Produit inconnu",IF(B2045="","Matière manquante",IF(ISNA(MATCH(B2045,mat_ref,0)),"Matière inconnue",IF(INDEX(mat_check,MATCH(B2045,mat_ref,0))&lt;&gt;"OK","Matière à corriger",IF(OR(NOT(ISNUMBER(E2045)),N(E2045)&lt;=0),"Quantité invalide",IF(AND(F2045&lt;&gt;"",OR(NOT(ISNUMBER(F2045)),N(F2045)&lt;0,N(F2045)&gt;=1)),"Perte entre 0 et 99 %",IF(COUNTIFS(bom_prod,A2045,bom_mat,B2045)&gt;1,"Matière en double","OK")))))))))</f>
        <v/>
      </c>
      <c r="K2045" s="71" t="str">
        <f>IF(AND(fiche_sel&lt;&gt;"",A2045=fiche_sel),COUNTIF(A$6:A2045,fiche_sel),"")</f>
        <v/>
      </c>
    </row>
    <row r="2046">
      <c r="A2046" s="60" t="n"/>
      <c r="B2046" s="60" t="n"/>
      <c r="C2046" s="71" t="str">
        <f>IF(B2046="","",IFERROR(INDEX(mat_des,MATCH(B2046,mat_ref,0))&amp;"","Matière inconnue"))</f>
        <v/>
      </c>
      <c r="D2046" s="69" t="str">
        <f>IF(B2046="","",IFERROR(INDEX(mat_unit,MATCH(B2046,mat_ref,0))&amp;"",""))</f>
        <v/>
      </c>
      <c r="E2046" s="72" t="n"/>
      <c r="F2046" s="65" t="n"/>
      <c r="G2046" s="68" t="str">
        <f>IF(J2046&lt;&gt;"OK","",IF(F2046="",N(INDEX(mat_loss,MATCH(B2046,mat_ref,0))),F2046))</f>
        <v/>
      </c>
      <c r="H2046" s="66" t="str">
        <f>IF(J2046&lt;&gt;"OK","",INDEX(mat_price,MATCH(B2046,mat_ref,0)))</f>
        <v/>
      </c>
      <c r="I2046" s="66" t="str">
        <f>IF(J2046&lt;&gt;"OK","",E2046*(1+G2046)*H2046)</f>
        <v/>
      </c>
      <c r="J2046" s="69" t="str">
        <f>IF(AND(A2046="",B2046=""),"",IF(A2046="","Produit manquant",IF(COUNTIF(prod_ref,A2046)=0,"Produit inconnu",IF(B2046="","Matière manquante",IF(ISNA(MATCH(B2046,mat_ref,0)),"Matière inconnue",IF(INDEX(mat_check,MATCH(B2046,mat_ref,0))&lt;&gt;"OK","Matière à corriger",IF(OR(NOT(ISNUMBER(E2046)),N(E2046)&lt;=0),"Quantité invalide",IF(AND(F2046&lt;&gt;"",OR(NOT(ISNUMBER(F2046)),N(F2046)&lt;0,N(F2046)&gt;=1)),"Perte entre 0 et 99 %",IF(COUNTIFS(bom_prod,A2046,bom_mat,B2046)&gt;1,"Matière en double","OK")))))))))</f>
        <v/>
      </c>
      <c r="K2046" s="71" t="str">
        <f>IF(AND(fiche_sel&lt;&gt;"",A2046=fiche_sel),COUNTIF(A$6:A2046,fiche_sel),"")</f>
        <v/>
      </c>
    </row>
    <row r="2047">
      <c r="A2047" s="60" t="n"/>
      <c r="B2047" s="60" t="n"/>
      <c r="C2047" s="71" t="str">
        <f>IF(B2047="","",IFERROR(INDEX(mat_des,MATCH(B2047,mat_ref,0))&amp;"","Matière inconnue"))</f>
        <v/>
      </c>
      <c r="D2047" s="69" t="str">
        <f>IF(B2047="","",IFERROR(INDEX(mat_unit,MATCH(B2047,mat_ref,0))&amp;"",""))</f>
        <v/>
      </c>
      <c r="E2047" s="72" t="n"/>
      <c r="F2047" s="65" t="n"/>
      <c r="G2047" s="68" t="str">
        <f>IF(J2047&lt;&gt;"OK","",IF(F2047="",N(INDEX(mat_loss,MATCH(B2047,mat_ref,0))),F2047))</f>
        <v/>
      </c>
      <c r="H2047" s="66" t="str">
        <f>IF(J2047&lt;&gt;"OK","",INDEX(mat_price,MATCH(B2047,mat_ref,0)))</f>
        <v/>
      </c>
      <c r="I2047" s="66" t="str">
        <f>IF(J2047&lt;&gt;"OK","",E2047*(1+G2047)*H2047)</f>
        <v/>
      </c>
      <c r="J2047" s="69" t="str">
        <f>IF(AND(A2047="",B2047=""),"",IF(A2047="","Produit manquant",IF(COUNTIF(prod_ref,A2047)=0,"Produit inconnu",IF(B2047="","Matière manquante",IF(ISNA(MATCH(B2047,mat_ref,0)),"Matière inconnue",IF(INDEX(mat_check,MATCH(B2047,mat_ref,0))&lt;&gt;"OK","Matière à corriger",IF(OR(NOT(ISNUMBER(E2047)),N(E2047)&lt;=0),"Quantité invalide",IF(AND(F2047&lt;&gt;"",OR(NOT(ISNUMBER(F2047)),N(F2047)&lt;0,N(F2047)&gt;=1)),"Perte entre 0 et 99 %",IF(COUNTIFS(bom_prod,A2047,bom_mat,B2047)&gt;1,"Matière en double","OK")))))))))</f>
        <v/>
      </c>
      <c r="K2047" s="71" t="str">
        <f>IF(AND(fiche_sel&lt;&gt;"",A2047=fiche_sel),COUNTIF(A$6:A2047,fiche_sel),"")</f>
        <v/>
      </c>
    </row>
    <row r="2048">
      <c r="A2048" s="60" t="n"/>
      <c r="B2048" s="60" t="n"/>
      <c r="C2048" s="71" t="str">
        <f>IF(B2048="","",IFERROR(INDEX(mat_des,MATCH(B2048,mat_ref,0))&amp;"","Matière inconnue"))</f>
        <v/>
      </c>
      <c r="D2048" s="69" t="str">
        <f>IF(B2048="","",IFERROR(INDEX(mat_unit,MATCH(B2048,mat_ref,0))&amp;"",""))</f>
        <v/>
      </c>
      <c r="E2048" s="72" t="n"/>
      <c r="F2048" s="65" t="n"/>
      <c r="G2048" s="68" t="str">
        <f>IF(J2048&lt;&gt;"OK","",IF(F2048="",N(INDEX(mat_loss,MATCH(B2048,mat_ref,0))),F2048))</f>
        <v/>
      </c>
      <c r="H2048" s="66" t="str">
        <f>IF(J2048&lt;&gt;"OK","",INDEX(mat_price,MATCH(B2048,mat_ref,0)))</f>
        <v/>
      </c>
      <c r="I2048" s="66" t="str">
        <f>IF(J2048&lt;&gt;"OK","",E2048*(1+G2048)*H2048)</f>
        <v/>
      </c>
      <c r="J2048" s="69" t="str">
        <f>IF(AND(A2048="",B2048=""),"",IF(A2048="","Produit manquant",IF(COUNTIF(prod_ref,A2048)=0,"Produit inconnu",IF(B2048="","Matière manquante",IF(ISNA(MATCH(B2048,mat_ref,0)),"Matière inconnue",IF(INDEX(mat_check,MATCH(B2048,mat_ref,0))&lt;&gt;"OK","Matière à corriger",IF(OR(NOT(ISNUMBER(E2048)),N(E2048)&lt;=0),"Quantité invalide",IF(AND(F2048&lt;&gt;"",OR(NOT(ISNUMBER(F2048)),N(F2048)&lt;0,N(F2048)&gt;=1)),"Perte entre 0 et 99 %",IF(COUNTIFS(bom_prod,A2048,bom_mat,B2048)&gt;1,"Matière en double","OK")))))))))</f>
        <v/>
      </c>
      <c r="K2048" s="71" t="str">
        <f>IF(AND(fiche_sel&lt;&gt;"",A2048=fiche_sel),COUNTIF(A$6:A2048,fiche_sel),"")</f>
        <v/>
      </c>
    </row>
    <row r="2049">
      <c r="A2049" s="60" t="n"/>
      <c r="B2049" s="60" t="n"/>
      <c r="C2049" s="71" t="str">
        <f>IF(B2049="","",IFERROR(INDEX(mat_des,MATCH(B2049,mat_ref,0))&amp;"","Matière inconnue"))</f>
        <v/>
      </c>
      <c r="D2049" s="69" t="str">
        <f>IF(B2049="","",IFERROR(INDEX(mat_unit,MATCH(B2049,mat_ref,0))&amp;"",""))</f>
        <v/>
      </c>
      <c r="E2049" s="72" t="n"/>
      <c r="F2049" s="65" t="n"/>
      <c r="G2049" s="68" t="str">
        <f>IF(J2049&lt;&gt;"OK","",IF(F2049="",N(INDEX(mat_loss,MATCH(B2049,mat_ref,0))),F2049))</f>
        <v/>
      </c>
      <c r="H2049" s="66" t="str">
        <f>IF(J2049&lt;&gt;"OK","",INDEX(mat_price,MATCH(B2049,mat_ref,0)))</f>
        <v/>
      </c>
      <c r="I2049" s="66" t="str">
        <f>IF(J2049&lt;&gt;"OK","",E2049*(1+G2049)*H2049)</f>
        <v/>
      </c>
      <c r="J2049" s="69" t="str">
        <f>IF(AND(A2049="",B2049=""),"",IF(A2049="","Produit manquant",IF(COUNTIF(prod_ref,A2049)=0,"Produit inconnu",IF(B2049="","Matière manquante",IF(ISNA(MATCH(B2049,mat_ref,0)),"Matière inconnue",IF(INDEX(mat_check,MATCH(B2049,mat_ref,0))&lt;&gt;"OK","Matière à corriger",IF(OR(NOT(ISNUMBER(E2049)),N(E2049)&lt;=0),"Quantité invalide",IF(AND(F2049&lt;&gt;"",OR(NOT(ISNUMBER(F2049)),N(F2049)&lt;0,N(F2049)&gt;=1)),"Perte entre 0 et 99 %",IF(COUNTIFS(bom_prod,A2049,bom_mat,B2049)&gt;1,"Matière en double","OK")))))))))</f>
        <v/>
      </c>
      <c r="K2049" s="71" t="str">
        <f>IF(AND(fiche_sel&lt;&gt;"",A2049=fiche_sel),COUNTIF(A$6:A2049,fiche_sel),"")</f>
        <v/>
      </c>
    </row>
    <row r="2050">
      <c r="A2050" s="60" t="n"/>
      <c r="B2050" s="60" t="n"/>
      <c r="C2050" s="71" t="str">
        <f>IF(B2050="","",IFERROR(INDEX(mat_des,MATCH(B2050,mat_ref,0))&amp;"","Matière inconnue"))</f>
        <v/>
      </c>
      <c r="D2050" s="69" t="str">
        <f>IF(B2050="","",IFERROR(INDEX(mat_unit,MATCH(B2050,mat_ref,0))&amp;"",""))</f>
        <v/>
      </c>
      <c r="E2050" s="72" t="n"/>
      <c r="F2050" s="65" t="n"/>
      <c r="G2050" s="68" t="str">
        <f>IF(J2050&lt;&gt;"OK","",IF(F2050="",N(INDEX(mat_loss,MATCH(B2050,mat_ref,0))),F2050))</f>
        <v/>
      </c>
      <c r="H2050" s="66" t="str">
        <f>IF(J2050&lt;&gt;"OK","",INDEX(mat_price,MATCH(B2050,mat_ref,0)))</f>
        <v/>
      </c>
      <c r="I2050" s="66" t="str">
        <f>IF(J2050&lt;&gt;"OK","",E2050*(1+G2050)*H2050)</f>
        <v/>
      </c>
      <c r="J2050" s="69" t="str">
        <f>IF(AND(A2050="",B2050=""),"",IF(A2050="","Produit manquant",IF(COUNTIF(prod_ref,A2050)=0,"Produit inconnu",IF(B2050="","Matière manquante",IF(ISNA(MATCH(B2050,mat_ref,0)),"Matière inconnue",IF(INDEX(mat_check,MATCH(B2050,mat_ref,0))&lt;&gt;"OK","Matière à corriger",IF(OR(NOT(ISNUMBER(E2050)),N(E2050)&lt;=0),"Quantité invalide",IF(AND(F2050&lt;&gt;"",OR(NOT(ISNUMBER(F2050)),N(F2050)&lt;0,N(F2050)&gt;=1)),"Perte entre 0 et 99 %",IF(COUNTIFS(bom_prod,A2050,bom_mat,B2050)&gt;1,"Matière en double","OK")))))))))</f>
        <v/>
      </c>
      <c r="K2050" s="71" t="str">
        <f>IF(AND(fiche_sel&lt;&gt;"",A2050=fiche_sel),COUNTIF(A$6:A2050,fiche_sel),"")</f>
        <v/>
      </c>
    </row>
    <row r="2051">
      <c r="A2051" s="60" t="n"/>
      <c r="B2051" s="60" t="n"/>
      <c r="C2051" s="71" t="str">
        <f>IF(B2051="","",IFERROR(INDEX(mat_des,MATCH(B2051,mat_ref,0))&amp;"","Matière inconnue"))</f>
        <v/>
      </c>
      <c r="D2051" s="69" t="str">
        <f>IF(B2051="","",IFERROR(INDEX(mat_unit,MATCH(B2051,mat_ref,0))&amp;"",""))</f>
        <v/>
      </c>
      <c r="E2051" s="72" t="n"/>
      <c r="F2051" s="65" t="n"/>
      <c r="G2051" s="68" t="str">
        <f>IF(J2051&lt;&gt;"OK","",IF(F2051="",N(INDEX(mat_loss,MATCH(B2051,mat_ref,0))),F2051))</f>
        <v/>
      </c>
      <c r="H2051" s="66" t="str">
        <f>IF(J2051&lt;&gt;"OK","",INDEX(mat_price,MATCH(B2051,mat_ref,0)))</f>
        <v/>
      </c>
      <c r="I2051" s="66" t="str">
        <f>IF(J2051&lt;&gt;"OK","",E2051*(1+G2051)*H2051)</f>
        <v/>
      </c>
      <c r="J2051" s="69" t="str">
        <f>IF(AND(A2051="",B2051=""),"",IF(A2051="","Produit manquant",IF(COUNTIF(prod_ref,A2051)=0,"Produit inconnu",IF(B2051="","Matière manquante",IF(ISNA(MATCH(B2051,mat_ref,0)),"Matière inconnue",IF(INDEX(mat_check,MATCH(B2051,mat_ref,0))&lt;&gt;"OK","Matière à corriger",IF(OR(NOT(ISNUMBER(E2051)),N(E2051)&lt;=0),"Quantité invalide",IF(AND(F2051&lt;&gt;"",OR(NOT(ISNUMBER(F2051)),N(F2051)&lt;0,N(F2051)&gt;=1)),"Perte entre 0 et 99 %",IF(COUNTIFS(bom_prod,A2051,bom_mat,B2051)&gt;1,"Matière en double","OK")))))))))</f>
        <v/>
      </c>
      <c r="K2051" s="71" t="str">
        <f>IF(AND(fiche_sel&lt;&gt;"",A2051=fiche_sel),COUNTIF(A$6:A2051,fiche_sel),"")</f>
        <v/>
      </c>
    </row>
    <row r="2052">
      <c r="A2052" s="60" t="n"/>
      <c r="B2052" s="60" t="n"/>
      <c r="C2052" s="71" t="str">
        <f>IF(B2052="","",IFERROR(INDEX(mat_des,MATCH(B2052,mat_ref,0))&amp;"","Matière inconnue"))</f>
        <v/>
      </c>
      <c r="D2052" s="69" t="str">
        <f>IF(B2052="","",IFERROR(INDEX(mat_unit,MATCH(B2052,mat_ref,0))&amp;"",""))</f>
        <v/>
      </c>
      <c r="E2052" s="72" t="n"/>
      <c r="F2052" s="65" t="n"/>
      <c r="G2052" s="68" t="str">
        <f>IF(J2052&lt;&gt;"OK","",IF(F2052="",N(INDEX(mat_loss,MATCH(B2052,mat_ref,0))),F2052))</f>
        <v/>
      </c>
      <c r="H2052" s="66" t="str">
        <f>IF(J2052&lt;&gt;"OK","",INDEX(mat_price,MATCH(B2052,mat_ref,0)))</f>
        <v/>
      </c>
      <c r="I2052" s="66" t="str">
        <f>IF(J2052&lt;&gt;"OK","",E2052*(1+G2052)*H2052)</f>
        <v/>
      </c>
      <c r="J2052" s="69" t="str">
        <f>IF(AND(A2052="",B2052=""),"",IF(A2052="","Produit manquant",IF(COUNTIF(prod_ref,A2052)=0,"Produit inconnu",IF(B2052="","Matière manquante",IF(ISNA(MATCH(B2052,mat_ref,0)),"Matière inconnue",IF(INDEX(mat_check,MATCH(B2052,mat_ref,0))&lt;&gt;"OK","Matière à corriger",IF(OR(NOT(ISNUMBER(E2052)),N(E2052)&lt;=0),"Quantité invalide",IF(AND(F2052&lt;&gt;"",OR(NOT(ISNUMBER(F2052)),N(F2052)&lt;0,N(F2052)&gt;=1)),"Perte entre 0 et 99 %",IF(COUNTIFS(bom_prod,A2052,bom_mat,B2052)&gt;1,"Matière en double","OK")))))))))</f>
        <v/>
      </c>
      <c r="K2052" s="71" t="str">
        <f>IF(AND(fiche_sel&lt;&gt;"",A2052=fiche_sel),COUNTIF(A$6:A2052,fiche_sel),"")</f>
        <v/>
      </c>
    </row>
    <row r="2053">
      <c r="A2053" s="60" t="n"/>
      <c r="B2053" s="60" t="n"/>
      <c r="C2053" s="71" t="str">
        <f>IF(B2053="","",IFERROR(INDEX(mat_des,MATCH(B2053,mat_ref,0))&amp;"","Matière inconnue"))</f>
        <v/>
      </c>
      <c r="D2053" s="69" t="str">
        <f>IF(B2053="","",IFERROR(INDEX(mat_unit,MATCH(B2053,mat_ref,0))&amp;"",""))</f>
        <v/>
      </c>
      <c r="E2053" s="72" t="n"/>
      <c r="F2053" s="65" t="n"/>
      <c r="G2053" s="68" t="str">
        <f>IF(J2053&lt;&gt;"OK","",IF(F2053="",N(INDEX(mat_loss,MATCH(B2053,mat_ref,0))),F2053))</f>
        <v/>
      </c>
      <c r="H2053" s="66" t="str">
        <f>IF(J2053&lt;&gt;"OK","",INDEX(mat_price,MATCH(B2053,mat_ref,0)))</f>
        <v/>
      </c>
      <c r="I2053" s="66" t="str">
        <f>IF(J2053&lt;&gt;"OK","",E2053*(1+G2053)*H2053)</f>
        <v/>
      </c>
      <c r="J2053" s="69" t="str">
        <f>IF(AND(A2053="",B2053=""),"",IF(A2053="","Produit manquant",IF(COUNTIF(prod_ref,A2053)=0,"Produit inconnu",IF(B2053="","Matière manquante",IF(ISNA(MATCH(B2053,mat_ref,0)),"Matière inconnue",IF(INDEX(mat_check,MATCH(B2053,mat_ref,0))&lt;&gt;"OK","Matière à corriger",IF(OR(NOT(ISNUMBER(E2053)),N(E2053)&lt;=0),"Quantité invalide",IF(AND(F2053&lt;&gt;"",OR(NOT(ISNUMBER(F2053)),N(F2053)&lt;0,N(F2053)&gt;=1)),"Perte entre 0 et 99 %",IF(COUNTIFS(bom_prod,A2053,bom_mat,B2053)&gt;1,"Matière en double","OK")))))))))</f>
        <v/>
      </c>
      <c r="K2053" s="71" t="str">
        <f>IF(AND(fiche_sel&lt;&gt;"",A2053=fiche_sel),COUNTIF(A$6:A2053,fiche_sel),"")</f>
        <v/>
      </c>
    </row>
    <row r="2054">
      <c r="A2054" s="60" t="n"/>
      <c r="B2054" s="60" t="n"/>
      <c r="C2054" s="71" t="str">
        <f>IF(B2054="","",IFERROR(INDEX(mat_des,MATCH(B2054,mat_ref,0))&amp;"","Matière inconnue"))</f>
        <v/>
      </c>
      <c r="D2054" s="69" t="str">
        <f>IF(B2054="","",IFERROR(INDEX(mat_unit,MATCH(B2054,mat_ref,0))&amp;"",""))</f>
        <v/>
      </c>
      <c r="E2054" s="72" t="n"/>
      <c r="F2054" s="65" t="n"/>
      <c r="G2054" s="68" t="str">
        <f>IF(J2054&lt;&gt;"OK","",IF(F2054="",N(INDEX(mat_loss,MATCH(B2054,mat_ref,0))),F2054))</f>
        <v/>
      </c>
      <c r="H2054" s="66" t="str">
        <f>IF(J2054&lt;&gt;"OK","",INDEX(mat_price,MATCH(B2054,mat_ref,0)))</f>
        <v/>
      </c>
      <c r="I2054" s="66" t="str">
        <f>IF(J2054&lt;&gt;"OK","",E2054*(1+G2054)*H2054)</f>
        <v/>
      </c>
      <c r="J2054" s="69" t="str">
        <f>IF(AND(A2054="",B2054=""),"",IF(A2054="","Produit manquant",IF(COUNTIF(prod_ref,A2054)=0,"Produit inconnu",IF(B2054="","Matière manquante",IF(ISNA(MATCH(B2054,mat_ref,0)),"Matière inconnue",IF(INDEX(mat_check,MATCH(B2054,mat_ref,0))&lt;&gt;"OK","Matière à corriger",IF(OR(NOT(ISNUMBER(E2054)),N(E2054)&lt;=0),"Quantité invalide",IF(AND(F2054&lt;&gt;"",OR(NOT(ISNUMBER(F2054)),N(F2054)&lt;0,N(F2054)&gt;=1)),"Perte entre 0 et 99 %",IF(COUNTIFS(bom_prod,A2054,bom_mat,B2054)&gt;1,"Matière en double","OK")))))))))</f>
        <v/>
      </c>
      <c r="K2054" s="71" t="str">
        <f>IF(AND(fiche_sel&lt;&gt;"",A2054=fiche_sel),COUNTIF(A$6:A2054,fiche_sel),"")</f>
        <v/>
      </c>
    </row>
    <row r="2055">
      <c r="A2055" s="60" t="n"/>
      <c r="B2055" s="60" t="n"/>
      <c r="C2055" s="71" t="str">
        <f>IF(B2055="","",IFERROR(INDEX(mat_des,MATCH(B2055,mat_ref,0))&amp;"","Matière inconnue"))</f>
        <v/>
      </c>
      <c r="D2055" s="69" t="str">
        <f>IF(B2055="","",IFERROR(INDEX(mat_unit,MATCH(B2055,mat_ref,0))&amp;"",""))</f>
        <v/>
      </c>
      <c r="E2055" s="72" t="n"/>
      <c r="F2055" s="65" t="n"/>
      <c r="G2055" s="68" t="str">
        <f>IF(J2055&lt;&gt;"OK","",IF(F2055="",N(INDEX(mat_loss,MATCH(B2055,mat_ref,0))),F2055))</f>
        <v/>
      </c>
      <c r="H2055" s="66" t="str">
        <f>IF(J2055&lt;&gt;"OK","",INDEX(mat_price,MATCH(B2055,mat_ref,0)))</f>
        <v/>
      </c>
      <c r="I2055" s="66" t="str">
        <f>IF(J2055&lt;&gt;"OK","",E2055*(1+G2055)*H2055)</f>
        <v/>
      </c>
      <c r="J2055" s="69" t="str">
        <f>IF(AND(A2055="",B2055=""),"",IF(A2055="","Produit manquant",IF(COUNTIF(prod_ref,A2055)=0,"Produit inconnu",IF(B2055="","Matière manquante",IF(ISNA(MATCH(B2055,mat_ref,0)),"Matière inconnue",IF(INDEX(mat_check,MATCH(B2055,mat_ref,0))&lt;&gt;"OK","Matière à corriger",IF(OR(NOT(ISNUMBER(E2055)),N(E2055)&lt;=0),"Quantité invalide",IF(AND(F2055&lt;&gt;"",OR(NOT(ISNUMBER(F2055)),N(F2055)&lt;0,N(F2055)&gt;=1)),"Perte entre 0 et 99 %",IF(COUNTIFS(bom_prod,A2055,bom_mat,B2055)&gt;1,"Matière en double","OK")))))))))</f>
        <v/>
      </c>
      <c r="K2055" s="71" t="str">
        <f>IF(AND(fiche_sel&lt;&gt;"",A2055=fiche_sel),COUNTIF(A$6:A2055,fiche_sel),"")</f>
        <v/>
      </c>
    </row>
    <row r="2056">
      <c r="A2056" s="60" t="n"/>
      <c r="B2056" s="60" t="n"/>
      <c r="C2056" s="71" t="str">
        <f>IF(B2056="","",IFERROR(INDEX(mat_des,MATCH(B2056,mat_ref,0))&amp;"","Matière inconnue"))</f>
        <v/>
      </c>
      <c r="D2056" s="69" t="str">
        <f>IF(B2056="","",IFERROR(INDEX(mat_unit,MATCH(B2056,mat_ref,0))&amp;"",""))</f>
        <v/>
      </c>
      <c r="E2056" s="72" t="n"/>
      <c r="F2056" s="65" t="n"/>
      <c r="G2056" s="68" t="str">
        <f>IF(J2056&lt;&gt;"OK","",IF(F2056="",N(INDEX(mat_loss,MATCH(B2056,mat_ref,0))),F2056))</f>
        <v/>
      </c>
      <c r="H2056" s="66" t="str">
        <f>IF(J2056&lt;&gt;"OK","",INDEX(mat_price,MATCH(B2056,mat_ref,0)))</f>
        <v/>
      </c>
      <c r="I2056" s="66" t="str">
        <f>IF(J2056&lt;&gt;"OK","",E2056*(1+G2056)*H2056)</f>
        <v/>
      </c>
      <c r="J2056" s="69" t="str">
        <f>IF(AND(A2056="",B2056=""),"",IF(A2056="","Produit manquant",IF(COUNTIF(prod_ref,A2056)=0,"Produit inconnu",IF(B2056="","Matière manquante",IF(ISNA(MATCH(B2056,mat_ref,0)),"Matière inconnue",IF(INDEX(mat_check,MATCH(B2056,mat_ref,0))&lt;&gt;"OK","Matière à corriger",IF(OR(NOT(ISNUMBER(E2056)),N(E2056)&lt;=0),"Quantité invalide",IF(AND(F2056&lt;&gt;"",OR(NOT(ISNUMBER(F2056)),N(F2056)&lt;0,N(F2056)&gt;=1)),"Perte entre 0 et 99 %",IF(COUNTIFS(bom_prod,A2056,bom_mat,B2056)&gt;1,"Matière en double","OK")))))))))</f>
        <v/>
      </c>
      <c r="K2056" s="71" t="str">
        <f>IF(AND(fiche_sel&lt;&gt;"",A2056=fiche_sel),COUNTIF(A$6:A2056,fiche_sel),"")</f>
        <v/>
      </c>
    </row>
    <row r="2057">
      <c r="A2057" s="60" t="n"/>
      <c r="B2057" s="60" t="n"/>
      <c r="C2057" s="71" t="str">
        <f>IF(B2057="","",IFERROR(INDEX(mat_des,MATCH(B2057,mat_ref,0))&amp;"","Matière inconnue"))</f>
        <v/>
      </c>
      <c r="D2057" s="69" t="str">
        <f>IF(B2057="","",IFERROR(INDEX(mat_unit,MATCH(B2057,mat_ref,0))&amp;"",""))</f>
        <v/>
      </c>
      <c r="E2057" s="72" t="n"/>
      <c r="F2057" s="65" t="n"/>
      <c r="G2057" s="68" t="str">
        <f>IF(J2057&lt;&gt;"OK","",IF(F2057="",N(INDEX(mat_loss,MATCH(B2057,mat_ref,0))),F2057))</f>
        <v/>
      </c>
      <c r="H2057" s="66" t="str">
        <f>IF(J2057&lt;&gt;"OK","",INDEX(mat_price,MATCH(B2057,mat_ref,0)))</f>
        <v/>
      </c>
      <c r="I2057" s="66" t="str">
        <f>IF(J2057&lt;&gt;"OK","",E2057*(1+G2057)*H2057)</f>
        <v/>
      </c>
      <c r="J2057" s="69" t="str">
        <f>IF(AND(A2057="",B2057=""),"",IF(A2057="","Produit manquant",IF(COUNTIF(prod_ref,A2057)=0,"Produit inconnu",IF(B2057="","Matière manquante",IF(ISNA(MATCH(B2057,mat_ref,0)),"Matière inconnue",IF(INDEX(mat_check,MATCH(B2057,mat_ref,0))&lt;&gt;"OK","Matière à corriger",IF(OR(NOT(ISNUMBER(E2057)),N(E2057)&lt;=0),"Quantité invalide",IF(AND(F2057&lt;&gt;"",OR(NOT(ISNUMBER(F2057)),N(F2057)&lt;0,N(F2057)&gt;=1)),"Perte entre 0 et 99 %",IF(COUNTIFS(bom_prod,A2057,bom_mat,B2057)&gt;1,"Matière en double","OK")))))))))</f>
        <v/>
      </c>
      <c r="K2057" s="71" t="str">
        <f>IF(AND(fiche_sel&lt;&gt;"",A2057=fiche_sel),COUNTIF(A$6:A2057,fiche_sel),"")</f>
        <v/>
      </c>
    </row>
    <row r="2058">
      <c r="A2058" s="60" t="n"/>
      <c r="B2058" s="60" t="n"/>
      <c r="C2058" s="71" t="str">
        <f>IF(B2058="","",IFERROR(INDEX(mat_des,MATCH(B2058,mat_ref,0))&amp;"","Matière inconnue"))</f>
        <v/>
      </c>
      <c r="D2058" s="69" t="str">
        <f>IF(B2058="","",IFERROR(INDEX(mat_unit,MATCH(B2058,mat_ref,0))&amp;"",""))</f>
        <v/>
      </c>
      <c r="E2058" s="72" t="n"/>
      <c r="F2058" s="65" t="n"/>
      <c r="G2058" s="68" t="str">
        <f>IF(J2058&lt;&gt;"OK","",IF(F2058="",N(INDEX(mat_loss,MATCH(B2058,mat_ref,0))),F2058))</f>
        <v/>
      </c>
      <c r="H2058" s="66" t="str">
        <f>IF(J2058&lt;&gt;"OK","",INDEX(mat_price,MATCH(B2058,mat_ref,0)))</f>
        <v/>
      </c>
      <c r="I2058" s="66" t="str">
        <f>IF(J2058&lt;&gt;"OK","",E2058*(1+G2058)*H2058)</f>
        <v/>
      </c>
      <c r="J2058" s="69" t="str">
        <f>IF(AND(A2058="",B2058=""),"",IF(A2058="","Produit manquant",IF(COUNTIF(prod_ref,A2058)=0,"Produit inconnu",IF(B2058="","Matière manquante",IF(ISNA(MATCH(B2058,mat_ref,0)),"Matière inconnue",IF(INDEX(mat_check,MATCH(B2058,mat_ref,0))&lt;&gt;"OK","Matière à corriger",IF(OR(NOT(ISNUMBER(E2058)),N(E2058)&lt;=0),"Quantité invalide",IF(AND(F2058&lt;&gt;"",OR(NOT(ISNUMBER(F2058)),N(F2058)&lt;0,N(F2058)&gt;=1)),"Perte entre 0 et 99 %",IF(COUNTIFS(bom_prod,A2058,bom_mat,B2058)&gt;1,"Matière en double","OK")))))))))</f>
        <v/>
      </c>
      <c r="K2058" s="71" t="str">
        <f>IF(AND(fiche_sel&lt;&gt;"",A2058=fiche_sel),COUNTIF(A$6:A2058,fiche_sel),"")</f>
        <v/>
      </c>
    </row>
    <row r="2059">
      <c r="A2059" s="60" t="n"/>
      <c r="B2059" s="60" t="n"/>
      <c r="C2059" s="71" t="str">
        <f>IF(B2059="","",IFERROR(INDEX(mat_des,MATCH(B2059,mat_ref,0))&amp;"","Matière inconnue"))</f>
        <v/>
      </c>
      <c r="D2059" s="69" t="str">
        <f>IF(B2059="","",IFERROR(INDEX(mat_unit,MATCH(B2059,mat_ref,0))&amp;"",""))</f>
        <v/>
      </c>
      <c r="E2059" s="72" t="n"/>
      <c r="F2059" s="65" t="n"/>
      <c r="G2059" s="68" t="str">
        <f>IF(J2059&lt;&gt;"OK","",IF(F2059="",N(INDEX(mat_loss,MATCH(B2059,mat_ref,0))),F2059))</f>
        <v/>
      </c>
      <c r="H2059" s="66" t="str">
        <f>IF(J2059&lt;&gt;"OK","",INDEX(mat_price,MATCH(B2059,mat_ref,0)))</f>
        <v/>
      </c>
      <c r="I2059" s="66" t="str">
        <f>IF(J2059&lt;&gt;"OK","",E2059*(1+G2059)*H2059)</f>
        <v/>
      </c>
      <c r="J2059" s="69" t="str">
        <f>IF(AND(A2059="",B2059=""),"",IF(A2059="","Produit manquant",IF(COUNTIF(prod_ref,A2059)=0,"Produit inconnu",IF(B2059="","Matière manquante",IF(ISNA(MATCH(B2059,mat_ref,0)),"Matière inconnue",IF(INDEX(mat_check,MATCH(B2059,mat_ref,0))&lt;&gt;"OK","Matière à corriger",IF(OR(NOT(ISNUMBER(E2059)),N(E2059)&lt;=0),"Quantité invalide",IF(AND(F2059&lt;&gt;"",OR(NOT(ISNUMBER(F2059)),N(F2059)&lt;0,N(F2059)&gt;=1)),"Perte entre 0 et 99 %",IF(COUNTIFS(bom_prod,A2059,bom_mat,B2059)&gt;1,"Matière en double","OK")))))))))</f>
        <v/>
      </c>
      <c r="K2059" s="71" t="str">
        <f>IF(AND(fiche_sel&lt;&gt;"",A2059=fiche_sel),COUNTIF(A$6:A2059,fiche_sel),"")</f>
        <v/>
      </c>
    </row>
    <row r="2060">
      <c r="A2060" s="60" t="n"/>
      <c r="B2060" s="60" t="n"/>
      <c r="C2060" s="71" t="str">
        <f>IF(B2060="","",IFERROR(INDEX(mat_des,MATCH(B2060,mat_ref,0))&amp;"","Matière inconnue"))</f>
        <v/>
      </c>
      <c r="D2060" s="69" t="str">
        <f>IF(B2060="","",IFERROR(INDEX(mat_unit,MATCH(B2060,mat_ref,0))&amp;"",""))</f>
        <v/>
      </c>
      <c r="E2060" s="72" t="n"/>
      <c r="F2060" s="65" t="n"/>
      <c r="G2060" s="68" t="str">
        <f>IF(J2060&lt;&gt;"OK","",IF(F2060="",N(INDEX(mat_loss,MATCH(B2060,mat_ref,0))),F2060))</f>
        <v/>
      </c>
      <c r="H2060" s="66" t="str">
        <f>IF(J2060&lt;&gt;"OK","",INDEX(mat_price,MATCH(B2060,mat_ref,0)))</f>
        <v/>
      </c>
      <c r="I2060" s="66" t="str">
        <f>IF(J2060&lt;&gt;"OK","",E2060*(1+G2060)*H2060)</f>
        <v/>
      </c>
      <c r="J2060" s="69" t="str">
        <f>IF(AND(A2060="",B2060=""),"",IF(A2060="","Produit manquant",IF(COUNTIF(prod_ref,A2060)=0,"Produit inconnu",IF(B2060="","Matière manquante",IF(ISNA(MATCH(B2060,mat_ref,0)),"Matière inconnue",IF(INDEX(mat_check,MATCH(B2060,mat_ref,0))&lt;&gt;"OK","Matière à corriger",IF(OR(NOT(ISNUMBER(E2060)),N(E2060)&lt;=0),"Quantité invalide",IF(AND(F2060&lt;&gt;"",OR(NOT(ISNUMBER(F2060)),N(F2060)&lt;0,N(F2060)&gt;=1)),"Perte entre 0 et 99 %",IF(COUNTIFS(bom_prod,A2060,bom_mat,B2060)&gt;1,"Matière en double","OK")))))))))</f>
        <v/>
      </c>
      <c r="K2060" s="71" t="str">
        <f>IF(AND(fiche_sel&lt;&gt;"",A2060=fiche_sel),COUNTIF(A$6:A2060,fiche_sel),"")</f>
        <v/>
      </c>
    </row>
    <row r="2061">
      <c r="A2061" s="60" t="n"/>
      <c r="B2061" s="60" t="n"/>
      <c r="C2061" s="71" t="str">
        <f>IF(B2061="","",IFERROR(INDEX(mat_des,MATCH(B2061,mat_ref,0))&amp;"","Matière inconnue"))</f>
        <v/>
      </c>
      <c r="D2061" s="69" t="str">
        <f>IF(B2061="","",IFERROR(INDEX(mat_unit,MATCH(B2061,mat_ref,0))&amp;"",""))</f>
        <v/>
      </c>
      <c r="E2061" s="72" t="n"/>
      <c r="F2061" s="65" t="n"/>
      <c r="G2061" s="68" t="str">
        <f>IF(J2061&lt;&gt;"OK","",IF(F2061="",N(INDEX(mat_loss,MATCH(B2061,mat_ref,0))),F2061))</f>
        <v/>
      </c>
      <c r="H2061" s="66" t="str">
        <f>IF(J2061&lt;&gt;"OK","",INDEX(mat_price,MATCH(B2061,mat_ref,0)))</f>
        <v/>
      </c>
      <c r="I2061" s="66" t="str">
        <f>IF(J2061&lt;&gt;"OK","",E2061*(1+G2061)*H2061)</f>
        <v/>
      </c>
      <c r="J2061" s="69" t="str">
        <f>IF(AND(A2061="",B2061=""),"",IF(A2061="","Produit manquant",IF(COUNTIF(prod_ref,A2061)=0,"Produit inconnu",IF(B2061="","Matière manquante",IF(ISNA(MATCH(B2061,mat_ref,0)),"Matière inconnue",IF(INDEX(mat_check,MATCH(B2061,mat_ref,0))&lt;&gt;"OK","Matière à corriger",IF(OR(NOT(ISNUMBER(E2061)),N(E2061)&lt;=0),"Quantité invalide",IF(AND(F2061&lt;&gt;"",OR(NOT(ISNUMBER(F2061)),N(F2061)&lt;0,N(F2061)&gt;=1)),"Perte entre 0 et 99 %",IF(COUNTIFS(bom_prod,A2061,bom_mat,B2061)&gt;1,"Matière en double","OK")))))))))</f>
        <v/>
      </c>
      <c r="K2061" s="71" t="str">
        <f>IF(AND(fiche_sel&lt;&gt;"",A2061=fiche_sel),COUNTIF(A$6:A2061,fiche_sel),"")</f>
        <v/>
      </c>
    </row>
    <row r="2062">
      <c r="A2062" s="60" t="n"/>
      <c r="B2062" s="60" t="n"/>
      <c r="C2062" s="71" t="str">
        <f>IF(B2062="","",IFERROR(INDEX(mat_des,MATCH(B2062,mat_ref,0))&amp;"","Matière inconnue"))</f>
        <v/>
      </c>
      <c r="D2062" s="69" t="str">
        <f>IF(B2062="","",IFERROR(INDEX(mat_unit,MATCH(B2062,mat_ref,0))&amp;"",""))</f>
        <v/>
      </c>
      <c r="E2062" s="72" t="n"/>
      <c r="F2062" s="65" t="n"/>
      <c r="G2062" s="68" t="str">
        <f>IF(J2062&lt;&gt;"OK","",IF(F2062="",N(INDEX(mat_loss,MATCH(B2062,mat_ref,0))),F2062))</f>
        <v/>
      </c>
      <c r="H2062" s="66" t="str">
        <f>IF(J2062&lt;&gt;"OK","",INDEX(mat_price,MATCH(B2062,mat_ref,0)))</f>
        <v/>
      </c>
      <c r="I2062" s="66" t="str">
        <f>IF(J2062&lt;&gt;"OK","",E2062*(1+G2062)*H2062)</f>
        <v/>
      </c>
      <c r="J2062" s="69" t="str">
        <f>IF(AND(A2062="",B2062=""),"",IF(A2062="","Produit manquant",IF(COUNTIF(prod_ref,A2062)=0,"Produit inconnu",IF(B2062="","Matière manquante",IF(ISNA(MATCH(B2062,mat_ref,0)),"Matière inconnue",IF(INDEX(mat_check,MATCH(B2062,mat_ref,0))&lt;&gt;"OK","Matière à corriger",IF(OR(NOT(ISNUMBER(E2062)),N(E2062)&lt;=0),"Quantité invalide",IF(AND(F2062&lt;&gt;"",OR(NOT(ISNUMBER(F2062)),N(F2062)&lt;0,N(F2062)&gt;=1)),"Perte entre 0 et 99 %",IF(COUNTIFS(bom_prod,A2062,bom_mat,B2062)&gt;1,"Matière en double","OK")))))))))</f>
        <v/>
      </c>
      <c r="K2062" s="71" t="str">
        <f>IF(AND(fiche_sel&lt;&gt;"",A2062=fiche_sel),COUNTIF(A$6:A2062,fiche_sel),"")</f>
        <v/>
      </c>
    </row>
    <row r="2063">
      <c r="A2063" s="60" t="n"/>
      <c r="B2063" s="60" t="n"/>
      <c r="C2063" s="71" t="str">
        <f>IF(B2063="","",IFERROR(INDEX(mat_des,MATCH(B2063,mat_ref,0))&amp;"","Matière inconnue"))</f>
        <v/>
      </c>
      <c r="D2063" s="69" t="str">
        <f>IF(B2063="","",IFERROR(INDEX(mat_unit,MATCH(B2063,mat_ref,0))&amp;"",""))</f>
        <v/>
      </c>
      <c r="E2063" s="72" t="n"/>
      <c r="F2063" s="65" t="n"/>
      <c r="G2063" s="68" t="str">
        <f>IF(J2063&lt;&gt;"OK","",IF(F2063="",N(INDEX(mat_loss,MATCH(B2063,mat_ref,0))),F2063))</f>
        <v/>
      </c>
      <c r="H2063" s="66" t="str">
        <f>IF(J2063&lt;&gt;"OK","",INDEX(mat_price,MATCH(B2063,mat_ref,0)))</f>
        <v/>
      </c>
      <c r="I2063" s="66" t="str">
        <f>IF(J2063&lt;&gt;"OK","",E2063*(1+G2063)*H2063)</f>
        <v/>
      </c>
      <c r="J2063" s="69" t="str">
        <f>IF(AND(A2063="",B2063=""),"",IF(A2063="","Produit manquant",IF(COUNTIF(prod_ref,A2063)=0,"Produit inconnu",IF(B2063="","Matière manquante",IF(ISNA(MATCH(B2063,mat_ref,0)),"Matière inconnue",IF(INDEX(mat_check,MATCH(B2063,mat_ref,0))&lt;&gt;"OK","Matière à corriger",IF(OR(NOT(ISNUMBER(E2063)),N(E2063)&lt;=0),"Quantité invalide",IF(AND(F2063&lt;&gt;"",OR(NOT(ISNUMBER(F2063)),N(F2063)&lt;0,N(F2063)&gt;=1)),"Perte entre 0 et 99 %",IF(COUNTIFS(bom_prod,A2063,bom_mat,B2063)&gt;1,"Matière en double","OK")))))))))</f>
        <v/>
      </c>
      <c r="K2063" s="71" t="str">
        <f>IF(AND(fiche_sel&lt;&gt;"",A2063=fiche_sel),COUNTIF(A$6:A2063,fiche_sel),"")</f>
        <v/>
      </c>
    </row>
    <row r="2064">
      <c r="A2064" s="60" t="n"/>
      <c r="B2064" s="60" t="n"/>
      <c r="C2064" s="71" t="str">
        <f>IF(B2064="","",IFERROR(INDEX(mat_des,MATCH(B2064,mat_ref,0))&amp;"","Matière inconnue"))</f>
        <v/>
      </c>
      <c r="D2064" s="69" t="str">
        <f>IF(B2064="","",IFERROR(INDEX(mat_unit,MATCH(B2064,mat_ref,0))&amp;"",""))</f>
        <v/>
      </c>
      <c r="E2064" s="72" t="n"/>
      <c r="F2064" s="65" t="n"/>
      <c r="G2064" s="68" t="str">
        <f>IF(J2064&lt;&gt;"OK","",IF(F2064="",N(INDEX(mat_loss,MATCH(B2064,mat_ref,0))),F2064))</f>
        <v/>
      </c>
      <c r="H2064" s="66" t="str">
        <f>IF(J2064&lt;&gt;"OK","",INDEX(mat_price,MATCH(B2064,mat_ref,0)))</f>
        <v/>
      </c>
      <c r="I2064" s="66" t="str">
        <f>IF(J2064&lt;&gt;"OK","",E2064*(1+G2064)*H2064)</f>
        <v/>
      </c>
      <c r="J2064" s="69" t="str">
        <f>IF(AND(A2064="",B2064=""),"",IF(A2064="","Produit manquant",IF(COUNTIF(prod_ref,A2064)=0,"Produit inconnu",IF(B2064="","Matière manquante",IF(ISNA(MATCH(B2064,mat_ref,0)),"Matière inconnue",IF(INDEX(mat_check,MATCH(B2064,mat_ref,0))&lt;&gt;"OK","Matière à corriger",IF(OR(NOT(ISNUMBER(E2064)),N(E2064)&lt;=0),"Quantité invalide",IF(AND(F2064&lt;&gt;"",OR(NOT(ISNUMBER(F2064)),N(F2064)&lt;0,N(F2064)&gt;=1)),"Perte entre 0 et 99 %",IF(COUNTIFS(bom_prod,A2064,bom_mat,B2064)&gt;1,"Matière en double","OK")))))))))</f>
        <v/>
      </c>
      <c r="K2064" s="71" t="str">
        <f>IF(AND(fiche_sel&lt;&gt;"",A2064=fiche_sel),COUNTIF(A$6:A2064,fiche_sel),"")</f>
        <v/>
      </c>
    </row>
    <row r="2065">
      <c r="A2065" s="60" t="n"/>
      <c r="B2065" s="60" t="n"/>
      <c r="C2065" s="71" t="str">
        <f>IF(B2065="","",IFERROR(INDEX(mat_des,MATCH(B2065,mat_ref,0))&amp;"","Matière inconnue"))</f>
        <v/>
      </c>
      <c r="D2065" s="69" t="str">
        <f>IF(B2065="","",IFERROR(INDEX(mat_unit,MATCH(B2065,mat_ref,0))&amp;"",""))</f>
        <v/>
      </c>
      <c r="E2065" s="72" t="n"/>
      <c r="F2065" s="65" t="n"/>
      <c r="G2065" s="68" t="str">
        <f>IF(J2065&lt;&gt;"OK","",IF(F2065="",N(INDEX(mat_loss,MATCH(B2065,mat_ref,0))),F2065))</f>
        <v/>
      </c>
      <c r="H2065" s="66" t="str">
        <f>IF(J2065&lt;&gt;"OK","",INDEX(mat_price,MATCH(B2065,mat_ref,0)))</f>
        <v/>
      </c>
      <c r="I2065" s="66" t="str">
        <f>IF(J2065&lt;&gt;"OK","",E2065*(1+G2065)*H2065)</f>
        <v/>
      </c>
      <c r="J2065" s="69" t="str">
        <f>IF(AND(A2065="",B2065=""),"",IF(A2065="","Produit manquant",IF(COUNTIF(prod_ref,A2065)=0,"Produit inconnu",IF(B2065="","Matière manquante",IF(ISNA(MATCH(B2065,mat_ref,0)),"Matière inconnue",IF(INDEX(mat_check,MATCH(B2065,mat_ref,0))&lt;&gt;"OK","Matière à corriger",IF(OR(NOT(ISNUMBER(E2065)),N(E2065)&lt;=0),"Quantité invalide",IF(AND(F2065&lt;&gt;"",OR(NOT(ISNUMBER(F2065)),N(F2065)&lt;0,N(F2065)&gt;=1)),"Perte entre 0 et 99 %",IF(COUNTIFS(bom_prod,A2065,bom_mat,B2065)&gt;1,"Matière en double","OK")))))))))</f>
        <v/>
      </c>
      <c r="K2065" s="71" t="str">
        <f>IF(AND(fiche_sel&lt;&gt;"",A2065=fiche_sel),COUNTIF(A$6:A2065,fiche_sel),"")</f>
        <v/>
      </c>
    </row>
    <row r="2066">
      <c r="A2066" s="60" t="n"/>
      <c r="B2066" s="60" t="n"/>
      <c r="C2066" s="71" t="str">
        <f>IF(B2066="","",IFERROR(INDEX(mat_des,MATCH(B2066,mat_ref,0))&amp;"","Matière inconnue"))</f>
        <v/>
      </c>
      <c r="D2066" s="69" t="str">
        <f>IF(B2066="","",IFERROR(INDEX(mat_unit,MATCH(B2066,mat_ref,0))&amp;"",""))</f>
        <v/>
      </c>
      <c r="E2066" s="72" t="n"/>
      <c r="F2066" s="65" t="n"/>
      <c r="G2066" s="68" t="str">
        <f>IF(J2066&lt;&gt;"OK","",IF(F2066="",N(INDEX(mat_loss,MATCH(B2066,mat_ref,0))),F2066))</f>
        <v/>
      </c>
      <c r="H2066" s="66" t="str">
        <f>IF(J2066&lt;&gt;"OK","",INDEX(mat_price,MATCH(B2066,mat_ref,0)))</f>
        <v/>
      </c>
      <c r="I2066" s="66" t="str">
        <f>IF(J2066&lt;&gt;"OK","",E2066*(1+G2066)*H2066)</f>
        <v/>
      </c>
      <c r="J2066" s="69" t="str">
        <f>IF(AND(A2066="",B2066=""),"",IF(A2066="","Produit manquant",IF(COUNTIF(prod_ref,A2066)=0,"Produit inconnu",IF(B2066="","Matière manquante",IF(ISNA(MATCH(B2066,mat_ref,0)),"Matière inconnue",IF(INDEX(mat_check,MATCH(B2066,mat_ref,0))&lt;&gt;"OK","Matière à corriger",IF(OR(NOT(ISNUMBER(E2066)),N(E2066)&lt;=0),"Quantité invalide",IF(AND(F2066&lt;&gt;"",OR(NOT(ISNUMBER(F2066)),N(F2066)&lt;0,N(F2066)&gt;=1)),"Perte entre 0 et 99 %",IF(COUNTIFS(bom_prod,A2066,bom_mat,B2066)&gt;1,"Matière en double","OK")))))))))</f>
        <v/>
      </c>
      <c r="K2066" s="71" t="str">
        <f>IF(AND(fiche_sel&lt;&gt;"",A2066=fiche_sel),COUNTIF(A$6:A2066,fiche_sel),"")</f>
        <v/>
      </c>
    </row>
    <row r="2067">
      <c r="A2067" s="60" t="n"/>
      <c r="B2067" s="60" t="n"/>
      <c r="C2067" s="71" t="str">
        <f>IF(B2067="","",IFERROR(INDEX(mat_des,MATCH(B2067,mat_ref,0))&amp;"","Matière inconnue"))</f>
        <v/>
      </c>
      <c r="D2067" s="69" t="str">
        <f>IF(B2067="","",IFERROR(INDEX(mat_unit,MATCH(B2067,mat_ref,0))&amp;"",""))</f>
        <v/>
      </c>
      <c r="E2067" s="72" t="n"/>
      <c r="F2067" s="65" t="n"/>
      <c r="G2067" s="68" t="str">
        <f>IF(J2067&lt;&gt;"OK","",IF(F2067="",N(INDEX(mat_loss,MATCH(B2067,mat_ref,0))),F2067))</f>
        <v/>
      </c>
      <c r="H2067" s="66" t="str">
        <f>IF(J2067&lt;&gt;"OK","",INDEX(mat_price,MATCH(B2067,mat_ref,0)))</f>
        <v/>
      </c>
      <c r="I2067" s="66" t="str">
        <f>IF(J2067&lt;&gt;"OK","",E2067*(1+G2067)*H2067)</f>
        <v/>
      </c>
      <c r="J2067" s="69" t="str">
        <f>IF(AND(A2067="",B2067=""),"",IF(A2067="","Produit manquant",IF(COUNTIF(prod_ref,A2067)=0,"Produit inconnu",IF(B2067="","Matière manquante",IF(ISNA(MATCH(B2067,mat_ref,0)),"Matière inconnue",IF(INDEX(mat_check,MATCH(B2067,mat_ref,0))&lt;&gt;"OK","Matière à corriger",IF(OR(NOT(ISNUMBER(E2067)),N(E2067)&lt;=0),"Quantité invalide",IF(AND(F2067&lt;&gt;"",OR(NOT(ISNUMBER(F2067)),N(F2067)&lt;0,N(F2067)&gt;=1)),"Perte entre 0 et 99 %",IF(COUNTIFS(bom_prod,A2067,bom_mat,B2067)&gt;1,"Matière en double","OK")))))))))</f>
        <v/>
      </c>
      <c r="K2067" s="71" t="str">
        <f>IF(AND(fiche_sel&lt;&gt;"",A2067=fiche_sel),COUNTIF(A$6:A2067,fiche_sel),"")</f>
        <v/>
      </c>
    </row>
    <row r="2068">
      <c r="A2068" s="60" t="n"/>
      <c r="B2068" s="60" t="n"/>
      <c r="C2068" s="71" t="str">
        <f>IF(B2068="","",IFERROR(INDEX(mat_des,MATCH(B2068,mat_ref,0))&amp;"","Matière inconnue"))</f>
        <v/>
      </c>
      <c r="D2068" s="69" t="str">
        <f>IF(B2068="","",IFERROR(INDEX(mat_unit,MATCH(B2068,mat_ref,0))&amp;"",""))</f>
        <v/>
      </c>
      <c r="E2068" s="72" t="n"/>
      <c r="F2068" s="65" t="n"/>
      <c r="G2068" s="68" t="str">
        <f>IF(J2068&lt;&gt;"OK","",IF(F2068="",N(INDEX(mat_loss,MATCH(B2068,mat_ref,0))),F2068))</f>
        <v/>
      </c>
      <c r="H2068" s="66" t="str">
        <f>IF(J2068&lt;&gt;"OK","",INDEX(mat_price,MATCH(B2068,mat_ref,0)))</f>
        <v/>
      </c>
      <c r="I2068" s="66" t="str">
        <f>IF(J2068&lt;&gt;"OK","",E2068*(1+G2068)*H2068)</f>
        <v/>
      </c>
      <c r="J2068" s="69" t="str">
        <f>IF(AND(A2068="",B2068=""),"",IF(A2068="","Produit manquant",IF(COUNTIF(prod_ref,A2068)=0,"Produit inconnu",IF(B2068="","Matière manquante",IF(ISNA(MATCH(B2068,mat_ref,0)),"Matière inconnue",IF(INDEX(mat_check,MATCH(B2068,mat_ref,0))&lt;&gt;"OK","Matière à corriger",IF(OR(NOT(ISNUMBER(E2068)),N(E2068)&lt;=0),"Quantité invalide",IF(AND(F2068&lt;&gt;"",OR(NOT(ISNUMBER(F2068)),N(F2068)&lt;0,N(F2068)&gt;=1)),"Perte entre 0 et 99 %",IF(COUNTIFS(bom_prod,A2068,bom_mat,B2068)&gt;1,"Matière en double","OK")))))))))</f>
        <v/>
      </c>
      <c r="K2068" s="71" t="str">
        <f>IF(AND(fiche_sel&lt;&gt;"",A2068=fiche_sel),COUNTIF(A$6:A2068,fiche_sel),"")</f>
        <v/>
      </c>
    </row>
    <row r="2069">
      <c r="A2069" s="60" t="n"/>
      <c r="B2069" s="60" t="n"/>
      <c r="C2069" s="71" t="str">
        <f>IF(B2069="","",IFERROR(INDEX(mat_des,MATCH(B2069,mat_ref,0))&amp;"","Matière inconnue"))</f>
        <v/>
      </c>
      <c r="D2069" s="69" t="str">
        <f>IF(B2069="","",IFERROR(INDEX(mat_unit,MATCH(B2069,mat_ref,0))&amp;"",""))</f>
        <v/>
      </c>
      <c r="E2069" s="72" t="n"/>
      <c r="F2069" s="65" t="n"/>
      <c r="G2069" s="68" t="str">
        <f>IF(J2069&lt;&gt;"OK","",IF(F2069="",N(INDEX(mat_loss,MATCH(B2069,mat_ref,0))),F2069))</f>
        <v/>
      </c>
      <c r="H2069" s="66" t="str">
        <f>IF(J2069&lt;&gt;"OK","",INDEX(mat_price,MATCH(B2069,mat_ref,0)))</f>
        <v/>
      </c>
      <c r="I2069" s="66" t="str">
        <f>IF(J2069&lt;&gt;"OK","",E2069*(1+G2069)*H2069)</f>
        <v/>
      </c>
      <c r="J2069" s="69" t="str">
        <f>IF(AND(A2069="",B2069=""),"",IF(A2069="","Produit manquant",IF(COUNTIF(prod_ref,A2069)=0,"Produit inconnu",IF(B2069="","Matière manquante",IF(ISNA(MATCH(B2069,mat_ref,0)),"Matière inconnue",IF(INDEX(mat_check,MATCH(B2069,mat_ref,0))&lt;&gt;"OK","Matière à corriger",IF(OR(NOT(ISNUMBER(E2069)),N(E2069)&lt;=0),"Quantité invalide",IF(AND(F2069&lt;&gt;"",OR(NOT(ISNUMBER(F2069)),N(F2069)&lt;0,N(F2069)&gt;=1)),"Perte entre 0 et 99 %",IF(COUNTIFS(bom_prod,A2069,bom_mat,B2069)&gt;1,"Matière en double","OK")))))))))</f>
        <v/>
      </c>
      <c r="K2069" s="71" t="str">
        <f>IF(AND(fiche_sel&lt;&gt;"",A2069=fiche_sel),COUNTIF(A$6:A2069,fiche_sel),"")</f>
        <v/>
      </c>
    </row>
    <row r="2070">
      <c r="A2070" s="60" t="n"/>
      <c r="B2070" s="60" t="n"/>
      <c r="C2070" s="71" t="str">
        <f>IF(B2070="","",IFERROR(INDEX(mat_des,MATCH(B2070,mat_ref,0))&amp;"","Matière inconnue"))</f>
        <v/>
      </c>
      <c r="D2070" s="69" t="str">
        <f>IF(B2070="","",IFERROR(INDEX(mat_unit,MATCH(B2070,mat_ref,0))&amp;"",""))</f>
        <v/>
      </c>
      <c r="E2070" s="72" t="n"/>
      <c r="F2070" s="65" t="n"/>
      <c r="G2070" s="68" t="str">
        <f>IF(J2070&lt;&gt;"OK","",IF(F2070="",N(INDEX(mat_loss,MATCH(B2070,mat_ref,0))),F2070))</f>
        <v/>
      </c>
      <c r="H2070" s="66" t="str">
        <f>IF(J2070&lt;&gt;"OK","",INDEX(mat_price,MATCH(B2070,mat_ref,0)))</f>
        <v/>
      </c>
      <c r="I2070" s="66" t="str">
        <f>IF(J2070&lt;&gt;"OK","",E2070*(1+G2070)*H2070)</f>
        <v/>
      </c>
      <c r="J2070" s="69" t="str">
        <f>IF(AND(A2070="",B2070=""),"",IF(A2070="","Produit manquant",IF(COUNTIF(prod_ref,A2070)=0,"Produit inconnu",IF(B2070="","Matière manquante",IF(ISNA(MATCH(B2070,mat_ref,0)),"Matière inconnue",IF(INDEX(mat_check,MATCH(B2070,mat_ref,0))&lt;&gt;"OK","Matière à corriger",IF(OR(NOT(ISNUMBER(E2070)),N(E2070)&lt;=0),"Quantité invalide",IF(AND(F2070&lt;&gt;"",OR(NOT(ISNUMBER(F2070)),N(F2070)&lt;0,N(F2070)&gt;=1)),"Perte entre 0 et 99 %",IF(COUNTIFS(bom_prod,A2070,bom_mat,B2070)&gt;1,"Matière en double","OK")))))))))</f>
        <v/>
      </c>
      <c r="K2070" s="71" t="str">
        <f>IF(AND(fiche_sel&lt;&gt;"",A2070=fiche_sel),COUNTIF(A$6:A2070,fiche_sel),"")</f>
        <v/>
      </c>
    </row>
    <row r="2071">
      <c r="A2071" s="60" t="n"/>
      <c r="B2071" s="60" t="n"/>
      <c r="C2071" s="71" t="str">
        <f>IF(B2071="","",IFERROR(INDEX(mat_des,MATCH(B2071,mat_ref,0))&amp;"","Matière inconnue"))</f>
        <v/>
      </c>
      <c r="D2071" s="69" t="str">
        <f>IF(B2071="","",IFERROR(INDEX(mat_unit,MATCH(B2071,mat_ref,0))&amp;"",""))</f>
        <v/>
      </c>
      <c r="E2071" s="72" t="n"/>
      <c r="F2071" s="65" t="n"/>
      <c r="G2071" s="68" t="str">
        <f>IF(J2071&lt;&gt;"OK","",IF(F2071="",N(INDEX(mat_loss,MATCH(B2071,mat_ref,0))),F2071))</f>
        <v/>
      </c>
      <c r="H2071" s="66" t="str">
        <f>IF(J2071&lt;&gt;"OK","",INDEX(mat_price,MATCH(B2071,mat_ref,0)))</f>
        <v/>
      </c>
      <c r="I2071" s="66" t="str">
        <f>IF(J2071&lt;&gt;"OK","",E2071*(1+G2071)*H2071)</f>
        <v/>
      </c>
      <c r="J2071" s="69" t="str">
        <f>IF(AND(A2071="",B2071=""),"",IF(A2071="","Produit manquant",IF(COUNTIF(prod_ref,A2071)=0,"Produit inconnu",IF(B2071="","Matière manquante",IF(ISNA(MATCH(B2071,mat_ref,0)),"Matière inconnue",IF(INDEX(mat_check,MATCH(B2071,mat_ref,0))&lt;&gt;"OK","Matière à corriger",IF(OR(NOT(ISNUMBER(E2071)),N(E2071)&lt;=0),"Quantité invalide",IF(AND(F2071&lt;&gt;"",OR(NOT(ISNUMBER(F2071)),N(F2071)&lt;0,N(F2071)&gt;=1)),"Perte entre 0 et 99 %",IF(COUNTIFS(bom_prod,A2071,bom_mat,B2071)&gt;1,"Matière en double","OK")))))))))</f>
        <v/>
      </c>
      <c r="K2071" s="71" t="str">
        <f>IF(AND(fiche_sel&lt;&gt;"",A2071=fiche_sel),COUNTIF(A$6:A2071,fiche_sel),"")</f>
        <v/>
      </c>
    </row>
    <row r="2072">
      <c r="A2072" s="60" t="n"/>
      <c r="B2072" s="60" t="n"/>
      <c r="C2072" s="71" t="str">
        <f>IF(B2072="","",IFERROR(INDEX(mat_des,MATCH(B2072,mat_ref,0))&amp;"","Matière inconnue"))</f>
        <v/>
      </c>
      <c r="D2072" s="69" t="str">
        <f>IF(B2072="","",IFERROR(INDEX(mat_unit,MATCH(B2072,mat_ref,0))&amp;"",""))</f>
        <v/>
      </c>
      <c r="E2072" s="72" t="n"/>
      <c r="F2072" s="65" t="n"/>
      <c r="G2072" s="68" t="str">
        <f>IF(J2072&lt;&gt;"OK","",IF(F2072="",N(INDEX(mat_loss,MATCH(B2072,mat_ref,0))),F2072))</f>
        <v/>
      </c>
      <c r="H2072" s="66" t="str">
        <f>IF(J2072&lt;&gt;"OK","",INDEX(mat_price,MATCH(B2072,mat_ref,0)))</f>
        <v/>
      </c>
      <c r="I2072" s="66" t="str">
        <f>IF(J2072&lt;&gt;"OK","",E2072*(1+G2072)*H2072)</f>
        <v/>
      </c>
      <c r="J2072" s="69" t="str">
        <f>IF(AND(A2072="",B2072=""),"",IF(A2072="","Produit manquant",IF(COUNTIF(prod_ref,A2072)=0,"Produit inconnu",IF(B2072="","Matière manquante",IF(ISNA(MATCH(B2072,mat_ref,0)),"Matière inconnue",IF(INDEX(mat_check,MATCH(B2072,mat_ref,0))&lt;&gt;"OK","Matière à corriger",IF(OR(NOT(ISNUMBER(E2072)),N(E2072)&lt;=0),"Quantité invalide",IF(AND(F2072&lt;&gt;"",OR(NOT(ISNUMBER(F2072)),N(F2072)&lt;0,N(F2072)&gt;=1)),"Perte entre 0 et 99 %",IF(COUNTIFS(bom_prod,A2072,bom_mat,B2072)&gt;1,"Matière en double","OK")))))))))</f>
        <v/>
      </c>
      <c r="K2072" s="71" t="str">
        <f>IF(AND(fiche_sel&lt;&gt;"",A2072=fiche_sel),COUNTIF(A$6:A2072,fiche_sel),"")</f>
        <v/>
      </c>
    </row>
    <row r="2073">
      <c r="A2073" s="60" t="n"/>
      <c r="B2073" s="60" t="n"/>
      <c r="C2073" s="71" t="str">
        <f>IF(B2073="","",IFERROR(INDEX(mat_des,MATCH(B2073,mat_ref,0))&amp;"","Matière inconnue"))</f>
        <v/>
      </c>
      <c r="D2073" s="69" t="str">
        <f>IF(B2073="","",IFERROR(INDEX(mat_unit,MATCH(B2073,mat_ref,0))&amp;"",""))</f>
        <v/>
      </c>
      <c r="E2073" s="72" t="n"/>
      <c r="F2073" s="65" t="n"/>
      <c r="G2073" s="68" t="str">
        <f>IF(J2073&lt;&gt;"OK","",IF(F2073="",N(INDEX(mat_loss,MATCH(B2073,mat_ref,0))),F2073))</f>
        <v/>
      </c>
      <c r="H2073" s="66" t="str">
        <f>IF(J2073&lt;&gt;"OK","",INDEX(mat_price,MATCH(B2073,mat_ref,0)))</f>
        <v/>
      </c>
      <c r="I2073" s="66" t="str">
        <f>IF(J2073&lt;&gt;"OK","",E2073*(1+G2073)*H2073)</f>
        <v/>
      </c>
      <c r="J2073" s="69" t="str">
        <f>IF(AND(A2073="",B2073=""),"",IF(A2073="","Produit manquant",IF(COUNTIF(prod_ref,A2073)=0,"Produit inconnu",IF(B2073="","Matière manquante",IF(ISNA(MATCH(B2073,mat_ref,0)),"Matière inconnue",IF(INDEX(mat_check,MATCH(B2073,mat_ref,0))&lt;&gt;"OK","Matière à corriger",IF(OR(NOT(ISNUMBER(E2073)),N(E2073)&lt;=0),"Quantité invalide",IF(AND(F2073&lt;&gt;"",OR(NOT(ISNUMBER(F2073)),N(F2073)&lt;0,N(F2073)&gt;=1)),"Perte entre 0 et 99 %",IF(COUNTIFS(bom_prod,A2073,bom_mat,B2073)&gt;1,"Matière en double","OK")))))))))</f>
        <v/>
      </c>
      <c r="K2073" s="71" t="str">
        <f>IF(AND(fiche_sel&lt;&gt;"",A2073=fiche_sel),COUNTIF(A$6:A2073,fiche_sel),"")</f>
        <v/>
      </c>
    </row>
    <row r="2074">
      <c r="A2074" s="60" t="n"/>
      <c r="B2074" s="60" t="n"/>
      <c r="C2074" s="71" t="str">
        <f>IF(B2074="","",IFERROR(INDEX(mat_des,MATCH(B2074,mat_ref,0))&amp;"","Matière inconnue"))</f>
        <v/>
      </c>
      <c r="D2074" s="69" t="str">
        <f>IF(B2074="","",IFERROR(INDEX(mat_unit,MATCH(B2074,mat_ref,0))&amp;"",""))</f>
        <v/>
      </c>
      <c r="E2074" s="72" t="n"/>
      <c r="F2074" s="65" t="n"/>
      <c r="G2074" s="68" t="str">
        <f>IF(J2074&lt;&gt;"OK","",IF(F2074="",N(INDEX(mat_loss,MATCH(B2074,mat_ref,0))),F2074))</f>
        <v/>
      </c>
      <c r="H2074" s="66" t="str">
        <f>IF(J2074&lt;&gt;"OK","",INDEX(mat_price,MATCH(B2074,mat_ref,0)))</f>
        <v/>
      </c>
      <c r="I2074" s="66" t="str">
        <f>IF(J2074&lt;&gt;"OK","",E2074*(1+G2074)*H2074)</f>
        <v/>
      </c>
      <c r="J2074" s="69" t="str">
        <f>IF(AND(A2074="",B2074=""),"",IF(A2074="","Produit manquant",IF(COUNTIF(prod_ref,A2074)=0,"Produit inconnu",IF(B2074="","Matière manquante",IF(ISNA(MATCH(B2074,mat_ref,0)),"Matière inconnue",IF(INDEX(mat_check,MATCH(B2074,mat_ref,0))&lt;&gt;"OK","Matière à corriger",IF(OR(NOT(ISNUMBER(E2074)),N(E2074)&lt;=0),"Quantité invalide",IF(AND(F2074&lt;&gt;"",OR(NOT(ISNUMBER(F2074)),N(F2074)&lt;0,N(F2074)&gt;=1)),"Perte entre 0 et 99 %",IF(COUNTIFS(bom_prod,A2074,bom_mat,B2074)&gt;1,"Matière en double","OK")))))))))</f>
        <v/>
      </c>
      <c r="K2074" s="71" t="str">
        <f>IF(AND(fiche_sel&lt;&gt;"",A2074=fiche_sel),COUNTIF(A$6:A2074,fiche_sel),"")</f>
        <v/>
      </c>
    </row>
    <row r="2075">
      <c r="A2075" s="60" t="n"/>
      <c r="B2075" s="60" t="n"/>
      <c r="C2075" s="71" t="str">
        <f>IF(B2075="","",IFERROR(INDEX(mat_des,MATCH(B2075,mat_ref,0))&amp;"","Matière inconnue"))</f>
        <v/>
      </c>
      <c r="D2075" s="69" t="str">
        <f>IF(B2075="","",IFERROR(INDEX(mat_unit,MATCH(B2075,mat_ref,0))&amp;"",""))</f>
        <v/>
      </c>
      <c r="E2075" s="72" t="n"/>
      <c r="F2075" s="65" t="n"/>
      <c r="G2075" s="68" t="str">
        <f>IF(J2075&lt;&gt;"OK","",IF(F2075="",N(INDEX(mat_loss,MATCH(B2075,mat_ref,0))),F2075))</f>
        <v/>
      </c>
      <c r="H2075" s="66" t="str">
        <f>IF(J2075&lt;&gt;"OK","",INDEX(mat_price,MATCH(B2075,mat_ref,0)))</f>
        <v/>
      </c>
      <c r="I2075" s="66" t="str">
        <f>IF(J2075&lt;&gt;"OK","",E2075*(1+G2075)*H2075)</f>
        <v/>
      </c>
      <c r="J2075" s="69" t="str">
        <f>IF(AND(A2075="",B2075=""),"",IF(A2075="","Produit manquant",IF(COUNTIF(prod_ref,A2075)=0,"Produit inconnu",IF(B2075="","Matière manquante",IF(ISNA(MATCH(B2075,mat_ref,0)),"Matière inconnue",IF(INDEX(mat_check,MATCH(B2075,mat_ref,0))&lt;&gt;"OK","Matière à corriger",IF(OR(NOT(ISNUMBER(E2075)),N(E2075)&lt;=0),"Quantité invalide",IF(AND(F2075&lt;&gt;"",OR(NOT(ISNUMBER(F2075)),N(F2075)&lt;0,N(F2075)&gt;=1)),"Perte entre 0 et 99 %",IF(COUNTIFS(bom_prod,A2075,bom_mat,B2075)&gt;1,"Matière en double","OK")))))))))</f>
        <v/>
      </c>
      <c r="K2075" s="71" t="str">
        <f>IF(AND(fiche_sel&lt;&gt;"",A2075=fiche_sel),COUNTIF(A$6:A2075,fiche_sel),"")</f>
        <v/>
      </c>
    </row>
    <row r="2076">
      <c r="A2076" s="60" t="n"/>
      <c r="B2076" s="60" t="n"/>
      <c r="C2076" s="71" t="str">
        <f>IF(B2076="","",IFERROR(INDEX(mat_des,MATCH(B2076,mat_ref,0))&amp;"","Matière inconnue"))</f>
        <v/>
      </c>
      <c r="D2076" s="69" t="str">
        <f>IF(B2076="","",IFERROR(INDEX(mat_unit,MATCH(B2076,mat_ref,0))&amp;"",""))</f>
        <v/>
      </c>
      <c r="E2076" s="72" t="n"/>
      <c r="F2076" s="65" t="n"/>
      <c r="G2076" s="68" t="str">
        <f>IF(J2076&lt;&gt;"OK","",IF(F2076="",N(INDEX(mat_loss,MATCH(B2076,mat_ref,0))),F2076))</f>
        <v/>
      </c>
      <c r="H2076" s="66" t="str">
        <f>IF(J2076&lt;&gt;"OK","",INDEX(mat_price,MATCH(B2076,mat_ref,0)))</f>
        <v/>
      </c>
      <c r="I2076" s="66" t="str">
        <f>IF(J2076&lt;&gt;"OK","",E2076*(1+G2076)*H2076)</f>
        <v/>
      </c>
      <c r="J2076" s="69" t="str">
        <f>IF(AND(A2076="",B2076=""),"",IF(A2076="","Produit manquant",IF(COUNTIF(prod_ref,A2076)=0,"Produit inconnu",IF(B2076="","Matière manquante",IF(ISNA(MATCH(B2076,mat_ref,0)),"Matière inconnue",IF(INDEX(mat_check,MATCH(B2076,mat_ref,0))&lt;&gt;"OK","Matière à corriger",IF(OR(NOT(ISNUMBER(E2076)),N(E2076)&lt;=0),"Quantité invalide",IF(AND(F2076&lt;&gt;"",OR(NOT(ISNUMBER(F2076)),N(F2076)&lt;0,N(F2076)&gt;=1)),"Perte entre 0 et 99 %",IF(COUNTIFS(bom_prod,A2076,bom_mat,B2076)&gt;1,"Matière en double","OK")))))))))</f>
        <v/>
      </c>
      <c r="K2076" s="71" t="str">
        <f>IF(AND(fiche_sel&lt;&gt;"",A2076=fiche_sel),COUNTIF(A$6:A2076,fiche_sel),"")</f>
        <v/>
      </c>
    </row>
    <row r="2077">
      <c r="A2077" s="60" t="n"/>
      <c r="B2077" s="60" t="n"/>
      <c r="C2077" s="71" t="str">
        <f>IF(B2077="","",IFERROR(INDEX(mat_des,MATCH(B2077,mat_ref,0))&amp;"","Matière inconnue"))</f>
        <v/>
      </c>
      <c r="D2077" s="69" t="str">
        <f>IF(B2077="","",IFERROR(INDEX(mat_unit,MATCH(B2077,mat_ref,0))&amp;"",""))</f>
        <v/>
      </c>
      <c r="E2077" s="72" t="n"/>
      <c r="F2077" s="65" t="n"/>
      <c r="G2077" s="68" t="str">
        <f>IF(J2077&lt;&gt;"OK","",IF(F2077="",N(INDEX(mat_loss,MATCH(B2077,mat_ref,0))),F2077))</f>
        <v/>
      </c>
      <c r="H2077" s="66" t="str">
        <f>IF(J2077&lt;&gt;"OK","",INDEX(mat_price,MATCH(B2077,mat_ref,0)))</f>
        <v/>
      </c>
      <c r="I2077" s="66" t="str">
        <f>IF(J2077&lt;&gt;"OK","",E2077*(1+G2077)*H2077)</f>
        <v/>
      </c>
      <c r="J2077" s="69" t="str">
        <f>IF(AND(A2077="",B2077=""),"",IF(A2077="","Produit manquant",IF(COUNTIF(prod_ref,A2077)=0,"Produit inconnu",IF(B2077="","Matière manquante",IF(ISNA(MATCH(B2077,mat_ref,0)),"Matière inconnue",IF(INDEX(mat_check,MATCH(B2077,mat_ref,0))&lt;&gt;"OK","Matière à corriger",IF(OR(NOT(ISNUMBER(E2077)),N(E2077)&lt;=0),"Quantité invalide",IF(AND(F2077&lt;&gt;"",OR(NOT(ISNUMBER(F2077)),N(F2077)&lt;0,N(F2077)&gt;=1)),"Perte entre 0 et 99 %",IF(COUNTIFS(bom_prod,A2077,bom_mat,B2077)&gt;1,"Matière en double","OK")))))))))</f>
        <v/>
      </c>
      <c r="K2077" s="71" t="str">
        <f>IF(AND(fiche_sel&lt;&gt;"",A2077=fiche_sel),COUNTIF(A$6:A2077,fiche_sel),"")</f>
        <v/>
      </c>
    </row>
    <row r="2078">
      <c r="A2078" s="60" t="n"/>
      <c r="B2078" s="60" t="n"/>
      <c r="C2078" s="71" t="str">
        <f>IF(B2078="","",IFERROR(INDEX(mat_des,MATCH(B2078,mat_ref,0))&amp;"","Matière inconnue"))</f>
        <v/>
      </c>
      <c r="D2078" s="69" t="str">
        <f>IF(B2078="","",IFERROR(INDEX(mat_unit,MATCH(B2078,mat_ref,0))&amp;"",""))</f>
        <v/>
      </c>
      <c r="E2078" s="72" t="n"/>
      <c r="F2078" s="65" t="n"/>
      <c r="G2078" s="68" t="str">
        <f>IF(J2078&lt;&gt;"OK","",IF(F2078="",N(INDEX(mat_loss,MATCH(B2078,mat_ref,0))),F2078))</f>
        <v/>
      </c>
      <c r="H2078" s="66" t="str">
        <f>IF(J2078&lt;&gt;"OK","",INDEX(mat_price,MATCH(B2078,mat_ref,0)))</f>
        <v/>
      </c>
      <c r="I2078" s="66" t="str">
        <f>IF(J2078&lt;&gt;"OK","",E2078*(1+G2078)*H2078)</f>
        <v/>
      </c>
      <c r="J2078" s="69" t="str">
        <f>IF(AND(A2078="",B2078=""),"",IF(A2078="","Produit manquant",IF(COUNTIF(prod_ref,A2078)=0,"Produit inconnu",IF(B2078="","Matière manquante",IF(ISNA(MATCH(B2078,mat_ref,0)),"Matière inconnue",IF(INDEX(mat_check,MATCH(B2078,mat_ref,0))&lt;&gt;"OK","Matière à corriger",IF(OR(NOT(ISNUMBER(E2078)),N(E2078)&lt;=0),"Quantité invalide",IF(AND(F2078&lt;&gt;"",OR(NOT(ISNUMBER(F2078)),N(F2078)&lt;0,N(F2078)&gt;=1)),"Perte entre 0 et 99 %",IF(COUNTIFS(bom_prod,A2078,bom_mat,B2078)&gt;1,"Matière en double","OK")))))))))</f>
        <v/>
      </c>
      <c r="K2078" s="71" t="str">
        <f>IF(AND(fiche_sel&lt;&gt;"",A2078=fiche_sel),COUNTIF(A$6:A2078,fiche_sel),"")</f>
        <v/>
      </c>
    </row>
    <row r="2079">
      <c r="A2079" s="60" t="n"/>
      <c r="B2079" s="60" t="n"/>
      <c r="C2079" s="71" t="str">
        <f>IF(B2079="","",IFERROR(INDEX(mat_des,MATCH(B2079,mat_ref,0))&amp;"","Matière inconnue"))</f>
        <v/>
      </c>
      <c r="D2079" s="69" t="str">
        <f>IF(B2079="","",IFERROR(INDEX(mat_unit,MATCH(B2079,mat_ref,0))&amp;"",""))</f>
        <v/>
      </c>
      <c r="E2079" s="72" t="n"/>
      <c r="F2079" s="65" t="n"/>
      <c r="G2079" s="68" t="str">
        <f>IF(J2079&lt;&gt;"OK","",IF(F2079="",N(INDEX(mat_loss,MATCH(B2079,mat_ref,0))),F2079))</f>
        <v/>
      </c>
      <c r="H2079" s="66" t="str">
        <f>IF(J2079&lt;&gt;"OK","",INDEX(mat_price,MATCH(B2079,mat_ref,0)))</f>
        <v/>
      </c>
      <c r="I2079" s="66" t="str">
        <f>IF(J2079&lt;&gt;"OK","",E2079*(1+G2079)*H2079)</f>
        <v/>
      </c>
      <c r="J2079" s="69" t="str">
        <f>IF(AND(A2079="",B2079=""),"",IF(A2079="","Produit manquant",IF(COUNTIF(prod_ref,A2079)=0,"Produit inconnu",IF(B2079="","Matière manquante",IF(ISNA(MATCH(B2079,mat_ref,0)),"Matière inconnue",IF(INDEX(mat_check,MATCH(B2079,mat_ref,0))&lt;&gt;"OK","Matière à corriger",IF(OR(NOT(ISNUMBER(E2079)),N(E2079)&lt;=0),"Quantité invalide",IF(AND(F2079&lt;&gt;"",OR(NOT(ISNUMBER(F2079)),N(F2079)&lt;0,N(F2079)&gt;=1)),"Perte entre 0 et 99 %",IF(COUNTIFS(bom_prod,A2079,bom_mat,B2079)&gt;1,"Matière en double","OK")))))))))</f>
        <v/>
      </c>
      <c r="K2079" s="71" t="str">
        <f>IF(AND(fiche_sel&lt;&gt;"",A2079=fiche_sel),COUNTIF(A$6:A2079,fiche_sel),"")</f>
        <v/>
      </c>
    </row>
    <row r="2080">
      <c r="A2080" s="60" t="n"/>
      <c r="B2080" s="60" t="n"/>
      <c r="C2080" s="71" t="str">
        <f>IF(B2080="","",IFERROR(INDEX(mat_des,MATCH(B2080,mat_ref,0))&amp;"","Matière inconnue"))</f>
        <v/>
      </c>
      <c r="D2080" s="69" t="str">
        <f>IF(B2080="","",IFERROR(INDEX(mat_unit,MATCH(B2080,mat_ref,0))&amp;"",""))</f>
        <v/>
      </c>
      <c r="E2080" s="72" t="n"/>
      <c r="F2080" s="65" t="n"/>
      <c r="G2080" s="68" t="str">
        <f>IF(J2080&lt;&gt;"OK","",IF(F2080="",N(INDEX(mat_loss,MATCH(B2080,mat_ref,0))),F2080))</f>
        <v/>
      </c>
      <c r="H2080" s="66" t="str">
        <f>IF(J2080&lt;&gt;"OK","",INDEX(mat_price,MATCH(B2080,mat_ref,0)))</f>
        <v/>
      </c>
      <c r="I2080" s="66" t="str">
        <f>IF(J2080&lt;&gt;"OK","",E2080*(1+G2080)*H2080)</f>
        <v/>
      </c>
      <c r="J2080" s="69" t="str">
        <f>IF(AND(A2080="",B2080=""),"",IF(A2080="","Produit manquant",IF(COUNTIF(prod_ref,A2080)=0,"Produit inconnu",IF(B2080="","Matière manquante",IF(ISNA(MATCH(B2080,mat_ref,0)),"Matière inconnue",IF(INDEX(mat_check,MATCH(B2080,mat_ref,0))&lt;&gt;"OK","Matière à corriger",IF(OR(NOT(ISNUMBER(E2080)),N(E2080)&lt;=0),"Quantité invalide",IF(AND(F2080&lt;&gt;"",OR(NOT(ISNUMBER(F2080)),N(F2080)&lt;0,N(F2080)&gt;=1)),"Perte entre 0 et 99 %",IF(COUNTIFS(bom_prod,A2080,bom_mat,B2080)&gt;1,"Matière en double","OK")))))))))</f>
        <v/>
      </c>
      <c r="K2080" s="71" t="str">
        <f>IF(AND(fiche_sel&lt;&gt;"",A2080=fiche_sel),COUNTIF(A$6:A2080,fiche_sel),"")</f>
        <v/>
      </c>
    </row>
    <row r="2081">
      <c r="A2081" s="60" t="n"/>
      <c r="B2081" s="60" t="n"/>
      <c r="C2081" s="71" t="str">
        <f>IF(B2081="","",IFERROR(INDEX(mat_des,MATCH(B2081,mat_ref,0))&amp;"","Matière inconnue"))</f>
        <v/>
      </c>
      <c r="D2081" s="69" t="str">
        <f>IF(B2081="","",IFERROR(INDEX(mat_unit,MATCH(B2081,mat_ref,0))&amp;"",""))</f>
        <v/>
      </c>
      <c r="E2081" s="72" t="n"/>
      <c r="F2081" s="65" t="n"/>
      <c r="G2081" s="68" t="str">
        <f>IF(J2081&lt;&gt;"OK","",IF(F2081="",N(INDEX(mat_loss,MATCH(B2081,mat_ref,0))),F2081))</f>
        <v/>
      </c>
      <c r="H2081" s="66" t="str">
        <f>IF(J2081&lt;&gt;"OK","",INDEX(mat_price,MATCH(B2081,mat_ref,0)))</f>
        <v/>
      </c>
      <c r="I2081" s="66" t="str">
        <f>IF(J2081&lt;&gt;"OK","",E2081*(1+G2081)*H2081)</f>
        <v/>
      </c>
      <c r="J2081" s="69" t="str">
        <f>IF(AND(A2081="",B2081=""),"",IF(A2081="","Produit manquant",IF(COUNTIF(prod_ref,A2081)=0,"Produit inconnu",IF(B2081="","Matière manquante",IF(ISNA(MATCH(B2081,mat_ref,0)),"Matière inconnue",IF(INDEX(mat_check,MATCH(B2081,mat_ref,0))&lt;&gt;"OK","Matière à corriger",IF(OR(NOT(ISNUMBER(E2081)),N(E2081)&lt;=0),"Quantité invalide",IF(AND(F2081&lt;&gt;"",OR(NOT(ISNUMBER(F2081)),N(F2081)&lt;0,N(F2081)&gt;=1)),"Perte entre 0 et 99 %",IF(COUNTIFS(bom_prod,A2081,bom_mat,B2081)&gt;1,"Matière en double","OK")))))))))</f>
        <v/>
      </c>
      <c r="K2081" s="71" t="str">
        <f>IF(AND(fiche_sel&lt;&gt;"",A2081=fiche_sel),COUNTIF(A$6:A2081,fiche_sel),"")</f>
        <v/>
      </c>
    </row>
    <row r="2082">
      <c r="A2082" s="60" t="n"/>
      <c r="B2082" s="60" t="n"/>
      <c r="C2082" s="71" t="str">
        <f>IF(B2082="","",IFERROR(INDEX(mat_des,MATCH(B2082,mat_ref,0))&amp;"","Matière inconnue"))</f>
        <v/>
      </c>
      <c r="D2082" s="69" t="str">
        <f>IF(B2082="","",IFERROR(INDEX(mat_unit,MATCH(B2082,mat_ref,0))&amp;"",""))</f>
        <v/>
      </c>
      <c r="E2082" s="72" t="n"/>
      <c r="F2082" s="65" t="n"/>
      <c r="G2082" s="68" t="str">
        <f>IF(J2082&lt;&gt;"OK","",IF(F2082="",N(INDEX(mat_loss,MATCH(B2082,mat_ref,0))),F2082))</f>
        <v/>
      </c>
      <c r="H2082" s="66" t="str">
        <f>IF(J2082&lt;&gt;"OK","",INDEX(mat_price,MATCH(B2082,mat_ref,0)))</f>
        <v/>
      </c>
      <c r="I2082" s="66" t="str">
        <f>IF(J2082&lt;&gt;"OK","",E2082*(1+G2082)*H2082)</f>
        <v/>
      </c>
      <c r="J2082" s="69" t="str">
        <f>IF(AND(A2082="",B2082=""),"",IF(A2082="","Produit manquant",IF(COUNTIF(prod_ref,A2082)=0,"Produit inconnu",IF(B2082="","Matière manquante",IF(ISNA(MATCH(B2082,mat_ref,0)),"Matière inconnue",IF(INDEX(mat_check,MATCH(B2082,mat_ref,0))&lt;&gt;"OK","Matière à corriger",IF(OR(NOT(ISNUMBER(E2082)),N(E2082)&lt;=0),"Quantité invalide",IF(AND(F2082&lt;&gt;"",OR(NOT(ISNUMBER(F2082)),N(F2082)&lt;0,N(F2082)&gt;=1)),"Perte entre 0 et 99 %",IF(COUNTIFS(bom_prod,A2082,bom_mat,B2082)&gt;1,"Matière en double","OK")))))))))</f>
        <v/>
      </c>
      <c r="K2082" s="71" t="str">
        <f>IF(AND(fiche_sel&lt;&gt;"",A2082=fiche_sel),COUNTIF(A$6:A2082,fiche_sel),"")</f>
        <v/>
      </c>
    </row>
    <row r="2083">
      <c r="A2083" s="60" t="n"/>
      <c r="B2083" s="60" t="n"/>
      <c r="C2083" s="71" t="str">
        <f>IF(B2083="","",IFERROR(INDEX(mat_des,MATCH(B2083,mat_ref,0))&amp;"","Matière inconnue"))</f>
        <v/>
      </c>
      <c r="D2083" s="69" t="str">
        <f>IF(B2083="","",IFERROR(INDEX(mat_unit,MATCH(B2083,mat_ref,0))&amp;"",""))</f>
        <v/>
      </c>
      <c r="E2083" s="72" t="n"/>
      <c r="F2083" s="65" t="n"/>
      <c r="G2083" s="68" t="str">
        <f>IF(J2083&lt;&gt;"OK","",IF(F2083="",N(INDEX(mat_loss,MATCH(B2083,mat_ref,0))),F2083))</f>
        <v/>
      </c>
      <c r="H2083" s="66" t="str">
        <f>IF(J2083&lt;&gt;"OK","",INDEX(mat_price,MATCH(B2083,mat_ref,0)))</f>
        <v/>
      </c>
      <c r="I2083" s="66" t="str">
        <f>IF(J2083&lt;&gt;"OK","",E2083*(1+G2083)*H2083)</f>
        <v/>
      </c>
      <c r="J2083" s="69" t="str">
        <f>IF(AND(A2083="",B2083=""),"",IF(A2083="","Produit manquant",IF(COUNTIF(prod_ref,A2083)=0,"Produit inconnu",IF(B2083="","Matière manquante",IF(ISNA(MATCH(B2083,mat_ref,0)),"Matière inconnue",IF(INDEX(mat_check,MATCH(B2083,mat_ref,0))&lt;&gt;"OK","Matière à corriger",IF(OR(NOT(ISNUMBER(E2083)),N(E2083)&lt;=0),"Quantité invalide",IF(AND(F2083&lt;&gt;"",OR(NOT(ISNUMBER(F2083)),N(F2083)&lt;0,N(F2083)&gt;=1)),"Perte entre 0 et 99 %",IF(COUNTIFS(bom_prod,A2083,bom_mat,B2083)&gt;1,"Matière en double","OK")))))))))</f>
        <v/>
      </c>
      <c r="K2083" s="71" t="str">
        <f>IF(AND(fiche_sel&lt;&gt;"",A2083=fiche_sel),COUNTIF(A$6:A2083,fiche_sel),"")</f>
        <v/>
      </c>
    </row>
    <row r="2084">
      <c r="A2084" s="60" t="n"/>
      <c r="B2084" s="60" t="n"/>
      <c r="C2084" s="71" t="str">
        <f>IF(B2084="","",IFERROR(INDEX(mat_des,MATCH(B2084,mat_ref,0))&amp;"","Matière inconnue"))</f>
        <v/>
      </c>
      <c r="D2084" s="69" t="str">
        <f>IF(B2084="","",IFERROR(INDEX(mat_unit,MATCH(B2084,mat_ref,0))&amp;"",""))</f>
        <v/>
      </c>
      <c r="E2084" s="72" t="n"/>
      <c r="F2084" s="65" t="n"/>
      <c r="G2084" s="68" t="str">
        <f>IF(J2084&lt;&gt;"OK","",IF(F2084="",N(INDEX(mat_loss,MATCH(B2084,mat_ref,0))),F2084))</f>
        <v/>
      </c>
      <c r="H2084" s="66" t="str">
        <f>IF(J2084&lt;&gt;"OK","",INDEX(mat_price,MATCH(B2084,mat_ref,0)))</f>
        <v/>
      </c>
      <c r="I2084" s="66" t="str">
        <f>IF(J2084&lt;&gt;"OK","",E2084*(1+G2084)*H2084)</f>
        <v/>
      </c>
      <c r="J2084" s="69" t="str">
        <f>IF(AND(A2084="",B2084=""),"",IF(A2084="","Produit manquant",IF(COUNTIF(prod_ref,A2084)=0,"Produit inconnu",IF(B2084="","Matière manquante",IF(ISNA(MATCH(B2084,mat_ref,0)),"Matière inconnue",IF(INDEX(mat_check,MATCH(B2084,mat_ref,0))&lt;&gt;"OK","Matière à corriger",IF(OR(NOT(ISNUMBER(E2084)),N(E2084)&lt;=0),"Quantité invalide",IF(AND(F2084&lt;&gt;"",OR(NOT(ISNUMBER(F2084)),N(F2084)&lt;0,N(F2084)&gt;=1)),"Perte entre 0 et 99 %",IF(COUNTIFS(bom_prod,A2084,bom_mat,B2084)&gt;1,"Matière en double","OK")))))))))</f>
        <v/>
      </c>
      <c r="K2084" s="71" t="str">
        <f>IF(AND(fiche_sel&lt;&gt;"",A2084=fiche_sel),COUNTIF(A$6:A2084,fiche_sel),"")</f>
        <v/>
      </c>
    </row>
    <row r="2085">
      <c r="A2085" s="60" t="n"/>
      <c r="B2085" s="60" t="n"/>
      <c r="C2085" s="71" t="str">
        <f>IF(B2085="","",IFERROR(INDEX(mat_des,MATCH(B2085,mat_ref,0))&amp;"","Matière inconnue"))</f>
        <v/>
      </c>
      <c r="D2085" s="69" t="str">
        <f>IF(B2085="","",IFERROR(INDEX(mat_unit,MATCH(B2085,mat_ref,0))&amp;"",""))</f>
        <v/>
      </c>
      <c r="E2085" s="72" t="n"/>
      <c r="F2085" s="65" t="n"/>
      <c r="G2085" s="68" t="str">
        <f>IF(J2085&lt;&gt;"OK","",IF(F2085="",N(INDEX(mat_loss,MATCH(B2085,mat_ref,0))),F2085))</f>
        <v/>
      </c>
      <c r="H2085" s="66" t="str">
        <f>IF(J2085&lt;&gt;"OK","",INDEX(mat_price,MATCH(B2085,mat_ref,0)))</f>
        <v/>
      </c>
      <c r="I2085" s="66" t="str">
        <f>IF(J2085&lt;&gt;"OK","",E2085*(1+G2085)*H2085)</f>
        <v/>
      </c>
      <c r="J2085" s="69" t="str">
        <f>IF(AND(A2085="",B2085=""),"",IF(A2085="","Produit manquant",IF(COUNTIF(prod_ref,A2085)=0,"Produit inconnu",IF(B2085="","Matière manquante",IF(ISNA(MATCH(B2085,mat_ref,0)),"Matière inconnue",IF(INDEX(mat_check,MATCH(B2085,mat_ref,0))&lt;&gt;"OK","Matière à corriger",IF(OR(NOT(ISNUMBER(E2085)),N(E2085)&lt;=0),"Quantité invalide",IF(AND(F2085&lt;&gt;"",OR(NOT(ISNUMBER(F2085)),N(F2085)&lt;0,N(F2085)&gt;=1)),"Perte entre 0 et 99 %",IF(COUNTIFS(bom_prod,A2085,bom_mat,B2085)&gt;1,"Matière en double","OK")))))))))</f>
        <v/>
      </c>
      <c r="K2085" s="71" t="str">
        <f>IF(AND(fiche_sel&lt;&gt;"",A2085=fiche_sel),COUNTIF(A$6:A2085,fiche_sel),"")</f>
        <v/>
      </c>
    </row>
    <row r="2086">
      <c r="A2086" s="60" t="n"/>
      <c r="B2086" s="60" t="n"/>
      <c r="C2086" s="71" t="str">
        <f>IF(B2086="","",IFERROR(INDEX(mat_des,MATCH(B2086,mat_ref,0))&amp;"","Matière inconnue"))</f>
        <v/>
      </c>
      <c r="D2086" s="69" t="str">
        <f>IF(B2086="","",IFERROR(INDEX(mat_unit,MATCH(B2086,mat_ref,0))&amp;"",""))</f>
        <v/>
      </c>
      <c r="E2086" s="72" t="n"/>
      <c r="F2086" s="65" t="n"/>
      <c r="G2086" s="68" t="str">
        <f>IF(J2086&lt;&gt;"OK","",IF(F2086="",N(INDEX(mat_loss,MATCH(B2086,mat_ref,0))),F2086))</f>
        <v/>
      </c>
      <c r="H2086" s="66" t="str">
        <f>IF(J2086&lt;&gt;"OK","",INDEX(mat_price,MATCH(B2086,mat_ref,0)))</f>
        <v/>
      </c>
      <c r="I2086" s="66" t="str">
        <f>IF(J2086&lt;&gt;"OK","",E2086*(1+G2086)*H2086)</f>
        <v/>
      </c>
      <c r="J2086" s="69" t="str">
        <f>IF(AND(A2086="",B2086=""),"",IF(A2086="","Produit manquant",IF(COUNTIF(prod_ref,A2086)=0,"Produit inconnu",IF(B2086="","Matière manquante",IF(ISNA(MATCH(B2086,mat_ref,0)),"Matière inconnue",IF(INDEX(mat_check,MATCH(B2086,mat_ref,0))&lt;&gt;"OK","Matière à corriger",IF(OR(NOT(ISNUMBER(E2086)),N(E2086)&lt;=0),"Quantité invalide",IF(AND(F2086&lt;&gt;"",OR(NOT(ISNUMBER(F2086)),N(F2086)&lt;0,N(F2086)&gt;=1)),"Perte entre 0 et 99 %",IF(COUNTIFS(bom_prod,A2086,bom_mat,B2086)&gt;1,"Matière en double","OK")))))))))</f>
        <v/>
      </c>
      <c r="K2086" s="71" t="str">
        <f>IF(AND(fiche_sel&lt;&gt;"",A2086=fiche_sel),COUNTIF(A$6:A2086,fiche_sel),"")</f>
        <v/>
      </c>
    </row>
    <row r="2087">
      <c r="A2087" s="60" t="n"/>
      <c r="B2087" s="60" t="n"/>
      <c r="C2087" s="71" t="str">
        <f>IF(B2087="","",IFERROR(INDEX(mat_des,MATCH(B2087,mat_ref,0))&amp;"","Matière inconnue"))</f>
        <v/>
      </c>
      <c r="D2087" s="69" t="str">
        <f>IF(B2087="","",IFERROR(INDEX(mat_unit,MATCH(B2087,mat_ref,0))&amp;"",""))</f>
        <v/>
      </c>
      <c r="E2087" s="72" t="n"/>
      <c r="F2087" s="65" t="n"/>
      <c r="G2087" s="68" t="str">
        <f>IF(J2087&lt;&gt;"OK","",IF(F2087="",N(INDEX(mat_loss,MATCH(B2087,mat_ref,0))),F2087))</f>
        <v/>
      </c>
      <c r="H2087" s="66" t="str">
        <f>IF(J2087&lt;&gt;"OK","",INDEX(mat_price,MATCH(B2087,mat_ref,0)))</f>
        <v/>
      </c>
      <c r="I2087" s="66" t="str">
        <f>IF(J2087&lt;&gt;"OK","",E2087*(1+G2087)*H2087)</f>
        <v/>
      </c>
      <c r="J2087" s="69" t="str">
        <f>IF(AND(A2087="",B2087=""),"",IF(A2087="","Produit manquant",IF(COUNTIF(prod_ref,A2087)=0,"Produit inconnu",IF(B2087="","Matière manquante",IF(ISNA(MATCH(B2087,mat_ref,0)),"Matière inconnue",IF(INDEX(mat_check,MATCH(B2087,mat_ref,0))&lt;&gt;"OK","Matière à corriger",IF(OR(NOT(ISNUMBER(E2087)),N(E2087)&lt;=0),"Quantité invalide",IF(AND(F2087&lt;&gt;"",OR(NOT(ISNUMBER(F2087)),N(F2087)&lt;0,N(F2087)&gt;=1)),"Perte entre 0 et 99 %",IF(COUNTIFS(bom_prod,A2087,bom_mat,B2087)&gt;1,"Matière en double","OK")))))))))</f>
        <v/>
      </c>
      <c r="K2087" s="71" t="str">
        <f>IF(AND(fiche_sel&lt;&gt;"",A2087=fiche_sel),COUNTIF(A$6:A2087,fiche_sel),"")</f>
        <v/>
      </c>
    </row>
    <row r="2088">
      <c r="A2088" s="60" t="n"/>
      <c r="B2088" s="60" t="n"/>
      <c r="C2088" s="71" t="str">
        <f>IF(B2088="","",IFERROR(INDEX(mat_des,MATCH(B2088,mat_ref,0))&amp;"","Matière inconnue"))</f>
        <v/>
      </c>
      <c r="D2088" s="69" t="str">
        <f>IF(B2088="","",IFERROR(INDEX(mat_unit,MATCH(B2088,mat_ref,0))&amp;"",""))</f>
        <v/>
      </c>
      <c r="E2088" s="72" t="n"/>
      <c r="F2088" s="65" t="n"/>
      <c r="G2088" s="68" t="str">
        <f>IF(J2088&lt;&gt;"OK","",IF(F2088="",N(INDEX(mat_loss,MATCH(B2088,mat_ref,0))),F2088))</f>
        <v/>
      </c>
      <c r="H2088" s="66" t="str">
        <f>IF(J2088&lt;&gt;"OK","",INDEX(mat_price,MATCH(B2088,mat_ref,0)))</f>
        <v/>
      </c>
      <c r="I2088" s="66" t="str">
        <f>IF(J2088&lt;&gt;"OK","",E2088*(1+G2088)*H2088)</f>
        <v/>
      </c>
      <c r="J2088" s="69" t="str">
        <f>IF(AND(A2088="",B2088=""),"",IF(A2088="","Produit manquant",IF(COUNTIF(prod_ref,A2088)=0,"Produit inconnu",IF(B2088="","Matière manquante",IF(ISNA(MATCH(B2088,mat_ref,0)),"Matière inconnue",IF(INDEX(mat_check,MATCH(B2088,mat_ref,0))&lt;&gt;"OK","Matière à corriger",IF(OR(NOT(ISNUMBER(E2088)),N(E2088)&lt;=0),"Quantité invalide",IF(AND(F2088&lt;&gt;"",OR(NOT(ISNUMBER(F2088)),N(F2088)&lt;0,N(F2088)&gt;=1)),"Perte entre 0 et 99 %",IF(COUNTIFS(bom_prod,A2088,bom_mat,B2088)&gt;1,"Matière en double","OK")))))))))</f>
        <v/>
      </c>
      <c r="K2088" s="71" t="str">
        <f>IF(AND(fiche_sel&lt;&gt;"",A2088=fiche_sel),COUNTIF(A$6:A2088,fiche_sel),"")</f>
        <v/>
      </c>
    </row>
    <row r="2089">
      <c r="A2089" s="60" t="n"/>
      <c r="B2089" s="60" t="n"/>
      <c r="C2089" s="71" t="str">
        <f>IF(B2089="","",IFERROR(INDEX(mat_des,MATCH(B2089,mat_ref,0))&amp;"","Matière inconnue"))</f>
        <v/>
      </c>
      <c r="D2089" s="69" t="str">
        <f>IF(B2089="","",IFERROR(INDEX(mat_unit,MATCH(B2089,mat_ref,0))&amp;"",""))</f>
        <v/>
      </c>
      <c r="E2089" s="72" t="n"/>
      <c r="F2089" s="65" t="n"/>
      <c r="G2089" s="68" t="str">
        <f>IF(J2089&lt;&gt;"OK","",IF(F2089="",N(INDEX(mat_loss,MATCH(B2089,mat_ref,0))),F2089))</f>
        <v/>
      </c>
      <c r="H2089" s="66" t="str">
        <f>IF(J2089&lt;&gt;"OK","",INDEX(mat_price,MATCH(B2089,mat_ref,0)))</f>
        <v/>
      </c>
      <c r="I2089" s="66" t="str">
        <f>IF(J2089&lt;&gt;"OK","",E2089*(1+G2089)*H2089)</f>
        <v/>
      </c>
      <c r="J2089" s="69" t="str">
        <f>IF(AND(A2089="",B2089=""),"",IF(A2089="","Produit manquant",IF(COUNTIF(prod_ref,A2089)=0,"Produit inconnu",IF(B2089="","Matière manquante",IF(ISNA(MATCH(B2089,mat_ref,0)),"Matière inconnue",IF(INDEX(mat_check,MATCH(B2089,mat_ref,0))&lt;&gt;"OK","Matière à corriger",IF(OR(NOT(ISNUMBER(E2089)),N(E2089)&lt;=0),"Quantité invalide",IF(AND(F2089&lt;&gt;"",OR(NOT(ISNUMBER(F2089)),N(F2089)&lt;0,N(F2089)&gt;=1)),"Perte entre 0 et 99 %",IF(COUNTIFS(bom_prod,A2089,bom_mat,B2089)&gt;1,"Matière en double","OK")))))))))</f>
        <v/>
      </c>
      <c r="K2089" s="71" t="str">
        <f>IF(AND(fiche_sel&lt;&gt;"",A2089=fiche_sel),COUNTIF(A$6:A2089,fiche_sel),"")</f>
        <v/>
      </c>
    </row>
    <row r="2090">
      <c r="A2090" s="60" t="n"/>
      <c r="B2090" s="60" t="n"/>
      <c r="C2090" s="71" t="str">
        <f>IF(B2090="","",IFERROR(INDEX(mat_des,MATCH(B2090,mat_ref,0))&amp;"","Matière inconnue"))</f>
        <v/>
      </c>
      <c r="D2090" s="69" t="str">
        <f>IF(B2090="","",IFERROR(INDEX(mat_unit,MATCH(B2090,mat_ref,0))&amp;"",""))</f>
        <v/>
      </c>
      <c r="E2090" s="72" t="n"/>
      <c r="F2090" s="65" t="n"/>
      <c r="G2090" s="68" t="str">
        <f>IF(J2090&lt;&gt;"OK","",IF(F2090="",N(INDEX(mat_loss,MATCH(B2090,mat_ref,0))),F2090))</f>
        <v/>
      </c>
      <c r="H2090" s="66" t="str">
        <f>IF(J2090&lt;&gt;"OK","",INDEX(mat_price,MATCH(B2090,mat_ref,0)))</f>
        <v/>
      </c>
      <c r="I2090" s="66" t="str">
        <f>IF(J2090&lt;&gt;"OK","",E2090*(1+G2090)*H2090)</f>
        <v/>
      </c>
      <c r="J2090" s="69" t="str">
        <f>IF(AND(A2090="",B2090=""),"",IF(A2090="","Produit manquant",IF(COUNTIF(prod_ref,A2090)=0,"Produit inconnu",IF(B2090="","Matière manquante",IF(ISNA(MATCH(B2090,mat_ref,0)),"Matière inconnue",IF(INDEX(mat_check,MATCH(B2090,mat_ref,0))&lt;&gt;"OK","Matière à corriger",IF(OR(NOT(ISNUMBER(E2090)),N(E2090)&lt;=0),"Quantité invalide",IF(AND(F2090&lt;&gt;"",OR(NOT(ISNUMBER(F2090)),N(F2090)&lt;0,N(F2090)&gt;=1)),"Perte entre 0 et 99 %",IF(COUNTIFS(bom_prod,A2090,bom_mat,B2090)&gt;1,"Matière en double","OK")))))))))</f>
        <v/>
      </c>
      <c r="K2090" s="71" t="str">
        <f>IF(AND(fiche_sel&lt;&gt;"",A2090=fiche_sel),COUNTIF(A$6:A2090,fiche_sel),"")</f>
        <v/>
      </c>
    </row>
    <row r="2091">
      <c r="A2091" s="60" t="n"/>
      <c r="B2091" s="60" t="n"/>
      <c r="C2091" s="71" t="str">
        <f>IF(B2091="","",IFERROR(INDEX(mat_des,MATCH(B2091,mat_ref,0))&amp;"","Matière inconnue"))</f>
        <v/>
      </c>
      <c r="D2091" s="69" t="str">
        <f>IF(B2091="","",IFERROR(INDEX(mat_unit,MATCH(B2091,mat_ref,0))&amp;"",""))</f>
        <v/>
      </c>
      <c r="E2091" s="72" t="n"/>
      <c r="F2091" s="65" t="n"/>
      <c r="G2091" s="68" t="str">
        <f>IF(J2091&lt;&gt;"OK","",IF(F2091="",N(INDEX(mat_loss,MATCH(B2091,mat_ref,0))),F2091))</f>
        <v/>
      </c>
      <c r="H2091" s="66" t="str">
        <f>IF(J2091&lt;&gt;"OK","",INDEX(mat_price,MATCH(B2091,mat_ref,0)))</f>
        <v/>
      </c>
      <c r="I2091" s="66" t="str">
        <f>IF(J2091&lt;&gt;"OK","",E2091*(1+G2091)*H2091)</f>
        <v/>
      </c>
      <c r="J2091" s="69" t="str">
        <f>IF(AND(A2091="",B2091=""),"",IF(A2091="","Produit manquant",IF(COUNTIF(prod_ref,A2091)=0,"Produit inconnu",IF(B2091="","Matière manquante",IF(ISNA(MATCH(B2091,mat_ref,0)),"Matière inconnue",IF(INDEX(mat_check,MATCH(B2091,mat_ref,0))&lt;&gt;"OK","Matière à corriger",IF(OR(NOT(ISNUMBER(E2091)),N(E2091)&lt;=0),"Quantité invalide",IF(AND(F2091&lt;&gt;"",OR(NOT(ISNUMBER(F2091)),N(F2091)&lt;0,N(F2091)&gt;=1)),"Perte entre 0 et 99 %",IF(COUNTIFS(bom_prod,A2091,bom_mat,B2091)&gt;1,"Matière en double","OK")))))))))</f>
        <v/>
      </c>
      <c r="K2091" s="71" t="str">
        <f>IF(AND(fiche_sel&lt;&gt;"",A2091=fiche_sel),COUNTIF(A$6:A2091,fiche_sel),"")</f>
        <v/>
      </c>
    </row>
    <row r="2092">
      <c r="A2092" s="60" t="n"/>
      <c r="B2092" s="60" t="n"/>
      <c r="C2092" s="71" t="str">
        <f>IF(B2092="","",IFERROR(INDEX(mat_des,MATCH(B2092,mat_ref,0))&amp;"","Matière inconnue"))</f>
        <v/>
      </c>
      <c r="D2092" s="69" t="str">
        <f>IF(B2092="","",IFERROR(INDEX(mat_unit,MATCH(B2092,mat_ref,0))&amp;"",""))</f>
        <v/>
      </c>
      <c r="E2092" s="72" t="n"/>
      <c r="F2092" s="65" t="n"/>
      <c r="G2092" s="68" t="str">
        <f>IF(J2092&lt;&gt;"OK","",IF(F2092="",N(INDEX(mat_loss,MATCH(B2092,mat_ref,0))),F2092))</f>
        <v/>
      </c>
      <c r="H2092" s="66" t="str">
        <f>IF(J2092&lt;&gt;"OK","",INDEX(mat_price,MATCH(B2092,mat_ref,0)))</f>
        <v/>
      </c>
      <c r="I2092" s="66" t="str">
        <f>IF(J2092&lt;&gt;"OK","",E2092*(1+G2092)*H2092)</f>
        <v/>
      </c>
      <c r="J2092" s="69" t="str">
        <f>IF(AND(A2092="",B2092=""),"",IF(A2092="","Produit manquant",IF(COUNTIF(prod_ref,A2092)=0,"Produit inconnu",IF(B2092="","Matière manquante",IF(ISNA(MATCH(B2092,mat_ref,0)),"Matière inconnue",IF(INDEX(mat_check,MATCH(B2092,mat_ref,0))&lt;&gt;"OK","Matière à corriger",IF(OR(NOT(ISNUMBER(E2092)),N(E2092)&lt;=0),"Quantité invalide",IF(AND(F2092&lt;&gt;"",OR(NOT(ISNUMBER(F2092)),N(F2092)&lt;0,N(F2092)&gt;=1)),"Perte entre 0 et 99 %",IF(COUNTIFS(bom_prod,A2092,bom_mat,B2092)&gt;1,"Matière en double","OK")))))))))</f>
        <v/>
      </c>
      <c r="K2092" s="71" t="str">
        <f>IF(AND(fiche_sel&lt;&gt;"",A2092=fiche_sel),COUNTIF(A$6:A2092,fiche_sel),"")</f>
        <v/>
      </c>
    </row>
    <row r="2093">
      <c r="A2093" s="60" t="n"/>
      <c r="B2093" s="60" t="n"/>
      <c r="C2093" s="71" t="str">
        <f>IF(B2093="","",IFERROR(INDEX(mat_des,MATCH(B2093,mat_ref,0))&amp;"","Matière inconnue"))</f>
        <v/>
      </c>
      <c r="D2093" s="69" t="str">
        <f>IF(B2093="","",IFERROR(INDEX(mat_unit,MATCH(B2093,mat_ref,0))&amp;"",""))</f>
        <v/>
      </c>
      <c r="E2093" s="72" t="n"/>
      <c r="F2093" s="65" t="n"/>
      <c r="G2093" s="68" t="str">
        <f>IF(J2093&lt;&gt;"OK","",IF(F2093="",N(INDEX(mat_loss,MATCH(B2093,mat_ref,0))),F2093))</f>
        <v/>
      </c>
      <c r="H2093" s="66" t="str">
        <f>IF(J2093&lt;&gt;"OK","",INDEX(mat_price,MATCH(B2093,mat_ref,0)))</f>
        <v/>
      </c>
      <c r="I2093" s="66" t="str">
        <f>IF(J2093&lt;&gt;"OK","",E2093*(1+G2093)*H2093)</f>
        <v/>
      </c>
      <c r="J2093" s="69" t="str">
        <f>IF(AND(A2093="",B2093=""),"",IF(A2093="","Produit manquant",IF(COUNTIF(prod_ref,A2093)=0,"Produit inconnu",IF(B2093="","Matière manquante",IF(ISNA(MATCH(B2093,mat_ref,0)),"Matière inconnue",IF(INDEX(mat_check,MATCH(B2093,mat_ref,0))&lt;&gt;"OK","Matière à corriger",IF(OR(NOT(ISNUMBER(E2093)),N(E2093)&lt;=0),"Quantité invalide",IF(AND(F2093&lt;&gt;"",OR(NOT(ISNUMBER(F2093)),N(F2093)&lt;0,N(F2093)&gt;=1)),"Perte entre 0 et 99 %",IF(COUNTIFS(bom_prod,A2093,bom_mat,B2093)&gt;1,"Matière en double","OK")))))))))</f>
        <v/>
      </c>
      <c r="K2093" s="71" t="str">
        <f>IF(AND(fiche_sel&lt;&gt;"",A2093=fiche_sel),COUNTIF(A$6:A2093,fiche_sel),"")</f>
        <v/>
      </c>
    </row>
    <row r="2094">
      <c r="A2094" s="60" t="n"/>
      <c r="B2094" s="60" t="n"/>
      <c r="C2094" s="71" t="str">
        <f>IF(B2094="","",IFERROR(INDEX(mat_des,MATCH(B2094,mat_ref,0))&amp;"","Matière inconnue"))</f>
        <v/>
      </c>
      <c r="D2094" s="69" t="str">
        <f>IF(B2094="","",IFERROR(INDEX(mat_unit,MATCH(B2094,mat_ref,0))&amp;"",""))</f>
        <v/>
      </c>
      <c r="E2094" s="72" t="n"/>
      <c r="F2094" s="65" t="n"/>
      <c r="G2094" s="68" t="str">
        <f>IF(J2094&lt;&gt;"OK","",IF(F2094="",N(INDEX(mat_loss,MATCH(B2094,mat_ref,0))),F2094))</f>
        <v/>
      </c>
      <c r="H2094" s="66" t="str">
        <f>IF(J2094&lt;&gt;"OK","",INDEX(mat_price,MATCH(B2094,mat_ref,0)))</f>
        <v/>
      </c>
      <c r="I2094" s="66" t="str">
        <f>IF(J2094&lt;&gt;"OK","",E2094*(1+G2094)*H2094)</f>
        <v/>
      </c>
      <c r="J2094" s="69" t="str">
        <f>IF(AND(A2094="",B2094=""),"",IF(A2094="","Produit manquant",IF(COUNTIF(prod_ref,A2094)=0,"Produit inconnu",IF(B2094="","Matière manquante",IF(ISNA(MATCH(B2094,mat_ref,0)),"Matière inconnue",IF(INDEX(mat_check,MATCH(B2094,mat_ref,0))&lt;&gt;"OK","Matière à corriger",IF(OR(NOT(ISNUMBER(E2094)),N(E2094)&lt;=0),"Quantité invalide",IF(AND(F2094&lt;&gt;"",OR(NOT(ISNUMBER(F2094)),N(F2094)&lt;0,N(F2094)&gt;=1)),"Perte entre 0 et 99 %",IF(COUNTIFS(bom_prod,A2094,bom_mat,B2094)&gt;1,"Matière en double","OK")))))))))</f>
        <v/>
      </c>
      <c r="K2094" s="71" t="str">
        <f>IF(AND(fiche_sel&lt;&gt;"",A2094=fiche_sel),COUNTIF(A$6:A2094,fiche_sel),"")</f>
        <v/>
      </c>
    </row>
    <row r="2095">
      <c r="A2095" s="60" t="n"/>
      <c r="B2095" s="60" t="n"/>
      <c r="C2095" s="71" t="str">
        <f>IF(B2095="","",IFERROR(INDEX(mat_des,MATCH(B2095,mat_ref,0))&amp;"","Matière inconnue"))</f>
        <v/>
      </c>
      <c r="D2095" s="69" t="str">
        <f>IF(B2095="","",IFERROR(INDEX(mat_unit,MATCH(B2095,mat_ref,0))&amp;"",""))</f>
        <v/>
      </c>
      <c r="E2095" s="72" t="n"/>
      <c r="F2095" s="65" t="n"/>
      <c r="G2095" s="68" t="str">
        <f>IF(J2095&lt;&gt;"OK","",IF(F2095="",N(INDEX(mat_loss,MATCH(B2095,mat_ref,0))),F2095))</f>
        <v/>
      </c>
      <c r="H2095" s="66" t="str">
        <f>IF(J2095&lt;&gt;"OK","",INDEX(mat_price,MATCH(B2095,mat_ref,0)))</f>
        <v/>
      </c>
      <c r="I2095" s="66" t="str">
        <f>IF(J2095&lt;&gt;"OK","",E2095*(1+G2095)*H2095)</f>
        <v/>
      </c>
      <c r="J2095" s="69" t="str">
        <f>IF(AND(A2095="",B2095=""),"",IF(A2095="","Produit manquant",IF(COUNTIF(prod_ref,A2095)=0,"Produit inconnu",IF(B2095="","Matière manquante",IF(ISNA(MATCH(B2095,mat_ref,0)),"Matière inconnue",IF(INDEX(mat_check,MATCH(B2095,mat_ref,0))&lt;&gt;"OK","Matière à corriger",IF(OR(NOT(ISNUMBER(E2095)),N(E2095)&lt;=0),"Quantité invalide",IF(AND(F2095&lt;&gt;"",OR(NOT(ISNUMBER(F2095)),N(F2095)&lt;0,N(F2095)&gt;=1)),"Perte entre 0 et 99 %",IF(COUNTIFS(bom_prod,A2095,bom_mat,B2095)&gt;1,"Matière en double","OK")))))))))</f>
        <v/>
      </c>
      <c r="K2095" s="71" t="str">
        <f>IF(AND(fiche_sel&lt;&gt;"",A2095=fiche_sel),COUNTIF(A$6:A2095,fiche_sel),"")</f>
        <v/>
      </c>
    </row>
    <row r="2096">
      <c r="A2096" s="60" t="n"/>
      <c r="B2096" s="60" t="n"/>
      <c r="C2096" s="71" t="str">
        <f>IF(B2096="","",IFERROR(INDEX(mat_des,MATCH(B2096,mat_ref,0))&amp;"","Matière inconnue"))</f>
        <v/>
      </c>
      <c r="D2096" s="69" t="str">
        <f>IF(B2096="","",IFERROR(INDEX(mat_unit,MATCH(B2096,mat_ref,0))&amp;"",""))</f>
        <v/>
      </c>
      <c r="E2096" s="72" t="n"/>
      <c r="F2096" s="65" t="n"/>
      <c r="G2096" s="68" t="str">
        <f>IF(J2096&lt;&gt;"OK","",IF(F2096="",N(INDEX(mat_loss,MATCH(B2096,mat_ref,0))),F2096))</f>
        <v/>
      </c>
      <c r="H2096" s="66" t="str">
        <f>IF(J2096&lt;&gt;"OK","",INDEX(mat_price,MATCH(B2096,mat_ref,0)))</f>
        <v/>
      </c>
      <c r="I2096" s="66" t="str">
        <f>IF(J2096&lt;&gt;"OK","",E2096*(1+G2096)*H2096)</f>
        <v/>
      </c>
      <c r="J2096" s="69" t="str">
        <f>IF(AND(A2096="",B2096=""),"",IF(A2096="","Produit manquant",IF(COUNTIF(prod_ref,A2096)=0,"Produit inconnu",IF(B2096="","Matière manquante",IF(ISNA(MATCH(B2096,mat_ref,0)),"Matière inconnue",IF(INDEX(mat_check,MATCH(B2096,mat_ref,0))&lt;&gt;"OK","Matière à corriger",IF(OR(NOT(ISNUMBER(E2096)),N(E2096)&lt;=0),"Quantité invalide",IF(AND(F2096&lt;&gt;"",OR(NOT(ISNUMBER(F2096)),N(F2096)&lt;0,N(F2096)&gt;=1)),"Perte entre 0 et 99 %",IF(COUNTIFS(bom_prod,A2096,bom_mat,B2096)&gt;1,"Matière en double","OK")))))))))</f>
        <v/>
      </c>
      <c r="K2096" s="71" t="str">
        <f>IF(AND(fiche_sel&lt;&gt;"",A2096=fiche_sel),COUNTIF(A$6:A2096,fiche_sel),"")</f>
        <v/>
      </c>
    </row>
    <row r="2097">
      <c r="A2097" s="60" t="n"/>
      <c r="B2097" s="60" t="n"/>
      <c r="C2097" s="71" t="str">
        <f>IF(B2097="","",IFERROR(INDEX(mat_des,MATCH(B2097,mat_ref,0))&amp;"","Matière inconnue"))</f>
        <v/>
      </c>
      <c r="D2097" s="69" t="str">
        <f>IF(B2097="","",IFERROR(INDEX(mat_unit,MATCH(B2097,mat_ref,0))&amp;"",""))</f>
        <v/>
      </c>
      <c r="E2097" s="72" t="n"/>
      <c r="F2097" s="65" t="n"/>
      <c r="G2097" s="68" t="str">
        <f>IF(J2097&lt;&gt;"OK","",IF(F2097="",N(INDEX(mat_loss,MATCH(B2097,mat_ref,0))),F2097))</f>
        <v/>
      </c>
      <c r="H2097" s="66" t="str">
        <f>IF(J2097&lt;&gt;"OK","",INDEX(mat_price,MATCH(B2097,mat_ref,0)))</f>
        <v/>
      </c>
      <c r="I2097" s="66" t="str">
        <f>IF(J2097&lt;&gt;"OK","",E2097*(1+G2097)*H2097)</f>
        <v/>
      </c>
      <c r="J2097" s="69" t="str">
        <f>IF(AND(A2097="",B2097=""),"",IF(A2097="","Produit manquant",IF(COUNTIF(prod_ref,A2097)=0,"Produit inconnu",IF(B2097="","Matière manquante",IF(ISNA(MATCH(B2097,mat_ref,0)),"Matière inconnue",IF(INDEX(mat_check,MATCH(B2097,mat_ref,0))&lt;&gt;"OK","Matière à corriger",IF(OR(NOT(ISNUMBER(E2097)),N(E2097)&lt;=0),"Quantité invalide",IF(AND(F2097&lt;&gt;"",OR(NOT(ISNUMBER(F2097)),N(F2097)&lt;0,N(F2097)&gt;=1)),"Perte entre 0 et 99 %",IF(COUNTIFS(bom_prod,A2097,bom_mat,B2097)&gt;1,"Matière en double","OK")))))))))</f>
        <v/>
      </c>
      <c r="K2097" s="71" t="str">
        <f>IF(AND(fiche_sel&lt;&gt;"",A2097=fiche_sel),COUNTIF(A$6:A2097,fiche_sel),"")</f>
        <v/>
      </c>
    </row>
    <row r="2098">
      <c r="A2098" s="60" t="n"/>
      <c r="B2098" s="60" t="n"/>
      <c r="C2098" s="71" t="str">
        <f>IF(B2098="","",IFERROR(INDEX(mat_des,MATCH(B2098,mat_ref,0))&amp;"","Matière inconnue"))</f>
        <v/>
      </c>
      <c r="D2098" s="69" t="str">
        <f>IF(B2098="","",IFERROR(INDEX(mat_unit,MATCH(B2098,mat_ref,0))&amp;"",""))</f>
        <v/>
      </c>
      <c r="E2098" s="72" t="n"/>
      <c r="F2098" s="65" t="n"/>
      <c r="G2098" s="68" t="str">
        <f>IF(J2098&lt;&gt;"OK","",IF(F2098="",N(INDEX(mat_loss,MATCH(B2098,mat_ref,0))),F2098))</f>
        <v/>
      </c>
      <c r="H2098" s="66" t="str">
        <f>IF(J2098&lt;&gt;"OK","",INDEX(mat_price,MATCH(B2098,mat_ref,0)))</f>
        <v/>
      </c>
      <c r="I2098" s="66" t="str">
        <f>IF(J2098&lt;&gt;"OK","",E2098*(1+G2098)*H2098)</f>
        <v/>
      </c>
      <c r="J2098" s="69" t="str">
        <f>IF(AND(A2098="",B2098=""),"",IF(A2098="","Produit manquant",IF(COUNTIF(prod_ref,A2098)=0,"Produit inconnu",IF(B2098="","Matière manquante",IF(ISNA(MATCH(B2098,mat_ref,0)),"Matière inconnue",IF(INDEX(mat_check,MATCH(B2098,mat_ref,0))&lt;&gt;"OK","Matière à corriger",IF(OR(NOT(ISNUMBER(E2098)),N(E2098)&lt;=0),"Quantité invalide",IF(AND(F2098&lt;&gt;"",OR(NOT(ISNUMBER(F2098)),N(F2098)&lt;0,N(F2098)&gt;=1)),"Perte entre 0 et 99 %",IF(COUNTIFS(bom_prod,A2098,bom_mat,B2098)&gt;1,"Matière en double","OK")))))))))</f>
        <v/>
      </c>
      <c r="K2098" s="71" t="str">
        <f>IF(AND(fiche_sel&lt;&gt;"",A2098=fiche_sel),COUNTIF(A$6:A2098,fiche_sel),"")</f>
        <v/>
      </c>
    </row>
    <row r="2099">
      <c r="A2099" s="60" t="n"/>
      <c r="B2099" s="60" t="n"/>
      <c r="C2099" s="71" t="str">
        <f>IF(B2099="","",IFERROR(INDEX(mat_des,MATCH(B2099,mat_ref,0))&amp;"","Matière inconnue"))</f>
        <v/>
      </c>
      <c r="D2099" s="69" t="str">
        <f>IF(B2099="","",IFERROR(INDEX(mat_unit,MATCH(B2099,mat_ref,0))&amp;"",""))</f>
        <v/>
      </c>
      <c r="E2099" s="72" t="n"/>
      <c r="F2099" s="65" t="n"/>
      <c r="G2099" s="68" t="str">
        <f>IF(J2099&lt;&gt;"OK","",IF(F2099="",N(INDEX(mat_loss,MATCH(B2099,mat_ref,0))),F2099))</f>
        <v/>
      </c>
      <c r="H2099" s="66" t="str">
        <f>IF(J2099&lt;&gt;"OK","",INDEX(mat_price,MATCH(B2099,mat_ref,0)))</f>
        <v/>
      </c>
      <c r="I2099" s="66" t="str">
        <f>IF(J2099&lt;&gt;"OK","",E2099*(1+G2099)*H2099)</f>
        <v/>
      </c>
      <c r="J2099" s="69" t="str">
        <f>IF(AND(A2099="",B2099=""),"",IF(A2099="","Produit manquant",IF(COUNTIF(prod_ref,A2099)=0,"Produit inconnu",IF(B2099="","Matière manquante",IF(ISNA(MATCH(B2099,mat_ref,0)),"Matière inconnue",IF(INDEX(mat_check,MATCH(B2099,mat_ref,0))&lt;&gt;"OK","Matière à corriger",IF(OR(NOT(ISNUMBER(E2099)),N(E2099)&lt;=0),"Quantité invalide",IF(AND(F2099&lt;&gt;"",OR(NOT(ISNUMBER(F2099)),N(F2099)&lt;0,N(F2099)&gt;=1)),"Perte entre 0 et 99 %",IF(COUNTIFS(bom_prod,A2099,bom_mat,B2099)&gt;1,"Matière en double","OK")))))))))</f>
        <v/>
      </c>
      <c r="K2099" s="71" t="str">
        <f>IF(AND(fiche_sel&lt;&gt;"",A2099=fiche_sel),COUNTIF(A$6:A2099,fiche_sel),"")</f>
        <v/>
      </c>
    </row>
    <row r="2100">
      <c r="A2100" s="60" t="n"/>
      <c r="B2100" s="60" t="n"/>
      <c r="C2100" s="71" t="str">
        <f>IF(B2100="","",IFERROR(INDEX(mat_des,MATCH(B2100,mat_ref,0))&amp;"","Matière inconnue"))</f>
        <v/>
      </c>
      <c r="D2100" s="69" t="str">
        <f>IF(B2100="","",IFERROR(INDEX(mat_unit,MATCH(B2100,mat_ref,0))&amp;"",""))</f>
        <v/>
      </c>
      <c r="E2100" s="72" t="n"/>
      <c r="F2100" s="65" t="n"/>
      <c r="G2100" s="68" t="str">
        <f>IF(J2100&lt;&gt;"OK","",IF(F2100="",N(INDEX(mat_loss,MATCH(B2100,mat_ref,0))),F2100))</f>
        <v/>
      </c>
      <c r="H2100" s="66" t="str">
        <f>IF(J2100&lt;&gt;"OK","",INDEX(mat_price,MATCH(B2100,mat_ref,0)))</f>
        <v/>
      </c>
      <c r="I2100" s="66" t="str">
        <f>IF(J2100&lt;&gt;"OK","",E2100*(1+G2100)*H2100)</f>
        <v/>
      </c>
      <c r="J2100" s="69" t="str">
        <f>IF(AND(A2100="",B2100=""),"",IF(A2100="","Produit manquant",IF(COUNTIF(prod_ref,A2100)=0,"Produit inconnu",IF(B2100="","Matière manquante",IF(ISNA(MATCH(B2100,mat_ref,0)),"Matière inconnue",IF(INDEX(mat_check,MATCH(B2100,mat_ref,0))&lt;&gt;"OK","Matière à corriger",IF(OR(NOT(ISNUMBER(E2100)),N(E2100)&lt;=0),"Quantité invalide",IF(AND(F2100&lt;&gt;"",OR(NOT(ISNUMBER(F2100)),N(F2100)&lt;0,N(F2100)&gt;=1)),"Perte entre 0 et 99 %",IF(COUNTIFS(bom_prod,A2100,bom_mat,B2100)&gt;1,"Matière en double","OK")))))))))</f>
        <v/>
      </c>
      <c r="K2100" s="71" t="str">
        <f>IF(AND(fiche_sel&lt;&gt;"",A2100=fiche_sel),COUNTIF(A$6:A2100,fiche_sel),"")</f>
        <v/>
      </c>
    </row>
    <row r="2101">
      <c r="A2101" s="60" t="n"/>
      <c r="B2101" s="60" t="n"/>
      <c r="C2101" s="71" t="str">
        <f>IF(B2101="","",IFERROR(INDEX(mat_des,MATCH(B2101,mat_ref,0))&amp;"","Matière inconnue"))</f>
        <v/>
      </c>
      <c r="D2101" s="69" t="str">
        <f>IF(B2101="","",IFERROR(INDEX(mat_unit,MATCH(B2101,mat_ref,0))&amp;"",""))</f>
        <v/>
      </c>
      <c r="E2101" s="72" t="n"/>
      <c r="F2101" s="65" t="n"/>
      <c r="G2101" s="68" t="str">
        <f>IF(J2101&lt;&gt;"OK","",IF(F2101="",N(INDEX(mat_loss,MATCH(B2101,mat_ref,0))),F2101))</f>
        <v/>
      </c>
      <c r="H2101" s="66" t="str">
        <f>IF(J2101&lt;&gt;"OK","",INDEX(mat_price,MATCH(B2101,mat_ref,0)))</f>
        <v/>
      </c>
      <c r="I2101" s="66" t="str">
        <f>IF(J2101&lt;&gt;"OK","",E2101*(1+G2101)*H2101)</f>
        <v/>
      </c>
      <c r="J2101" s="69" t="str">
        <f>IF(AND(A2101="",B2101=""),"",IF(A2101="","Produit manquant",IF(COUNTIF(prod_ref,A2101)=0,"Produit inconnu",IF(B2101="","Matière manquante",IF(ISNA(MATCH(B2101,mat_ref,0)),"Matière inconnue",IF(INDEX(mat_check,MATCH(B2101,mat_ref,0))&lt;&gt;"OK","Matière à corriger",IF(OR(NOT(ISNUMBER(E2101)),N(E2101)&lt;=0),"Quantité invalide",IF(AND(F2101&lt;&gt;"",OR(NOT(ISNUMBER(F2101)),N(F2101)&lt;0,N(F2101)&gt;=1)),"Perte entre 0 et 99 %",IF(COUNTIFS(bom_prod,A2101,bom_mat,B2101)&gt;1,"Matière en double","OK")))))))))</f>
        <v/>
      </c>
      <c r="K2101" s="71" t="str">
        <f>IF(AND(fiche_sel&lt;&gt;"",A2101=fiche_sel),COUNTIF(A$6:A2101,fiche_sel),"")</f>
        <v/>
      </c>
    </row>
    <row r="2102">
      <c r="A2102" s="60" t="n"/>
      <c r="B2102" s="60" t="n"/>
      <c r="C2102" s="71" t="str">
        <f>IF(B2102="","",IFERROR(INDEX(mat_des,MATCH(B2102,mat_ref,0))&amp;"","Matière inconnue"))</f>
        <v/>
      </c>
      <c r="D2102" s="69" t="str">
        <f>IF(B2102="","",IFERROR(INDEX(mat_unit,MATCH(B2102,mat_ref,0))&amp;"",""))</f>
        <v/>
      </c>
      <c r="E2102" s="72" t="n"/>
      <c r="F2102" s="65" t="n"/>
      <c r="G2102" s="68" t="str">
        <f>IF(J2102&lt;&gt;"OK","",IF(F2102="",N(INDEX(mat_loss,MATCH(B2102,mat_ref,0))),F2102))</f>
        <v/>
      </c>
      <c r="H2102" s="66" t="str">
        <f>IF(J2102&lt;&gt;"OK","",INDEX(mat_price,MATCH(B2102,mat_ref,0)))</f>
        <v/>
      </c>
      <c r="I2102" s="66" t="str">
        <f>IF(J2102&lt;&gt;"OK","",E2102*(1+G2102)*H2102)</f>
        <v/>
      </c>
      <c r="J2102" s="69" t="str">
        <f>IF(AND(A2102="",B2102=""),"",IF(A2102="","Produit manquant",IF(COUNTIF(prod_ref,A2102)=0,"Produit inconnu",IF(B2102="","Matière manquante",IF(ISNA(MATCH(B2102,mat_ref,0)),"Matière inconnue",IF(INDEX(mat_check,MATCH(B2102,mat_ref,0))&lt;&gt;"OK","Matière à corriger",IF(OR(NOT(ISNUMBER(E2102)),N(E2102)&lt;=0),"Quantité invalide",IF(AND(F2102&lt;&gt;"",OR(NOT(ISNUMBER(F2102)),N(F2102)&lt;0,N(F2102)&gt;=1)),"Perte entre 0 et 99 %",IF(COUNTIFS(bom_prod,A2102,bom_mat,B2102)&gt;1,"Matière en double","OK")))))))))</f>
        <v/>
      </c>
      <c r="K2102" s="71" t="str">
        <f>IF(AND(fiche_sel&lt;&gt;"",A2102=fiche_sel),COUNTIF(A$6:A2102,fiche_sel),"")</f>
        <v/>
      </c>
    </row>
    <row r="2103">
      <c r="A2103" s="60" t="n"/>
      <c r="B2103" s="60" t="n"/>
      <c r="C2103" s="71" t="str">
        <f>IF(B2103="","",IFERROR(INDEX(mat_des,MATCH(B2103,mat_ref,0))&amp;"","Matière inconnue"))</f>
        <v/>
      </c>
      <c r="D2103" s="69" t="str">
        <f>IF(B2103="","",IFERROR(INDEX(mat_unit,MATCH(B2103,mat_ref,0))&amp;"",""))</f>
        <v/>
      </c>
      <c r="E2103" s="72" t="n"/>
      <c r="F2103" s="65" t="n"/>
      <c r="G2103" s="68" t="str">
        <f>IF(J2103&lt;&gt;"OK","",IF(F2103="",N(INDEX(mat_loss,MATCH(B2103,mat_ref,0))),F2103))</f>
        <v/>
      </c>
      <c r="H2103" s="66" t="str">
        <f>IF(J2103&lt;&gt;"OK","",INDEX(mat_price,MATCH(B2103,mat_ref,0)))</f>
        <v/>
      </c>
      <c r="I2103" s="66" t="str">
        <f>IF(J2103&lt;&gt;"OK","",E2103*(1+G2103)*H2103)</f>
        <v/>
      </c>
      <c r="J2103" s="69" t="str">
        <f>IF(AND(A2103="",B2103=""),"",IF(A2103="","Produit manquant",IF(COUNTIF(prod_ref,A2103)=0,"Produit inconnu",IF(B2103="","Matière manquante",IF(ISNA(MATCH(B2103,mat_ref,0)),"Matière inconnue",IF(INDEX(mat_check,MATCH(B2103,mat_ref,0))&lt;&gt;"OK","Matière à corriger",IF(OR(NOT(ISNUMBER(E2103)),N(E2103)&lt;=0),"Quantité invalide",IF(AND(F2103&lt;&gt;"",OR(NOT(ISNUMBER(F2103)),N(F2103)&lt;0,N(F2103)&gt;=1)),"Perte entre 0 et 99 %",IF(COUNTIFS(bom_prod,A2103,bom_mat,B2103)&gt;1,"Matière en double","OK")))))))))</f>
        <v/>
      </c>
      <c r="K2103" s="71" t="str">
        <f>IF(AND(fiche_sel&lt;&gt;"",A2103=fiche_sel),COUNTIF(A$6:A2103,fiche_sel),"")</f>
        <v/>
      </c>
    </row>
    <row r="2104">
      <c r="A2104" s="60" t="n"/>
      <c r="B2104" s="60" t="n"/>
      <c r="C2104" s="71" t="str">
        <f>IF(B2104="","",IFERROR(INDEX(mat_des,MATCH(B2104,mat_ref,0))&amp;"","Matière inconnue"))</f>
        <v/>
      </c>
      <c r="D2104" s="69" t="str">
        <f>IF(B2104="","",IFERROR(INDEX(mat_unit,MATCH(B2104,mat_ref,0))&amp;"",""))</f>
        <v/>
      </c>
      <c r="E2104" s="72" t="n"/>
      <c r="F2104" s="65" t="n"/>
      <c r="G2104" s="68" t="str">
        <f>IF(J2104&lt;&gt;"OK","",IF(F2104="",N(INDEX(mat_loss,MATCH(B2104,mat_ref,0))),F2104))</f>
        <v/>
      </c>
      <c r="H2104" s="66" t="str">
        <f>IF(J2104&lt;&gt;"OK","",INDEX(mat_price,MATCH(B2104,mat_ref,0)))</f>
        <v/>
      </c>
      <c r="I2104" s="66" t="str">
        <f>IF(J2104&lt;&gt;"OK","",E2104*(1+G2104)*H2104)</f>
        <v/>
      </c>
      <c r="J2104" s="69" t="str">
        <f>IF(AND(A2104="",B2104=""),"",IF(A2104="","Produit manquant",IF(COUNTIF(prod_ref,A2104)=0,"Produit inconnu",IF(B2104="","Matière manquante",IF(ISNA(MATCH(B2104,mat_ref,0)),"Matière inconnue",IF(INDEX(mat_check,MATCH(B2104,mat_ref,0))&lt;&gt;"OK","Matière à corriger",IF(OR(NOT(ISNUMBER(E2104)),N(E2104)&lt;=0),"Quantité invalide",IF(AND(F2104&lt;&gt;"",OR(NOT(ISNUMBER(F2104)),N(F2104)&lt;0,N(F2104)&gt;=1)),"Perte entre 0 et 99 %",IF(COUNTIFS(bom_prod,A2104,bom_mat,B2104)&gt;1,"Matière en double","OK")))))))))</f>
        <v/>
      </c>
      <c r="K2104" s="71" t="str">
        <f>IF(AND(fiche_sel&lt;&gt;"",A2104=fiche_sel),COUNTIF(A$6:A2104,fiche_sel),"")</f>
        <v/>
      </c>
    </row>
    <row r="2105">
      <c r="A2105" s="60" t="n"/>
      <c r="B2105" s="60" t="n"/>
      <c r="C2105" s="71" t="str">
        <f>IF(B2105="","",IFERROR(INDEX(mat_des,MATCH(B2105,mat_ref,0))&amp;"","Matière inconnue"))</f>
        <v/>
      </c>
      <c r="D2105" s="69" t="str">
        <f>IF(B2105="","",IFERROR(INDEX(mat_unit,MATCH(B2105,mat_ref,0))&amp;"",""))</f>
        <v/>
      </c>
      <c r="E2105" s="72" t="n"/>
      <c r="F2105" s="65" t="n"/>
      <c r="G2105" s="68" t="str">
        <f>IF(J2105&lt;&gt;"OK","",IF(F2105="",N(INDEX(mat_loss,MATCH(B2105,mat_ref,0))),F2105))</f>
        <v/>
      </c>
      <c r="H2105" s="66" t="str">
        <f>IF(J2105&lt;&gt;"OK","",INDEX(mat_price,MATCH(B2105,mat_ref,0)))</f>
        <v/>
      </c>
      <c r="I2105" s="66" t="str">
        <f>IF(J2105&lt;&gt;"OK","",E2105*(1+G2105)*H2105)</f>
        <v/>
      </c>
      <c r="J2105" s="69" t="str">
        <f>IF(AND(A2105="",B2105=""),"",IF(A2105="","Produit manquant",IF(COUNTIF(prod_ref,A2105)=0,"Produit inconnu",IF(B2105="","Matière manquante",IF(ISNA(MATCH(B2105,mat_ref,0)),"Matière inconnue",IF(INDEX(mat_check,MATCH(B2105,mat_ref,0))&lt;&gt;"OK","Matière à corriger",IF(OR(NOT(ISNUMBER(E2105)),N(E2105)&lt;=0),"Quantité invalide",IF(AND(F2105&lt;&gt;"",OR(NOT(ISNUMBER(F2105)),N(F2105)&lt;0,N(F2105)&gt;=1)),"Perte entre 0 et 99 %",IF(COUNTIFS(bom_prod,A2105,bom_mat,B2105)&gt;1,"Matière en double","OK")))))))))</f>
        <v/>
      </c>
      <c r="K2105" s="71" t="str">
        <f>IF(AND(fiche_sel&lt;&gt;"",A2105=fiche_sel),COUNTIF(A$6:A2105,fiche_sel),"")</f>
        <v/>
      </c>
    </row>
    <row r="2106">
      <c r="A2106" s="60" t="n"/>
      <c r="B2106" s="60" t="n"/>
      <c r="C2106" s="71" t="str">
        <f>IF(B2106="","",IFERROR(INDEX(mat_des,MATCH(B2106,mat_ref,0))&amp;"","Matière inconnue"))</f>
        <v/>
      </c>
      <c r="D2106" s="69" t="str">
        <f>IF(B2106="","",IFERROR(INDEX(mat_unit,MATCH(B2106,mat_ref,0))&amp;"",""))</f>
        <v/>
      </c>
      <c r="E2106" s="72" t="n"/>
      <c r="F2106" s="65" t="n"/>
      <c r="G2106" s="68" t="str">
        <f>IF(J2106&lt;&gt;"OK","",IF(F2106="",N(INDEX(mat_loss,MATCH(B2106,mat_ref,0))),F2106))</f>
        <v/>
      </c>
      <c r="H2106" s="66" t="str">
        <f>IF(J2106&lt;&gt;"OK","",INDEX(mat_price,MATCH(B2106,mat_ref,0)))</f>
        <v/>
      </c>
      <c r="I2106" s="66" t="str">
        <f>IF(J2106&lt;&gt;"OK","",E2106*(1+G2106)*H2106)</f>
        <v/>
      </c>
      <c r="J2106" s="69" t="str">
        <f>IF(AND(A2106="",B2106=""),"",IF(A2106="","Produit manquant",IF(COUNTIF(prod_ref,A2106)=0,"Produit inconnu",IF(B2106="","Matière manquante",IF(ISNA(MATCH(B2106,mat_ref,0)),"Matière inconnue",IF(INDEX(mat_check,MATCH(B2106,mat_ref,0))&lt;&gt;"OK","Matière à corriger",IF(OR(NOT(ISNUMBER(E2106)),N(E2106)&lt;=0),"Quantité invalide",IF(AND(F2106&lt;&gt;"",OR(NOT(ISNUMBER(F2106)),N(F2106)&lt;0,N(F2106)&gt;=1)),"Perte entre 0 et 99 %",IF(COUNTIFS(bom_prod,A2106,bom_mat,B2106)&gt;1,"Matière en double","OK")))))))))</f>
        <v/>
      </c>
      <c r="K2106" s="71" t="str">
        <f>IF(AND(fiche_sel&lt;&gt;"",A2106=fiche_sel),COUNTIF(A$6:A2106,fiche_sel),"")</f>
        <v/>
      </c>
    </row>
    <row r="2107">
      <c r="A2107" s="60" t="n"/>
      <c r="B2107" s="60" t="n"/>
      <c r="C2107" s="71" t="str">
        <f>IF(B2107="","",IFERROR(INDEX(mat_des,MATCH(B2107,mat_ref,0))&amp;"","Matière inconnue"))</f>
        <v/>
      </c>
      <c r="D2107" s="69" t="str">
        <f>IF(B2107="","",IFERROR(INDEX(mat_unit,MATCH(B2107,mat_ref,0))&amp;"",""))</f>
        <v/>
      </c>
      <c r="E2107" s="72" t="n"/>
      <c r="F2107" s="65" t="n"/>
      <c r="G2107" s="68" t="str">
        <f>IF(J2107&lt;&gt;"OK","",IF(F2107="",N(INDEX(mat_loss,MATCH(B2107,mat_ref,0))),F2107))</f>
        <v/>
      </c>
      <c r="H2107" s="66" t="str">
        <f>IF(J2107&lt;&gt;"OK","",INDEX(mat_price,MATCH(B2107,mat_ref,0)))</f>
        <v/>
      </c>
      <c r="I2107" s="66" t="str">
        <f>IF(J2107&lt;&gt;"OK","",E2107*(1+G2107)*H2107)</f>
        <v/>
      </c>
      <c r="J2107" s="69" t="str">
        <f>IF(AND(A2107="",B2107=""),"",IF(A2107="","Produit manquant",IF(COUNTIF(prod_ref,A2107)=0,"Produit inconnu",IF(B2107="","Matière manquante",IF(ISNA(MATCH(B2107,mat_ref,0)),"Matière inconnue",IF(INDEX(mat_check,MATCH(B2107,mat_ref,0))&lt;&gt;"OK","Matière à corriger",IF(OR(NOT(ISNUMBER(E2107)),N(E2107)&lt;=0),"Quantité invalide",IF(AND(F2107&lt;&gt;"",OR(NOT(ISNUMBER(F2107)),N(F2107)&lt;0,N(F2107)&gt;=1)),"Perte entre 0 et 99 %",IF(COUNTIFS(bom_prod,A2107,bom_mat,B2107)&gt;1,"Matière en double","OK")))))))))</f>
        <v/>
      </c>
      <c r="K2107" s="71" t="str">
        <f>IF(AND(fiche_sel&lt;&gt;"",A2107=fiche_sel),COUNTIF(A$6:A2107,fiche_sel),"")</f>
        <v/>
      </c>
    </row>
    <row r="2108">
      <c r="A2108" s="60" t="n"/>
      <c r="B2108" s="60" t="n"/>
      <c r="C2108" s="71" t="str">
        <f>IF(B2108="","",IFERROR(INDEX(mat_des,MATCH(B2108,mat_ref,0))&amp;"","Matière inconnue"))</f>
        <v/>
      </c>
      <c r="D2108" s="69" t="str">
        <f>IF(B2108="","",IFERROR(INDEX(mat_unit,MATCH(B2108,mat_ref,0))&amp;"",""))</f>
        <v/>
      </c>
      <c r="E2108" s="72" t="n"/>
      <c r="F2108" s="65" t="n"/>
      <c r="G2108" s="68" t="str">
        <f>IF(J2108&lt;&gt;"OK","",IF(F2108="",N(INDEX(mat_loss,MATCH(B2108,mat_ref,0))),F2108))</f>
        <v/>
      </c>
      <c r="H2108" s="66" t="str">
        <f>IF(J2108&lt;&gt;"OK","",INDEX(mat_price,MATCH(B2108,mat_ref,0)))</f>
        <v/>
      </c>
      <c r="I2108" s="66" t="str">
        <f>IF(J2108&lt;&gt;"OK","",E2108*(1+G2108)*H2108)</f>
        <v/>
      </c>
      <c r="J2108" s="69" t="str">
        <f>IF(AND(A2108="",B2108=""),"",IF(A2108="","Produit manquant",IF(COUNTIF(prod_ref,A2108)=0,"Produit inconnu",IF(B2108="","Matière manquante",IF(ISNA(MATCH(B2108,mat_ref,0)),"Matière inconnue",IF(INDEX(mat_check,MATCH(B2108,mat_ref,0))&lt;&gt;"OK","Matière à corriger",IF(OR(NOT(ISNUMBER(E2108)),N(E2108)&lt;=0),"Quantité invalide",IF(AND(F2108&lt;&gt;"",OR(NOT(ISNUMBER(F2108)),N(F2108)&lt;0,N(F2108)&gt;=1)),"Perte entre 0 et 99 %",IF(COUNTIFS(bom_prod,A2108,bom_mat,B2108)&gt;1,"Matière en double","OK")))))))))</f>
        <v/>
      </c>
      <c r="K2108" s="71" t="str">
        <f>IF(AND(fiche_sel&lt;&gt;"",A2108=fiche_sel),COUNTIF(A$6:A2108,fiche_sel),"")</f>
        <v/>
      </c>
    </row>
    <row r="2109">
      <c r="A2109" s="60" t="n"/>
      <c r="B2109" s="60" t="n"/>
      <c r="C2109" s="71" t="str">
        <f>IF(B2109="","",IFERROR(INDEX(mat_des,MATCH(B2109,mat_ref,0))&amp;"","Matière inconnue"))</f>
        <v/>
      </c>
      <c r="D2109" s="69" t="str">
        <f>IF(B2109="","",IFERROR(INDEX(mat_unit,MATCH(B2109,mat_ref,0))&amp;"",""))</f>
        <v/>
      </c>
      <c r="E2109" s="72" t="n"/>
      <c r="F2109" s="65" t="n"/>
      <c r="G2109" s="68" t="str">
        <f>IF(J2109&lt;&gt;"OK","",IF(F2109="",N(INDEX(mat_loss,MATCH(B2109,mat_ref,0))),F2109))</f>
        <v/>
      </c>
      <c r="H2109" s="66" t="str">
        <f>IF(J2109&lt;&gt;"OK","",INDEX(mat_price,MATCH(B2109,mat_ref,0)))</f>
        <v/>
      </c>
      <c r="I2109" s="66" t="str">
        <f>IF(J2109&lt;&gt;"OK","",E2109*(1+G2109)*H2109)</f>
        <v/>
      </c>
      <c r="J2109" s="69" t="str">
        <f>IF(AND(A2109="",B2109=""),"",IF(A2109="","Produit manquant",IF(COUNTIF(prod_ref,A2109)=0,"Produit inconnu",IF(B2109="","Matière manquante",IF(ISNA(MATCH(B2109,mat_ref,0)),"Matière inconnue",IF(INDEX(mat_check,MATCH(B2109,mat_ref,0))&lt;&gt;"OK","Matière à corriger",IF(OR(NOT(ISNUMBER(E2109)),N(E2109)&lt;=0),"Quantité invalide",IF(AND(F2109&lt;&gt;"",OR(NOT(ISNUMBER(F2109)),N(F2109)&lt;0,N(F2109)&gt;=1)),"Perte entre 0 et 99 %",IF(COUNTIFS(bom_prod,A2109,bom_mat,B2109)&gt;1,"Matière en double","OK")))))))))</f>
        <v/>
      </c>
      <c r="K2109" s="71" t="str">
        <f>IF(AND(fiche_sel&lt;&gt;"",A2109=fiche_sel),COUNTIF(A$6:A2109,fiche_sel),"")</f>
        <v/>
      </c>
    </row>
    <row r="2110">
      <c r="A2110" s="60" t="n"/>
      <c r="B2110" s="60" t="n"/>
      <c r="C2110" s="71" t="str">
        <f>IF(B2110="","",IFERROR(INDEX(mat_des,MATCH(B2110,mat_ref,0))&amp;"","Matière inconnue"))</f>
        <v/>
      </c>
      <c r="D2110" s="69" t="str">
        <f>IF(B2110="","",IFERROR(INDEX(mat_unit,MATCH(B2110,mat_ref,0))&amp;"",""))</f>
        <v/>
      </c>
      <c r="E2110" s="72" t="n"/>
      <c r="F2110" s="65" t="n"/>
      <c r="G2110" s="68" t="str">
        <f>IF(J2110&lt;&gt;"OK","",IF(F2110="",N(INDEX(mat_loss,MATCH(B2110,mat_ref,0))),F2110))</f>
        <v/>
      </c>
      <c r="H2110" s="66" t="str">
        <f>IF(J2110&lt;&gt;"OK","",INDEX(mat_price,MATCH(B2110,mat_ref,0)))</f>
        <v/>
      </c>
      <c r="I2110" s="66" t="str">
        <f>IF(J2110&lt;&gt;"OK","",E2110*(1+G2110)*H2110)</f>
        <v/>
      </c>
      <c r="J2110" s="69" t="str">
        <f>IF(AND(A2110="",B2110=""),"",IF(A2110="","Produit manquant",IF(COUNTIF(prod_ref,A2110)=0,"Produit inconnu",IF(B2110="","Matière manquante",IF(ISNA(MATCH(B2110,mat_ref,0)),"Matière inconnue",IF(INDEX(mat_check,MATCH(B2110,mat_ref,0))&lt;&gt;"OK","Matière à corriger",IF(OR(NOT(ISNUMBER(E2110)),N(E2110)&lt;=0),"Quantité invalide",IF(AND(F2110&lt;&gt;"",OR(NOT(ISNUMBER(F2110)),N(F2110)&lt;0,N(F2110)&gt;=1)),"Perte entre 0 et 99 %",IF(COUNTIFS(bom_prod,A2110,bom_mat,B2110)&gt;1,"Matière en double","OK")))))))))</f>
        <v/>
      </c>
      <c r="K2110" s="71" t="str">
        <f>IF(AND(fiche_sel&lt;&gt;"",A2110=fiche_sel),COUNTIF(A$6:A2110,fiche_sel),"")</f>
        <v/>
      </c>
    </row>
    <row r="2111">
      <c r="A2111" s="60" t="n"/>
      <c r="B2111" s="60" t="n"/>
      <c r="C2111" s="71" t="str">
        <f>IF(B2111="","",IFERROR(INDEX(mat_des,MATCH(B2111,mat_ref,0))&amp;"","Matière inconnue"))</f>
        <v/>
      </c>
      <c r="D2111" s="69" t="str">
        <f>IF(B2111="","",IFERROR(INDEX(mat_unit,MATCH(B2111,mat_ref,0))&amp;"",""))</f>
        <v/>
      </c>
      <c r="E2111" s="72" t="n"/>
      <c r="F2111" s="65" t="n"/>
      <c r="G2111" s="68" t="str">
        <f>IF(J2111&lt;&gt;"OK","",IF(F2111="",N(INDEX(mat_loss,MATCH(B2111,mat_ref,0))),F2111))</f>
        <v/>
      </c>
      <c r="H2111" s="66" t="str">
        <f>IF(J2111&lt;&gt;"OK","",INDEX(mat_price,MATCH(B2111,mat_ref,0)))</f>
        <v/>
      </c>
      <c r="I2111" s="66" t="str">
        <f>IF(J2111&lt;&gt;"OK","",E2111*(1+G2111)*H2111)</f>
        <v/>
      </c>
      <c r="J2111" s="69" t="str">
        <f>IF(AND(A2111="",B2111=""),"",IF(A2111="","Produit manquant",IF(COUNTIF(prod_ref,A2111)=0,"Produit inconnu",IF(B2111="","Matière manquante",IF(ISNA(MATCH(B2111,mat_ref,0)),"Matière inconnue",IF(INDEX(mat_check,MATCH(B2111,mat_ref,0))&lt;&gt;"OK","Matière à corriger",IF(OR(NOT(ISNUMBER(E2111)),N(E2111)&lt;=0),"Quantité invalide",IF(AND(F2111&lt;&gt;"",OR(NOT(ISNUMBER(F2111)),N(F2111)&lt;0,N(F2111)&gt;=1)),"Perte entre 0 et 99 %",IF(COUNTIFS(bom_prod,A2111,bom_mat,B2111)&gt;1,"Matière en double","OK")))))))))</f>
        <v/>
      </c>
      <c r="K2111" s="71" t="str">
        <f>IF(AND(fiche_sel&lt;&gt;"",A2111=fiche_sel),COUNTIF(A$6:A2111,fiche_sel),"")</f>
        <v/>
      </c>
    </row>
    <row r="2112">
      <c r="A2112" s="60" t="n"/>
      <c r="B2112" s="60" t="n"/>
      <c r="C2112" s="71" t="str">
        <f>IF(B2112="","",IFERROR(INDEX(mat_des,MATCH(B2112,mat_ref,0))&amp;"","Matière inconnue"))</f>
        <v/>
      </c>
      <c r="D2112" s="69" t="str">
        <f>IF(B2112="","",IFERROR(INDEX(mat_unit,MATCH(B2112,mat_ref,0))&amp;"",""))</f>
        <v/>
      </c>
      <c r="E2112" s="72" t="n"/>
      <c r="F2112" s="65" t="n"/>
      <c r="G2112" s="68" t="str">
        <f>IF(J2112&lt;&gt;"OK","",IF(F2112="",N(INDEX(mat_loss,MATCH(B2112,mat_ref,0))),F2112))</f>
        <v/>
      </c>
      <c r="H2112" s="66" t="str">
        <f>IF(J2112&lt;&gt;"OK","",INDEX(mat_price,MATCH(B2112,mat_ref,0)))</f>
        <v/>
      </c>
      <c r="I2112" s="66" t="str">
        <f>IF(J2112&lt;&gt;"OK","",E2112*(1+G2112)*H2112)</f>
        <v/>
      </c>
      <c r="J2112" s="69" t="str">
        <f>IF(AND(A2112="",B2112=""),"",IF(A2112="","Produit manquant",IF(COUNTIF(prod_ref,A2112)=0,"Produit inconnu",IF(B2112="","Matière manquante",IF(ISNA(MATCH(B2112,mat_ref,0)),"Matière inconnue",IF(INDEX(mat_check,MATCH(B2112,mat_ref,0))&lt;&gt;"OK","Matière à corriger",IF(OR(NOT(ISNUMBER(E2112)),N(E2112)&lt;=0),"Quantité invalide",IF(AND(F2112&lt;&gt;"",OR(NOT(ISNUMBER(F2112)),N(F2112)&lt;0,N(F2112)&gt;=1)),"Perte entre 0 et 99 %",IF(COUNTIFS(bom_prod,A2112,bom_mat,B2112)&gt;1,"Matière en double","OK")))))))))</f>
        <v/>
      </c>
      <c r="K2112" s="71" t="str">
        <f>IF(AND(fiche_sel&lt;&gt;"",A2112=fiche_sel),COUNTIF(A$6:A2112,fiche_sel),"")</f>
        <v/>
      </c>
    </row>
    <row r="2113">
      <c r="A2113" s="60" t="n"/>
      <c r="B2113" s="60" t="n"/>
      <c r="C2113" s="71" t="str">
        <f>IF(B2113="","",IFERROR(INDEX(mat_des,MATCH(B2113,mat_ref,0))&amp;"","Matière inconnue"))</f>
        <v/>
      </c>
      <c r="D2113" s="69" t="str">
        <f>IF(B2113="","",IFERROR(INDEX(mat_unit,MATCH(B2113,mat_ref,0))&amp;"",""))</f>
        <v/>
      </c>
      <c r="E2113" s="72" t="n"/>
      <c r="F2113" s="65" t="n"/>
      <c r="G2113" s="68" t="str">
        <f>IF(J2113&lt;&gt;"OK","",IF(F2113="",N(INDEX(mat_loss,MATCH(B2113,mat_ref,0))),F2113))</f>
        <v/>
      </c>
      <c r="H2113" s="66" t="str">
        <f>IF(J2113&lt;&gt;"OK","",INDEX(mat_price,MATCH(B2113,mat_ref,0)))</f>
        <v/>
      </c>
      <c r="I2113" s="66" t="str">
        <f>IF(J2113&lt;&gt;"OK","",E2113*(1+G2113)*H2113)</f>
        <v/>
      </c>
      <c r="J2113" s="69" t="str">
        <f>IF(AND(A2113="",B2113=""),"",IF(A2113="","Produit manquant",IF(COUNTIF(prod_ref,A2113)=0,"Produit inconnu",IF(B2113="","Matière manquante",IF(ISNA(MATCH(B2113,mat_ref,0)),"Matière inconnue",IF(INDEX(mat_check,MATCH(B2113,mat_ref,0))&lt;&gt;"OK","Matière à corriger",IF(OR(NOT(ISNUMBER(E2113)),N(E2113)&lt;=0),"Quantité invalide",IF(AND(F2113&lt;&gt;"",OR(NOT(ISNUMBER(F2113)),N(F2113)&lt;0,N(F2113)&gt;=1)),"Perte entre 0 et 99 %",IF(COUNTIFS(bom_prod,A2113,bom_mat,B2113)&gt;1,"Matière en double","OK")))))))))</f>
        <v/>
      </c>
      <c r="K2113" s="71" t="str">
        <f>IF(AND(fiche_sel&lt;&gt;"",A2113=fiche_sel),COUNTIF(A$6:A2113,fiche_sel),"")</f>
        <v/>
      </c>
    </row>
    <row r="2114">
      <c r="A2114" s="60" t="n"/>
      <c r="B2114" s="60" t="n"/>
      <c r="C2114" s="71" t="str">
        <f>IF(B2114="","",IFERROR(INDEX(mat_des,MATCH(B2114,mat_ref,0))&amp;"","Matière inconnue"))</f>
        <v/>
      </c>
      <c r="D2114" s="69" t="str">
        <f>IF(B2114="","",IFERROR(INDEX(mat_unit,MATCH(B2114,mat_ref,0))&amp;"",""))</f>
        <v/>
      </c>
      <c r="E2114" s="72" t="n"/>
      <c r="F2114" s="65" t="n"/>
      <c r="G2114" s="68" t="str">
        <f>IF(J2114&lt;&gt;"OK","",IF(F2114="",N(INDEX(mat_loss,MATCH(B2114,mat_ref,0))),F2114))</f>
        <v/>
      </c>
      <c r="H2114" s="66" t="str">
        <f>IF(J2114&lt;&gt;"OK","",INDEX(mat_price,MATCH(B2114,mat_ref,0)))</f>
        <v/>
      </c>
      <c r="I2114" s="66" t="str">
        <f>IF(J2114&lt;&gt;"OK","",E2114*(1+G2114)*H2114)</f>
        <v/>
      </c>
      <c r="J2114" s="69" t="str">
        <f>IF(AND(A2114="",B2114=""),"",IF(A2114="","Produit manquant",IF(COUNTIF(prod_ref,A2114)=0,"Produit inconnu",IF(B2114="","Matière manquante",IF(ISNA(MATCH(B2114,mat_ref,0)),"Matière inconnue",IF(INDEX(mat_check,MATCH(B2114,mat_ref,0))&lt;&gt;"OK","Matière à corriger",IF(OR(NOT(ISNUMBER(E2114)),N(E2114)&lt;=0),"Quantité invalide",IF(AND(F2114&lt;&gt;"",OR(NOT(ISNUMBER(F2114)),N(F2114)&lt;0,N(F2114)&gt;=1)),"Perte entre 0 et 99 %",IF(COUNTIFS(bom_prod,A2114,bom_mat,B2114)&gt;1,"Matière en double","OK")))))))))</f>
        <v/>
      </c>
      <c r="K2114" s="71" t="str">
        <f>IF(AND(fiche_sel&lt;&gt;"",A2114=fiche_sel),COUNTIF(A$6:A2114,fiche_sel),"")</f>
        <v/>
      </c>
    </row>
    <row r="2115">
      <c r="A2115" s="60" t="n"/>
      <c r="B2115" s="60" t="n"/>
      <c r="C2115" s="71" t="str">
        <f>IF(B2115="","",IFERROR(INDEX(mat_des,MATCH(B2115,mat_ref,0))&amp;"","Matière inconnue"))</f>
        <v/>
      </c>
      <c r="D2115" s="69" t="str">
        <f>IF(B2115="","",IFERROR(INDEX(mat_unit,MATCH(B2115,mat_ref,0))&amp;"",""))</f>
        <v/>
      </c>
      <c r="E2115" s="72" t="n"/>
      <c r="F2115" s="65" t="n"/>
      <c r="G2115" s="68" t="str">
        <f>IF(J2115&lt;&gt;"OK","",IF(F2115="",N(INDEX(mat_loss,MATCH(B2115,mat_ref,0))),F2115))</f>
        <v/>
      </c>
      <c r="H2115" s="66" t="str">
        <f>IF(J2115&lt;&gt;"OK","",INDEX(mat_price,MATCH(B2115,mat_ref,0)))</f>
        <v/>
      </c>
      <c r="I2115" s="66" t="str">
        <f>IF(J2115&lt;&gt;"OK","",E2115*(1+G2115)*H2115)</f>
        <v/>
      </c>
      <c r="J2115" s="69" t="str">
        <f>IF(AND(A2115="",B2115=""),"",IF(A2115="","Produit manquant",IF(COUNTIF(prod_ref,A2115)=0,"Produit inconnu",IF(B2115="","Matière manquante",IF(ISNA(MATCH(B2115,mat_ref,0)),"Matière inconnue",IF(INDEX(mat_check,MATCH(B2115,mat_ref,0))&lt;&gt;"OK","Matière à corriger",IF(OR(NOT(ISNUMBER(E2115)),N(E2115)&lt;=0),"Quantité invalide",IF(AND(F2115&lt;&gt;"",OR(NOT(ISNUMBER(F2115)),N(F2115)&lt;0,N(F2115)&gt;=1)),"Perte entre 0 et 99 %",IF(COUNTIFS(bom_prod,A2115,bom_mat,B2115)&gt;1,"Matière en double","OK")))))))))</f>
        <v/>
      </c>
      <c r="K2115" s="71" t="str">
        <f>IF(AND(fiche_sel&lt;&gt;"",A2115=fiche_sel),COUNTIF(A$6:A2115,fiche_sel),"")</f>
        <v/>
      </c>
    </row>
    <row r="2116">
      <c r="A2116" s="60" t="n"/>
      <c r="B2116" s="60" t="n"/>
      <c r="C2116" s="71" t="str">
        <f>IF(B2116="","",IFERROR(INDEX(mat_des,MATCH(B2116,mat_ref,0))&amp;"","Matière inconnue"))</f>
        <v/>
      </c>
      <c r="D2116" s="69" t="str">
        <f>IF(B2116="","",IFERROR(INDEX(mat_unit,MATCH(B2116,mat_ref,0))&amp;"",""))</f>
        <v/>
      </c>
      <c r="E2116" s="72" t="n"/>
      <c r="F2116" s="65" t="n"/>
      <c r="G2116" s="68" t="str">
        <f>IF(J2116&lt;&gt;"OK","",IF(F2116="",N(INDEX(mat_loss,MATCH(B2116,mat_ref,0))),F2116))</f>
        <v/>
      </c>
      <c r="H2116" s="66" t="str">
        <f>IF(J2116&lt;&gt;"OK","",INDEX(mat_price,MATCH(B2116,mat_ref,0)))</f>
        <v/>
      </c>
      <c r="I2116" s="66" t="str">
        <f>IF(J2116&lt;&gt;"OK","",E2116*(1+G2116)*H2116)</f>
        <v/>
      </c>
      <c r="J2116" s="69" t="str">
        <f>IF(AND(A2116="",B2116=""),"",IF(A2116="","Produit manquant",IF(COUNTIF(prod_ref,A2116)=0,"Produit inconnu",IF(B2116="","Matière manquante",IF(ISNA(MATCH(B2116,mat_ref,0)),"Matière inconnue",IF(INDEX(mat_check,MATCH(B2116,mat_ref,0))&lt;&gt;"OK","Matière à corriger",IF(OR(NOT(ISNUMBER(E2116)),N(E2116)&lt;=0),"Quantité invalide",IF(AND(F2116&lt;&gt;"",OR(NOT(ISNUMBER(F2116)),N(F2116)&lt;0,N(F2116)&gt;=1)),"Perte entre 0 et 99 %",IF(COUNTIFS(bom_prod,A2116,bom_mat,B2116)&gt;1,"Matière en double","OK")))))))))</f>
        <v/>
      </c>
      <c r="K2116" s="71" t="str">
        <f>IF(AND(fiche_sel&lt;&gt;"",A2116=fiche_sel),COUNTIF(A$6:A2116,fiche_sel),"")</f>
        <v/>
      </c>
    </row>
    <row r="2117">
      <c r="A2117" s="60" t="n"/>
      <c r="B2117" s="60" t="n"/>
      <c r="C2117" s="71" t="str">
        <f>IF(B2117="","",IFERROR(INDEX(mat_des,MATCH(B2117,mat_ref,0))&amp;"","Matière inconnue"))</f>
        <v/>
      </c>
      <c r="D2117" s="69" t="str">
        <f>IF(B2117="","",IFERROR(INDEX(mat_unit,MATCH(B2117,mat_ref,0))&amp;"",""))</f>
        <v/>
      </c>
      <c r="E2117" s="72" t="n"/>
      <c r="F2117" s="65" t="n"/>
      <c r="G2117" s="68" t="str">
        <f>IF(J2117&lt;&gt;"OK","",IF(F2117="",N(INDEX(mat_loss,MATCH(B2117,mat_ref,0))),F2117))</f>
        <v/>
      </c>
      <c r="H2117" s="66" t="str">
        <f>IF(J2117&lt;&gt;"OK","",INDEX(mat_price,MATCH(B2117,mat_ref,0)))</f>
        <v/>
      </c>
      <c r="I2117" s="66" t="str">
        <f>IF(J2117&lt;&gt;"OK","",E2117*(1+G2117)*H2117)</f>
        <v/>
      </c>
      <c r="J2117" s="69" t="str">
        <f>IF(AND(A2117="",B2117=""),"",IF(A2117="","Produit manquant",IF(COUNTIF(prod_ref,A2117)=0,"Produit inconnu",IF(B2117="","Matière manquante",IF(ISNA(MATCH(B2117,mat_ref,0)),"Matière inconnue",IF(INDEX(mat_check,MATCH(B2117,mat_ref,0))&lt;&gt;"OK","Matière à corriger",IF(OR(NOT(ISNUMBER(E2117)),N(E2117)&lt;=0),"Quantité invalide",IF(AND(F2117&lt;&gt;"",OR(NOT(ISNUMBER(F2117)),N(F2117)&lt;0,N(F2117)&gt;=1)),"Perte entre 0 et 99 %",IF(COUNTIFS(bom_prod,A2117,bom_mat,B2117)&gt;1,"Matière en double","OK")))))))))</f>
        <v/>
      </c>
      <c r="K2117" s="71" t="str">
        <f>IF(AND(fiche_sel&lt;&gt;"",A2117=fiche_sel),COUNTIF(A$6:A2117,fiche_sel),"")</f>
        <v/>
      </c>
    </row>
    <row r="2118">
      <c r="A2118" s="60" t="n"/>
      <c r="B2118" s="60" t="n"/>
      <c r="C2118" s="71" t="str">
        <f>IF(B2118="","",IFERROR(INDEX(mat_des,MATCH(B2118,mat_ref,0))&amp;"","Matière inconnue"))</f>
        <v/>
      </c>
      <c r="D2118" s="69" t="str">
        <f>IF(B2118="","",IFERROR(INDEX(mat_unit,MATCH(B2118,mat_ref,0))&amp;"",""))</f>
        <v/>
      </c>
      <c r="E2118" s="72" t="n"/>
      <c r="F2118" s="65" t="n"/>
      <c r="G2118" s="68" t="str">
        <f>IF(J2118&lt;&gt;"OK","",IF(F2118="",N(INDEX(mat_loss,MATCH(B2118,mat_ref,0))),F2118))</f>
        <v/>
      </c>
      <c r="H2118" s="66" t="str">
        <f>IF(J2118&lt;&gt;"OK","",INDEX(mat_price,MATCH(B2118,mat_ref,0)))</f>
        <v/>
      </c>
      <c r="I2118" s="66" t="str">
        <f>IF(J2118&lt;&gt;"OK","",E2118*(1+G2118)*H2118)</f>
        <v/>
      </c>
      <c r="J2118" s="69" t="str">
        <f>IF(AND(A2118="",B2118=""),"",IF(A2118="","Produit manquant",IF(COUNTIF(prod_ref,A2118)=0,"Produit inconnu",IF(B2118="","Matière manquante",IF(ISNA(MATCH(B2118,mat_ref,0)),"Matière inconnue",IF(INDEX(mat_check,MATCH(B2118,mat_ref,0))&lt;&gt;"OK","Matière à corriger",IF(OR(NOT(ISNUMBER(E2118)),N(E2118)&lt;=0),"Quantité invalide",IF(AND(F2118&lt;&gt;"",OR(NOT(ISNUMBER(F2118)),N(F2118)&lt;0,N(F2118)&gt;=1)),"Perte entre 0 et 99 %",IF(COUNTIFS(bom_prod,A2118,bom_mat,B2118)&gt;1,"Matière en double","OK")))))))))</f>
        <v/>
      </c>
      <c r="K2118" s="71" t="str">
        <f>IF(AND(fiche_sel&lt;&gt;"",A2118=fiche_sel),COUNTIF(A$6:A2118,fiche_sel),"")</f>
        <v/>
      </c>
    </row>
    <row r="2119">
      <c r="A2119" s="60" t="n"/>
      <c r="B2119" s="60" t="n"/>
      <c r="C2119" s="71" t="str">
        <f>IF(B2119="","",IFERROR(INDEX(mat_des,MATCH(B2119,mat_ref,0))&amp;"","Matière inconnue"))</f>
        <v/>
      </c>
      <c r="D2119" s="69" t="str">
        <f>IF(B2119="","",IFERROR(INDEX(mat_unit,MATCH(B2119,mat_ref,0))&amp;"",""))</f>
        <v/>
      </c>
      <c r="E2119" s="72" t="n"/>
      <c r="F2119" s="65" t="n"/>
      <c r="G2119" s="68" t="str">
        <f>IF(J2119&lt;&gt;"OK","",IF(F2119="",N(INDEX(mat_loss,MATCH(B2119,mat_ref,0))),F2119))</f>
        <v/>
      </c>
      <c r="H2119" s="66" t="str">
        <f>IF(J2119&lt;&gt;"OK","",INDEX(mat_price,MATCH(B2119,mat_ref,0)))</f>
        <v/>
      </c>
      <c r="I2119" s="66" t="str">
        <f>IF(J2119&lt;&gt;"OK","",E2119*(1+G2119)*H2119)</f>
        <v/>
      </c>
      <c r="J2119" s="69" t="str">
        <f>IF(AND(A2119="",B2119=""),"",IF(A2119="","Produit manquant",IF(COUNTIF(prod_ref,A2119)=0,"Produit inconnu",IF(B2119="","Matière manquante",IF(ISNA(MATCH(B2119,mat_ref,0)),"Matière inconnue",IF(INDEX(mat_check,MATCH(B2119,mat_ref,0))&lt;&gt;"OK","Matière à corriger",IF(OR(NOT(ISNUMBER(E2119)),N(E2119)&lt;=0),"Quantité invalide",IF(AND(F2119&lt;&gt;"",OR(NOT(ISNUMBER(F2119)),N(F2119)&lt;0,N(F2119)&gt;=1)),"Perte entre 0 et 99 %",IF(COUNTIFS(bom_prod,A2119,bom_mat,B2119)&gt;1,"Matière en double","OK")))))))))</f>
        <v/>
      </c>
      <c r="K2119" s="71" t="str">
        <f>IF(AND(fiche_sel&lt;&gt;"",A2119=fiche_sel),COUNTIF(A$6:A2119,fiche_sel),"")</f>
        <v/>
      </c>
    </row>
    <row r="2120">
      <c r="A2120" s="60" t="n"/>
      <c r="B2120" s="60" t="n"/>
      <c r="C2120" s="71" t="str">
        <f>IF(B2120="","",IFERROR(INDEX(mat_des,MATCH(B2120,mat_ref,0))&amp;"","Matière inconnue"))</f>
        <v/>
      </c>
      <c r="D2120" s="69" t="str">
        <f>IF(B2120="","",IFERROR(INDEX(mat_unit,MATCH(B2120,mat_ref,0))&amp;"",""))</f>
        <v/>
      </c>
      <c r="E2120" s="72" t="n"/>
      <c r="F2120" s="65" t="n"/>
      <c r="G2120" s="68" t="str">
        <f>IF(J2120&lt;&gt;"OK","",IF(F2120="",N(INDEX(mat_loss,MATCH(B2120,mat_ref,0))),F2120))</f>
        <v/>
      </c>
      <c r="H2120" s="66" t="str">
        <f>IF(J2120&lt;&gt;"OK","",INDEX(mat_price,MATCH(B2120,mat_ref,0)))</f>
        <v/>
      </c>
      <c r="I2120" s="66" t="str">
        <f>IF(J2120&lt;&gt;"OK","",E2120*(1+G2120)*H2120)</f>
        <v/>
      </c>
      <c r="J2120" s="69" t="str">
        <f>IF(AND(A2120="",B2120=""),"",IF(A2120="","Produit manquant",IF(COUNTIF(prod_ref,A2120)=0,"Produit inconnu",IF(B2120="","Matière manquante",IF(ISNA(MATCH(B2120,mat_ref,0)),"Matière inconnue",IF(INDEX(mat_check,MATCH(B2120,mat_ref,0))&lt;&gt;"OK","Matière à corriger",IF(OR(NOT(ISNUMBER(E2120)),N(E2120)&lt;=0),"Quantité invalide",IF(AND(F2120&lt;&gt;"",OR(NOT(ISNUMBER(F2120)),N(F2120)&lt;0,N(F2120)&gt;=1)),"Perte entre 0 et 99 %",IF(COUNTIFS(bom_prod,A2120,bom_mat,B2120)&gt;1,"Matière en double","OK")))))))))</f>
        <v/>
      </c>
      <c r="K2120" s="71" t="str">
        <f>IF(AND(fiche_sel&lt;&gt;"",A2120=fiche_sel),COUNTIF(A$6:A2120,fiche_sel),"")</f>
        <v/>
      </c>
    </row>
    <row r="2121">
      <c r="A2121" s="60" t="n"/>
      <c r="B2121" s="60" t="n"/>
      <c r="C2121" s="71" t="str">
        <f>IF(B2121="","",IFERROR(INDEX(mat_des,MATCH(B2121,mat_ref,0))&amp;"","Matière inconnue"))</f>
        <v/>
      </c>
      <c r="D2121" s="69" t="str">
        <f>IF(B2121="","",IFERROR(INDEX(mat_unit,MATCH(B2121,mat_ref,0))&amp;"",""))</f>
        <v/>
      </c>
      <c r="E2121" s="72" t="n"/>
      <c r="F2121" s="65" t="n"/>
      <c r="G2121" s="68" t="str">
        <f>IF(J2121&lt;&gt;"OK","",IF(F2121="",N(INDEX(mat_loss,MATCH(B2121,mat_ref,0))),F2121))</f>
        <v/>
      </c>
      <c r="H2121" s="66" t="str">
        <f>IF(J2121&lt;&gt;"OK","",INDEX(mat_price,MATCH(B2121,mat_ref,0)))</f>
        <v/>
      </c>
      <c r="I2121" s="66" t="str">
        <f>IF(J2121&lt;&gt;"OK","",E2121*(1+G2121)*H2121)</f>
        <v/>
      </c>
      <c r="J2121" s="69" t="str">
        <f>IF(AND(A2121="",B2121=""),"",IF(A2121="","Produit manquant",IF(COUNTIF(prod_ref,A2121)=0,"Produit inconnu",IF(B2121="","Matière manquante",IF(ISNA(MATCH(B2121,mat_ref,0)),"Matière inconnue",IF(INDEX(mat_check,MATCH(B2121,mat_ref,0))&lt;&gt;"OK","Matière à corriger",IF(OR(NOT(ISNUMBER(E2121)),N(E2121)&lt;=0),"Quantité invalide",IF(AND(F2121&lt;&gt;"",OR(NOT(ISNUMBER(F2121)),N(F2121)&lt;0,N(F2121)&gt;=1)),"Perte entre 0 et 99 %",IF(COUNTIFS(bom_prod,A2121,bom_mat,B2121)&gt;1,"Matière en double","OK")))))))))</f>
        <v/>
      </c>
      <c r="K2121" s="71" t="str">
        <f>IF(AND(fiche_sel&lt;&gt;"",A2121=fiche_sel),COUNTIF(A$6:A2121,fiche_sel),"")</f>
        <v/>
      </c>
    </row>
    <row r="2122">
      <c r="A2122" s="60" t="n"/>
      <c r="B2122" s="60" t="n"/>
      <c r="C2122" s="71" t="str">
        <f>IF(B2122="","",IFERROR(INDEX(mat_des,MATCH(B2122,mat_ref,0))&amp;"","Matière inconnue"))</f>
        <v/>
      </c>
      <c r="D2122" s="69" t="str">
        <f>IF(B2122="","",IFERROR(INDEX(mat_unit,MATCH(B2122,mat_ref,0))&amp;"",""))</f>
        <v/>
      </c>
      <c r="E2122" s="72" t="n"/>
      <c r="F2122" s="65" t="n"/>
      <c r="G2122" s="68" t="str">
        <f>IF(J2122&lt;&gt;"OK","",IF(F2122="",N(INDEX(mat_loss,MATCH(B2122,mat_ref,0))),F2122))</f>
        <v/>
      </c>
      <c r="H2122" s="66" t="str">
        <f>IF(J2122&lt;&gt;"OK","",INDEX(mat_price,MATCH(B2122,mat_ref,0)))</f>
        <v/>
      </c>
      <c r="I2122" s="66" t="str">
        <f>IF(J2122&lt;&gt;"OK","",E2122*(1+G2122)*H2122)</f>
        <v/>
      </c>
      <c r="J2122" s="69" t="str">
        <f>IF(AND(A2122="",B2122=""),"",IF(A2122="","Produit manquant",IF(COUNTIF(prod_ref,A2122)=0,"Produit inconnu",IF(B2122="","Matière manquante",IF(ISNA(MATCH(B2122,mat_ref,0)),"Matière inconnue",IF(INDEX(mat_check,MATCH(B2122,mat_ref,0))&lt;&gt;"OK","Matière à corriger",IF(OR(NOT(ISNUMBER(E2122)),N(E2122)&lt;=0),"Quantité invalide",IF(AND(F2122&lt;&gt;"",OR(NOT(ISNUMBER(F2122)),N(F2122)&lt;0,N(F2122)&gt;=1)),"Perte entre 0 et 99 %",IF(COUNTIFS(bom_prod,A2122,bom_mat,B2122)&gt;1,"Matière en double","OK")))))))))</f>
        <v/>
      </c>
      <c r="K2122" s="71" t="str">
        <f>IF(AND(fiche_sel&lt;&gt;"",A2122=fiche_sel),COUNTIF(A$6:A2122,fiche_sel),"")</f>
        <v/>
      </c>
    </row>
    <row r="2123">
      <c r="A2123" s="60" t="n"/>
      <c r="B2123" s="60" t="n"/>
      <c r="C2123" s="71" t="str">
        <f>IF(B2123="","",IFERROR(INDEX(mat_des,MATCH(B2123,mat_ref,0))&amp;"","Matière inconnue"))</f>
        <v/>
      </c>
      <c r="D2123" s="69" t="str">
        <f>IF(B2123="","",IFERROR(INDEX(mat_unit,MATCH(B2123,mat_ref,0))&amp;"",""))</f>
        <v/>
      </c>
      <c r="E2123" s="72" t="n"/>
      <c r="F2123" s="65" t="n"/>
      <c r="G2123" s="68" t="str">
        <f>IF(J2123&lt;&gt;"OK","",IF(F2123="",N(INDEX(mat_loss,MATCH(B2123,mat_ref,0))),F2123))</f>
        <v/>
      </c>
      <c r="H2123" s="66" t="str">
        <f>IF(J2123&lt;&gt;"OK","",INDEX(mat_price,MATCH(B2123,mat_ref,0)))</f>
        <v/>
      </c>
      <c r="I2123" s="66" t="str">
        <f>IF(J2123&lt;&gt;"OK","",E2123*(1+G2123)*H2123)</f>
        <v/>
      </c>
      <c r="J2123" s="69" t="str">
        <f>IF(AND(A2123="",B2123=""),"",IF(A2123="","Produit manquant",IF(COUNTIF(prod_ref,A2123)=0,"Produit inconnu",IF(B2123="","Matière manquante",IF(ISNA(MATCH(B2123,mat_ref,0)),"Matière inconnue",IF(INDEX(mat_check,MATCH(B2123,mat_ref,0))&lt;&gt;"OK","Matière à corriger",IF(OR(NOT(ISNUMBER(E2123)),N(E2123)&lt;=0),"Quantité invalide",IF(AND(F2123&lt;&gt;"",OR(NOT(ISNUMBER(F2123)),N(F2123)&lt;0,N(F2123)&gt;=1)),"Perte entre 0 et 99 %",IF(COUNTIFS(bom_prod,A2123,bom_mat,B2123)&gt;1,"Matière en double","OK")))))))))</f>
        <v/>
      </c>
      <c r="K2123" s="71" t="str">
        <f>IF(AND(fiche_sel&lt;&gt;"",A2123=fiche_sel),COUNTIF(A$6:A2123,fiche_sel),"")</f>
        <v/>
      </c>
    </row>
    <row r="2124">
      <c r="A2124" s="60" t="n"/>
      <c r="B2124" s="60" t="n"/>
      <c r="C2124" s="71" t="str">
        <f>IF(B2124="","",IFERROR(INDEX(mat_des,MATCH(B2124,mat_ref,0))&amp;"","Matière inconnue"))</f>
        <v/>
      </c>
      <c r="D2124" s="69" t="str">
        <f>IF(B2124="","",IFERROR(INDEX(mat_unit,MATCH(B2124,mat_ref,0))&amp;"",""))</f>
        <v/>
      </c>
      <c r="E2124" s="72" t="n"/>
      <c r="F2124" s="65" t="n"/>
      <c r="G2124" s="68" t="str">
        <f>IF(J2124&lt;&gt;"OK","",IF(F2124="",N(INDEX(mat_loss,MATCH(B2124,mat_ref,0))),F2124))</f>
        <v/>
      </c>
      <c r="H2124" s="66" t="str">
        <f>IF(J2124&lt;&gt;"OK","",INDEX(mat_price,MATCH(B2124,mat_ref,0)))</f>
        <v/>
      </c>
      <c r="I2124" s="66" t="str">
        <f>IF(J2124&lt;&gt;"OK","",E2124*(1+G2124)*H2124)</f>
        <v/>
      </c>
      <c r="J2124" s="69" t="str">
        <f>IF(AND(A2124="",B2124=""),"",IF(A2124="","Produit manquant",IF(COUNTIF(prod_ref,A2124)=0,"Produit inconnu",IF(B2124="","Matière manquante",IF(ISNA(MATCH(B2124,mat_ref,0)),"Matière inconnue",IF(INDEX(mat_check,MATCH(B2124,mat_ref,0))&lt;&gt;"OK","Matière à corriger",IF(OR(NOT(ISNUMBER(E2124)),N(E2124)&lt;=0),"Quantité invalide",IF(AND(F2124&lt;&gt;"",OR(NOT(ISNUMBER(F2124)),N(F2124)&lt;0,N(F2124)&gt;=1)),"Perte entre 0 et 99 %",IF(COUNTIFS(bom_prod,A2124,bom_mat,B2124)&gt;1,"Matière en double","OK")))))))))</f>
        <v/>
      </c>
      <c r="K2124" s="71" t="str">
        <f>IF(AND(fiche_sel&lt;&gt;"",A2124=fiche_sel),COUNTIF(A$6:A2124,fiche_sel),"")</f>
        <v/>
      </c>
    </row>
    <row r="2125">
      <c r="A2125" s="60" t="n"/>
      <c r="B2125" s="60" t="n"/>
      <c r="C2125" s="71" t="str">
        <f>IF(B2125="","",IFERROR(INDEX(mat_des,MATCH(B2125,mat_ref,0))&amp;"","Matière inconnue"))</f>
        <v/>
      </c>
      <c r="D2125" s="69" t="str">
        <f>IF(B2125="","",IFERROR(INDEX(mat_unit,MATCH(B2125,mat_ref,0))&amp;"",""))</f>
        <v/>
      </c>
      <c r="E2125" s="72" t="n"/>
      <c r="F2125" s="65" t="n"/>
      <c r="G2125" s="68" t="str">
        <f>IF(J2125&lt;&gt;"OK","",IF(F2125="",N(INDEX(mat_loss,MATCH(B2125,mat_ref,0))),F2125))</f>
        <v/>
      </c>
      <c r="H2125" s="66" t="str">
        <f>IF(J2125&lt;&gt;"OK","",INDEX(mat_price,MATCH(B2125,mat_ref,0)))</f>
        <v/>
      </c>
      <c r="I2125" s="66" t="str">
        <f>IF(J2125&lt;&gt;"OK","",E2125*(1+G2125)*H2125)</f>
        <v/>
      </c>
      <c r="J2125" s="69" t="str">
        <f>IF(AND(A2125="",B2125=""),"",IF(A2125="","Produit manquant",IF(COUNTIF(prod_ref,A2125)=0,"Produit inconnu",IF(B2125="","Matière manquante",IF(ISNA(MATCH(B2125,mat_ref,0)),"Matière inconnue",IF(INDEX(mat_check,MATCH(B2125,mat_ref,0))&lt;&gt;"OK","Matière à corriger",IF(OR(NOT(ISNUMBER(E2125)),N(E2125)&lt;=0),"Quantité invalide",IF(AND(F2125&lt;&gt;"",OR(NOT(ISNUMBER(F2125)),N(F2125)&lt;0,N(F2125)&gt;=1)),"Perte entre 0 et 99 %",IF(COUNTIFS(bom_prod,A2125,bom_mat,B2125)&gt;1,"Matière en double","OK")))))))))</f>
        <v/>
      </c>
      <c r="K2125" s="71" t="str">
        <f>IF(AND(fiche_sel&lt;&gt;"",A2125=fiche_sel),COUNTIF(A$6:A2125,fiche_sel),"")</f>
        <v/>
      </c>
    </row>
    <row r="2126">
      <c r="A2126" s="60" t="n"/>
      <c r="B2126" s="60" t="n"/>
      <c r="C2126" s="71" t="str">
        <f>IF(B2126="","",IFERROR(INDEX(mat_des,MATCH(B2126,mat_ref,0))&amp;"","Matière inconnue"))</f>
        <v/>
      </c>
      <c r="D2126" s="69" t="str">
        <f>IF(B2126="","",IFERROR(INDEX(mat_unit,MATCH(B2126,mat_ref,0))&amp;"",""))</f>
        <v/>
      </c>
      <c r="E2126" s="72" t="n"/>
      <c r="F2126" s="65" t="n"/>
      <c r="G2126" s="68" t="str">
        <f>IF(J2126&lt;&gt;"OK","",IF(F2126="",N(INDEX(mat_loss,MATCH(B2126,mat_ref,0))),F2126))</f>
        <v/>
      </c>
      <c r="H2126" s="66" t="str">
        <f>IF(J2126&lt;&gt;"OK","",INDEX(mat_price,MATCH(B2126,mat_ref,0)))</f>
        <v/>
      </c>
      <c r="I2126" s="66" t="str">
        <f>IF(J2126&lt;&gt;"OK","",E2126*(1+G2126)*H2126)</f>
        <v/>
      </c>
      <c r="J2126" s="69" t="str">
        <f>IF(AND(A2126="",B2126=""),"",IF(A2126="","Produit manquant",IF(COUNTIF(prod_ref,A2126)=0,"Produit inconnu",IF(B2126="","Matière manquante",IF(ISNA(MATCH(B2126,mat_ref,0)),"Matière inconnue",IF(INDEX(mat_check,MATCH(B2126,mat_ref,0))&lt;&gt;"OK","Matière à corriger",IF(OR(NOT(ISNUMBER(E2126)),N(E2126)&lt;=0),"Quantité invalide",IF(AND(F2126&lt;&gt;"",OR(NOT(ISNUMBER(F2126)),N(F2126)&lt;0,N(F2126)&gt;=1)),"Perte entre 0 et 99 %",IF(COUNTIFS(bom_prod,A2126,bom_mat,B2126)&gt;1,"Matière en double","OK")))))))))</f>
        <v/>
      </c>
      <c r="K2126" s="71" t="str">
        <f>IF(AND(fiche_sel&lt;&gt;"",A2126=fiche_sel),COUNTIF(A$6:A2126,fiche_sel),"")</f>
        <v/>
      </c>
    </row>
    <row r="2127">
      <c r="A2127" s="60" t="n"/>
      <c r="B2127" s="60" t="n"/>
      <c r="C2127" s="71" t="str">
        <f>IF(B2127="","",IFERROR(INDEX(mat_des,MATCH(B2127,mat_ref,0))&amp;"","Matière inconnue"))</f>
        <v/>
      </c>
      <c r="D2127" s="69" t="str">
        <f>IF(B2127="","",IFERROR(INDEX(mat_unit,MATCH(B2127,mat_ref,0))&amp;"",""))</f>
        <v/>
      </c>
      <c r="E2127" s="72" t="n"/>
      <c r="F2127" s="65" t="n"/>
      <c r="G2127" s="68" t="str">
        <f>IF(J2127&lt;&gt;"OK","",IF(F2127="",N(INDEX(mat_loss,MATCH(B2127,mat_ref,0))),F2127))</f>
        <v/>
      </c>
      <c r="H2127" s="66" t="str">
        <f>IF(J2127&lt;&gt;"OK","",INDEX(mat_price,MATCH(B2127,mat_ref,0)))</f>
        <v/>
      </c>
      <c r="I2127" s="66" t="str">
        <f>IF(J2127&lt;&gt;"OK","",E2127*(1+G2127)*H2127)</f>
        <v/>
      </c>
      <c r="J2127" s="69" t="str">
        <f>IF(AND(A2127="",B2127=""),"",IF(A2127="","Produit manquant",IF(COUNTIF(prod_ref,A2127)=0,"Produit inconnu",IF(B2127="","Matière manquante",IF(ISNA(MATCH(B2127,mat_ref,0)),"Matière inconnue",IF(INDEX(mat_check,MATCH(B2127,mat_ref,0))&lt;&gt;"OK","Matière à corriger",IF(OR(NOT(ISNUMBER(E2127)),N(E2127)&lt;=0),"Quantité invalide",IF(AND(F2127&lt;&gt;"",OR(NOT(ISNUMBER(F2127)),N(F2127)&lt;0,N(F2127)&gt;=1)),"Perte entre 0 et 99 %",IF(COUNTIFS(bom_prod,A2127,bom_mat,B2127)&gt;1,"Matière en double","OK")))))))))</f>
        <v/>
      </c>
      <c r="K2127" s="71" t="str">
        <f>IF(AND(fiche_sel&lt;&gt;"",A2127=fiche_sel),COUNTIF(A$6:A2127,fiche_sel),"")</f>
        <v/>
      </c>
    </row>
    <row r="2128">
      <c r="A2128" s="60" t="n"/>
      <c r="B2128" s="60" t="n"/>
      <c r="C2128" s="71" t="str">
        <f>IF(B2128="","",IFERROR(INDEX(mat_des,MATCH(B2128,mat_ref,0))&amp;"","Matière inconnue"))</f>
        <v/>
      </c>
      <c r="D2128" s="69" t="str">
        <f>IF(B2128="","",IFERROR(INDEX(mat_unit,MATCH(B2128,mat_ref,0))&amp;"",""))</f>
        <v/>
      </c>
      <c r="E2128" s="72" t="n"/>
      <c r="F2128" s="65" t="n"/>
      <c r="G2128" s="68" t="str">
        <f>IF(J2128&lt;&gt;"OK","",IF(F2128="",N(INDEX(mat_loss,MATCH(B2128,mat_ref,0))),F2128))</f>
        <v/>
      </c>
      <c r="H2128" s="66" t="str">
        <f>IF(J2128&lt;&gt;"OK","",INDEX(mat_price,MATCH(B2128,mat_ref,0)))</f>
        <v/>
      </c>
      <c r="I2128" s="66" t="str">
        <f>IF(J2128&lt;&gt;"OK","",E2128*(1+G2128)*H2128)</f>
        <v/>
      </c>
      <c r="J2128" s="69" t="str">
        <f>IF(AND(A2128="",B2128=""),"",IF(A2128="","Produit manquant",IF(COUNTIF(prod_ref,A2128)=0,"Produit inconnu",IF(B2128="","Matière manquante",IF(ISNA(MATCH(B2128,mat_ref,0)),"Matière inconnue",IF(INDEX(mat_check,MATCH(B2128,mat_ref,0))&lt;&gt;"OK","Matière à corriger",IF(OR(NOT(ISNUMBER(E2128)),N(E2128)&lt;=0),"Quantité invalide",IF(AND(F2128&lt;&gt;"",OR(NOT(ISNUMBER(F2128)),N(F2128)&lt;0,N(F2128)&gt;=1)),"Perte entre 0 et 99 %",IF(COUNTIFS(bom_prod,A2128,bom_mat,B2128)&gt;1,"Matière en double","OK")))))))))</f>
        <v/>
      </c>
      <c r="K2128" s="71" t="str">
        <f>IF(AND(fiche_sel&lt;&gt;"",A2128=fiche_sel),COUNTIF(A$6:A2128,fiche_sel),"")</f>
        <v/>
      </c>
    </row>
    <row r="2129">
      <c r="A2129" s="60" t="n"/>
      <c r="B2129" s="60" t="n"/>
      <c r="C2129" s="71" t="str">
        <f>IF(B2129="","",IFERROR(INDEX(mat_des,MATCH(B2129,mat_ref,0))&amp;"","Matière inconnue"))</f>
        <v/>
      </c>
      <c r="D2129" s="69" t="str">
        <f>IF(B2129="","",IFERROR(INDEX(mat_unit,MATCH(B2129,mat_ref,0))&amp;"",""))</f>
        <v/>
      </c>
      <c r="E2129" s="72" t="n"/>
      <c r="F2129" s="65" t="n"/>
      <c r="G2129" s="68" t="str">
        <f>IF(J2129&lt;&gt;"OK","",IF(F2129="",N(INDEX(mat_loss,MATCH(B2129,mat_ref,0))),F2129))</f>
        <v/>
      </c>
      <c r="H2129" s="66" t="str">
        <f>IF(J2129&lt;&gt;"OK","",INDEX(mat_price,MATCH(B2129,mat_ref,0)))</f>
        <v/>
      </c>
      <c r="I2129" s="66" t="str">
        <f>IF(J2129&lt;&gt;"OK","",E2129*(1+G2129)*H2129)</f>
        <v/>
      </c>
      <c r="J2129" s="69" t="str">
        <f>IF(AND(A2129="",B2129=""),"",IF(A2129="","Produit manquant",IF(COUNTIF(prod_ref,A2129)=0,"Produit inconnu",IF(B2129="","Matière manquante",IF(ISNA(MATCH(B2129,mat_ref,0)),"Matière inconnue",IF(INDEX(mat_check,MATCH(B2129,mat_ref,0))&lt;&gt;"OK","Matière à corriger",IF(OR(NOT(ISNUMBER(E2129)),N(E2129)&lt;=0),"Quantité invalide",IF(AND(F2129&lt;&gt;"",OR(NOT(ISNUMBER(F2129)),N(F2129)&lt;0,N(F2129)&gt;=1)),"Perte entre 0 et 99 %",IF(COUNTIFS(bom_prod,A2129,bom_mat,B2129)&gt;1,"Matière en double","OK")))))))))</f>
        <v/>
      </c>
      <c r="K2129" s="71" t="str">
        <f>IF(AND(fiche_sel&lt;&gt;"",A2129=fiche_sel),COUNTIF(A$6:A2129,fiche_sel),"")</f>
        <v/>
      </c>
    </row>
    <row r="2130">
      <c r="A2130" s="60" t="n"/>
      <c r="B2130" s="60" t="n"/>
      <c r="C2130" s="71" t="str">
        <f>IF(B2130="","",IFERROR(INDEX(mat_des,MATCH(B2130,mat_ref,0))&amp;"","Matière inconnue"))</f>
        <v/>
      </c>
      <c r="D2130" s="69" t="str">
        <f>IF(B2130="","",IFERROR(INDEX(mat_unit,MATCH(B2130,mat_ref,0))&amp;"",""))</f>
        <v/>
      </c>
      <c r="E2130" s="72" t="n"/>
      <c r="F2130" s="65" t="n"/>
      <c r="G2130" s="68" t="str">
        <f>IF(J2130&lt;&gt;"OK","",IF(F2130="",N(INDEX(mat_loss,MATCH(B2130,mat_ref,0))),F2130))</f>
        <v/>
      </c>
      <c r="H2130" s="66" t="str">
        <f>IF(J2130&lt;&gt;"OK","",INDEX(mat_price,MATCH(B2130,mat_ref,0)))</f>
        <v/>
      </c>
      <c r="I2130" s="66" t="str">
        <f>IF(J2130&lt;&gt;"OK","",E2130*(1+G2130)*H2130)</f>
        <v/>
      </c>
      <c r="J2130" s="69" t="str">
        <f>IF(AND(A2130="",B2130=""),"",IF(A2130="","Produit manquant",IF(COUNTIF(prod_ref,A2130)=0,"Produit inconnu",IF(B2130="","Matière manquante",IF(ISNA(MATCH(B2130,mat_ref,0)),"Matière inconnue",IF(INDEX(mat_check,MATCH(B2130,mat_ref,0))&lt;&gt;"OK","Matière à corriger",IF(OR(NOT(ISNUMBER(E2130)),N(E2130)&lt;=0),"Quantité invalide",IF(AND(F2130&lt;&gt;"",OR(NOT(ISNUMBER(F2130)),N(F2130)&lt;0,N(F2130)&gt;=1)),"Perte entre 0 et 99 %",IF(COUNTIFS(bom_prod,A2130,bom_mat,B2130)&gt;1,"Matière en double","OK")))))))))</f>
        <v/>
      </c>
      <c r="K2130" s="71" t="str">
        <f>IF(AND(fiche_sel&lt;&gt;"",A2130=fiche_sel),COUNTIF(A$6:A2130,fiche_sel),"")</f>
        <v/>
      </c>
    </row>
    <row r="2131">
      <c r="A2131" s="60" t="n"/>
      <c r="B2131" s="60" t="n"/>
      <c r="C2131" s="71" t="str">
        <f>IF(B2131="","",IFERROR(INDEX(mat_des,MATCH(B2131,mat_ref,0))&amp;"","Matière inconnue"))</f>
        <v/>
      </c>
      <c r="D2131" s="69" t="str">
        <f>IF(B2131="","",IFERROR(INDEX(mat_unit,MATCH(B2131,mat_ref,0))&amp;"",""))</f>
        <v/>
      </c>
      <c r="E2131" s="72" t="n"/>
      <c r="F2131" s="65" t="n"/>
      <c r="G2131" s="68" t="str">
        <f>IF(J2131&lt;&gt;"OK","",IF(F2131="",N(INDEX(mat_loss,MATCH(B2131,mat_ref,0))),F2131))</f>
        <v/>
      </c>
      <c r="H2131" s="66" t="str">
        <f>IF(J2131&lt;&gt;"OK","",INDEX(mat_price,MATCH(B2131,mat_ref,0)))</f>
        <v/>
      </c>
      <c r="I2131" s="66" t="str">
        <f>IF(J2131&lt;&gt;"OK","",E2131*(1+G2131)*H2131)</f>
        <v/>
      </c>
      <c r="J2131" s="69" t="str">
        <f>IF(AND(A2131="",B2131=""),"",IF(A2131="","Produit manquant",IF(COUNTIF(prod_ref,A2131)=0,"Produit inconnu",IF(B2131="","Matière manquante",IF(ISNA(MATCH(B2131,mat_ref,0)),"Matière inconnue",IF(INDEX(mat_check,MATCH(B2131,mat_ref,0))&lt;&gt;"OK","Matière à corriger",IF(OR(NOT(ISNUMBER(E2131)),N(E2131)&lt;=0),"Quantité invalide",IF(AND(F2131&lt;&gt;"",OR(NOT(ISNUMBER(F2131)),N(F2131)&lt;0,N(F2131)&gt;=1)),"Perte entre 0 et 99 %",IF(COUNTIFS(bom_prod,A2131,bom_mat,B2131)&gt;1,"Matière en double","OK")))))))))</f>
        <v/>
      </c>
      <c r="K2131" s="71" t="str">
        <f>IF(AND(fiche_sel&lt;&gt;"",A2131=fiche_sel),COUNTIF(A$6:A2131,fiche_sel),"")</f>
        <v/>
      </c>
    </row>
    <row r="2132">
      <c r="A2132" s="60" t="n"/>
      <c r="B2132" s="60" t="n"/>
      <c r="C2132" s="71" t="str">
        <f>IF(B2132="","",IFERROR(INDEX(mat_des,MATCH(B2132,mat_ref,0))&amp;"","Matière inconnue"))</f>
        <v/>
      </c>
      <c r="D2132" s="69" t="str">
        <f>IF(B2132="","",IFERROR(INDEX(mat_unit,MATCH(B2132,mat_ref,0))&amp;"",""))</f>
        <v/>
      </c>
      <c r="E2132" s="72" t="n"/>
      <c r="F2132" s="65" t="n"/>
      <c r="G2132" s="68" t="str">
        <f>IF(J2132&lt;&gt;"OK","",IF(F2132="",N(INDEX(mat_loss,MATCH(B2132,mat_ref,0))),F2132))</f>
        <v/>
      </c>
      <c r="H2132" s="66" t="str">
        <f>IF(J2132&lt;&gt;"OK","",INDEX(mat_price,MATCH(B2132,mat_ref,0)))</f>
        <v/>
      </c>
      <c r="I2132" s="66" t="str">
        <f>IF(J2132&lt;&gt;"OK","",E2132*(1+G2132)*H2132)</f>
        <v/>
      </c>
      <c r="J2132" s="69" t="str">
        <f>IF(AND(A2132="",B2132=""),"",IF(A2132="","Produit manquant",IF(COUNTIF(prod_ref,A2132)=0,"Produit inconnu",IF(B2132="","Matière manquante",IF(ISNA(MATCH(B2132,mat_ref,0)),"Matière inconnue",IF(INDEX(mat_check,MATCH(B2132,mat_ref,0))&lt;&gt;"OK","Matière à corriger",IF(OR(NOT(ISNUMBER(E2132)),N(E2132)&lt;=0),"Quantité invalide",IF(AND(F2132&lt;&gt;"",OR(NOT(ISNUMBER(F2132)),N(F2132)&lt;0,N(F2132)&gt;=1)),"Perte entre 0 et 99 %",IF(COUNTIFS(bom_prod,A2132,bom_mat,B2132)&gt;1,"Matière en double","OK")))))))))</f>
        <v/>
      </c>
      <c r="K2132" s="71" t="str">
        <f>IF(AND(fiche_sel&lt;&gt;"",A2132=fiche_sel),COUNTIF(A$6:A2132,fiche_sel),"")</f>
        <v/>
      </c>
    </row>
    <row r="2133">
      <c r="A2133" s="60" t="n"/>
      <c r="B2133" s="60" t="n"/>
      <c r="C2133" s="71" t="str">
        <f>IF(B2133="","",IFERROR(INDEX(mat_des,MATCH(B2133,mat_ref,0))&amp;"","Matière inconnue"))</f>
        <v/>
      </c>
      <c r="D2133" s="69" t="str">
        <f>IF(B2133="","",IFERROR(INDEX(mat_unit,MATCH(B2133,mat_ref,0))&amp;"",""))</f>
        <v/>
      </c>
      <c r="E2133" s="72" t="n"/>
      <c r="F2133" s="65" t="n"/>
      <c r="G2133" s="68" t="str">
        <f>IF(J2133&lt;&gt;"OK","",IF(F2133="",N(INDEX(mat_loss,MATCH(B2133,mat_ref,0))),F2133))</f>
        <v/>
      </c>
      <c r="H2133" s="66" t="str">
        <f>IF(J2133&lt;&gt;"OK","",INDEX(mat_price,MATCH(B2133,mat_ref,0)))</f>
        <v/>
      </c>
      <c r="I2133" s="66" t="str">
        <f>IF(J2133&lt;&gt;"OK","",E2133*(1+G2133)*H2133)</f>
        <v/>
      </c>
      <c r="J2133" s="69" t="str">
        <f>IF(AND(A2133="",B2133=""),"",IF(A2133="","Produit manquant",IF(COUNTIF(prod_ref,A2133)=0,"Produit inconnu",IF(B2133="","Matière manquante",IF(ISNA(MATCH(B2133,mat_ref,0)),"Matière inconnue",IF(INDEX(mat_check,MATCH(B2133,mat_ref,0))&lt;&gt;"OK","Matière à corriger",IF(OR(NOT(ISNUMBER(E2133)),N(E2133)&lt;=0),"Quantité invalide",IF(AND(F2133&lt;&gt;"",OR(NOT(ISNUMBER(F2133)),N(F2133)&lt;0,N(F2133)&gt;=1)),"Perte entre 0 et 99 %",IF(COUNTIFS(bom_prod,A2133,bom_mat,B2133)&gt;1,"Matière en double","OK")))))))))</f>
        <v/>
      </c>
      <c r="K2133" s="71" t="str">
        <f>IF(AND(fiche_sel&lt;&gt;"",A2133=fiche_sel),COUNTIF(A$6:A2133,fiche_sel),"")</f>
        <v/>
      </c>
    </row>
    <row r="2134">
      <c r="A2134" s="60" t="n"/>
      <c r="B2134" s="60" t="n"/>
      <c r="C2134" s="71" t="str">
        <f>IF(B2134="","",IFERROR(INDEX(mat_des,MATCH(B2134,mat_ref,0))&amp;"","Matière inconnue"))</f>
        <v/>
      </c>
      <c r="D2134" s="69" t="str">
        <f>IF(B2134="","",IFERROR(INDEX(mat_unit,MATCH(B2134,mat_ref,0))&amp;"",""))</f>
        <v/>
      </c>
      <c r="E2134" s="72" t="n"/>
      <c r="F2134" s="65" t="n"/>
      <c r="G2134" s="68" t="str">
        <f>IF(J2134&lt;&gt;"OK","",IF(F2134="",N(INDEX(mat_loss,MATCH(B2134,mat_ref,0))),F2134))</f>
        <v/>
      </c>
      <c r="H2134" s="66" t="str">
        <f>IF(J2134&lt;&gt;"OK","",INDEX(mat_price,MATCH(B2134,mat_ref,0)))</f>
        <v/>
      </c>
      <c r="I2134" s="66" t="str">
        <f>IF(J2134&lt;&gt;"OK","",E2134*(1+G2134)*H2134)</f>
        <v/>
      </c>
      <c r="J2134" s="69" t="str">
        <f>IF(AND(A2134="",B2134=""),"",IF(A2134="","Produit manquant",IF(COUNTIF(prod_ref,A2134)=0,"Produit inconnu",IF(B2134="","Matière manquante",IF(ISNA(MATCH(B2134,mat_ref,0)),"Matière inconnue",IF(INDEX(mat_check,MATCH(B2134,mat_ref,0))&lt;&gt;"OK","Matière à corriger",IF(OR(NOT(ISNUMBER(E2134)),N(E2134)&lt;=0),"Quantité invalide",IF(AND(F2134&lt;&gt;"",OR(NOT(ISNUMBER(F2134)),N(F2134)&lt;0,N(F2134)&gt;=1)),"Perte entre 0 et 99 %",IF(COUNTIFS(bom_prod,A2134,bom_mat,B2134)&gt;1,"Matière en double","OK")))))))))</f>
        <v/>
      </c>
      <c r="K2134" s="71" t="str">
        <f>IF(AND(fiche_sel&lt;&gt;"",A2134=fiche_sel),COUNTIF(A$6:A2134,fiche_sel),"")</f>
        <v/>
      </c>
    </row>
    <row r="2135">
      <c r="A2135" s="60" t="n"/>
      <c r="B2135" s="60" t="n"/>
      <c r="C2135" s="71" t="str">
        <f>IF(B2135="","",IFERROR(INDEX(mat_des,MATCH(B2135,mat_ref,0))&amp;"","Matière inconnue"))</f>
        <v/>
      </c>
      <c r="D2135" s="69" t="str">
        <f>IF(B2135="","",IFERROR(INDEX(mat_unit,MATCH(B2135,mat_ref,0))&amp;"",""))</f>
        <v/>
      </c>
      <c r="E2135" s="72" t="n"/>
      <c r="F2135" s="65" t="n"/>
      <c r="G2135" s="68" t="str">
        <f>IF(J2135&lt;&gt;"OK","",IF(F2135="",N(INDEX(mat_loss,MATCH(B2135,mat_ref,0))),F2135))</f>
        <v/>
      </c>
      <c r="H2135" s="66" t="str">
        <f>IF(J2135&lt;&gt;"OK","",INDEX(mat_price,MATCH(B2135,mat_ref,0)))</f>
        <v/>
      </c>
      <c r="I2135" s="66" t="str">
        <f>IF(J2135&lt;&gt;"OK","",E2135*(1+G2135)*H2135)</f>
        <v/>
      </c>
      <c r="J2135" s="69" t="str">
        <f>IF(AND(A2135="",B2135=""),"",IF(A2135="","Produit manquant",IF(COUNTIF(prod_ref,A2135)=0,"Produit inconnu",IF(B2135="","Matière manquante",IF(ISNA(MATCH(B2135,mat_ref,0)),"Matière inconnue",IF(INDEX(mat_check,MATCH(B2135,mat_ref,0))&lt;&gt;"OK","Matière à corriger",IF(OR(NOT(ISNUMBER(E2135)),N(E2135)&lt;=0),"Quantité invalide",IF(AND(F2135&lt;&gt;"",OR(NOT(ISNUMBER(F2135)),N(F2135)&lt;0,N(F2135)&gt;=1)),"Perte entre 0 et 99 %",IF(COUNTIFS(bom_prod,A2135,bom_mat,B2135)&gt;1,"Matière en double","OK")))))))))</f>
        <v/>
      </c>
      <c r="K2135" s="71" t="str">
        <f>IF(AND(fiche_sel&lt;&gt;"",A2135=fiche_sel),COUNTIF(A$6:A2135,fiche_sel),"")</f>
        <v/>
      </c>
    </row>
    <row r="2136">
      <c r="A2136" s="60" t="n"/>
      <c r="B2136" s="60" t="n"/>
      <c r="C2136" s="71" t="str">
        <f>IF(B2136="","",IFERROR(INDEX(mat_des,MATCH(B2136,mat_ref,0))&amp;"","Matière inconnue"))</f>
        <v/>
      </c>
      <c r="D2136" s="69" t="str">
        <f>IF(B2136="","",IFERROR(INDEX(mat_unit,MATCH(B2136,mat_ref,0))&amp;"",""))</f>
        <v/>
      </c>
      <c r="E2136" s="72" t="n"/>
      <c r="F2136" s="65" t="n"/>
      <c r="G2136" s="68" t="str">
        <f>IF(J2136&lt;&gt;"OK","",IF(F2136="",N(INDEX(mat_loss,MATCH(B2136,mat_ref,0))),F2136))</f>
        <v/>
      </c>
      <c r="H2136" s="66" t="str">
        <f>IF(J2136&lt;&gt;"OK","",INDEX(mat_price,MATCH(B2136,mat_ref,0)))</f>
        <v/>
      </c>
      <c r="I2136" s="66" t="str">
        <f>IF(J2136&lt;&gt;"OK","",E2136*(1+G2136)*H2136)</f>
        <v/>
      </c>
      <c r="J2136" s="69" t="str">
        <f>IF(AND(A2136="",B2136=""),"",IF(A2136="","Produit manquant",IF(COUNTIF(prod_ref,A2136)=0,"Produit inconnu",IF(B2136="","Matière manquante",IF(ISNA(MATCH(B2136,mat_ref,0)),"Matière inconnue",IF(INDEX(mat_check,MATCH(B2136,mat_ref,0))&lt;&gt;"OK","Matière à corriger",IF(OR(NOT(ISNUMBER(E2136)),N(E2136)&lt;=0),"Quantité invalide",IF(AND(F2136&lt;&gt;"",OR(NOT(ISNUMBER(F2136)),N(F2136)&lt;0,N(F2136)&gt;=1)),"Perte entre 0 et 99 %",IF(COUNTIFS(bom_prod,A2136,bom_mat,B2136)&gt;1,"Matière en double","OK")))))))))</f>
        <v/>
      </c>
      <c r="K2136" s="71" t="str">
        <f>IF(AND(fiche_sel&lt;&gt;"",A2136=fiche_sel),COUNTIF(A$6:A2136,fiche_sel),"")</f>
        <v/>
      </c>
    </row>
    <row r="2137">
      <c r="A2137" s="60" t="n"/>
      <c r="B2137" s="60" t="n"/>
      <c r="C2137" s="71" t="str">
        <f>IF(B2137="","",IFERROR(INDEX(mat_des,MATCH(B2137,mat_ref,0))&amp;"","Matière inconnue"))</f>
        <v/>
      </c>
      <c r="D2137" s="69" t="str">
        <f>IF(B2137="","",IFERROR(INDEX(mat_unit,MATCH(B2137,mat_ref,0))&amp;"",""))</f>
        <v/>
      </c>
      <c r="E2137" s="72" t="n"/>
      <c r="F2137" s="65" t="n"/>
      <c r="G2137" s="68" t="str">
        <f>IF(J2137&lt;&gt;"OK","",IF(F2137="",N(INDEX(mat_loss,MATCH(B2137,mat_ref,0))),F2137))</f>
        <v/>
      </c>
      <c r="H2137" s="66" t="str">
        <f>IF(J2137&lt;&gt;"OK","",INDEX(mat_price,MATCH(B2137,mat_ref,0)))</f>
        <v/>
      </c>
      <c r="I2137" s="66" t="str">
        <f>IF(J2137&lt;&gt;"OK","",E2137*(1+G2137)*H2137)</f>
        <v/>
      </c>
      <c r="J2137" s="69" t="str">
        <f>IF(AND(A2137="",B2137=""),"",IF(A2137="","Produit manquant",IF(COUNTIF(prod_ref,A2137)=0,"Produit inconnu",IF(B2137="","Matière manquante",IF(ISNA(MATCH(B2137,mat_ref,0)),"Matière inconnue",IF(INDEX(mat_check,MATCH(B2137,mat_ref,0))&lt;&gt;"OK","Matière à corriger",IF(OR(NOT(ISNUMBER(E2137)),N(E2137)&lt;=0),"Quantité invalide",IF(AND(F2137&lt;&gt;"",OR(NOT(ISNUMBER(F2137)),N(F2137)&lt;0,N(F2137)&gt;=1)),"Perte entre 0 et 99 %",IF(COUNTIFS(bom_prod,A2137,bom_mat,B2137)&gt;1,"Matière en double","OK")))))))))</f>
        <v/>
      </c>
      <c r="K2137" s="71" t="str">
        <f>IF(AND(fiche_sel&lt;&gt;"",A2137=fiche_sel),COUNTIF(A$6:A2137,fiche_sel),"")</f>
        <v/>
      </c>
    </row>
    <row r="2138">
      <c r="A2138" s="60" t="n"/>
      <c r="B2138" s="60" t="n"/>
      <c r="C2138" s="71" t="str">
        <f>IF(B2138="","",IFERROR(INDEX(mat_des,MATCH(B2138,mat_ref,0))&amp;"","Matière inconnue"))</f>
        <v/>
      </c>
      <c r="D2138" s="69" t="str">
        <f>IF(B2138="","",IFERROR(INDEX(mat_unit,MATCH(B2138,mat_ref,0))&amp;"",""))</f>
        <v/>
      </c>
      <c r="E2138" s="72" t="n"/>
      <c r="F2138" s="65" t="n"/>
      <c r="G2138" s="68" t="str">
        <f>IF(J2138&lt;&gt;"OK","",IF(F2138="",N(INDEX(mat_loss,MATCH(B2138,mat_ref,0))),F2138))</f>
        <v/>
      </c>
      <c r="H2138" s="66" t="str">
        <f>IF(J2138&lt;&gt;"OK","",INDEX(mat_price,MATCH(B2138,mat_ref,0)))</f>
        <v/>
      </c>
      <c r="I2138" s="66" t="str">
        <f>IF(J2138&lt;&gt;"OK","",E2138*(1+G2138)*H2138)</f>
        <v/>
      </c>
      <c r="J2138" s="69" t="str">
        <f>IF(AND(A2138="",B2138=""),"",IF(A2138="","Produit manquant",IF(COUNTIF(prod_ref,A2138)=0,"Produit inconnu",IF(B2138="","Matière manquante",IF(ISNA(MATCH(B2138,mat_ref,0)),"Matière inconnue",IF(INDEX(mat_check,MATCH(B2138,mat_ref,0))&lt;&gt;"OK","Matière à corriger",IF(OR(NOT(ISNUMBER(E2138)),N(E2138)&lt;=0),"Quantité invalide",IF(AND(F2138&lt;&gt;"",OR(NOT(ISNUMBER(F2138)),N(F2138)&lt;0,N(F2138)&gt;=1)),"Perte entre 0 et 99 %",IF(COUNTIFS(bom_prod,A2138,bom_mat,B2138)&gt;1,"Matière en double","OK")))))))))</f>
        <v/>
      </c>
      <c r="K2138" s="71" t="str">
        <f>IF(AND(fiche_sel&lt;&gt;"",A2138=fiche_sel),COUNTIF(A$6:A2138,fiche_sel),"")</f>
        <v/>
      </c>
    </row>
    <row r="2139">
      <c r="A2139" s="60" t="n"/>
      <c r="B2139" s="60" t="n"/>
      <c r="C2139" s="71" t="str">
        <f>IF(B2139="","",IFERROR(INDEX(mat_des,MATCH(B2139,mat_ref,0))&amp;"","Matière inconnue"))</f>
        <v/>
      </c>
      <c r="D2139" s="69" t="str">
        <f>IF(B2139="","",IFERROR(INDEX(mat_unit,MATCH(B2139,mat_ref,0))&amp;"",""))</f>
        <v/>
      </c>
      <c r="E2139" s="72" t="n"/>
      <c r="F2139" s="65" t="n"/>
      <c r="G2139" s="68" t="str">
        <f>IF(J2139&lt;&gt;"OK","",IF(F2139="",N(INDEX(mat_loss,MATCH(B2139,mat_ref,0))),F2139))</f>
        <v/>
      </c>
      <c r="H2139" s="66" t="str">
        <f>IF(J2139&lt;&gt;"OK","",INDEX(mat_price,MATCH(B2139,mat_ref,0)))</f>
        <v/>
      </c>
      <c r="I2139" s="66" t="str">
        <f>IF(J2139&lt;&gt;"OK","",E2139*(1+G2139)*H2139)</f>
        <v/>
      </c>
      <c r="J2139" s="69" t="str">
        <f>IF(AND(A2139="",B2139=""),"",IF(A2139="","Produit manquant",IF(COUNTIF(prod_ref,A2139)=0,"Produit inconnu",IF(B2139="","Matière manquante",IF(ISNA(MATCH(B2139,mat_ref,0)),"Matière inconnue",IF(INDEX(mat_check,MATCH(B2139,mat_ref,0))&lt;&gt;"OK","Matière à corriger",IF(OR(NOT(ISNUMBER(E2139)),N(E2139)&lt;=0),"Quantité invalide",IF(AND(F2139&lt;&gt;"",OR(NOT(ISNUMBER(F2139)),N(F2139)&lt;0,N(F2139)&gt;=1)),"Perte entre 0 et 99 %",IF(COUNTIFS(bom_prod,A2139,bom_mat,B2139)&gt;1,"Matière en double","OK")))))))))</f>
        <v/>
      </c>
      <c r="K2139" s="71" t="str">
        <f>IF(AND(fiche_sel&lt;&gt;"",A2139=fiche_sel),COUNTIF(A$6:A2139,fiche_sel),"")</f>
        <v/>
      </c>
    </row>
    <row r="2140">
      <c r="A2140" s="60" t="n"/>
      <c r="B2140" s="60" t="n"/>
      <c r="C2140" s="71" t="str">
        <f>IF(B2140="","",IFERROR(INDEX(mat_des,MATCH(B2140,mat_ref,0))&amp;"","Matière inconnue"))</f>
        <v/>
      </c>
      <c r="D2140" s="69" t="str">
        <f>IF(B2140="","",IFERROR(INDEX(mat_unit,MATCH(B2140,mat_ref,0))&amp;"",""))</f>
        <v/>
      </c>
      <c r="E2140" s="72" t="n"/>
      <c r="F2140" s="65" t="n"/>
      <c r="G2140" s="68" t="str">
        <f>IF(J2140&lt;&gt;"OK","",IF(F2140="",N(INDEX(mat_loss,MATCH(B2140,mat_ref,0))),F2140))</f>
        <v/>
      </c>
      <c r="H2140" s="66" t="str">
        <f>IF(J2140&lt;&gt;"OK","",INDEX(mat_price,MATCH(B2140,mat_ref,0)))</f>
        <v/>
      </c>
      <c r="I2140" s="66" t="str">
        <f>IF(J2140&lt;&gt;"OK","",E2140*(1+G2140)*H2140)</f>
        <v/>
      </c>
      <c r="J2140" s="69" t="str">
        <f>IF(AND(A2140="",B2140=""),"",IF(A2140="","Produit manquant",IF(COUNTIF(prod_ref,A2140)=0,"Produit inconnu",IF(B2140="","Matière manquante",IF(ISNA(MATCH(B2140,mat_ref,0)),"Matière inconnue",IF(INDEX(mat_check,MATCH(B2140,mat_ref,0))&lt;&gt;"OK","Matière à corriger",IF(OR(NOT(ISNUMBER(E2140)),N(E2140)&lt;=0),"Quantité invalide",IF(AND(F2140&lt;&gt;"",OR(NOT(ISNUMBER(F2140)),N(F2140)&lt;0,N(F2140)&gt;=1)),"Perte entre 0 et 99 %",IF(COUNTIFS(bom_prod,A2140,bom_mat,B2140)&gt;1,"Matière en double","OK")))))))))</f>
        <v/>
      </c>
      <c r="K2140" s="71" t="str">
        <f>IF(AND(fiche_sel&lt;&gt;"",A2140=fiche_sel),COUNTIF(A$6:A2140,fiche_sel),"")</f>
        <v/>
      </c>
    </row>
    <row r="2141">
      <c r="A2141" s="60" t="n"/>
      <c r="B2141" s="60" t="n"/>
      <c r="C2141" s="71" t="str">
        <f>IF(B2141="","",IFERROR(INDEX(mat_des,MATCH(B2141,mat_ref,0))&amp;"","Matière inconnue"))</f>
        <v/>
      </c>
      <c r="D2141" s="69" t="str">
        <f>IF(B2141="","",IFERROR(INDEX(mat_unit,MATCH(B2141,mat_ref,0))&amp;"",""))</f>
        <v/>
      </c>
      <c r="E2141" s="72" t="n"/>
      <c r="F2141" s="65" t="n"/>
      <c r="G2141" s="68" t="str">
        <f>IF(J2141&lt;&gt;"OK","",IF(F2141="",N(INDEX(mat_loss,MATCH(B2141,mat_ref,0))),F2141))</f>
        <v/>
      </c>
      <c r="H2141" s="66" t="str">
        <f>IF(J2141&lt;&gt;"OK","",INDEX(mat_price,MATCH(B2141,mat_ref,0)))</f>
        <v/>
      </c>
      <c r="I2141" s="66" t="str">
        <f>IF(J2141&lt;&gt;"OK","",E2141*(1+G2141)*H2141)</f>
        <v/>
      </c>
      <c r="J2141" s="69" t="str">
        <f>IF(AND(A2141="",B2141=""),"",IF(A2141="","Produit manquant",IF(COUNTIF(prod_ref,A2141)=0,"Produit inconnu",IF(B2141="","Matière manquante",IF(ISNA(MATCH(B2141,mat_ref,0)),"Matière inconnue",IF(INDEX(mat_check,MATCH(B2141,mat_ref,0))&lt;&gt;"OK","Matière à corriger",IF(OR(NOT(ISNUMBER(E2141)),N(E2141)&lt;=0),"Quantité invalide",IF(AND(F2141&lt;&gt;"",OR(NOT(ISNUMBER(F2141)),N(F2141)&lt;0,N(F2141)&gt;=1)),"Perte entre 0 et 99 %",IF(COUNTIFS(bom_prod,A2141,bom_mat,B2141)&gt;1,"Matière en double","OK")))))))))</f>
        <v/>
      </c>
      <c r="K2141" s="71" t="str">
        <f>IF(AND(fiche_sel&lt;&gt;"",A2141=fiche_sel),COUNTIF(A$6:A2141,fiche_sel),"")</f>
        <v/>
      </c>
    </row>
    <row r="2142">
      <c r="A2142" s="60" t="n"/>
      <c r="B2142" s="60" t="n"/>
      <c r="C2142" s="71" t="str">
        <f>IF(B2142="","",IFERROR(INDEX(mat_des,MATCH(B2142,mat_ref,0))&amp;"","Matière inconnue"))</f>
        <v/>
      </c>
      <c r="D2142" s="69" t="str">
        <f>IF(B2142="","",IFERROR(INDEX(mat_unit,MATCH(B2142,mat_ref,0))&amp;"",""))</f>
        <v/>
      </c>
      <c r="E2142" s="72" t="n"/>
      <c r="F2142" s="65" t="n"/>
      <c r="G2142" s="68" t="str">
        <f>IF(J2142&lt;&gt;"OK","",IF(F2142="",N(INDEX(mat_loss,MATCH(B2142,mat_ref,0))),F2142))</f>
        <v/>
      </c>
      <c r="H2142" s="66" t="str">
        <f>IF(J2142&lt;&gt;"OK","",INDEX(mat_price,MATCH(B2142,mat_ref,0)))</f>
        <v/>
      </c>
      <c r="I2142" s="66" t="str">
        <f>IF(J2142&lt;&gt;"OK","",E2142*(1+G2142)*H2142)</f>
        <v/>
      </c>
      <c r="J2142" s="69" t="str">
        <f>IF(AND(A2142="",B2142=""),"",IF(A2142="","Produit manquant",IF(COUNTIF(prod_ref,A2142)=0,"Produit inconnu",IF(B2142="","Matière manquante",IF(ISNA(MATCH(B2142,mat_ref,0)),"Matière inconnue",IF(INDEX(mat_check,MATCH(B2142,mat_ref,0))&lt;&gt;"OK","Matière à corriger",IF(OR(NOT(ISNUMBER(E2142)),N(E2142)&lt;=0),"Quantité invalide",IF(AND(F2142&lt;&gt;"",OR(NOT(ISNUMBER(F2142)),N(F2142)&lt;0,N(F2142)&gt;=1)),"Perte entre 0 et 99 %",IF(COUNTIFS(bom_prod,A2142,bom_mat,B2142)&gt;1,"Matière en double","OK")))))))))</f>
        <v/>
      </c>
      <c r="K2142" s="71" t="str">
        <f>IF(AND(fiche_sel&lt;&gt;"",A2142=fiche_sel),COUNTIF(A$6:A2142,fiche_sel),"")</f>
        <v/>
      </c>
    </row>
    <row r="2143">
      <c r="A2143" s="60" t="n"/>
      <c r="B2143" s="60" t="n"/>
      <c r="C2143" s="71" t="str">
        <f>IF(B2143="","",IFERROR(INDEX(mat_des,MATCH(B2143,mat_ref,0))&amp;"","Matière inconnue"))</f>
        <v/>
      </c>
      <c r="D2143" s="69" t="str">
        <f>IF(B2143="","",IFERROR(INDEX(mat_unit,MATCH(B2143,mat_ref,0))&amp;"",""))</f>
        <v/>
      </c>
      <c r="E2143" s="72" t="n"/>
      <c r="F2143" s="65" t="n"/>
      <c r="G2143" s="68" t="str">
        <f>IF(J2143&lt;&gt;"OK","",IF(F2143="",N(INDEX(mat_loss,MATCH(B2143,mat_ref,0))),F2143))</f>
        <v/>
      </c>
      <c r="H2143" s="66" t="str">
        <f>IF(J2143&lt;&gt;"OK","",INDEX(mat_price,MATCH(B2143,mat_ref,0)))</f>
        <v/>
      </c>
      <c r="I2143" s="66" t="str">
        <f>IF(J2143&lt;&gt;"OK","",E2143*(1+G2143)*H2143)</f>
        <v/>
      </c>
      <c r="J2143" s="69" t="str">
        <f>IF(AND(A2143="",B2143=""),"",IF(A2143="","Produit manquant",IF(COUNTIF(prod_ref,A2143)=0,"Produit inconnu",IF(B2143="","Matière manquante",IF(ISNA(MATCH(B2143,mat_ref,0)),"Matière inconnue",IF(INDEX(mat_check,MATCH(B2143,mat_ref,0))&lt;&gt;"OK","Matière à corriger",IF(OR(NOT(ISNUMBER(E2143)),N(E2143)&lt;=0),"Quantité invalide",IF(AND(F2143&lt;&gt;"",OR(NOT(ISNUMBER(F2143)),N(F2143)&lt;0,N(F2143)&gt;=1)),"Perte entre 0 et 99 %",IF(COUNTIFS(bom_prod,A2143,bom_mat,B2143)&gt;1,"Matière en double","OK")))))))))</f>
        <v/>
      </c>
      <c r="K2143" s="71" t="str">
        <f>IF(AND(fiche_sel&lt;&gt;"",A2143=fiche_sel),COUNTIF(A$6:A2143,fiche_sel),"")</f>
        <v/>
      </c>
    </row>
    <row r="2144">
      <c r="A2144" s="60" t="n"/>
      <c r="B2144" s="60" t="n"/>
      <c r="C2144" s="71" t="str">
        <f>IF(B2144="","",IFERROR(INDEX(mat_des,MATCH(B2144,mat_ref,0))&amp;"","Matière inconnue"))</f>
        <v/>
      </c>
      <c r="D2144" s="69" t="str">
        <f>IF(B2144="","",IFERROR(INDEX(mat_unit,MATCH(B2144,mat_ref,0))&amp;"",""))</f>
        <v/>
      </c>
      <c r="E2144" s="72" t="n"/>
      <c r="F2144" s="65" t="n"/>
      <c r="G2144" s="68" t="str">
        <f>IF(J2144&lt;&gt;"OK","",IF(F2144="",N(INDEX(mat_loss,MATCH(B2144,mat_ref,0))),F2144))</f>
        <v/>
      </c>
      <c r="H2144" s="66" t="str">
        <f>IF(J2144&lt;&gt;"OK","",INDEX(mat_price,MATCH(B2144,mat_ref,0)))</f>
        <v/>
      </c>
      <c r="I2144" s="66" t="str">
        <f>IF(J2144&lt;&gt;"OK","",E2144*(1+G2144)*H2144)</f>
        <v/>
      </c>
      <c r="J2144" s="69" t="str">
        <f>IF(AND(A2144="",B2144=""),"",IF(A2144="","Produit manquant",IF(COUNTIF(prod_ref,A2144)=0,"Produit inconnu",IF(B2144="","Matière manquante",IF(ISNA(MATCH(B2144,mat_ref,0)),"Matière inconnue",IF(INDEX(mat_check,MATCH(B2144,mat_ref,0))&lt;&gt;"OK","Matière à corriger",IF(OR(NOT(ISNUMBER(E2144)),N(E2144)&lt;=0),"Quantité invalide",IF(AND(F2144&lt;&gt;"",OR(NOT(ISNUMBER(F2144)),N(F2144)&lt;0,N(F2144)&gt;=1)),"Perte entre 0 et 99 %",IF(COUNTIFS(bom_prod,A2144,bom_mat,B2144)&gt;1,"Matière en double","OK")))))))))</f>
        <v/>
      </c>
      <c r="K2144" s="71" t="str">
        <f>IF(AND(fiche_sel&lt;&gt;"",A2144=fiche_sel),COUNTIF(A$6:A2144,fiche_sel),"")</f>
        <v/>
      </c>
    </row>
    <row r="2145">
      <c r="A2145" s="60" t="n"/>
      <c r="B2145" s="60" t="n"/>
      <c r="C2145" s="71" t="str">
        <f>IF(B2145="","",IFERROR(INDEX(mat_des,MATCH(B2145,mat_ref,0))&amp;"","Matière inconnue"))</f>
        <v/>
      </c>
      <c r="D2145" s="69" t="str">
        <f>IF(B2145="","",IFERROR(INDEX(mat_unit,MATCH(B2145,mat_ref,0))&amp;"",""))</f>
        <v/>
      </c>
      <c r="E2145" s="72" t="n"/>
      <c r="F2145" s="65" t="n"/>
      <c r="G2145" s="68" t="str">
        <f>IF(J2145&lt;&gt;"OK","",IF(F2145="",N(INDEX(mat_loss,MATCH(B2145,mat_ref,0))),F2145))</f>
        <v/>
      </c>
      <c r="H2145" s="66" t="str">
        <f>IF(J2145&lt;&gt;"OK","",INDEX(mat_price,MATCH(B2145,mat_ref,0)))</f>
        <v/>
      </c>
      <c r="I2145" s="66" t="str">
        <f>IF(J2145&lt;&gt;"OK","",E2145*(1+G2145)*H2145)</f>
        <v/>
      </c>
      <c r="J2145" s="69" t="str">
        <f>IF(AND(A2145="",B2145=""),"",IF(A2145="","Produit manquant",IF(COUNTIF(prod_ref,A2145)=0,"Produit inconnu",IF(B2145="","Matière manquante",IF(ISNA(MATCH(B2145,mat_ref,0)),"Matière inconnue",IF(INDEX(mat_check,MATCH(B2145,mat_ref,0))&lt;&gt;"OK","Matière à corriger",IF(OR(NOT(ISNUMBER(E2145)),N(E2145)&lt;=0),"Quantité invalide",IF(AND(F2145&lt;&gt;"",OR(NOT(ISNUMBER(F2145)),N(F2145)&lt;0,N(F2145)&gt;=1)),"Perte entre 0 et 99 %",IF(COUNTIFS(bom_prod,A2145,bom_mat,B2145)&gt;1,"Matière en double","OK")))))))))</f>
        <v/>
      </c>
      <c r="K2145" s="71" t="str">
        <f>IF(AND(fiche_sel&lt;&gt;"",A2145=fiche_sel),COUNTIF(A$6:A2145,fiche_sel),"")</f>
        <v/>
      </c>
    </row>
    <row r="2146">
      <c r="A2146" s="60" t="n"/>
      <c r="B2146" s="60" t="n"/>
      <c r="C2146" s="71" t="str">
        <f>IF(B2146="","",IFERROR(INDEX(mat_des,MATCH(B2146,mat_ref,0))&amp;"","Matière inconnue"))</f>
        <v/>
      </c>
      <c r="D2146" s="69" t="str">
        <f>IF(B2146="","",IFERROR(INDEX(mat_unit,MATCH(B2146,mat_ref,0))&amp;"",""))</f>
        <v/>
      </c>
      <c r="E2146" s="72" t="n"/>
      <c r="F2146" s="65" t="n"/>
      <c r="G2146" s="68" t="str">
        <f>IF(J2146&lt;&gt;"OK","",IF(F2146="",N(INDEX(mat_loss,MATCH(B2146,mat_ref,0))),F2146))</f>
        <v/>
      </c>
      <c r="H2146" s="66" t="str">
        <f>IF(J2146&lt;&gt;"OK","",INDEX(mat_price,MATCH(B2146,mat_ref,0)))</f>
        <v/>
      </c>
      <c r="I2146" s="66" t="str">
        <f>IF(J2146&lt;&gt;"OK","",E2146*(1+G2146)*H2146)</f>
        <v/>
      </c>
      <c r="J2146" s="69" t="str">
        <f>IF(AND(A2146="",B2146=""),"",IF(A2146="","Produit manquant",IF(COUNTIF(prod_ref,A2146)=0,"Produit inconnu",IF(B2146="","Matière manquante",IF(ISNA(MATCH(B2146,mat_ref,0)),"Matière inconnue",IF(INDEX(mat_check,MATCH(B2146,mat_ref,0))&lt;&gt;"OK","Matière à corriger",IF(OR(NOT(ISNUMBER(E2146)),N(E2146)&lt;=0),"Quantité invalide",IF(AND(F2146&lt;&gt;"",OR(NOT(ISNUMBER(F2146)),N(F2146)&lt;0,N(F2146)&gt;=1)),"Perte entre 0 et 99 %",IF(COUNTIFS(bom_prod,A2146,bom_mat,B2146)&gt;1,"Matière en double","OK")))))))))</f>
        <v/>
      </c>
      <c r="K2146" s="71" t="str">
        <f>IF(AND(fiche_sel&lt;&gt;"",A2146=fiche_sel),COUNTIF(A$6:A2146,fiche_sel),"")</f>
        <v/>
      </c>
    </row>
    <row r="2147">
      <c r="A2147" s="60" t="n"/>
      <c r="B2147" s="60" t="n"/>
      <c r="C2147" s="71" t="str">
        <f>IF(B2147="","",IFERROR(INDEX(mat_des,MATCH(B2147,mat_ref,0))&amp;"","Matière inconnue"))</f>
        <v/>
      </c>
      <c r="D2147" s="69" t="str">
        <f>IF(B2147="","",IFERROR(INDEX(mat_unit,MATCH(B2147,mat_ref,0))&amp;"",""))</f>
        <v/>
      </c>
      <c r="E2147" s="72" t="n"/>
      <c r="F2147" s="65" t="n"/>
      <c r="G2147" s="68" t="str">
        <f>IF(J2147&lt;&gt;"OK","",IF(F2147="",N(INDEX(mat_loss,MATCH(B2147,mat_ref,0))),F2147))</f>
        <v/>
      </c>
      <c r="H2147" s="66" t="str">
        <f>IF(J2147&lt;&gt;"OK","",INDEX(mat_price,MATCH(B2147,mat_ref,0)))</f>
        <v/>
      </c>
      <c r="I2147" s="66" t="str">
        <f>IF(J2147&lt;&gt;"OK","",E2147*(1+G2147)*H2147)</f>
        <v/>
      </c>
      <c r="J2147" s="69" t="str">
        <f>IF(AND(A2147="",B2147=""),"",IF(A2147="","Produit manquant",IF(COUNTIF(prod_ref,A2147)=0,"Produit inconnu",IF(B2147="","Matière manquante",IF(ISNA(MATCH(B2147,mat_ref,0)),"Matière inconnue",IF(INDEX(mat_check,MATCH(B2147,mat_ref,0))&lt;&gt;"OK","Matière à corriger",IF(OR(NOT(ISNUMBER(E2147)),N(E2147)&lt;=0),"Quantité invalide",IF(AND(F2147&lt;&gt;"",OR(NOT(ISNUMBER(F2147)),N(F2147)&lt;0,N(F2147)&gt;=1)),"Perte entre 0 et 99 %",IF(COUNTIFS(bom_prod,A2147,bom_mat,B2147)&gt;1,"Matière en double","OK")))))))))</f>
        <v/>
      </c>
      <c r="K2147" s="71" t="str">
        <f>IF(AND(fiche_sel&lt;&gt;"",A2147=fiche_sel),COUNTIF(A$6:A2147,fiche_sel),"")</f>
        <v/>
      </c>
    </row>
    <row r="2148">
      <c r="A2148" s="60" t="n"/>
      <c r="B2148" s="60" t="n"/>
      <c r="C2148" s="71" t="str">
        <f>IF(B2148="","",IFERROR(INDEX(mat_des,MATCH(B2148,mat_ref,0))&amp;"","Matière inconnue"))</f>
        <v/>
      </c>
      <c r="D2148" s="69" t="str">
        <f>IF(B2148="","",IFERROR(INDEX(mat_unit,MATCH(B2148,mat_ref,0))&amp;"",""))</f>
        <v/>
      </c>
      <c r="E2148" s="72" t="n"/>
      <c r="F2148" s="65" t="n"/>
      <c r="G2148" s="68" t="str">
        <f>IF(J2148&lt;&gt;"OK","",IF(F2148="",N(INDEX(mat_loss,MATCH(B2148,mat_ref,0))),F2148))</f>
        <v/>
      </c>
      <c r="H2148" s="66" t="str">
        <f>IF(J2148&lt;&gt;"OK","",INDEX(mat_price,MATCH(B2148,mat_ref,0)))</f>
        <v/>
      </c>
      <c r="I2148" s="66" t="str">
        <f>IF(J2148&lt;&gt;"OK","",E2148*(1+G2148)*H2148)</f>
        <v/>
      </c>
      <c r="J2148" s="69" t="str">
        <f>IF(AND(A2148="",B2148=""),"",IF(A2148="","Produit manquant",IF(COUNTIF(prod_ref,A2148)=0,"Produit inconnu",IF(B2148="","Matière manquante",IF(ISNA(MATCH(B2148,mat_ref,0)),"Matière inconnue",IF(INDEX(mat_check,MATCH(B2148,mat_ref,0))&lt;&gt;"OK","Matière à corriger",IF(OR(NOT(ISNUMBER(E2148)),N(E2148)&lt;=0),"Quantité invalide",IF(AND(F2148&lt;&gt;"",OR(NOT(ISNUMBER(F2148)),N(F2148)&lt;0,N(F2148)&gt;=1)),"Perte entre 0 et 99 %",IF(COUNTIFS(bom_prod,A2148,bom_mat,B2148)&gt;1,"Matière en double","OK")))))))))</f>
        <v/>
      </c>
      <c r="K2148" s="71" t="str">
        <f>IF(AND(fiche_sel&lt;&gt;"",A2148=fiche_sel),COUNTIF(A$6:A2148,fiche_sel),"")</f>
        <v/>
      </c>
    </row>
    <row r="2149">
      <c r="A2149" s="60" t="n"/>
      <c r="B2149" s="60" t="n"/>
      <c r="C2149" s="71" t="str">
        <f>IF(B2149="","",IFERROR(INDEX(mat_des,MATCH(B2149,mat_ref,0))&amp;"","Matière inconnue"))</f>
        <v/>
      </c>
      <c r="D2149" s="69" t="str">
        <f>IF(B2149="","",IFERROR(INDEX(mat_unit,MATCH(B2149,mat_ref,0))&amp;"",""))</f>
        <v/>
      </c>
      <c r="E2149" s="72" t="n"/>
      <c r="F2149" s="65" t="n"/>
      <c r="G2149" s="68" t="str">
        <f>IF(J2149&lt;&gt;"OK","",IF(F2149="",N(INDEX(mat_loss,MATCH(B2149,mat_ref,0))),F2149))</f>
        <v/>
      </c>
      <c r="H2149" s="66" t="str">
        <f>IF(J2149&lt;&gt;"OK","",INDEX(mat_price,MATCH(B2149,mat_ref,0)))</f>
        <v/>
      </c>
      <c r="I2149" s="66" t="str">
        <f>IF(J2149&lt;&gt;"OK","",E2149*(1+G2149)*H2149)</f>
        <v/>
      </c>
      <c r="J2149" s="69" t="str">
        <f>IF(AND(A2149="",B2149=""),"",IF(A2149="","Produit manquant",IF(COUNTIF(prod_ref,A2149)=0,"Produit inconnu",IF(B2149="","Matière manquante",IF(ISNA(MATCH(B2149,mat_ref,0)),"Matière inconnue",IF(INDEX(mat_check,MATCH(B2149,mat_ref,0))&lt;&gt;"OK","Matière à corriger",IF(OR(NOT(ISNUMBER(E2149)),N(E2149)&lt;=0),"Quantité invalide",IF(AND(F2149&lt;&gt;"",OR(NOT(ISNUMBER(F2149)),N(F2149)&lt;0,N(F2149)&gt;=1)),"Perte entre 0 et 99 %",IF(COUNTIFS(bom_prod,A2149,bom_mat,B2149)&gt;1,"Matière en double","OK")))))))))</f>
        <v/>
      </c>
      <c r="K2149" s="71" t="str">
        <f>IF(AND(fiche_sel&lt;&gt;"",A2149=fiche_sel),COUNTIF(A$6:A2149,fiche_sel),"")</f>
        <v/>
      </c>
    </row>
    <row r="2150">
      <c r="A2150" s="60" t="n"/>
      <c r="B2150" s="60" t="n"/>
      <c r="C2150" s="71" t="str">
        <f>IF(B2150="","",IFERROR(INDEX(mat_des,MATCH(B2150,mat_ref,0))&amp;"","Matière inconnue"))</f>
        <v/>
      </c>
      <c r="D2150" s="69" t="str">
        <f>IF(B2150="","",IFERROR(INDEX(mat_unit,MATCH(B2150,mat_ref,0))&amp;"",""))</f>
        <v/>
      </c>
      <c r="E2150" s="72" t="n"/>
      <c r="F2150" s="65" t="n"/>
      <c r="G2150" s="68" t="str">
        <f>IF(J2150&lt;&gt;"OK","",IF(F2150="",N(INDEX(mat_loss,MATCH(B2150,mat_ref,0))),F2150))</f>
        <v/>
      </c>
      <c r="H2150" s="66" t="str">
        <f>IF(J2150&lt;&gt;"OK","",INDEX(mat_price,MATCH(B2150,mat_ref,0)))</f>
        <v/>
      </c>
      <c r="I2150" s="66" t="str">
        <f>IF(J2150&lt;&gt;"OK","",E2150*(1+G2150)*H2150)</f>
        <v/>
      </c>
      <c r="J2150" s="69" t="str">
        <f>IF(AND(A2150="",B2150=""),"",IF(A2150="","Produit manquant",IF(COUNTIF(prod_ref,A2150)=0,"Produit inconnu",IF(B2150="","Matière manquante",IF(ISNA(MATCH(B2150,mat_ref,0)),"Matière inconnue",IF(INDEX(mat_check,MATCH(B2150,mat_ref,0))&lt;&gt;"OK","Matière à corriger",IF(OR(NOT(ISNUMBER(E2150)),N(E2150)&lt;=0),"Quantité invalide",IF(AND(F2150&lt;&gt;"",OR(NOT(ISNUMBER(F2150)),N(F2150)&lt;0,N(F2150)&gt;=1)),"Perte entre 0 et 99 %",IF(COUNTIFS(bom_prod,A2150,bom_mat,B2150)&gt;1,"Matière en double","OK")))))))))</f>
        <v/>
      </c>
      <c r="K2150" s="71" t="str">
        <f>IF(AND(fiche_sel&lt;&gt;"",A2150=fiche_sel),COUNTIF(A$6:A2150,fiche_sel),"")</f>
        <v/>
      </c>
    </row>
    <row r="2151">
      <c r="A2151" s="60" t="n"/>
      <c r="B2151" s="60" t="n"/>
      <c r="C2151" s="71" t="str">
        <f>IF(B2151="","",IFERROR(INDEX(mat_des,MATCH(B2151,mat_ref,0))&amp;"","Matière inconnue"))</f>
        <v/>
      </c>
      <c r="D2151" s="69" t="str">
        <f>IF(B2151="","",IFERROR(INDEX(mat_unit,MATCH(B2151,mat_ref,0))&amp;"",""))</f>
        <v/>
      </c>
      <c r="E2151" s="72" t="n"/>
      <c r="F2151" s="65" t="n"/>
      <c r="G2151" s="68" t="str">
        <f>IF(J2151&lt;&gt;"OK","",IF(F2151="",N(INDEX(mat_loss,MATCH(B2151,mat_ref,0))),F2151))</f>
        <v/>
      </c>
      <c r="H2151" s="66" t="str">
        <f>IF(J2151&lt;&gt;"OK","",INDEX(mat_price,MATCH(B2151,mat_ref,0)))</f>
        <v/>
      </c>
      <c r="I2151" s="66" t="str">
        <f>IF(J2151&lt;&gt;"OK","",E2151*(1+G2151)*H2151)</f>
        <v/>
      </c>
      <c r="J2151" s="69" t="str">
        <f>IF(AND(A2151="",B2151=""),"",IF(A2151="","Produit manquant",IF(COUNTIF(prod_ref,A2151)=0,"Produit inconnu",IF(B2151="","Matière manquante",IF(ISNA(MATCH(B2151,mat_ref,0)),"Matière inconnue",IF(INDEX(mat_check,MATCH(B2151,mat_ref,0))&lt;&gt;"OK","Matière à corriger",IF(OR(NOT(ISNUMBER(E2151)),N(E2151)&lt;=0),"Quantité invalide",IF(AND(F2151&lt;&gt;"",OR(NOT(ISNUMBER(F2151)),N(F2151)&lt;0,N(F2151)&gt;=1)),"Perte entre 0 et 99 %",IF(COUNTIFS(bom_prod,A2151,bom_mat,B2151)&gt;1,"Matière en double","OK")))))))))</f>
        <v/>
      </c>
      <c r="K2151" s="71" t="str">
        <f>IF(AND(fiche_sel&lt;&gt;"",A2151=fiche_sel),COUNTIF(A$6:A2151,fiche_sel),"")</f>
        <v/>
      </c>
    </row>
    <row r="2152">
      <c r="A2152" s="60" t="n"/>
      <c r="B2152" s="60" t="n"/>
      <c r="C2152" s="71" t="str">
        <f>IF(B2152="","",IFERROR(INDEX(mat_des,MATCH(B2152,mat_ref,0))&amp;"","Matière inconnue"))</f>
        <v/>
      </c>
      <c r="D2152" s="69" t="str">
        <f>IF(B2152="","",IFERROR(INDEX(mat_unit,MATCH(B2152,mat_ref,0))&amp;"",""))</f>
        <v/>
      </c>
      <c r="E2152" s="72" t="n"/>
      <c r="F2152" s="65" t="n"/>
      <c r="G2152" s="68" t="str">
        <f>IF(J2152&lt;&gt;"OK","",IF(F2152="",N(INDEX(mat_loss,MATCH(B2152,mat_ref,0))),F2152))</f>
        <v/>
      </c>
      <c r="H2152" s="66" t="str">
        <f>IF(J2152&lt;&gt;"OK","",INDEX(mat_price,MATCH(B2152,mat_ref,0)))</f>
        <v/>
      </c>
      <c r="I2152" s="66" t="str">
        <f>IF(J2152&lt;&gt;"OK","",E2152*(1+G2152)*H2152)</f>
        <v/>
      </c>
      <c r="J2152" s="69" t="str">
        <f>IF(AND(A2152="",B2152=""),"",IF(A2152="","Produit manquant",IF(COUNTIF(prod_ref,A2152)=0,"Produit inconnu",IF(B2152="","Matière manquante",IF(ISNA(MATCH(B2152,mat_ref,0)),"Matière inconnue",IF(INDEX(mat_check,MATCH(B2152,mat_ref,0))&lt;&gt;"OK","Matière à corriger",IF(OR(NOT(ISNUMBER(E2152)),N(E2152)&lt;=0),"Quantité invalide",IF(AND(F2152&lt;&gt;"",OR(NOT(ISNUMBER(F2152)),N(F2152)&lt;0,N(F2152)&gt;=1)),"Perte entre 0 et 99 %",IF(COUNTIFS(bom_prod,A2152,bom_mat,B2152)&gt;1,"Matière en double","OK")))))))))</f>
        <v/>
      </c>
      <c r="K2152" s="71" t="str">
        <f>IF(AND(fiche_sel&lt;&gt;"",A2152=fiche_sel),COUNTIF(A$6:A2152,fiche_sel),"")</f>
        <v/>
      </c>
    </row>
    <row r="2153">
      <c r="A2153" s="60" t="n"/>
      <c r="B2153" s="60" t="n"/>
      <c r="C2153" s="71" t="str">
        <f>IF(B2153="","",IFERROR(INDEX(mat_des,MATCH(B2153,mat_ref,0))&amp;"","Matière inconnue"))</f>
        <v/>
      </c>
      <c r="D2153" s="69" t="str">
        <f>IF(B2153="","",IFERROR(INDEX(mat_unit,MATCH(B2153,mat_ref,0))&amp;"",""))</f>
        <v/>
      </c>
      <c r="E2153" s="72" t="n"/>
      <c r="F2153" s="65" t="n"/>
      <c r="G2153" s="68" t="str">
        <f>IF(J2153&lt;&gt;"OK","",IF(F2153="",N(INDEX(mat_loss,MATCH(B2153,mat_ref,0))),F2153))</f>
        <v/>
      </c>
      <c r="H2153" s="66" t="str">
        <f>IF(J2153&lt;&gt;"OK","",INDEX(mat_price,MATCH(B2153,mat_ref,0)))</f>
        <v/>
      </c>
      <c r="I2153" s="66" t="str">
        <f>IF(J2153&lt;&gt;"OK","",E2153*(1+G2153)*H2153)</f>
        <v/>
      </c>
      <c r="J2153" s="69" t="str">
        <f>IF(AND(A2153="",B2153=""),"",IF(A2153="","Produit manquant",IF(COUNTIF(prod_ref,A2153)=0,"Produit inconnu",IF(B2153="","Matière manquante",IF(ISNA(MATCH(B2153,mat_ref,0)),"Matière inconnue",IF(INDEX(mat_check,MATCH(B2153,mat_ref,0))&lt;&gt;"OK","Matière à corriger",IF(OR(NOT(ISNUMBER(E2153)),N(E2153)&lt;=0),"Quantité invalide",IF(AND(F2153&lt;&gt;"",OR(NOT(ISNUMBER(F2153)),N(F2153)&lt;0,N(F2153)&gt;=1)),"Perte entre 0 et 99 %",IF(COUNTIFS(bom_prod,A2153,bom_mat,B2153)&gt;1,"Matière en double","OK")))))))))</f>
        <v/>
      </c>
      <c r="K2153" s="71" t="str">
        <f>IF(AND(fiche_sel&lt;&gt;"",A2153=fiche_sel),COUNTIF(A$6:A2153,fiche_sel),"")</f>
        <v/>
      </c>
    </row>
    <row r="2154">
      <c r="A2154" s="60" t="n"/>
      <c r="B2154" s="60" t="n"/>
      <c r="C2154" s="71" t="str">
        <f>IF(B2154="","",IFERROR(INDEX(mat_des,MATCH(B2154,mat_ref,0))&amp;"","Matière inconnue"))</f>
        <v/>
      </c>
      <c r="D2154" s="69" t="str">
        <f>IF(B2154="","",IFERROR(INDEX(mat_unit,MATCH(B2154,mat_ref,0))&amp;"",""))</f>
        <v/>
      </c>
      <c r="E2154" s="72" t="n"/>
      <c r="F2154" s="65" t="n"/>
      <c r="G2154" s="68" t="str">
        <f>IF(J2154&lt;&gt;"OK","",IF(F2154="",N(INDEX(mat_loss,MATCH(B2154,mat_ref,0))),F2154))</f>
        <v/>
      </c>
      <c r="H2154" s="66" t="str">
        <f>IF(J2154&lt;&gt;"OK","",INDEX(mat_price,MATCH(B2154,mat_ref,0)))</f>
        <v/>
      </c>
      <c r="I2154" s="66" t="str">
        <f>IF(J2154&lt;&gt;"OK","",E2154*(1+G2154)*H2154)</f>
        <v/>
      </c>
      <c r="J2154" s="69" t="str">
        <f>IF(AND(A2154="",B2154=""),"",IF(A2154="","Produit manquant",IF(COUNTIF(prod_ref,A2154)=0,"Produit inconnu",IF(B2154="","Matière manquante",IF(ISNA(MATCH(B2154,mat_ref,0)),"Matière inconnue",IF(INDEX(mat_check,MATCH(B2154,mat_ref,0))&lt;&gt;"OK","Matière à corriger",IF(OR(NOT(ISNUMBER(E2154)),N(E2154)&lt;=0),"Quantité invalide",IF(AND(F2154&lt;&gt;"",OR(NOT(ISNUMBER(F2154)),N(F2154)&lt;0,N(F2154)&gt;=1)),"Perte entre 0 et 99 %",IF(COUNTIFS(bom_prod,A2154,bom_mat,B2154)&gt;1,"Matière en double","OK")))))))))</f>
        <v/>
      </c>
      <c r="K2154" s="71" t="str">
        <f>IF(AND(fiche_sel&lt;&gt;"",A2154=fiche_sel),COUNTIF(A$6:A2154,fiche_sel),"")</f>
        <v/>
      </c>
    </row>
    <row r="2155">
      <c r="A2155" s="60" t="n"/>
      <c r="B2155" s="60" t="n"/>
      <c r="C2155" s="71" t="str">
        <f>IF(B2155="","",IFERROR(INDEX(mat_des,MATCH(B2155,mat_ref,0))&amp;"","Matière inconnue"))</f>
        <v/>
      </c>
      <c r="D2155" s="69" t="str">
        <f>IF(B2155="","",IFERROR(INDEX(mat_unit,MATCH(B2155,mat_ref,0))&amp;"",""))</f>
        <v/>
      </c>
      <c r="E2155" s="72" t="n"/>
      <c r="F2155" s="65" t="n"/>
      <c r="G2155" s="68" t="str">
        <f>IF(J2155&lt;&gt;"OK","",IF(F2155="",N(INDEX(mat_loss,MATCH(B2155,mat_ref,0))),F2155))</f>
        <v/>
      </c>
      <c r="H2155" s="66" t="str">
        <f>IF(J2155&lt;&gt;"OK","",INDEX(mat_price,MATCH(B2155,mat_ref,0)))</f>
        <v/>
      </c>
      <c r="I2155" s="66" t="str">
        <f>IF(J2155&lt;&gt;"OK","",E2155*(1+G2155)*H2155)</f>
        <v/>
      </c>
      <c r="J2155" s="69" t="str">
        <f>IF(AND(A2155="",B2155=""),"",IF(A2155="","Produit manquant",IF(COUNTIF(prod_ref,A2155)=0,"Produit inconnu",IF(B2155="","Matière manquante",IF(ISNA(MATCH(B2155,mat_ref,0)),"Matière inconnue",IF(INDEX(mat_check,MATCH(B2155,mat_ref,0))&lt;&gt;"OK","Matière à corriger",IF(OR(NOT(ISNUMBER(E2155)),N(E2155)&lt;=0),"Quantité invalide",IF(AND(F2155&lt;&gt;"",OR(NOT(ISNUMBER(F2155)),N(F2155)&lt;0,N(F2155)&gt;=1)),"Perte entre 0 et 99 %",IF(COUNTIFS(bom_prod,A2155,bom_mat,B2155)&gt;1,"Matière en double","OK")))))))))</f>
        <v/>
      </c>
      <c r="K2155" s="71" t="str">
        <f>IF(AND(fiche_sel&lt;&gt;"",A2155=fiche_sel),COUNTIF(A$6:A2155,fiche_sel),"")</f>
        <v/>
      </c>
    </row>
    <row r="2156">
      <c r="A2156" s="60" t="n"/>
      <c r="B2156" s="60" t="n"/>
      <c r="C2156" s="71" t="str">
        <f>IF(B2156="","",IFERROR(INDEX(mat_des,MATCH(B2156,mat_ref,0))&amp;"","Matière inconnue"))</f>
        <v/>
      </c>
      <c r="D2156" s="69" t="str">
        <f>IF(B2156="","",IFERROR(INDEX(mat_unit,MATCH(B2156,mat_ref,0))&amp;"",""))</f>
        <v/>
      </c>
      <c r="E2156" s="72" t="n"/>
      <c r="F2156" s="65" t="n"/>
      <c r="G2156" s="68" t="str">
        <f>IF(J2156&lt;&gt;"OK","",IF(F2156="",N(INDEX(mat_loss,MATCH(B2156,mat_ref,0))),F2156))</f>
        <v/>
      </c>
      <c r="H2156" s="66" t="str">
        <f>IF(J2156&lt;&gt;"OK","",INDEX(mat_price,MATCH(B2156,mat_ref,0)))</f>
        <v/>
      </c>
      <c r="I2156" s="66" t="str">
        <f>IF(J2156&lt;&gt;"OK","",E2156*(1+G2156)*H2156)</f>
        <v/>
      </c>
      <c r="J2156" s="69" t="str">
        <f>IF(AND(A2156="",B2156=""),"",IF(A2156="","Produit manquant",IF(COUNTIF(prod_ref,A2156)=0,"Produit inconnu",IF(B2156="","Matière manquante",IF(ISNA(MATCH(B2156,mat_ref,0)),"Matière inconnue",IF(INDEX(mat_check,MATCH(B2156,mat_ref,0))&lt;&gt;"OK","Matière à corriger",IF(OR(NOT(ISNUMBER(E2156)),N(E2156)&lt;=0),"Quantité invalide",IF(AND(F2156&lt;&gt;"",OR(NOT(ISNUMBER(F2156)),N(F2156)&lt;0,N(F2156)&gt;=1)),"Perte entre 0 et 99 %",IF(COUNTIFS(bom_prod,A2156,bom_mat,B2156)&gt;1,"Matière en double","OK")))))))))</f>
        <v/>
      </c>
      <c r="K2156" s="71" t="str">
        <f>IF(AND(fiche_sel&lt;&gt;"",A2156=fiche_sel),COUNTIF(A$6:A2156,fiche_sel),"")</f>
        <v/>
      </c>
    </row>
    <row r="2157">
      <c r="A2157" s="60" t="n"/>
      <c r="B2157" s="60" t="n"/>
      <c r="C2157" s="71" t="str">
        <f>IF(B2157="","",IFERROR(INDEX(mat_des,MATCH(B2157,mat_ref,0))&amp;"","Matière inconnue"))</f>
        <v/>
      </c>
      <c r="D2157" s="69" t="str">
        <f>IF(B2157="","",IFERROR(INDEX(mat_unit,MATCH(B2157,mat_ref,0))&amp;"",""))</f>
        <v/>
      </c>
      <c r="E2157" s="72" t="n"/>
      <c r="F2157" s="65" t="n"/>
      <c r="G2157" s="68" t="str">
        <f>IF(J2157&lt;&gt;"OK","",IF(F2157="",N(INDEX(mat_loss,MATCH(B2157,mat_ref,0))),F2157))</f>
        <v/>
      </c>
      <c r="H2157" s="66" t="str">
        <f>IF(J2157&lt;&gt;"OK","",INDEX(mat_price,MATCH(B2157,mat_ref,0)))</f>
        <v/>
      </c>
      <c r="I2157" s="66" t="str">
        <f>IF(J2157&lt;&gt;"OK","",E2157*(1+G2157)*H2157)</f>
        <v/>
      </c>
      <c r="J2157" s="69" t="str">
        <f>IF(AND(A2157="",B2157=""),"",IF(A2157="","Produit manquant",IF(COUNTIF(prod_ref,A2157)=0,"Produit inconnu",IF(B2157="","Matière manquante",IF(ISNA(MATCH(B2157,mat_ref,0)),"Matière inconnue",IF(INDEX(mat_check,MATCH(B2157,mat_ref,0))&lt;&gt;"OK","Matière à corriger",IF(OR(NOT(ISNUMBER(E2157)),N(E2157)&lt;=0),"Quantité invalide",IF(AND(F2157&lt;&gt;"",OR(NOT(ISNUMBER(F2157)),N(F2157)&lt;0,N(F2157)&gt;=1)),"Perte entre 0 et 99 %",IF(COUNTIFS(bom_prod,A2157,bom_mat,B2157)&gt;1,"Matière en double","OK")))))))))</f>
        <v/>
      </c>
      <c r="K2157" s="71" t="str">
        <f>IF(AND(fiche_sel&lt;&gt;"",A2157=fiche_sel),COUNTIF(A$6:A2157,fiche_sel),"")</f>
        <v/>
      </c>
    </row>
    <row r="2158">
      <c r="A2158" s="60" t="n"/>
      <c r="B2158" s="60" t="n"/>
      <c r="C2158" s="71" t="str">
        <f>IF(B2158="","",IFERROR(INDEX(mat_des,MATCH(B2158,mat_ref,0))&amp;"","Matière inconnue"))</f>
        <v/>
      </c>
      <c r="D2158" s="69" t="str">
        <f>IF(B2158="","",IFERROR(INDEX(mat_unit,MATCH(B2158,mat_ref,0))&amp;"",""))</f>
        <v/>
      </c>
      <c r="E2158" s="72" t="n"/>
      <c r="F2158" s="65" t="n"/>
      <c r="G2158" s="68" t="str">
        <f>IF(J2158&lt;&gt;"OK","",IF(F2158="",N(INDEX(mat_loss,MATCH(B2158,mat_ref,0))),F2158))</f>
        <v/>
      </c>
      <c r="H2158" s="66" t="str">
        <f>IF(J2158&lt;&gt;"OK","",INDEX(mat_price,MATCH(B2158,mat_ref,0)))</f>
        <v/>
      </c>
      <c r="I2158" s="66" t="str">
        <f>IF(J2158&lt;&gt;"OK","",E2158*(1+G2158)*H2158)</f>
        <v/>
      </c>
      <c r="J2158" s="69" t="str">
        <f>IF(AND(A2158="",B2158=""),"",IF(A2158="","Produit manquant",IF(COUNTIF(prod_ref,A2158)=0,"Produit inconnu",IF(B2158="","Matière manquante",IF(ISNA(MATCH(B2158,mat_ref,0)),"Matière inconnue",IF(INDEX(mat_check,MATCH(B2158,mat_ref,0))&lt;&gt;"OK","Matière à corriger",IF(OR(NOT(ISNUMBER(E2158)),N(E2158)&lt;=0),"Quantité invalide",IF(AND(F2158&lt;&gt;"",OR(NOT(ISNUMBER(F2158)),N(F2158)&lt;0,N(F2158)&gt;=1)),"Perte entre 0 et 99 %",IF(COUNTIFS(bom_prod,A2158,bom_mat,B2158)&gt;1,"Matière en double","OK")))))))))</f>
        <v/>
      </c>
      <c r="K2158" s="71" t="str">
        <f>IF(AND(fiche_sel&lt;&gt;"",A2158=fiche_sel),COUNTIF(A$6:A2158,fiche_sel),"")</f>
        <v/>
      </c>
    </row>
    <row r="2159">
      <c r="A2159" s="60" t="n"/>
      <c r="B2159" s="60" t="n"/>
      <c r="C2159" s="71" t="str">
        <f>IF(B2159="","",IFERROR(INDEX(mat_des,MATCH(B2159,mat_ref,0))&amp;"","Matière inconnue"))</f>
        <v/>
      </c>
      <c r="D2159" s="69" t="str">
        <f>IF(B2159="","",IFERROR(INDEX(mat_unit,MATCH(B2159,mat_ref,0))&amp;"",""))</f>
        <v/>
      </c>
      <c r="E2159" s="72" t="n"/>
      <c r="F2159" s="65" t="n"/>
      <c r="G2159" s="68" t="str">
        <f>IF(J2159&lt;&gt;"OK","",IF(F2159="",N(INDEX(mat_loss,MATCH(B2159,mat_ref,0))),F2159))</f>
        <v/>
      </c>
      <c r="H2159" s="66" t="str">
        <f>IF(J2159&lt;&gt;"OK","",INDEX(mat_price,MATCH(B2159,mat_ref,0)))</f>
        <v/>
      </c>
      <c r="I2159" s="66" t="str">
        <f>IF(J2159&lt;&gt;"OK","",E2159*(1+G2159)*H2159)</f>
        <v/>
      </c>
      <c r="J2159" s="69" t="str">
        <f>IF(AND(A2159="",B2159=""),"",IF(A2159="","Produit manquant",IF(COUNTIF(prod_ref,A2159)=0,"Produit inconnu",IF(B2159="","Matière manquante",IF(ISNA(MATCH(B2159,mat_ref,0)),"Matière inconnue",IF(INDEX(mat_check,MATCH(B2159,mat_ref,0))&lt;&gt;"OK","Matière à corriger",IF(OR(NOT(ISNUMBER(E2159)),N(E2159)&lt;=0),"Quantité invalide",IF(AND(F2159&lt;&gt;"",OR(NOT(ISNUMBER(F2159)),N(F2159)&lt;0,N(F2159)&gt;=1)),"Perte entre 0 et 99 %",IF(COUNTIFS(bom_prod,A2159,bom_mat,B2159)&gt;1,"Matière en double","OK")))))))))</f>
        <v/>
      </c>
      <c r="K2159" s="71" t="str">
        <f>IF(AND(fiche_sel&lt;&gt;"",A2159=fiche_sel),COUNTIF(A$6:A2159,fiche_sel),"")</f>
        <v/>
      </c>
    </row>
    <row r="2160">
      <c r="A2160" s="60" t="n"/>
      <c r="B2160" s="60" t="n"/>
      <c r="C2160" s="71" t="str">
        <f>IF(B2160="","",IFERROR(INDEX(mat_des,MATCH(B2160,mat_ref,0))&amp;"","Matière inconnue"))</f>
        <v/>
      </c>
      <c r="D2160" s="69" t="str">
        <f>IF(B2160="","",IFERROR(INDEX(mat_unit,MATCH(B2160,mat_ref,0))&amp;"",""))</f>
        <v/>
      </c>
      <c r="E2160" s="72" t="n"/>
      <c r="F2160" s="65" t="n"/>
      <c r="G2160" s="68" t="str">
        <f>IF(J2160&lt;&gt;"OK","",IF(F2160="",N(INDEX(mat_loss,MATCH(B2160,mat_ref,0))),F2160))</f>
        <v/>
      </c>
      <c r="H2160" s="66" t="str">
        <f>IF(J2160&lt;&gt;"OK","",INDEX(mat_price,MATCH(B2160,mat_ref,0)))</f>
        <v/>
      </c>
      <c r="I2160" s="66" t="str">
        <f>IF(J2160&lt;&gt;"OK","",E2160*(1+G2160)*H2160)</f>
        <v/>
      </c>
      <c r="J2160" s="69" t="str">
        <f>IF(AND(A2160="",B2160=""),"",IF(A2160="","Produit manquant",IF(COUNTIF(prod_ref,A2160)=0,"Produit inconnu",IF(B2160="","Matière manquante",IF(ISNA(MATCH(B2160,mat_ref,0)),"Matière inconnue",IF(INDEX(mat_check,MATCH(B2160,mat_ref,0))&lt;&gt;"OK","Matière à corriger",IF(OR(NOT(ISNUMBER(E2160)),N(E2160)&lt;=0),"Quantité invalide",IF(AND(F2160&lt;&gt;"",OR(NOT(ISNUMBER(F2160)),N(F2160)&lt;0,N(F2160)&gt;=1)),"Perte entre 0 et 99 %",IF(COUNTIFS(bom_prod,A2160,bom_mat,B2160)&gt;1,"Matière en double","OK")))))))))</f>
        <v/>
      </c>
      <c r="K2160" s="71" t="str">
        <f>IF(AND(fiche_sel&lt;&gt;"",A2160=fiche_sel),COUNTIF(A$6:A2160,fiche_sel),"")</f>
        <v/>
      </c>
    </row>
    <row r="2161">
      <c r="A2161" s="60" t="n"/>
      <c r="B2161" s="60" t="n"/>
      <c r="C2161" s="71" t="str">
        <f>IF(B2161="","",IFERROR(INDEX(mat_des,MATCH(B2161,mat_ref,0))&amp;"","Matière inconnue"))</f>
        <v/>
      </c>
      <c r="D2161" s="69" t="str">
        <f>IF(B2161="","",IFERROR(INDEX(mat_unit,MATCH(B2161,mat_ref,0))&amp;"",""))</f>
        <v/>
      </c>
      <c r="E2161" s="72" t="n"/>
      <c r="F2161" s="65" t="n"/>
      <c r="G2161" s="68" t="str">
        <f>IF(J2161&lt;&gt;"OK","",IF(F2161="",N(INDEX(mat_loss,MATCH(B2161,mat_ref,0))),F2161))</f>
        <v/>
      </c>
      <c r="H2161" s="66" t="str">
        <f>IF(J2161&lt;&gt;"OK","",INDEX(mat_price,MATCH(B2161,mat_ref,0)))</f>
        <v/>
      </c>
      <c r="I2161" s="66" t="str">
        <f>IF(J2161&lt;&gt;"OK","",E2161*(1+G2161)*H2161)</f>
        <v/>
      </c>
      <c r="J2161" s="69" t="str">
        <f>IF(AND(A2161="",B2161=""),"",IF(A2161="","Produit manquant",IF(COUNTIF(prod_ref,A2161)=0,"Produit inconnu",IF(B2161="","Matière manquante",IF(ISNA(MATCH(B2161,mat_ref,0)),"Matière inconnue",IF(INDEX(mat_check,MATCH(B2161,mat_ref,0))&lt;&gt;"OK","Matière à corriger",IF(OR(NOT(ISNUMBER(E2161)),N(E2161)&lt;=0),"Quantité invalide",IF(AND(F2161&lt;&gt;"",OR(NOT(ISNUMBER(F2161)),N(F2161)&lt;0,N(F2161)&gt;=1)),"Perte entre 0 et 99 %",IF(COUNTIFS(bom_prod,A2161,bom_mat,B2161)&gt;1,"Matière en double","OK")))))))))</f>
        <v/>
      </c>
      <c r="K2161" s="71" t="str">
        <f>IF(AND(fiche_sel&lt;&gt;"",A2161=fiche_sel),COUNTIF(A$6:A2161,fiche_sel),"")</f>
        <v/>
      </c>
    </row>
    <row r="2162">
      <c r="A2162" s="60" t="n"/>
      <c r="B2162" s="60" t="n"/>
      <c r="C2162" s="71" t="str">
        <f>IF(B2162="","",IFERROR(INDEX(mat_des,MATCH(B2162,mat_ref,0))&amp;"","Matière inconnue"))</f>
        <v/>
      </c>
      <c r="D2162" s="69" t="str">
        <f>IF(B2162="","",IFERROR(INDEX(mat_unit,MATCH(B2162,mat_ref,0))&amp;"",""))</f>
        <v/>
      </c>
      <c r="E2162" s="72" t="n"/>
      <c r="F2162" s="65" t="n"/>
      <c r="G2162" s="68" t="str">
        <f>IF(J2162&lt;&gt;"OK","",IF(F2162="",N(INDEX(mat_loss,MATCH(B2162,mat_ref,0))),F2162))</f>
        <v/>
      </c>
      <c r="H2162" s="66" t="str">
        <f>IF(J2162&lt;&gt;"OK","",INDEX(mat_price,MATCH(B2162,mat_ref,0)))</f>
        <v/>
      </c>
      <c r="I2162" s="66" t="str">
        <f>IF(J2162&lt;&gt;"OK","",E2162*(1+G2162)*H2162)</f>
        <v/>
      </c>
      <c r="J2162" s="69" t="str">
        <f>IF(AND(A2162="",B2162=""),"",IF(A2162="","Produit manquant",IF(COUNTIF(prod_ref,A2162)=0,"Produit inconnu",IF(B2162="","Matière manquante",IF(ISNA(MATCH(B2162,mat_ref,0)),"Matière inconnue",IF(INDEX(mat_check,MATCH(B2162,mat_ref,0))&lt;&gt;"OK","Matière à corriger",IF(OR(NOT(ISNUMBER(E2162)),N(E2162)&lt;=0),"Quantité invalide",IF(AND(F2162&lt;&gt;"",OR(NOT(ISNUMBER(F2162)),N(F2162)&lt;0,N(F2162)&gt;=1)),"Perte entre 0 et 99 %",IF(COUNTIFS(bom_prod,A2162,bom_mat,B2162)&gt;1,"Matière en double","OK")))))))))</f>
        <v/>
      </c>
      <c r="K2162" s="71" t="str">
        <f>IF(AND(fiche_sel&lt;&gt;"",A2162=fiche_sel),COUNTIF(A$6:A2162,fiche_sel),"")</f>
        <v/>
      </c>
    </row>
    <row r="2163">
      <c r="A2163" s="60" t="n"/>
      <c r="B2163" s="60" t="n"/>
      <c r="C2163" s="71" t="str">
        <f>IF(B2163="","",IFERROR(INDEX(mat_des,MATCH(B2163,mat_ref,0))&amp;"","Matière inconnue"))</f>
        <v/>
      </c>
      <c r="D2163" s="69" t="str">
        <f>IF(B2163="","",IFERROR(INDEX(mat_unit,MATCH(B2163,mat_ref,0))&amp;"",""))</f>
        <v/>
      </c>
      <c r="E2163" s="72" t="n"/>
      <c r="F2163" s="65" t="n"/>
      <c r="G2163" s="68" t="str">
        <f>IF(J2163&lt;&gt;"OK","",IF(F2163="",N(INDEX(mat_loss,MATCH(B2163,mat_ref,0))),F2163))</f>
        <v/>
      </c>
      <c r="H2163" s="66" t="str">
        <f>IF(J2163&lt;&gt;"OK","",INDEX(mat_price,MATCH(B2163,mat_ref,0)))</f>
        <v/>
      </c>
      <c r="I2163" s="66" t="str">
        <f>IF(J2163&lt;&gt;"OK","",E2163*(1+G2163)*H2163)</f>
        <v/>
      </c>
      <c r="J2163" s="69" t="str">
        <f>IF(AND(A2163="",B2163=""),"",IF(A2163="","Produit manquant",IF(COUNTIF(prod_ref,A2163)=0,"Produit inconnu",IF(B2163="","Matière manquante",IF(ISNA(MATCH(B2163,mat_ref,0)),"Matière inconnue",IF(INDEX(mat_check,MATCH(B2163,mat_ref,0))&lt;&gt;"OK","Matière à corriger",IF(OR(NOT(ISNUMBER(E2163)),N(E2163)&lt;=0),"Quantité invalide",IF(AND(F2163&lt;&gt;"",OR(NOT(ISNUMBER(F2163)),N(F2163)&lt;0,N(F2163)&gt;=1)),"Perte entre 0 et 99 %",IF(COUNTIFS(bom_prod,A2163,bom_mat,B2163)&gt;1,"Matière en double","OK")))))))))</f>
        <v/>
      </c>
      <c r="K2163" s="71" t="str">
        <f>IF(AND(fiche_sel&lt;&gt;"",A2163=fiche_sel),COUNTIF(A$6:A2163,fiche_sel),"")</f>
        <v/>
      </c>
    </row>
    <row r="2164">
      <c r="A2164" s="60" t="n"/>
      <c r="B2164" s="60" t="n"/>
      <c r="C2164" s="71" t="str">
        <f>IF(B2164="","",IFERROR(INDEX(mat_des,MATCH(B2164,mat_ref,0))&amp;"","Matière inconnue"))</f>
        <v/>
      </c>
      <c r="D2164" s="69" t="str">
        <f>IF(B2164="","",IFERROR(INDEX(mat_unit,MATCH(B2164,mat_ref,0))&amp;"",""))</f>
        <v/>
      </c>
      <c r="E2164" s="72" t="n"/>
      <c r="F2164" s="65" t="n"/>
      <c r="G2164" s="68" t="str">
        <f>IF(J2164&lt;&gt;"OK","",IF(F2164="",N(INDEX(mat_loss,MATCH(B2164,mat_ref,0))),F2164))</f>
        <v/>
      </c>
      <c r="H2164" s="66" t="str">
        <f>IF(J2164&lt;&gt;"OK","",INDEX(mat_price,MATCH(B2164,mat_ref,0)))</f>
        <v/>
      </c>
      <c r="I2164" s="66" t="str">
        <f>IF(J2164&lt;&gt;"OK","",E2164*(1+G2164)*H2164)</f>
        <v/>
      </c>
      <c r="J2164" s="69" t="str">
        <f>IF(AND(A2164="",B2164=""),"",IF(A2164="","Produit manquant",IF(COUNTIF(prod_ref,A2164)=0,"Produit inconnu",IF(B2164="","Matière manquante",IF(ISNA(MATCH(B2164,mat_ref,0)),"Matière inconnue",IF(INDEX(mat_check,MATCH(B2164,mat_ref,0))&lt;&gt;"OK","Matière à corriger",IF(OR(NOT(ISNUMBER(E2164)),N(E2164)&lt;=0),"Quantité invalide",IF(AND(F2164&lt;&gt;"",OR(NOT(ISNUMBER(F2164)),N(F2164)&lt;0,N(F2164)&gt;=1)),"Perte entre 0 et 99 %",IF(COUNTIFS(bom_prod,A2164,bom_mat,B2164)&gt;1,"Matière en double","OK")))))))))</f>
        <v/>
      </c>
      <c r="K2164" s="71" t="str">
        <f>IF(AND(fiche_sel&lt;&gt;"",A2164=fiche_sel),COUNTIF(A$6:A2164,fiche_sel),"")</f>
        <v/>
      </c>
    </row>
    <row r="2165">
      <c r="A2165" s="60" t="n"/>
      <c r="B2165" s="60" t="n"/>
      <c r="C2165" s="71" t="str">
        <f>IF(B2165="","",IFERROR(INDEX(mat_des,MATCH(B2165,mat_ref,0))&amp;"","Matière inconnue"))</f>
        <v/>
      </c>
      <c r="D2165" s="69" t="str">
        <f>IF(B2165="","",IFERROR(INDEX(mat_unit,MATCH(B2165,mat_ref,0))&amp;"",""))</f>
        <v/>
      </c>
      <c r="E2165" s="72" t="n"/>
      <c r="F2165" s="65" t="n"/>
      <c r="G2165" s="68" t="str">
        <f>IF(J2165&lt;&gt;"OK","",IF(F2165="",N(INDEX(mat_loss,MATCH(B2165,mat_ref,0))),F2165))</f>
        <v/>
      </c>
      <c r="H2165" s="66" t="str">
        <f>IF(J2165&lt;&gt;"OK","",INDEX(mat_price,MATCH(B2165,mat_ref,0)))</f>
        <v/>
      </c>
      <c r="I2165" s="66" t="str">
        <f>IF(J2165&lt;&gt;"OK","",E2165*(1+G2165)*H2165)</f>
        <v/>
      </c>
      <c r="J2165" s="69" t="str">
        <f>IF(AND(A2165="",B2165=""),"",IF(A2165="","Produit manquant",IF(COUNTIF(prod_ref,A2165)=0,"Produit inconnu",IF(B2165="","Matière manquante",IF(ISNA(MATCH(B2165,mat_ref,0)),"Matière inconnue",IF(INDEX(mat_check,MATCH(B2165,mat_ref,0))&lt;&gt;"OK","Matière à corriger",IF(OR(NOT(ISNUMBER(E2165)),N(E2165)&lt;=0),"Quantité invalide",IF(AND(F2165&lt;&gt;"",OR(NOT(ISNUMBER(F2165)),N(F2165)&lt;0,N(F2165)&gt;=1)),"Perte entre 0 et 99 %",IF(COUNTIFS(bom_prod,A2165,bom_mat,B2165)&gt;1,"Matière en double","OK")))))))))</f>
        <v/>
      </c>
      <c r="K2165" s="71" t="str">
        <f>IF(AND(fiche_sel&lt;&gt;"",A2165=fiche_sel),COUNTIF(A$6:A2165,fiche_sel),"")</f>
        <v/>
      </c>
    </row>
    <row r="2166">
      <c r="A2166" s="60" t="n"/>
      <c r="B2166" s="60" t="n"/>
      <c r="C2166" s="71" t="str">
        <f>IF(B2166="","",IFERROR(INDEX(mat_des,MATCH(B2166,mat_ref,0))&amp;"","Matière inconnue"))</f>
        <v/>
      </c>
      <c r="D2166" s="69" t="str">
        <f>IF(B2166="","",IFERROR(INDEX(mat_unit,MATCH(B2166,mat_ref,0))&amp;"",""))</f>
        <v/>
      </c>
      <c r="E2166" s="72" t="n"/>
      <c r="F2166" s="65" t="n"/>
      <c r="G2166" s="68" t="str">
        <f>IF(J2166&lt;&gt;"OK","",IF(F2166="",N(INDEX(mat_loss,MATCH(B2166,mat_ref,0))),F2166))</f>
        <v/>
      </c>
      <c r="H2166" s="66" t="str">
        <f>IF(J2166&lt;&gt;"OK","",INDEX(mat_price,MATCH(B2166,mat_ref,0)))</f>
        <v/>
      </c>
      <c r="I2166" s="66" t="str">
        <f>IF(J2166&lt;&gt;"OK","",E2166*(1+G2166)*H2166)</f>
        <v/>
      </c>
      <c r="J2166" s="69" t="str">
        <f>IF(AND(A2166="",B2166=""),"",IF(A2166="","Produit manquant",IF(COUNTIF(prod_ref,A2166)=0,"Produit inconnu",IF(B2166="","Matière manquante",IF(ISNA(MATCH(B2166,mat_ref,0)),"Matière inconnue",IF(INDEX(mat_check,MATCH(B2166,mat_ref,0))&lt;&gt;"OK","Matière à corriger",IF(OR(NOT(ISNUMBER(E2166)),N(E2166)&lt;=0),"Quantité invalide",IF(AND(F2166&lt;&gt;"",OR(NOT(ISNUMBER(F2166)),N(F2166)&lt;0,N(F2166)&gt;=1)),"Perte entre 0 et 99 %",IF(COUNTIFS(bom_prod,A2166,bom_mat,B2166)&gt;1,"Matière en double","OK")))))))))</f>
        <v/>
      </c>
      <c r="K2166" s="71" t="str">
        <f>IF(AND(fiche_sel&lt;&gt;"",A2166=fiche_sel),COUNTIF(A$6:A2166,fiche_sel),"")</f>
        <v/>
      </c>
    </row>
    <row r="2167">
      <c r="A2167" s="60" t="n"/>
      <c r="B2167" s="60" t="n"/>
      <c r="C2167" s="71" t="str">
        <f>IF(B2167="","",IFERROR(INDEX(mat_des,MATCH(B2167,mat_ref,0))&amp;"","Matière inconnue"))</f>
        <v/>
      </c>
      <c r="D2167" s="69" t="str">
        <f>IF(B2167="","",IFERROR(INDEX(mat_unit,MATCH(B2167,mat_ref,0))&amp;"",""))</f>
        <v/>
      </c>
      <c r="E2167" s="72" t="n"/>
      <c r="F2167" s="65" t="n"/>
      <c r="G2167" s="68" t="str">
        <f>IF(J2167&lt;&gt;"OK","",IF(F2167="",N(INDEX(mat_loss,MATCH(B2167,mat_ref,0))),F2167))</f>
        <v/>
      </c>
      <c r="H2167" s="66" t="str">
        <f>IF(J2167&lt;&gt;"OK","",INDEX(mat_price,MATCH(B2167,mat_ref,0)))</f>
        <v/>
      </c>
      <c r="I2167" s="66" t="str">
        <f>IF(J2167&lt;&gt;"OK","",E2167*(1+G2167)*H2167)</f>
        <v/>
      </c>
      <c r="J2167" s="69" t="str">
        <f>IF(AND(A2167="",B2167=""),"",IF(A2167="","Produit manquant",IF(COUNTIF(prod_ref,A2167)=0,"Produit inconnu",IF(B2167="","Matière manquante",IF(ISNA(MATCH(B2167,mat_ref,0)),"Matière inconnue",IF(INDEX(mat_check,MATCH(B2167,mat_ref,0))&lt;&gt;"OK","Matière à corriger",IF(OR(NOT(ISNUMBER(E2167)),N(E2167)&lt;=0),"Quantité invalide",IF(AND(F2167&lt;&gt;"",OR(NOT(ISNUMBER(F2167)),N(F2167)&lt;0,N(F2167)&gt;=1)),"Perte entre 0 et 99 %",IF(COUNTIFS(bom_prod,A2167,bom_mat,B2167)&gt;1,"Matière en double","OK")))))))))</f>
        <v/>
      </c>
      <c r="K2167" s="71" t="str">
        <f>IF(AND(fiche_sel&lt;&gt;"",A2167=fiche_sel),COUNTIF(A$6:A2167,fiche_sel),"")</f>
        <v/>
      </c>
    </row>
    <row r="2168">
      <c r="A2168" s="60" t="n"/>
      <c r="B2168" s="60" t="n"/>
      <c r="C2168" s="71" t="str">
        <f>IF(B2168="","",IFERROR(INDEX(mat_des,MATCH(B2168,mat_ref,0))&amp;"","Matière inconnue"))</f>
        <v/>
      </c>
      <c r="D2168" s="69" t="str">
        <f>IF(B2168="","",IFERROR(INDEX(mat_unit,MATCH(B2168,mat_ref,0))&amp;"",""))</f>
        <v/>
      </c>
      <c r="E2168" s="72" t="n"/>
      <c r="F2168" s="65" t="n"/>
      <c r="G2168" s="68" t="str">
        <f>IF(J2168&lt;&gt;"OK","",IF(F2168="",N(INDEX(mat_loss,MATCH(B2168,mat_ref,0))),F2168))</f>
        <v/>
      </c>
      <c r="H2168" s="66" t="str">
        <f>IF(J2168&lt;&gt;"OK","",INDEX(mat_price,MATCH(B2168,mat_ref,0)))</f>
        <v/>
      </c>
      <c r="I2168" s="66" t="str">
        <f>IF(J2168&lt;&gt;"OK","",E2168*(1+G2168)*H2168)</f>
        <v/>
      </c>
      <c r="J2168" s="69" t="str">
        <f>IF(AND(A2168="",B2168=""),"",IF(A2168="","Produit manquant",IF(COUNTIF(prod_ref,A2168)=0,"Produit inconnu",IF(B2168="","Matière manquante",IF(ISNA(MATCH(B2168,mat_ref,0)),"Matière inconnue",IF(INDEX(mat_check,MATCH(B2168,mat_ref,0))&lt;&gt;"OK","Matière à corriger",IF(OR(NOT(ISNUMBER(E2168)),N(E2168)&lt;=0),"Quantité invalide",IF(AND(F2168&lt;&gt;"",OR(NOT(ISNUMBER(F2168)),N(F2168)&lt;0,N(F2168)&gt;=1)),"Perte entre 0 et 99 %",IF(COUNTIFS(bom_prod,A2168,bom_mat,B2168)&gt;1,"Matière en double","OK")))))))))</f>
        <v/>
      </c>
      <c r="K2168" s="71" t="str">
        <f>IF(AND(fiche_sel&lt;&gt;"",A2168=fiche_sel),COUNTIF(A$6:A2168,fiche_sel),"")</f>
        <v/>
      </c>
    </row>
    <row r="2169">
      <c r="A2169" s="60" t="n"/>
      <c r="B2169" s="60" t="n"/>
      <c r="C2169" s="71" t="str">
        <f>IF(B2169="","",IFERROR(INDEX(mat_des,MATCH(B2169,mat_ref,0))&amp;"","Matière inconnue"))</f>
        <v/>
      </c>
      <c r="D2169" s="69" t="str">
        <f>IF(B2169="","",IFERROR(INDEX(mat_unit,MATCH(B2169,mat_ref,0))&amp;"",""))</f>
        <v/>
      </c>
      <c r="E2169" s="72" t="n"/>
      <c r="F2169" s="65" t="n"/>
      <c r="G2169" s="68" t="str">
        <f>IF(J2169&lt;&gt;"OK","",IF(F2169="",N(INDEX(mat_loss,MATCH(B2169,mat_ref,0))),F2169))</f>
        <v/>
      </c>
      <c r="H2169" s="66" t="str">
        <f>IF(J2169&lt;&gt;"OK","",INDEX(mat_price,MATCH(B2169,mat_ref,0)))</f>
        <v/>
      </c>
      <c r="I2169" s="66" t="str">
        <f>IF(J2169&lt;&gt;"OK","",E2169*(1+G2169)*H2169)</f>
        <v/>
      </c>
      <c r="J2169" s="69" t="str">
        <f>IF(AND(A2169="",B2169=""),"",IF(A2169="","Produit manquant",IF(COUNTIF(prod_ref,A2169)=0,"Produit inconnu",IF(B2169="","Matière manquante",IF(ISNA(MATCH(B2169,mat_ref,0)),"Matière inconnue",IF(INDEX(mat_check,MATCH(B2169,mat_ref,0))&lt;&gt;"OK","Matière à corriger",IF(OR(NOT(ISNUMBER(E2169)),N(E2169)&lt;=0),"Quantité invalide",IF(AND(F2169&lt;&gt;"",OR(NOT(ISNUMBER(F2169)),N(F2169)&lt;0,N(F2169)&gt;=1)),"Perte entre 0 et 99 %",IF(COUNTIFS(bom_prod,A2169,bom_mat,B2169)&gt;1,"Matière en double","OK")))))))))</f>
        <v/>
      </c>
      <c r="K2169" s="71" t="str">
        <f>IF(AND(fiche_sel&lt;&gt;"",A2169=fiche_sel),COUNTIF(A$6:A2169,fiche_sel),"")</f>
        <v/>
      </c>
    </row>
    <row r="2170">
      <c r="A2170" s="60" t="n"/>
      <c r="B2170" s="60" t="n"/>
      <c r="C2170" s="71" t="str">
        <f>IF(B2170="","",IFERROR(INDEX(mat_des,MATCH(B2170,mat_ref,0))&amp;"","Matière inconnue"))</f>
        <v/>
      </c>
      <c r="D2170" s="69" t="str">
        <f>IF(B2170="","",IFERROR(INDEX(mat_unit,MATCH(B2170,mat_ref,0))&amp;"",""))</f>
        <v/>
      </c>
      <c r="E2170" s="72" t="n"/>
      <c r="F2170" s="65" t="n"/>
      <c r="G2170" s="68" t="str">
        <f>IF(J2170&lt;&gt;"OK","",IF(F2170="",N(INDEX(mat_loss,MATCH(B2170,mat_ref,0))),F2170))</f>
        <v/>
      </c>
      <c r="H2170" s="66" t="str">
        <f>IF(J2170&lt;&gt;"OK","",INDEX(mat_price,MATCH(B2170,mat_ref,0)))</f>
        <v/>
      </c>
      <c r="I2170" s="66" t="str">
        <f>IF(J2170&lt;&gt;"OK","",E2170*(1+G2170)*H2170)</f>
        <v/>
      </c>
      <c r="J2170" s="69" t="str">
        <f>IF(AND(A2170="",B2170=""),"",IF(A2170="","Produit manquant",IF(COUNTIF(prod_ref,A2170)=0,"Produit inconnu",IF(B2170="","Matière manquante",IF(ISNA(MATCH(B2170,mat_ref,0)),"Matière inconnue",IF(INDEX(mat_check,MATCH(B2170,mat_ref,0))&lt;&gt;"OK","Matière à corriger",IF(OR(NOT(ISNUMBER(E2170)),N(E2170)&lt;=0),"Quantité invalide",IF(AND(F2170&lt;&gt;"",OR(NOT(ISNUMBER(F2170)),N(F2170)&lt;0,N(F2170)&gt;=1)),"Perte entre 0 et 99 %",IF(COUNTIFS(bom_prod,A2170,bom_mat,B2170)&gt;1,"Matière en double","OK")))))))))</f>
        <v/>
      </c>
      <c r="K2170" s="71" t="str">
        <f>IF(AND(fiche_sel&lt;&gt;"",A2170=fiche_sel),COUNTIF(A$6:A2170,fiche_sel),"")</f>
        <v/>
      </c>
    </row>
    <row r="2171">
      <c r="A2171" s="60" t="n"/>
      <c r="B2171" s="60" t="n"/>
      <c r="C2171" s="71" t="str">
        <f>IF(B2171="","",IFERROR(INDEX(mat_des,MATCH(B2171,mat_ref,0))&amp;"","Matière inconnue"))</f>
        <v/>
      </c>
      <c r="D2171" s="69" t="str">
        <f>IF(B2171="","",IFERROR(INDEX(mat_unit,MATCH(B2171,mat_ref,0))&amp;"",""))</f>
        <v/>
      </c>
      <c r="E2171" s="72" t="n"/>
      <c r="F2171" s="65" t="n"/>
      <c r="G2171" s="68" t="str">
        <f>IF(J2171&lt;&gt;"OK","",IF(F2171="",N(INDEX(mat_loss,MATCH(B2171,mat_ref,0))),F2171))</f>
        <v/>
      </c>
      <c r="H2171" s="66" t="str">
        <f>IF(J2171&lt;&gt;"OK","",INDEX(mat_price,MATCH(B2171,mat_ref,0)))</f>
        <v/>
      </c>
      <c r="I2171" s="66" t="str">
        <f>IF(J2171&lt;&gt;"OK","",E2171*(1+G2171)*H2171)</f>
        <v/>
      </c>
      <c r="J2171" s="69" t="str">
        <f>IF(AND(A2171="",B2171=""),"",IF(A2171="","Produit manquant",IF(COUNTIF(prod_ref,A2171)=0,"Produit inconnu",IF(B2171="","Matière manquante",IF(ISNA(MATCH(B2171,mat_ref,0)),"Matière inconnue",IF(INDEX(mat_check,MATCH(B2171,mat_ref,0))&lt;&gt;"OK","Matière à corriger",IF(OR(NOT(ISNUMBER(E2171)),N(E2171)&lt;=0),"Quantité invalide",IF(AND(F2171&lt;&gt;"",OR(NOT(ISNUMBER(F2171)),N(F2171)&lt;0,N(F2171)&gt;=1)),"Perte entre 0 et 99 %",IF(COUNTIFS(bom_prod,A2171,bom_mat,B2171)&gt;1,"Matière en double","OK")))))))))</f>
        <v/>
      </c>
      <c r="K2171" s="71" t="str">
        <f>IF(AND(fiche_sel&lt;&gt;"",A2171=fiche_sel),COUNTIF(A$6:A2171,fiche_sel),"")</f>
        <v/>
      </c>
    </row>
    <row r="2172">
      <c r="A2172" s="60" t="n"/>
      <c r="B2172" s="60" t="n"/>
      <c r="C2172" s="71" t="str">
        <f>IF(B2172="","",IFERROR(INDEX(mat_des,MATCH(B2172,mat_ref,0))&amp;"","Matière inconnue"))</f>
        <v/>
      </c>
      <c r="D2172" s="69" t="str">
        <f>IF(B2172="","",IFERROR(INDEX(mat_unit,MATCH(B2172,mat_ref,0))&amp;"",""))</f>
        <v/>
      </c>
      <c r="E2172" s="72" t="n"/>
      <c r="F2172" s="65" t="n"/>
      <c r="G2172" s="68" t="str">
        <f>IF(J2172&lt;&gt;"OK","",IF(F2172="",N(INDEX(mat_loss,MATCH(B2172,mat_ref,0))),F2172))</f>
        <v/>
      </c>
      <c r="H2172" s="66" t="str">
        <f>IF(J2172&lt;&gt;"OK","",INDEX(mat_price,MATCH(B2172,mat_ref,0)))</f>
        <v/>
      </c>
      <c r="I2172" s="66" t="str">
        <f>IF(J2172&lt;&gt;"OK","",E2172*(1+G2172)*H2172)</f>
        <v/>
      </c>
      <c r="J2172" s="69" t="str">
        <f>IF(AND(A2172="",B2172=""),"",IF(A2172="","Produit manquant",IF(COUNTIF(prod_ref,A2172)=0,"Produit inconnu",IF(B2172="","Matière manquante",IF(ISNA(MATCH(B2172,mat_ref,0)),"Matière inconnue",IF(INDEX(mat_check,MATCH(B2172,mat_ref,0))&lt;&gt;"OK","Matière à corriger",IF(OR(NOT(ISNUMBER(E2172)),N(E2172)&lt;=0),"Quantité invalide",IF(AND(F2172&lt;&gt;"",OR(NOT(ISNUMBER(F2172)),N(F2172)&lt;0,N(F2172)&gt;=1)),"Perte entre 0 et 99 %",IF(COUNTIFS(bom_prod,A2172,bom_mat,B2172)&gt;1,"Matière en double","OK")))))))))</f>
        <v/>
      </c>
      <c r="K2172" s="71" t="str">
        <f>IF(AND(fiche_sel&lt;&gt;"",A2172=fiche_sel),COUNTIF(A$6:A2172,fiche_sel),"")</f>
        <v/>
      </c>
    </row>
    <row r="2173">
      <c r="A2173" s="60" t="n"/>
      <c r="B2173" s="60" t="n"/>
      <c r="C2173" s="71" t="str">
        <f>IF(B2173="","",IFERROR(INDEX(mat_des,MATCH(B2173,mat_ref,0))&amp;"","Matière inconnue"))</f>
        <v/>
      </c>
      <c r="D2173" s="69" t="str">
        <f>IF(B2173="","",IFERROR(INDEX(mat_unit,MATCH(B2173,mat_ref,0))&amp;"",""))</f>
        <v/>
      </c>
      <c r="E2173" s="72" t="n"/>
      <c r="F2173" s="65" t="n"/>
      <c r="G2173" s="68" t="str">
        <f>IF(J2173&lt;&gt;"OK","",IF(F2173="",N(INDEX(mat_loss,MATCH(B2173,mat_ref,0))),F2173))</f>
        <v/>
      </c>
      <c r="H2173" s="66" t="str">
        <f>IF(J2173&lt;&gt;"OK","",INDEX(mat_price,MATCH(B2173,mat_ref,0)))</f>
        <v/>
      </c>
      <c r="I2173" s="66" t="str">
        <f>IF(J2173&lt;&gt;"OK","",E2173*(1+G2173)*H2173)</f>
        <v/>
      </c>
      <c r="J2173" s="69" t="str">
        <f>IF(AND(A2173="",B2173=""),"",IF(A2173="","Produit manquant",IF(COUNTIF(prod_ref,A2173)=0,"Produit inconnu",IF(B2173="","Matière manquante",IF(ISNA(MATCH(B2173,mat_ref,0)),"Matière inconnue",IF(INDEX(mat_check,MATCH(B2173,mat_ref,0))&lt;&gt;"OK","Matière à corriger",IF(OR(NOT(ISNUMBER(E2173)),N(E2173)&lt;=0),"Quantité invalide",IF(AND(F2173&lt;&gt;"",OR(NOT(ISNUMBER(F2173)),N(F2173)&lt;0,N(F2173)&gt;=1)),"Perte entre 0 et 99 %",IF(COUNTIFS(bom_prod,A2173,bom_mat,B2173)&gt;1,"Matière en double","OK")))))))))</f>
        <v/>
      </c>
      <c r="K2173" s="71" t="str">
        <f>IF(AND(fiche_sel&lt;&gt;"",A2173=fiche_sel),COUNTIF(A$6:A2173,fiche_sel),"")</f>
        <v/>
      </c>
    </row>
    <row r="2174">
      <c r="A2174" s="60" t="n"/>
      <c r="B2174" s="60" t="n"/>
      <c r="C2174" s="71" t="str">
        <f>IF(B2174="","",IFERROR(INDEX(mat_des,MATCH(B2174,mat_ref,0))&amp;"","Matière inconnue"))</f>
        <v/>
      </c>
      <c r="D2174" s="69" t="str">
        <f>IF(B2174="","",IFERROR(INDEX(mat_unit,MATCH(B2174,mat_ref,0))&amp;"",""))</f>
        <v/>
      </c>
      <c r="E2174" s="72" t="n"/>
      <c r="F2174" s="65" t="n"/>
      <c r="G2174" s="68" t="str">
        <f>IF(J2174&lt;&gt;"OK","",IF(F2174="",N(INDEX(mat_loss,MATCH(B2174,mat_ref,0))),F2174))</f>
        <v/>
      </c>
      <c r="H2174" s="66" t="str">
        <f>IF(J2174&lt;&gt;"OK","",INDEX(mat_price,MATCH(B2174,mat_ref,0)))</f>
        <v/>
      </c>
      <c r="I2174" s="66" t="str">
        <f>IF(J2174&lt;&gt;"OK","",E2174*(1+G2174)*H2174)</f>
        <v/>
      </c>
      <c r="J2174" s="69" t="str">
        <f>IF(AND(A2174="",B2174=""),"",IF(A2174="","Produit manquant",IF(COUNTIF(prod_ref,A2174)=0,"Produit inconnu",IF(B2174="","Matière manquante",IF(ISNA(MATCH(B2174,mat_ref,0)),"Matière inconnue",IF(INDEX(mat_check,MATCH(B2174,mat_ref,0))&lt;&gt;"OK","Matière à corriger",IF(OR(NOT(ISNUMBER(E2174)),N(E2174)&lt;=0),"Quantité invalide",IF(AND(F2174&lt;&gt;"",OR(NOT(ISNUMBER(F2174)),N(F2174)&lt;0,N(F2174)&gt;=1)),"Perte entre 0 et 99 %",IF(COUNTIFS(bom_prod,A2174,bom_mat,B2174)&gt;1,"Matière en double","OK")))))))))</f>
        <v/>
      </c>
      <c r="K2174" s="71" t="str">
        <f>IF(AND(fiche_sel&lt;&gt;"",A2174=fiche_sel),COUNTIF(A$6:A2174,fiche_sel),"")</f>
        <v/>
      </c>
    </row>
    <row r="2175">
      <c r="A2175" s="60" t="n"/>
      <c r="B2175" s="60" t="n"/>
      <c r="C2175" s="71" t="str">
        <f>IF(B2175="","",IFERROR(INDEX(mat_des,MATCH(B2175,mat_ref,0))&amp;"","Matière inconnue"))</f>
        <v/>
      </c>
      <c r="D2175" s="69" t="str">
        <f>IF(B2175="","",IFERROR(INDEX(mat_unit,MATCH(B2175,mat_ref,0))&amp;"",""))</f>
        <v/>
      </c>
      <c r="E2175" s="72" t="n"/>
      <c r="F2175" s="65" t="n"/>
      <c r="G2175" s="68" t="str">
        <f>IF(J2175&lt;&gt;"OK","",IF(F2175="",N(INDEX(mat_loss,MATCH(B2175,mat_ref,0))),F2175))</f>
        <v/>
      </c>
      <c r="H2175" s="66" t="str">
        <f>IF(J2175&lt;&gt;"OK","",INDEX(mat_price,MATCH(B2175,mat_ref,0)))</f>
        <v/>
      </c>
      <c r="I2175" s="66" t="str">
        <f>IF(J2175&lt;&gt;"OK","",E2175*(1+G2175)*H2175)</f>
        <v/>
      </c>
      <c r="J2175" s="69" t="str">
        <f>IF(AND(A2175="",B2175=""),"",IF(A2175="","Produit manquant",IF(COUNTIF(prod_ref,A2175)=0,"Produit inconnu",IF(B2175="","Matière manquante",IF(ISNA(MATCH(B2175,mat_ref,0)),"Matière inconnue",IF(INDEX(mat_check,MATCH(B2175,mat_ref,0))&lt;&gt;"OK","Matière à corriger",IF(OR(NOT(ISNUMBER(E2175)),N(E2175)&lt;=0),"Quantité invalide",IF(AND(F2175&lt;&gt;"",OR(NOT(ISNUMBER(F2175)),N(F2175)&lt;0,N(F2175)&gt;=1)),"Perte entre 0 et 99 %",IF(COUNTIFS(bom_prod,A2175,bom_mat,B2175)&gt;1,"Matière en double","OK")))))))))</f>
        <v/>
      </c>
      <c r="K2175" s="71" t="str">
        <f>IF(AND(fiche_sel&lt;&gt;"",A2175=fiche_sel),COUNTIF(A$6:A2175,fiche_sel),"")</f>
        <v/>
      </c>
    </row>
    <row r="2176">
      <c r="A2176" s="60" t="n"/>
      <c r="B2176" s="60" t="n"/>
      <c r="C2176" s="71" t="str">
        <f>IF(B2176="","",IFERROR(INDEX(mat_des,MATCH(B2176,mat_ref,0))&amp;"","Matière inconnue"))</f>
        <v/>
      </c>
      <c r="D2176" s="69" t="str">
        <f>IF(B2176="","",IFERROR(INDEX(mat_unit,MATCH(B2176,mat_ref,0))&amp;"",""))</f>
        <v/>
      </c>
      <c r="E2176" s="72" t="n"/>
      <c r="F2176" s="65" t="n"/>
      <c r="G2176" s="68" t="str">
        <f>IF(J2176&lt;&gt;"OK","",IF(F2176="",N(INDEX(mat_loss,MATCH(B2176,mat_ref,0))),F2176))</f>
        <v/>
      </c>
      <c r="H2176" s="66" t="str">
        <f>IF(J2176&lt;&gt;"OK","",INDEX(mat_price,MATCH(B2176,mat_ref,0)))</f>
        <v/>
      </c>
      <c r="I2176" s="66" t="str">
        <f>IF(J2176&lt;&gt;"OK","",E2176*(1+G2176)*H2176)</f>
        <v/>
      </c>
      <c r="J2176" s="69" t="str">
        <f>IF(AND(A2176="",B2176=""),"",IF(A2176="","Produit manquant",IF(COUNTIF(prod_ref,A2176)=0,"Produit inconnu",IF(B2176="","Matière manquante",IF(ISNA(MATCH(B2176,mat_ref,0)),"Matière inconnue",IF(INDEX(mat_check,MATCH(B2176,mat_ref,0))&lt;&gt;"OK","Matière à corriger",IF(OR(NOT(ISNUMBER(E2176)),N(E2176)&lt;=0),"Quantité invalide",IF(AND(F2176&lt;&gt;"",OR(NOT(ISNUMBER(F2176)),N(F2176)&lt;0,N(F2176)&gt;=1)),"Perte entre 0 et 99 %",IF(COUNTIFS(bom_prod,A2176,bom_mat,B2176)&gt;1,"Matière en double","OK")))))))))</f>
        <v/>
      </c>
      <c r="K2176" s="71" t="str">
        <f>IF(AND(fiche_sel&lt;&gt;"",A2176=fiche_sel),COUNTIF(A$6:A2176,fiche_sel),"")</f>
        <v/>
      </c>
    </row>
    <row r="2177">
      <c r="A2177" s="60" t="n"/>
      <c r="B2177" s="60" t="n"/>
      <c r="C2177" s="71" t="str">
        <f>IF(B2177="","",IFERROR(INDEX(mat_des,MATCH(B2177,mat_ref,0))&amp;"","Matière inconnue"))</f>
        <v/>
      </c>
      <c r="D2177" s="69" t="str">
        <f>IF(B2177="","",IFERROR(INDEX(mat_unit,MATCH(B2177,mat_ref,0))&amp;"",""))</f>
        <v/>
      </c>
      <c r="E2177" s="72" t="n"/>
      <c r="F2177" s="65" t="n"/>
      <c r="G2177" s="68" t="str">
        <f>IF(J2177&lt;&gt;"OK","",IF(F2177="",N(INDEX(mat_loss,MATCH(B2177,mat_ref,0))),F2177))</f>
        <v/>
      </c>
      <c r="H2177" s="66" t="str">
        <f>IF(J2177&lt;&gt;"OK","",INDEX(mat_price,MATCH(B2177,mat_ref,0)))</f>
        <v/>
      </c>
      <c r="I2177" s="66" t="str">
        <f>IF(J2177&lt;&gt;"OK","",E2177*(1+G2177)*H2177)</f>
        <v/>
      </c>
      <c r="J2177" s="69" t="str">
        <f>IF(AND(A2177="",B2177=""),"",IF(A2177="","Produit manquant",IF(COUNTIF(prod_ref,A2177)=0,"Produit inconnu",IF(B2177="","Matière manquante",IF(ISNA(MATCH(B2177,mat_ref,0)),"Matière inconnue",IF(INDEX(mat_check,MATCH(B2177,mat_ref,0))&lt;&gt;"OK","Matière à corriger",IF(OR(NOT(ISNUMBER(E2177)),N(E2177)&lt;=0),"Quantité invalide",IF(AND(F2177&lt;&gt;"",OR(NOT(ISNUMBER(F2177)),N(F2177)&lt;0,N(F2177)&gt;=1)),"Perte entre 0 et 99 %",IF(COUNTIFS(bom_prod,A2177,bom_mat,B2177)&gt;1,"Matière en double","OK")))))))))</f>
        <v/>
      </c>
      <c r="K2177" s="71" t="str">
        <f>IF(AND(fiche_sel&lt;&gt;"",A2177=fiche_sel),COUNTIF(A$6:A2177,fiche_sel),"")</f>
        <v/>
      </c>
    </row>
    <row r="2178">
      <c r="A2178" s="60" t="n"/>
      <c r="B2178" s="60" t="n"/>
      <c r="C2178" s="71" t="str">
        <f>IF(B2178="","",IFERROR(INDEX(mat_des,MATCH(B2178,mat_ref,0))&amp;"","Matière inconnue"))</f>
        <v/>
      </c>
      <c r="D2178" s="69" t="str">
        <f>IF(B2178="","",IFERROR(INDEX(mat_unit,MATCH(B2178,mat_ref,0))&amp;"",""))</f>
        <v/>
      </c>
      <c r="E2178" s="72" t="n"/>
      <c r="F2178" s="65" t="n"/>
      <c r="G2178" s="68" t="str">
        <f>IF(J2178&lt;&gt;"OK","",IF(F2178="",N(INDEX(mat_loss,MATCH(B2178,mat_ref,0))),F2178))</f>
        <v/>
      </c>
      <c r="H2178" s="66" t="str">
        <f>IF(J2178&lt;&gt;"OK","",INDEX(mat_price,MATCH(B2178,mat_ref,0)))</f>
        <v/>
      </c>
      <c r="I2178" s="66" t="str">
        <f>IF(J2178&lt;&gt;"OK","",E2178*(1+G2178)*H2178)</f>
        <v/>
      </c>
      <c r="J2178" s="69" t="str">
        <f>IF(AND(A2178="",B2178=""),"",IF(A2178="","Produit manquant",IF(COUNTIF(prod_ref,A2178)=0,"Produit inconnu",IF(B2178="","Matière manquante",IF(ISNA(MATCH(B2178,mat_ref,0)),"Matière inconnue",IF(INDEX(mat_check,MATCH(B2178,mat_ref,0))&lt;&gt;"OK","Matière à corriger",IF(OR(NOT(ISNUMBER(E2178)),N(E2178)&lt;=0),"Quantité invalide",IF(AND(F2178&lt;&gt;"",OR(NOT(ISNUMBER(F2178)),N(F2178)&lt;0,N(F2178)&gt;=1)),"Perte entre 0 et 99 %",IF(COUNTIFS(bom_prod,A2178,bom_mat,B2178)&gt;1,"Matière en double","OK")))))))))</f>
        <v/>
      </c>
      <c r="K2178" s="71" t="str">
        <f>IF(AND(fiche_sel&lt;&gt;"",A2178=fiche_sel),COUNTIF(A$6:A2178,fiche_sel),"")</f>
        <v/>
      </c>
    </row>
    <row r="2179">
      <c r="A2179" s="60" t="n"/>
      <c r="B2179" s="60" t="n"/>
      <c r="C2179" s="71" t="str">
        <f>IF(B2179="","",IFERROR(INDEX(mat_des,MATCH(B2179,mat_ref,0))&amp;"","Matière inconnue"))</f>
        <v/>
      </c>
      <c r="D2179" s="69" t="str">
        <f>IF(B2179="","",IFERROR(INDEX(mat_unit,MATCH(B2179,mat_ref,0))&amp;"",""))</f>
        <v/>
      </c>
      <c r="E2179" s="72" t="n"/>
      <c r="F2179" s="65" t="n"/>
      <c r="G2179" s="68" t="str">
        <f>IF(J2179&lt;&gt;"OK","",IF(F2179="",N(INDEX(mat_loss,MATCH(B2179,mat_ref,0))),F2179))</f>
        <v/>
      </c>
      <c r="H2179" s="66" t="str">
        <f>IF(J2179&lt;&gt;"OK","",INDEX(mat_price,MATCH(B2179,mat_ref,0)))</f>
        <v/>
      </c>
      <c r="I2179" s="66" t="str">
        <f>IF(J2179&lt;&gt;"OK","",E2179*(1+G2179)*H2179)</f>
        <v/>
      </c>
      <c r="J2179" s="69" t="str">
        <f>IF(AND(A2179="",B2179=""),"",IF(A2179="","Produit manquant",IF(COUNTIF(prod_ref,A2179)=0,"Produit inconnu",IF(B2179="","Matière manquante",IF(ISNA(MATCH(B2179,mat_ref,0)),"Matière inconnue",IF(INDEX(mat_check,MATCH(B2179,mat_ref,0))&lt;&gt;"OK","Matière à corriger",IF(OR(NOT(ISNUMBER(E2179)),N(E2179)&lt;=0),"Quantité invalide",IF(AND(F2179&lt;&gt;"",OR(NOT(ISNUMBER(F2179)),N(F2179)&lt;0,N(F2179)&gt;=1)),"Perte entre 0 et 99 %",IF(COUNTIFS(bom_prod,A2179,bom_mat,B2179)&gt;1,"Matière en double","OK")))))))))</f>
        <v/>
      </c>
      <c r="K2179" s="71" t="str">
        <f>IF(AND(fiche_sel&lt;&gt;"",A2179=fiche_sel),COUNTIF(A$6:A2179,fiche_sel),"")</f>
        <v/>
      </c>
    </row>
    <row r="2180">
      <c r="A2180" s="60" t="n"/>
      <c r="B2180" s="60" t="n"/>
      <c r="C2180" s="71" t="str">
        <f>IF(B2180="","",IFERROR(INDEX(mat_des,MATCH(B2180,mat_ref,0))&amp;"","Matière inconnue"))</f>
        <v/>
      </c>
      <c r="D2180" s="69" t="str">
        <f>IF(B2180="","",IFERROR(INDEX(mat_unit,MATCH(B2180,mat_ref,0))&amp;"",""))</f>
        <v/>
      </c>
      <c r="E2180" s="72" t="n"/>
      <c r="F2180" s="65" t="n"/>
      <c r="G2180" s="68" t="str">
        <f>IF(J2180&lt;&gt;"OK","",IF(F2180="",N(INDEX(mat_loss,MATCH(B2180,mat_ref,0))),F2180))</f>
        <v/>
      </c>
      <c r="H2180" s="66" t="str">
        <f>IF(J2180&lt;&gt;"OK","",INDEX(mat_price,MATCH(B2180,mat_ref,0)))</f>
        <v/>
      </c>
      <c r="I2180" s="66" t="str">
        <f>IF(J2180&lt;&gt;"OK","",E2180*(1+G2180)*H2180)</f>
        <v/>
      </c>
      <c r="J2180" s="69" t="str">
        <f>IF(AND(A2180="",B2180=""),"",IF(A2180="","Produit manquant",IF(COUNTIF(prod_ref,A2180)=0,"Produit inconnu",IF(B2180="","Matière manquante",IF(ISNA(MATCH(B2180,mat_ref,0)),"Matière inconnue",IF(INDEX(mat_check,MATCH(B2180,mat_ref,0))&lt;&gt;"OK","Matière à corriger",IF(OR(NOT(ISNUMBER(E2180)),N(E2180)&lt;=0),"Quantité invalide",IF(AND(F2180&lt;&gt;"",OR(NOT(ISNUMBER(F2180)),N(F2180)&lt;0,N(F2180)&gt;=1)),"Perte entre 0 et 99 %",IF(COUNTIFS(bom_prod,A2180,bom_mat,B2180)&gt;1,"Matière en double","OK")))))))))</f>
        <v/>
      </c>
      <c r="K2180" s="71" t="str">
        <f>IF(AND(fiche_sel&lt;&gt;"",A2180=fiche_sel),COUNTIF(A$6:A2180,fiche_sel),"")</f>
        <v/>
      </c>
    </row>
    <row r="2181">
      <c r="A2181" s="60" t="n"/>
      <c r="B2181" s="60" t="n"/>
      <c r="C2181" s="71" t="str">
        <f>IF(B2181="","",IFERROR(INDEX(mat_des,MATCH(B2181,mat_ref,0))&amp;"","Matière inconnue"))</f>
        <v/>
      </c>
      <c r="D2181" s="69" t="str">
        <f>IF(B2181="","",IFERROR(INDEX(mat_unit,MATCH(B2181,mat_ref,0))&amp;"",""))</f>
        <v/>
      </c>
      <c r="E2181" s="72" t="n"/>
      <c r="F2181" s="65" t="n"/>
      <c r="G2181" s="68" t="str">
        <f>IF(J2181&lt;&gt;"OK","",IF(F2181="",N(INDEX(mat_loss,MATCH(B2181,mat_ref,0))),F2181))</f>
        <v/>
      </c>
      <c r="H2181" s="66" t="str">
        <f>IF(J2181&lt;&gt;"OK","",INDEX(mat_price,MATCH(B2181,mat_ref,0)))</f>
        <v/>
      </c>
      <c r="I2181" s="66" t="str">
        <f>IF(J2181&lt;&gt;"OK","",E2181*(1+G2181)*H2181)</f>
        <v/>
      </c>
      <c r="J2181" s="69" t="str">
        <f>IF(AND(A2181="",B2181=""),"",IF(A2181="","Produit manquant",IF(COUNTIF(prod_ref,A2181)=0,"Produit inconnu",IF(B2181="","Matière manquante",IF(ISNA(MATCH(B2181,mat_ref,0)),"Matière inconnue",IF(INDEX(mat_check,MATCH(B2181,mat_ref,0))&lt;&gt;"OK","Matière à corriger",IF(OR(NOT(ISNUMBER(E2181)),N(E2181)&lt;=0),"Quantité invalide",IF(AND(F2181&lt;&gt;"",OR(NOT(ISNUMBER(F2181)),N(F2181)&lt;0,N(F2181)&gt;=1)),"Perte entre 0 et 99 %",IF(COUNTIFS(bom_prod,A2181,bom_mat,B2181)&gt;1,"Matière en double","OK")))))))))</f>
        <v/>
      </c>
      <c r="K2181" s="71" t="str">
        <f>IF(AND(fiche_sel&lt;&gt;"",A2181=fiche_sel),COUNTIF(A$6:A2181,fiche_sel),"")</f>
        <v/>
      </c>
    </row>
    <row r="2182">
      <c r="A2182" s="60" t="n"/>
      <c r="B2182" s="60" t="n"/>
      <c r="C2182" s="71" t="str">
        <f>IF(B2182="","",IFERROR(INDEX(mat_des,MATCH(B2182,mat_ref,0))&amp;"","Matière inconnue"))</f>
        <v/>
      </c>
      <c r="D2182" s="69" t="str">
        <f>IF(B2182="","",IFERROR(INDEX(mat_unit,MATCH(B2182,mat_ref,0))&amp;"",""))</f>
        <v/>
      </c>
      <c r="E2182" s="72" t="n"/>
      <c r="F2182" s="65" t="n"/>
      <c r="G2182" s="68" t="str">
        <f>IF(J2182&lt;&gt;"OK","",IF(F2182="",N(INDEX(mat_loss,MATCH(B2182,mat_ref,0))),F2182))</f>
        <v/>
      </c>
      <c r="H2182" s="66" t="str">
        <f>IF(J2182&lt;&gt;"OK","",INDEX(mat_price,MATCH(B2182,mat_ref,0)))</f>
        <v/>
      </c>
      <c r="I2182" s="66" t="str">
        <f>IF(J2182&lt;&gt;"OK","",E2182*(1+G2182)*H2182)</f>
        <v/>
      </c>
      <c r="J2182" s="69" t="str">
        <f>IF(AND(A2182="",B2182=""),"",IF(A2182="","Produit manquant",IF(COUNTIF(prod_ref,A2182)=0,"Produit inconnu",IF(B2182="","Matière manquante",IF(ISNA(MATCH(B2182,mat_ref,0)),"Matière inconnue",IF(INDEX(mat_check,MATCH(B2182,mat_ref,0))&lt;&gt;"OK","Matière à corriger",IF(OR(NOT(ISNUMBER(E2182)),N(E2182)&lt;=0),"Quantité invalide",IF(AND(F2182&lt;&gt;"",OR(NOT(ISNUMBER(F2182)),N(F2182)&lt;0,N(F2182)&gt;=1)),"Perte entre 0 et 99 %",IF(COUNTIFS(bom_prod,A2182,bom_mat,B2182)&gt;1,"Matière en double","OK")))))))))</f>
        <v/>
      </c>
      <c r="K2182" s="71" t="str">
        <f>IF(AND(fiche_sel&lt;&gt;"",A2182=fiche_sel),COUNTIF(A$6:A2182,fiche_sel),"")</f>
        <v/>
      </c>
    </row>
    <row r="2183">
      <c r="A2183" s="60" t="n"/>
      <c r="B2183" s="60" t="n"/>
      <c r="C2183" s="71" t="str">
        <f>IF(B2183="","",IFERROR(INDEX(mat_des,MATCH(B2183,mat_ref,0))&amp;"","Matière inconnue"))</f>
        <v/>
      </c>
      <c r="D2183" s="69" t="str">
        <f>IF(B2183="","",IFERROR(INDEX(mat_unit,MATCH(B2183,mat_ref,0))&amp;"",""))</f>
        <v/>
      </c>
      <c r="E2183" s="72" t="n"/>
      <c r="F2183" s="65" t="n"/>
      <c r="G2183" s="68" t="str">
        <f>IF(J2183&lt;&gt;"OK","",IF(F2183="",N(INDEX(mat_loss,MATCH(B2183,mat_ref,0))),F2183))</f>
        <v/>
      </c>
      <c r="H2183" s="66" t="str">
        <f>IF(J2183&lt;&gt;"OK","",INDEX(mat_price,MATCH(B2183,mat_ref,0)))</f>
        <v/>
      </c>
      <c r="I2183" s="66" t="str">
        <f>IF(J2183&lt;&gt;"OK","",E2183*(1+G2183)*H2183)</f>
        <v/>
      </c>
      <c r="J2183" s="69" t="str">
        <f>IF(AND(A2183="",B2183=""),"",IF(A2183="","Produit manquant",IF(COUNTIF(prod_ref,A2183)=0,"Produit inconnu",IF(B2183="","Matière manquante",IF(ISNA(MATCH(B2183,mat_ref,0)),"Matière inconnue",IF(INDEX(mat_check,MATCH(B2183,mat_ref,0))&lt;&gt;"OK","Matière à corriger",IF(OR(NOT(ISNUMBER(E2183)),N(E2183)&lt;=0),"Quantité invalide",IF(AND(F2183&lt;&gt;"",OR(NOT(ISNUMBER(F2183)),N(F2183)&lt;0,N(F2183)&gt;=1)),"Perte entre 0 et 99 %",IF(COUNTIFS(bom_prod,A2183,bom_mat,B2183)&gt;1,"Matière en double","OK")))))))))</f>
        <v/>
      </c>
      <c r="K2183" s="71" t="str">
        <f>IF(AND(fiche_sel&lt;&gt;"",A2183=fiche_sel),COUNTIF(A$6:A2183,fiche_sel),"")</f>
        <v/>
      </c>
    </row>
    <row r="2184">
      <c r="A2184" s="60" t="n"/>
      <c r="B2184" s="60" t="n"/>
      <c r="C2184" s="71" t="str">
        <f>IF(B2184="","",IFERROR(INDEX(mat_des,MATCH(B2184,mat_ref,0))&amp;"","Matière inconnue"))</f>
        <v/>
      </c>
      <c r="D2184" s="69" t="str">
        <f>IF(B2184="","",IFERROR(INDEX(mat_unit,MATCH(B2184,mat_ref,0))&amp;"",""))</f>
        <v/>
      </c>
      <c r="E2184" s="72" t="n"/>
      <c r="F2184" s="65" t="n"/>
      <c r="G2184" s="68" t="str">
        <f>IF(J2184&lt;&gt;"OK","",IF(F2184="",N(INDEX(mat_loss,MATCH(B2184,mat_ref,0))),F2184))</f>
        <v/>
      </c>
      <c r="H2184" s="66" t="str">
        <f>IF(J2184&lt;&gt;"OK","",INDEX(mat_price,MATCH(B2184,mat_ref,0)))</f>
        <v/>
      </c>
      <c r="I2184" s="66" t="str">
        <f>IF(J2184&lt;&gt;"OK","",E2184*(1+G2184)*H2184)</f>
        <v/>
      </c>
      <c r="J2184" s="69" t="str">
        <f>IF(AND(A2184="",B2184=""),"",IF(A2184="","Produit manquant",IF(COUNTIF(prod_ref,A2184)=0,"Produit inconnu",IF(B2184="","Matière manquante",IF(ISNA(MATCH(B2184,mat_ref,0)),"Matière inconnue",IF(INDEX(mat_check,MATCH(B2184,mat_ref,0))&lt;&gt;"OK","Matière à corriger",IF(OR(NOT(ISNUMBER(E2184)),N(E2184)&lt;=0),"Quantité invalide",IF(AND(F2184&lt;&gt;"",OR(NOT(ISNUMBER(F2184)),N(F2184)&lt;0,N(F2184)&gt;=1)),"Perte entre 0 et 99 %",IF(COUNTIFS(bom_prod,A2184,bom_mat,B2184)&gt;1,"Matière en double","OK")))))))))</f>
        <v/>
      </c>
      <c r="K2184" s="71" t="str">
        <f>IF(AND(fiche_sel&lt;&gt;"",A2184=fiche_sel),COUNTIF(A$6:A2184,fiche_sel),"")</f>
        <v/>
      </c>
    </row>
    <row r="2185">
      <c r="A2185" s="60" t="n"/>
      <c r="B2185" s="60" t="n"/>
      <c r="C2185" s="71" t="str">
        <f>IF(B2185="","",IFERROR(INDEX(mat_des,MATCH(B2185,mat_ref,0))&amp;"","Matière inconnue"))</f>
        <v/>
      </c>
      <c r="D2185" s="69" t="str">
        <f>IF(B2185="","",IFERROR(INDEX(mat_unit,MATCH(B2185,mat_ref,0))&amp;"",""))</f>
        <v/>
      </c>
      <c r="E2185" s="72" t="n"/>
      <c r="F2185" s="65" t="n"/>
      <c r="G2185" s="68" t="str">
        <f>IF(J2185&lt;&gt;"OK","",IF(F2185="",N(INDEX(mat_loss,MATCH(B2185,mat_ref,0))),F2185))</f>
        <v/>
      </c>
      <c r="H2185" s="66" t="str">
        <f>IF(J2185&lt;&gt;"OK","",INDEX(mat_price,MATCH(B2185,mat_ref,0)))</f>
        <v/>
      </c>
      <c r="I2185" s="66" t="str">
        <f>IF(J2185&lt;&gt;"OK","",E2185*(1+G2185)*H2185)</f>
        <v/>
      </c>
      <c r="J2185" s="69" t="str">
        <f>IF(AND(A2185="",B2185=""),"",IF(A2185="","Produit manquant",IF(COUNTIF(prod_ref,A2185)=0,"Produit inconnu",IF(B2185="","Matière manquante",IF(ISNA(MATCH(B2185,mat_ref,0)),"Matière inconnue",IF(INDEX(mat_check,MATCH(B2185,mat_ref,0))&lt;&gt;"OK","Matière à corriger",IF(OR(NOT(ISNUMBER(E2185)),N(E2185)&lt;=0),"Quantité invalide",IF(AND(F2185&lt;&gt;"",OR(NOT(ISNUMBER(F2185)),N(F2185)&lt;0,N(F2185)&gt;=1)),"Perte entre 0 et 99 %",IF(COUNTIFS(bom_prod,A2185,bom_mat,B2185)&gt;1,"Matière en double","OK")))))))))</f>
        <v/>
      </c>
      <c r="K2185" s="71" t="str">
        <f>IF(AND(fiche_sel&lt;&gt;"",A2185=fiche_sel),COUNTIF(A$6:A2185,fiche_sel),"")</f>
        <v/>
      </c>
    </row>
    <row r="2186">
      <c r="A2186" s="60" t="n"/>
      <c r="B2186" s="60" t="n"/>
      <c r="C2186" s="71" t="str">
        <f>IF(B2186="","",IFERROR(INDEX(mat_des,MATCH(B2186,mat_ref,0))&amp;"","Matière inconnue"))</f>
        <v/>
      </c>
      <c r="D2186" s="69" t="str">
        <f>IF(B2186="","",IFERROR(INDEX(mat_unit,MATCH(B2186,mat_ref,0))&amp;"",""))</f>
        <v/>
      </c>
      <c r="E2186" s="72" t="n"/>
      <c r="F2186" s="65" t="n"/>
      <c r="G2186" s="68" t="str">
        <f>IF(J2186&lt;&gt;"OK","",IF(F2186="",N(INDEX(mat_loss,MATCH(B2186,mat_ref,0))),F2186))</f>
        <v/>
      </c>
      <c r="H2186" s="66" t="str">
        <f>IF(J2186&lt;&gt;"OK","",INDEX(mat_price,MATCH(B2186,mat_ref,0)))</f>
        <v/>
      </c>
      <c r="I2186" s="66" t="str">
        <f>IF(J2186&lt;&gt;"OK","",E2186*(1+G2186)*H2186)</f>
        <v/>
      </c>
      <c r="J2186" s="69" t="str">
        <f>IF(AND(A2186="",B2186=""),"",IF(A2186="","Produit manquant",IF(COUNTIF(prod_ref,A2186)=0,"Produit inconnu",IF(B2186="","Matière manquante",IF(ISNA(MATCH(B2186,mat_ref,0)),"Matière inconnue",IF(INDEX(mat_check,MATCH(B2186,mat_ref,0))&lt;&gt;"OK","Matière à corriger",IF(OR(NOT(ISNUMBER(E2186)),N(E2186)&lt;=0),"Quantité invalide",IF(AND(F2186&lt;&gt;"",OR(NOT(ISNUMBER(F2186)),N(F2186)&lt;0,N(F2186)&gt;=1)),"Perte entre 0 et 99 %",IF(COUNTIFS(bom_prod,A2186,bom_mat,B2186)&gt;1,"Matière en double","OK")))))))))</f>
        <v/>
      </c>
      <c r="K2186" s="71" t="str">
        <f>IF(AND(fiche_sel&lt;&gt;"",A2186=fiche_sel),COUNTIF(A$6:A2186,fiche_sel),"")</f>
        <v/>
      </c>
    </row>
    <row r="2187">
      <c r="A2187" s="60" t="n"/>
      <c r="B2187" s="60" t="n"/>
      <c r="C2187" s="71" t="str">
        <f>IF(B2187="","",IFERROR(INDEX(mat_des,MATCH(B2187,mat_ref,0))&amp;"","Matière inconnue"))</f>
        <v/>
      </c>
      <c r="D2187" s="69" t="str">
        <f>IF(B2187="","",IFERROR(INDEX(mat_unit,MATCH(B2187,mat_ref,0))&amp;"",""))</f>
        <v/>
      </c>
      <c r="E2187" s="72" t="n"/>
      <c r="F2187" s="65" t="n"/>
      <c r="G2187" s="68" t="str">
        <f>IF(J2187&lt;&gt;"OK","",IF(F2187="",N(INDEX(mat_loss,MATCH(B2187,mat_ref,0))),F2187))</f>
        <v/>
      </c>
      <c r="H2187" s="66" t="str">
        <f>IF(J2187&lt;&gt;"OK","",INDEX(mat_price,MATCH(B2187,mat_ref,0)))</f>
        <v/>
      </c>
      <c r="I2187" s="66" t="str">
        <f>IF(J2187&lt;&gt;"OK","",E2187*(1+G2187)*H2187)</f>
        <v/>
      </c>
      <c r="J2187" s="69" t="str">
        <f>IF(AND(A2187="",B2187=""),"",IF(A2187="","Produit manquant",IF(COUNTIF(prod_ref,A2187)=0,"Produit inconnu",IF(B2187="","Matière manquante",IF(ISNA(MATCH(B2187,mat_ref,0)),"Matière inconnue",IF(INDEX(mat_check,MATCH(B2187,mat_ref,0))&lt;&gt;"OK","Matière à corriger",IF(OR(NOT(ISNUMBER(E2187)),N(E2187)&lt;=0),"Quantité invalide",IF(AND(F2187&lt;&gt;"",OR(NOT(ISNUMBER(F2187)),N(F2187)&lt;0,N(F2187)&gt;=1)),"Perte entre 0 et 99 %",IF(COUNTIFS(bom_prod,A2187,bom_mat,B2187)&gt;1,"Matière en double","OK")))))))))</f>
        <v/>
      </c>
      <c r="K2187" s="71" t="str">
        <f>IF(AND(fiche_sel&lt;&gt;"",A2187=fiche_sel),COUNTIF(A$6:A2187,fiche_sel),"")</f>
        <v/>
      </c>
    </row>
    <row r="2188">
      <c r="A2188" s="60" t="n"/>
      <c r="B2188" s="60" t="n"/>
      <c r="C2188" s="71" t="str">
        <f>IF(B2188="","",IFERROR(INDEX(mat_des,MATCH(B2188,mat_ref,0))&amp;"","Matière inconnue"))</f>
        <v/>
      </c>
      <c r="D2188" s="69" t="str">
        <f>IF(B2188="","",IFERROR(INDEX(mat_unit,MATCH(B2188,mat_ref,0))&amp;"",""))</f>
        <v/>
      </c>
      <c r="E2188" s="72" t="n"/>
      <c r="F2188" s="65" t="n"/>
      <c r="G2188" s="68" t="str">
        <f>IF(J2188&lt;&gt;"OK","",IF(F2188="",N(INDEX(mat_loss,MATCH(B2188,mat_ref,0))),F2188))</f>
        <v/>
      </c>
      <c r="H2188" s="66" t="str">
        <f>IF(J2188&lt;&gt;"OK","",INDEX(mat_price,MATCH(B2188,mat_ref,0)))</f>
        <v/>
      </c>
      <c r="I2188" s="66" t="str">
        <f>IF(J2188&lt;&gt;"OK","",E2188*(1+G2188)*H2188)</f>
        <v/>
      </c>
      <c r="J2188" s="69" t="str">
        <f>IF(AND(A2188="",B2188=""),"",IF(A2188="","Produit manquant",IF(COUNTIF(prod_ref,A2188)=0,"Produit inconnu",IF(B2188="","Matière manquante",IF(ISNA(MATCH(B2188,mat_ref,0)),"Matière inconnue",IF(INDEX(mat_check,MATCH(B2188,mat_ref,0))&lt;&gt;"OK","Matière à corriger",IF(OR(NOT(ISNUMBER(E2188)),N(E2188)&lt;=0),"Quantité invalide",IF(AND(F2188&lt;&gt;"",OR(NOT(ISNUMBER(F2188)),N(F2188)&lt;0,N(F2188)&gt;=1)),"Perte entre 0 et 99 %",IF(COUNTIFS(bom_prod,A2188,bom_mat,B2188)&gt;1,"Matière en double","OK")))))))))</f>
        <v/>
      </c>
      <c r="K2188" s="71" t="str">
        <f>IF(AND(fiche_sel&lt;&gt;"",A2188=fiche_sel),COUNTIF(A$6:A2188,fiche_sel),"")</f>
        <v/>
      </c>
    </row>
    <row r="2189">
      <c r="A2189" s="60" t="n"/>
      <c r="B2189" s="60" t="n"/>
      <c r="C2189" s="71" t="str">
        <f>IF(B2189="","",IFERROR(INDEX(mat_des,MATCH(B2189,mat_ref,0))&amp;"","Matière inconnue"))</f>
        <v/>
      </c>
      <c r="D2189" s="69" t="str">
        <f>IF(B2189="","",IFERROR(INDEX(mat_unit,MATCH(B2189,mat_ref,0))&amp;"",""))</f>
        <v/>
      </c>
      <c r="E2189" s="72" t="n"/>
      <c r="F2189" s="65" t="n"/>
      <c r="G2189" s="68" t="str">
        <f>IF(J2189&lt;&gt;"OK","",IF(F2189="",N(INDEX(mat_loss,MATCH(B2189,mat_ref,0))),F2189))</f>
        <v/>
      </c>
      <c r="H2189" s="66" t="str">
        <f>IF(J2189&lt;&gt;"OK","",INDEX(mat_price,MATCH(B2189,mat_ref,0)))</f>
        <v/>
      </c>
      <c r="I2189" s="66" t="str">
        <f>IF(J2189&lt;&gt;"OK","",E2189*(1+G2189)*H2189)</f>
        <v/>
      </c>
      <c r="J2189" s="69" t="str">
        <f>IF(AND(A2189="",B2189=""),"",IF(A2189="","Produit manquant",IF(COUNTIF(prod_ref,A2189)=0,"Produit inconnu",IF(B2189="","Matière manquante",IF(ISNA(MATCH(B2189,mat_ref,0)),"Matière inconnue",IF(INDEX(mat_check,MATCH(B2189,mat_ref,0))&lt;&gt;"OK","Matière à corriger",IF(OR(NOT(ISNUMBER(E2189)),N(E2189)&lt;=0),"Quantité invalide",IF(AND(F2189&lt;&gt;"",OR(NOT(ISNUMBER(F2189)),N(F2189)&lt;0,N(F2189)&gt;=1)),"Perte entre 0 et 99 %",IF(COUNTIFS(bom_prod,A2189,bom_mat,B2189)&gt;1,"Matière en double","OK")))))))))</f>
        <v/>
      </c>
      <c r="K2189" s="71" t="str">
        <f>IF(AND(fiche_sel&lt;&gt;"",A2189=fiche_sel),COUNTIF(A$6:A2189,fiche_sel),"")</f>
        <v/>
      </c>
    </row>
    <row r="2190">
      <c r="A2190" s="60" t="n"/>
      <c r="B2190" s="60" t="n"/>
      <c r="C2190" s="71" t="str">
        <f>IF(B2190="","",IFERROR(INDEX(mat_des,MATCH(B2190,mat_ref,0))&amp;"","Matière inconnue"))</f>
        <v/>
      </c>
      <c r="D2190" s="69" t="str">
        <f>IF(B2190="","",IFERROR(INDEX(mat_unit,MATCH(B2190,mat_ref,0))&amp;"",""))</f>
        <v/>
      </c>
      <c r="E2190" s="72" t="n"/>
      <c r="F2190" s="65" t="n"/>
      <c r="G2190" s="68" t="str">
        <f>IF(J2190&lt;&gt;"OK","",IF(F2190="",N(INDEX(mat_loss,MATCH(B2190,mat_ref,0))),F2190))</f>
        <v/>
      </c>
      <c r="H2190" s="66" t="str">
        <f>IF(J2190&lt;&gt;"OK","",INDEX(mat_price,MATCH(B2190,mat_ref,0)))</f>
        <v/>
      </c>
      <c r="I2190" s="66" t="str">
        <f>IF(J2190&lt;&gt;"OK","",E2190*(1+G2190)*H2190)</f>
        <v/>
      </c>
      <c r="J2190" s="69" t="str">
        <f>IF(AND(A2190="",B2190=""),"",IF(A2190="","Produit manquant",IF(COUNTIF(prod_ref,A2190)=0,"Produit inconnu",IF(B2190="","Matière manquante",IF(ISNA(MATCH(B2190,mat_ref,0)),"Matière inconnue",IF(INDEX(mat_check,MATCH(B2190,mat_ref,0))&lt;&gt;"OK","Matière à corriger",IF(OR(NOT(ISNUMBER(E2190)),N(E2190)&lt;=0),"Quantité invalide",IF(AND(F2190&lt;&gt;"",OR(NOT(ISNUMBER(F2190)),N(F2190)&lt;0,N(F2190)&gt;=1)),"Perte entre 0 et 99 %",IF(COUNTIFS(bom_prod,A2190,bom_mat,B2190)&gt;1,"Matière en double","OK")))))))))</f>
        <v/>
      </c>
      <c r="K2190" s="71" t="str">
        <f>IF(AND(fiche_sel&lt;&gt;"",A2190=fiche_sel),COUNTIF(A$6:A2190,fiche_sel),"")</f>
        <v/>
      </c>
    </row>
    <row r="2191">
      <c r="A2191" s="60" t="n"/>
      <c r="B2191" s="60" t="n"/>
      <c r="C2191" s="71" t="str">
        <f>IF(B2191="","",IFERROR(INDEX(mat_des,MATCH(B2191,mat_ref,0))&amp;"","Matière inconnue"))</f>
        <v/>
      </c>
      <c r="D2191" s="69" t="str">
        <f>IF(B2191="","",IFERROR(INDEX(mat_unit,MATCH(B2191,mat_ref,0))&amp;"",""))</f>
        <v/>
      </c>
      <c r="E2191" s="72" t="n"/>
      <c r="F2191" s="65" t="n"/>
      <c r="G2191" s="68" t="str">
        <f>IF(J2191&lt;&gt;"OK","",IF(F2191="",N(INDEX(mat_loss,MATCH(B2191,mat_ref,0))),F2191))</f>
        <v/>
      </c>
      <c r="H2191" s="66" t="str">
        <f>IF(J2191&lt;&gt;"OK","",INDEX(mat_price,MATCH(B2191,mat_ref,0)))</f>
        <v/>
      </c>
      <c r="I2191" s="66" t="str">
        <f>IF(J2191&lt;&gt;"OK","",E2191*(1+G2191)*H2191)</f>
        <v/>
      </c>
      <c r="J2191" s="69" t="str">
        <f>IF(AND(A2191="",B2191=""),"",IF(A2191="","Produit manquant",IF(COUNTIF(prod_ref,A2191)=0,"Produit inconnu",IF(B2191="","Matière manquante",IF(ISNA(MATCH(B2191,mat_ref,0)),"Matière inconnue",IF(INDEX(mat_check,MATCH(B2191,mat_ref,0))&lt;&gt;"OK","Matière à corriger",IF(OR(NOT(ISNUMBER(E2191)),N(E2191)&lt;=0),"Quantité invalide",IF(AND(F2191&lt;&gt;"",OR(NOT(ISNUMBER(F2191)),N(F2191)&lt;0,N(F2191)&gt;=1)),"Perte entre 0 et 99 %",IF(COUNTIFS(bom_prod,A2191,bom_mat,B2191)&gt;1,"Matière en double","OK")))))))))</f>
        <v/>
      </c>
      <c r="K2191" s="71" t="str">
        <f>IF(AND(fiche_sel&lt;&gt;"",A2191=fiche_sel),COUNTIF(A$6:A2191,fiche_sel),"")</f>
        <v/>
      </c>
    </row>
    <row r="2192">
      <c r="A2192" s="60" t="n"/>
      <c r="B2192" s="60" t="n"/>
      <c r="C2192" s="71" t="str">
        <f>IF(B2192="","",IFERROR(INDEX(mat_des,MATCH(B2192,mat_ref,0))&amp;"","Matière inconnue"))</f>
        <v/>
      </c>
      <c r="D2192" s="69" t="str">
        <f>IF(B2192="","",IFERROR(INDEX(mat_unit,MATCH(B2192,mat_ref,0))&amp;"",""))</f>
        <v/>
      </c>
      <c r="E2192" s="72" t="n"/>
      <c r="F2192" s="65" t="n"/>
      <c r="G2192" s="68" t="str">
        <f>IF(J2192&lt;&gt;"OK","",IF(F2192="",N(INDEX(mat_loss,MATCH(B2192,mat_ref,0))),F2192))</f>
        <v/>
      </c>
      <c r="H2192" s="66" t="str">
        <f>IF(J2192&lt;&gt;"OK","",INDEX(mat_price,MATCH(B2192,mat_ref,0)))</f>
        <v/>
      </c>
      <c r="I2192" s="66" t="str">
        <f>IF(J2192&lt;&gt;"OK","",E2192*(1+G2192)*H2192)</f>
        <v/>
      </c>
      <c r="J2192" s="69" t="str">
        <f>IF(AND(A2192="",B2192=""),"",IF(A2192="","Produit manquant",IF(COUNTIF(prod_ref,A2192)=0,"Produit inconnu",IF(B2192="","Matière manquante",IF(ISNA(MATCH(B2192,mat_ref,0)),"Matière inconnue",IF(INDEX(mat_check,MATCH(B2192,mat_ref,0))&lt;&gt;"OK","Matière à corriger",IF(OR(NOT(ISNUMBER(E2192)),N(E2192)&lt;=0),"Quantité invalide",IF(AND(F2192&lt;&gt;"",OR(NOT(ISNUMBER(F2192)),N(F2192)&lt;0,N(F2192)&gt;=1)),"Perte entre 0 et 99 %",IF(COUNTIFS(bom_prod,A2192,bom_mat,B2192)&gt;1,"Matière en double","OK")))))))))</f>
        <v/>
      </c>
      <c r="K2192" s="71" t="str">
        <f>IF(AND(fiche_sel&lt;&gt;"",A2192=fiche_sel),COUNTIF(A$6:A2192,fiche_sel),"")</f>
        <v/>
      </c>
    </row>
    <row r="2193">
      <c r="A2193" s="60" t="n"/>
      <c r="B2193" s="60" t="n"/>
      <c r="C2193" s="71" t="str">
        <f>IF(B2193="","",IFERROR(INDEX(mat_des,MATCH(B2193,mat_ref,0))&amp;"","Matière inconnue"))</f>
        <v/>
      </c>
      <c r="D2193" s="69" t="str">
        <f>IF(B2193="","",IFERROR(INDEX(mat_unit,MATCH(B2193,mat_ref,0))&amp;"",""))</f>
        <v/>
      </c>
      <c r="E2193" s="72" t="n"/>
      <c r="F2193" s="65" t="n"/>
      <c r="G2193" s="68" t="str">
        <f>IF(J2193&lt;&gt;"OK","",IF(F2193="",N(INDEX(mat_loss,MATCH(B2193,mat_ref,0))),F2193))</f>
        <v/>
      </c>
      <c r="H2193" s="66" t="str">
        <f>IF(J2193&lt;&gt;"OK","",INDEX(mat_price,MATCH(B2193,mat_ref,0)))</f>
        <v/>
      </c>
      <c r="I2193" s="66" t="str">
        <f>IF(J2193&lt;&gt;"OK","",E2193*(1+G2193)*H2193)</f>
        <v/>
      </c>
      <c r="J2193" s="69" t="str">
        <f>IF(AND(A2193="",B2193=""),"",IF(A2193="","Produit manquant",IF(COUNTIF(prod_ref,A2193)=0,"Produit inconnu",IF(B2193="","Matière manquante",IF(ISNA(MATCH(B2193,mat_ref,0)),"Matière inconnue",IF(INDEX(mat_check,MATCH(B2193,mat_ref,0))&lt;&gt;"OK","Matière à corriger",IF(OR(NOT(ISNUMBER(E2193)),N(E2193)&lt;=0),"Quantité invalide",IF(AND(F2193&lt;&gt;"",OR(NOT(ISNUMBER(F2193)),N(F2193)&lt;0,N(F2193)&gt;=1)),"Perte entre 0 et 99 %",IF(COUNTIFS(bom_prod,A2193,bom_mat,B2193)&gt;1,"Matière en double","OK")))))))))</f>
        <v/>
      </c>
      <c r="K2193" s="71" t="str">
        <f>IF(AND(fiche_sel&lt;&gt;"",A2193=fiche_sel),COUNTIF(A$6:A2193,fiche_sel),"")</f>
        <v/>
      </c>
    </row>
    <row r="2194">
      <c r="A2194" s="60" t="n"/>
      <c r="B2194" s="60" t="n"/>
      <c r="C2194" s="71" t="str">
        <f>IF(B2194="","",IFERROR(INDEX(mat_des,MATCH(B2194,mat_ref,0))&amp;"","Matière inconnue"))</f>
        <v/>
      </c>
      <c r="D2194" s="69" t="str">
        <f>IF(B2194="","",IFERROR(INDEX(mat_unit,MATCH(B2194,mat_ref,0))&amp;"",""))</f>
        <v/>
      </c>
      <c r="E2194" s="72" t="n"/>
      <c r="F2194" s="65" t="n"/>
      <c r="G2194" s="68" t="str">
        <f>IF(J2194&lt;&gt;"OK","",IF(F2194="",N(INDEX(mat_loss,MATCH(B2194,mat_ref,0))),F2194))</f>
        <v/>
      </c>
      <c r="H2194" s="66" t="str">
        <f>IF(J2194&lt;&gt;"OK","",INDEX(mat_price,MATCH(B2194,mat_ref,0)))</f>
        <v/>
      </c>
      <c r="I2194" s="66" t="str">
        <f>IF(J2194&lt;&gt;"OK","",E2194*(1+G2194)*H2194)</f>
        <v/>
      </c>
      <c r="J2194" s="69" t="str">
        <f>IF(AND(A2194="",B2194=""),"",IF(A2194="","Produit manquant",IF(COUNTIF(prod_ref,A2194)=0,"Produit inconnu",IF(B2194="","Matière manquante",IF(ISNA(MATCH(B2194,mat_ref,0)),"Matière inconnue",IF(INDEX(mat_check,MATCH(B2194,mat_ref,0))&lt;&gt;"OK","Matière à corriger",IF(OR(NOT(ISNUMBER(E2194)),N(E2194)&lt;=0),"Quantité invalide",IF(AND(F2194&lt;&gt;"",OR(NOT(ISNUMBER(F2194)),N(F2194)&lt;0,N(F2194)&gt;=1)),"Perte entre 0 et 99 %",IF(COUNTIFS(bom_prod,A2194,bom_mat,B2194)&gt;1,"Matière en double","OK")))))))))</f>
        <v/>
      </c>
      <c r="K2194" s="71" t="str">
        <f>IF(AND(fiche_sel&lt;&gt;"",A2194=fiche_sel),COUNTIF(A$6:A2194,fiche_sel),"")</f>
        <v/>
      </c>
    </row>
    <row r="2195">
      <c r="A2195" s="60" t="n"/>
      <c r="B2195" s="60" t="n"/>
      <c r="C2195" s="71" t="str">
        <f>IF(B2195="","",IFERROR(INDEX(mat_des,MATCH(B2195,mat_ref,0))&amp;"","Matière inconnue"))</f>
        <v/>
      </c>
      <c r="D2195" s="69" t="str">
        <f>IF(B2195="","",IFERROR(INDEX(mat_unit,MATCH(B2195,mat_ref,0))&amp;"",""))</f>
        <v/>
      </c>
      <c r="E2195" s="72" t="n"/>
      <c r="F2195" s="65" t="n"/>
      <c r="G2195" s="68" t="str">
        <f>IF(J2195&lt;&gt;"OK","",IF(F2195="",N(INDEX(mat_loss,MATCH(B2195,mat_ref,0))),F2195))</f>
        <v/>
      </c>
      <c r="H2195" s="66" t="str">
        <f>IF(J2195&lt;&gt;"OK","",INDEX(mat_price,MATCH(B2195,mat_ref,0)))</f>
        <v/>
      </c>
      <c r="I2195" s="66" t="str">
        <f>IF(J2195&lt;&gt;"OK","",E2195*(1+G2195)*H2195)</f>
        <v/>
      </c>
      <c r="J2195" s="69" t="str">
        <f>IF(AND(A2195="",B2195=""),"",IF(A2195="","Produit manquant",IF(COUNTIF(prod_ref,A2195)=0,"Produit inconnu",IF(B2195="","Matière manquante",IF(ISNA(MATCH(B2195,mat_ref,0)),"Matière inconnue",IF(INDEX(mat_check,MATCH(B2195,mat_ref,0))&lt;&gt;"OK","Matière à corriger",IF(OR(NOT(ISNUMBER(E2195)),N(E2195)&lt;=0),"Quantité invalide",IF(AND(F2195&lt;&gt;"",OR(NOT(ISNUMBER(F2195)),N(F2195)&lt;0,N(F2195)&gt;=1)),"Perte entre 0 et 99 %",IF(COUNTIFS(bom_prod,A2195,bom_mat,B2195)&gt;1,"Matière en double","OK")))))))))</f>
        <v/>
      </c>
      <c r="K2195" s="71" t="str">
        <f>IF(AND(fiche_sel&lt;&gt;"",A2195=fiche_sel),COUNTIF(A$6:A2195,fiche_sel),"")</f>
        <v/>
      </c>
    </row>
    <row r="2196">
      <c r="A2196" s="60" t="n"/>
      <c r="B2196" s="60" t="n"/>
      <c r="C2196" s="71" t="str">
        <f>IF(B2196="","",IFERROR(INDEX(mat_des,MATCH(B2196,mat_ref,0))&amp;"","Matière inconnue"))</f>
        <v/>
      </c>
      <c r="D2196" s="69" t="str">
        <f>IF(B2196="","",IFERROR(INDEX(mat_unit,MATCH(B2196,mat_ref,0))&amp;"",""))</f>
        <v/>
      </c>
      <c r="E2196" s="72" t="n"/>
      <c r="F2196" s="65" t="n"/>
      <c r="G2196" s="68" t="str">
        <f>IF(J2196&lt;&gt;"OK","",IF(F2196="",N(INDEX(mat_loss,MATCH(B2196,mat_ref,0))),F2196))</f>
        <v/>
      </c>
      <c r="H2196" s="66" t="str">
        <f>IF(J2196&lt;&gt;"OK","",INDEX(mat_price,MATCH(B2196,mat_ref,0)))</f>
        <v/>
      </c>
      <c r="I2196" s="66" t="str">
        <f>IF(J2196&lt;&gt;"OK","",E2196*(1+G2196)*H2196)</f>
        <v/>
      </c>
      <c r="J2196" s="69" t="str">
        <f>IF(AND(A2196="",B2196=""),"",IF(A2196="","Produit manquant",IF(COUNTIF(prod_ref,A2196)=0,"Produit inconnu",IF(B2196="","Matière manquante",IF(ISNA(MATCH(B2196,mat_ref,0)),"Matière inconnue",IF(INDEX(mat_check,MATCH(B2196,mat_ref,0))&lt;&gt;"OK","Matière à corriger",IF(OR(NOT(ISNUMBER(E2196)),N(E2196)&lt;=0),"Quantité invalide",IF(AND(F2196&lt;&gt;"",OR(NOT(ISNUMBER(F2196)),N(F2196)&lt;0,N(F2196)&gt;=1)),"Perte entre 0 et 99 %",IF(COUNTIFS(bom_prod,A2196,bom_mat,B2196)&gt;1,"Matière en double","OK")))))))))</f>
        <v/>
      </c>
      <c r="K2196" s="71" t="str">
        <f>IF(AND(fiche_sel&lt;&gt;"",A2196=fiche_sel),COUNTIF(A$6:A2196,fiche_sel),"")</f>
        <v/>
      </c>
    </row>
    <row r="2197">
      <c r="A2197" s="60" t="n"/>
      <c r="B2197" s="60" t="n"/>
      <c r="C2197" s="71" t="str">
        <f>IF(B2197="","",IFERROR(INDEX(mat_des,MATCH(B2197,mat_ref,0))&amp;"","Matière inconnue"))</f>
        <v/>
      </c>
      <c r="D2197" s="69" t="str">
        <f>IF(B2197="","",IFERROR(INDEX(mat_unit,MATCH(B2197,mat_ref,0))&amp;"",""))</f>
        <v/>
      </c>
      <c r="E2197" s="72" t="n"/>
      <c r="F2197" s="65" t="n"/>
      <c r="G2197" s="68" t="str">
        <f>IF(J2197&lt;&gt;"OK","",IF(F2197="",N(INDEX(mat_loss,MATCH(B2197,mat_ref,0))),F2197))</f>
        <v/>
      </c>
      <c r="H2197" s="66" t="str">
        <f>IF(J2197&lt;&gt;"OK","",INDEX(mat_price,MATCH(B2197,mat_ref,0)))</f>
        <v/>
      </c>
      <c r="I2197" s="66" t="str">
        <f>IF(J2197&lt;&gt;"OK","",E2197*(1+G2197)*H2197)</f>
        <v/>
      </c>
      <c r="J2197" s="69" t="str">
        <f>IF(AND(A2197="",B2197=""),"",IF(A2197="","Produit manquant",IF(COUNTIF(prod_ref,A2197)=0,"Produit inconnu",IF(B2197="","Matière manquante",IF(ISNA(MATCH(B2197,mat_ref,0)),"Matière inconnue",IF(INDEX(mat_check,MATCH(B2197,mat_ref,0))&lt;&gt;"OK","Matière à corriger",IF(OR(NOT(ISNUMBER(E2197)),N(E2197)&lt;=0),"Quantité invalide",IF(AND(F2197&lt;&gt;"",OR(NOT(ISNUMBER(F2197)),N(F2197)&lt;0,N(F2197)&gt;=1)),"Perte entre 0 et 99 %",IF(COUNTIFS(bom_prod,A2197,bom_mat,B2197)&gt;1,"Matière en double","OK")))))))))</f>
        <v/>
      </c>
      <c r="K2197" s="71" t="str">
        <f>IF(AND(fiche_sel&lt;&gt;"",A2197=fiche_sel),COUNTIF(A$6:A2197,fiche_sel),"")</f>
        <v/>
      </c>
    </row>
    <row r="2198">
      <c r="A2198" s="60" t="n"/>
      <c r="B2198" s="60" t="n"/>
      <c r="C2198" s="71" t="str">
        <f>IF(B2198="","",IFERROR(INDEX(mat_des,MATCH(B2198,mat_ref,0))&amp;"","Matière inconnue"))</f>
        <v/>
      </c>
      <c r="D2198" s="69" t="str">
        <f>IF(B2198="","",IFERROR(INDEX(mat_unit,MATCH(B2198,mat_ref,0))&amp;"",""))</f>
        <v/>
      </c>
      <c r="E2198" s="72" t="n"/>
      <c r="F2198" s="65" t="n"/>
      <c r="G2198" s="68" t="str">
        <f>IF(J2198&lt;&gt;"OK","",IF(F2198="",N(INDEX(mat_loss,MATCH(B2198,mat_ref,0))),F2198))</f>
        <v/>
      </c>
      <c r="H2198" s="66" t="str">
        <f>IF(J2198&lt;&gt;"OK","",INDEX(mat_price,MATCH(B2198,mat_ref,0)))</f>
        <v/>
      </c>
      <c r="I2198" s="66" t="str">
        <f>IF(J2198&lt;&gt;"OK","",E2198*(1+G2198)*H2198)</f>
        <v/>
      </c>
      <c r="J2198" s="69" t="str">
        <f>IF(AND(A2198="",B2198=""),"",IF(A2198="","Produit manquant",IF(COUNTIF(prod_ref,A2198)=0,"Produit inconnu",IF(B2198="","Matière manquante",IF(ISNA(MATCH(B2198,mat_ref,0)),"Matière inconnue",IF(INDEX(mat_check,MATCH(B2198,mat_ref,0))&lt;&gt;"OK","Matière à corriger",IF(OR(NOT(ISNUMBER(E2198)),N(E2198)&lt;=0),"Quantité invalide",IF(AND(F2198&lt;&gt;"",OR(NOT(ISNUMBER(F2198)),N(F2198)&lt;0,N(F2198)&gt;=1)),"Perte entre 0 et 99 %",IF(COUNTIFS(bom_prod,A2198,bom_mat,B2198)&gt;1,"Matière en double","OK")))))))))</f>
        <v/>
      </c>
      <c r="K2198" s="71" t="str">
        <f>IF(AND(fiche_sel&lt;&gt;"",A2198=fiche_sel),COUNTIF(A$6:A2198,fiche_sel),"")</f>
        <v/>
      </c>
    </row>
    <row r="2199">
      <c r="A2199" s="60" t="n"/>
      <c r="B2199" s="60" t="n"/>
      <c r="C2199" s="71" t="str">
        <f>IF(B2199="","",IFERROR(INDEX(mat_des,MATCH(B2199,mat_ref,0))&amp;"","Matière inconnue"))</f>
        <v/>
      </c>
      <c r="D2199" s="69" t="str">
        <f>IF(B2199="","",IFERROR(INDEX(mat_unit,MATCH(B2199,mat_ref,0))&amp;"",""))</f>
        <v/>
      </c>
      <c r="E2199" s="72" t="n"/>
      <c r="F2199" s="65" t="n"/>
      <c r="G2199" s="68" t="str">
        <f>IF(J2199&lt;&gt;"OK","",IF(F2199="",N(INDEX(mat_loss,MATCH(B2199,mat_ref,0))),F2199))</f>
        <v/>
      </c>
      <c r="H2199" s="66" t="str">
        <f>IF(J2199&lt;&gt;"OK","",INDEX(mat_price,MATCH(B2199,mat_ref,0)))</f>
        <v/>
      </c>
      <c r="I2199" s="66" t="str">
        <f>IF(J2199&lt;&gt;"OK","",E2199*(1+G2199)*H2199)</f>
        <v/>
      </c>
      <c r="J2199" s="69" t="str">
        <f>IF(AND(A2199="",B2199=""),"",IF(A2199="","Produit manquant",IF(COUNTIF(prod_ref,A2199)=0,"Produit inconnu",IF(B2199="","Matière manquante",IF(ISNA(MATCH(B2199,mat_ref,0)),"Matière inconnue",IF(INDEX(mat_check,MATCH(B2199,mat_ref,0))&lt;&gt;"OK","Matière à corriger",IF(OR(NOT(ISNUMBER(E2199)),N(E2199)&lt;=0),"Quantité invalide",IF(AND(F2199&lt;&gt;"",OR(NOT(ISNUMBER(F2199)),N(F2199)&lt;0,N(F2199)&gt;=1)),"Perte entre 0 et 99 %",IF(COUNTIFS(bom_prod,A2199,bom_mat,B2199)&gt;1,"Matière en double","OK")))))))))</f>
        <v/>
      </c>
      <c r="K2199" s="71" t="str">
        <f>IF(AND(fiche_sel&lt;&gt;"",A2199=fiche_sel),COUNTIF(A$6:A2199,fiche_sel),"")</f>
        <v/>
      </c>
    </row>
    <row r="2200">
      <c r="A2200" s="60" t="n"/>
      <c r="B2200" s="60" t="n"/>
      <c r="C2200" s="71" t="str">
        <f>IF(B2200="","",IFERROR(INDEX(mat_des,MATCH(B2200,mat_ref,0))&amp;"","Matière inconnue"))</f>
        <v/>
      </c>
      <c r="D2200" s="69" t="str">
        <f>IF(B2200="","",IFERROR(INDEX(mat_unit,MATCH(B2200,mat_ref,0))&amp;"",""))</f>
        <v/>
      </c>
      <c r="E2200" s="72" t="n"/>
      <c r="F2200" s="65" t="n"/>
      <c r="G2200" s="68" t="str">
        <f>IF(J2200&lt;&gt;"OK","",IF(F2200="",N(INDEX(mat_loss,MATCH(B2200,mat_ref,0))),F2200))</f>
        <v/>
      </c>
      <c r="H2200" s="66" t="str">
        <f>IF(J2200&lt;&gt;"OK","",INDEX(mat_price,MATCH(B2200,mat_ref,0)))</f>
        <v/>
      </c>
      <c r="I2200" s="66" t="str">
        <f>IF(J2200&lt;&gt;"OK","",E2200*(1+G2200)*H2200)</f>
        <v/>
      </c>
      <c r="J2200" s="69" t="str">
        <f>IF(AND(A2200="",B2200=""),"",IF(A2200="","Produit manquant",IF(COUNTIF(prod_ref,A2200)=0,"Produit inconnu",IF(B2200="","Matière manquante",IF(ISNA(MATCH(B2200,mat_ref,0)),"Matière inconnue",IF(INDEX(mat_check,MATCH(B2200,mat_ref,0))&lt;&gt;"OK","Matière à corriger",IF(OR(NOT(ISNUMBER(E2200)),N(E2200)&lt;=0),"Quantité invalide",IF(AND(F2200&lt;&gt;"",OR(NOT(ISNUMBER(F2200)),N(F2200)&lt;0,N(F2200)&gt;=1)),"Perte entre 0 et 99 %",IF(COUNTIFS(bom_prod,A2200,bom_mat,B2200)&gt;1,"Matière en double","OK")))))))))</f>
        <v/>
      </c>
      <c r="K2200" s="71" t="str">
        <f>IF(AND(fiche_sel&lt;&gt;"",A2200=fiche_sel),COUNTIF(A$6:A2200,fiche_sel),"")</f>
        <v/>
      </c>
    </row>
    <row r="2201">
      <c r="A2201" s="60" t="n"/>
      <c r="B2201" s="60" t="n"/>
      <c r="C2201" s="71" t="str">
        <f>IF(B2201="","",IFERROR(INDEX(mat_des,MATCH(B2201,mat_ref,0))&amp;"","Matière inconnue"))</f>
        <v/>
      </c>
      <c r="D2201" s="69" t="str">
        <f>IF(B2201="","",IFERROR(INDEX(mat_unit,MATCH(B2201,mat_ref,0))&amp;"",""))</f>
        <v/>
      </c>
      <c r="E2201" s="72" t="n"/>
      <c r="F2201" s="65" t="n"/>
      <c r="G2201" s="68" t="str">
        <f>IF(J2201&lt;&gt;"OK","",IF(F2201="",N(INDEX(mat_loss,MATCH(B2201,mat_ref,0))),F2201))</f>
        <v/>
      </c>
      <c r="H2201" s="66" t="str">
        <f>IF(J2201&lt;&gt;"OK","",INDEX(mat_price,MATCH(B2201,mat_ref,0)))</f>
        <v/>
      </c>
      <c r="I2201" s="66" t="str">
        <f>IF(J2201&lt;&gt;"OK","",E2201*(1+G2201)*H2201)</f>
        <v/>
      </c>
      <c r="J2201" s="69" t="str">
        <f>IF(AND(A2201="",B2201=""),"",IF(A2201="","Produit manquant",IF(COUNTIF(prod_ref,A2201)=0,"Produit inconnu",IF(B2201="","Matière manquante",IF(ISNA(MATCH(B2201,mat_ref,0)),"Matière inconnue",IF(INDEX(mat_check,MATCH(B2201,mat_ref,0))&lt;&gt;"OK","Matière à corriger",IF(OR(NOT(ISNUMBER(E2201)),N(E2201)&lt;=0),"Quantité invalide",IF(AND(F2201&lt;&gt;"",OR(NOT(ISNUMBER(F2201)),N(F2201)&lt;0,N(F2201)&gt;=1)),"Perte entre 0 et 99 %",IF(COUNTIFS(bom_prod,A2201,bom_mat,B2201)&gt;1,"Matière en double","OK")))))))))</f>
        <v/>
      </c>
      <c r="K2201" s="71" t="str">
        <f>IF(AND(fiche_sel&lt;&gt;"",A2201=fiche_sel),COUNTIF(A$6:A2201,fiche_sel),"")</f>
        <v/>
      </c>
    </row>
    <row r="2202">
      <c r="A2202" s="60" t="n"/>
      <c r="B2202" s="60" t="n"/>
      <c r="C2202" s="71" t="str">
        <f>IF(B2202="","",IFERROR(INDEX(mat_des,MATCH(B2202,mat_ref,0))&amp;"","Matière inconnue"))</f>
        <v/>
      </c>
      <c r="D2202" s="69" t="str">
        <f>IF(B2202="","",IFERROR(INDEX(mat_unit,MATCH(B2202,mat_ref,0))&amp;"",""))</f>
        <v/>
      </c>
      <c r="E2202" s="72" t="n"/>
      <c r="F2202" s="65" t="n"/>
      <c r="G2202" s="68" t="str">
        <f>IF(J2202&lt;&gt;"OK","",IF(F2202="",N(INDEX(mat_loss,MATCH(B2202,mat_ref,0))),F2202))</f>
        <v/>
      </c>
      <c r="H2202" s="66" t="str">
        <f>IF(J2202&lt;&gt;"OK","",INDEX(mat_price,MATCH(B2202,mat_ref,0)))</f>
        <v/>
      </c>
      <c r="I2202" s="66" t="str">
        <f>IF(J2202&lt;&gt;"OK","",E2202*(1+G2202)*H2202)</f>
        <v/>
      </c>
      <c r="J2202" s="69" t="str">
        <f>IF(AND(A2202="",B2202=""),"",IF(A2202="","Produit manquant",IF(COUNTIF(prod_ref,A2202)=0,"Produit inconnu",IF(B2202="","Matière manquante",IF(ISNA(MATCH(B2202,mat_ref,0)),"Matière inconnue",IF(INDEX(mat_check,MATCH(B2202,mat_ref,0))&lt;&gt;"OK","Matière à corriger",IF(OR(NOT(ISNUMBER(E2202)),N(E2202)&lt;=0),"Quantité invalide",IF(AND(F2202&lt;&gt;"",OR(NOT(ISNUMBER(F2202)),N(F2202)&lt;0,N(F2202)&gt;=1)),"Perte entre 0 et 99 %",IF(COUNTIFS(bom_prod,A2202,bom_mat,B2202)&gt;1,"Matière en double","OK")))))))))</f>
        <v/>
      </c>
      <c r="K2202" s="71" t="str">
        <f>IF(AND(fiche_sel&lt;&gt;"",A2202=fiche_sel),COUNTIF(A$6:A2202,fiche_sel),"")</f>
        <v/>
      </c>
    </row>
    <row r="2203">
      <c r="A2203" s="60" t="n"/>
      <c r="B2203" s="60" t="n"/>
      <c r="C2203" s="71" t="str">
        <f>IF(B2203="","",IFERROR(INDEX(mat_des,MATCH(B2203,mat_ref,0))&amp;"","Matière inconnue"))</f>
        <v/>
      </c>
      <c r="D2203" s="69" t="str">
        <f>IF(B2203="","",IFERROR(INDEX(mat_unit,MATCH(B2203,mat_ref,0))&amp;"",""))</f>
        <v/>
      </c>
      <c r="E2203" s="72" t="n"/>
      <c r="F2203" s="65" t="n"/>
      <c r="G2203" s="68" t="str">
        <f>IF(J2203&lt;&gt;"OK","",IF(F2203="",N(INDEX(mat_loss,MATCH(B2203,mat_ref,0))),F2203))</f>
        <v/>
      </c>
      <c r="H2203" s="66" t="str">
        <f>IF(J2203&lt;&gt;"OK","",INDEX(mat_price,MATCH(B2203,mat_ref,0)))</f>
        <v/>
      </c>
      <c r="I2203" s="66" t="str">
        <f>IF(J2203&lt;&gt;"OK","",E2203*(1+G2203)*H2203)</f>
        <v/>
      </c>
      <c r="J2203" s="69" t="str">
        <f>IF(AND(A2203="",B2203=""),"",IF(A2203="","Produit manquant",IF(COUNTIF(prod_ref,A2203)=0,"Produit inconnu",IF(B2203="","Matière manquante",IF(ISNA(MATCH(B2203,mat_ref,0)),"Matière inconnue",IF(INDEX(mat_check,MATCH(B2203,mat_ref,0))&lt;&gt;"OK","Matière à corriger",IF(OR(NOT(ISNUMBER(E2203)),N(E2203)&lt;=0),"Quantité invalide",IF(AND(F2203&lt;&gt;"",OR(NOT(ISNUMBER(F2203)),N(F2203)&lt;0,N(F2203)&gt;=1)),"Perte entre 0 et 99 %",IF(COUNTIFS(bom_prod,A2203,bom_mat,B2203)&gt;1,"Matière en double","OK")))))))))</f>
        <v/>
      </c>
      <c r="K2203" s="71" t="str">
        <f>IF(AND(fiche_sel&lt;&gt;"",A2203=fiche_sel),COUNTIF(A$6:A2203,fiche_sel),"")</f>
        <v/>
      </c>
    </row>
    <row r="2204">
      <c r="A2204" s="60" t="n"/>
      <c r="B2204" s="60" t="n"/>
      <c r="C2204" s="71" t="str">
        <f>IF(B2204="","",IFERROR(INDEX(mat_des,MATCH(B2204,mat_ref,0))&amp;"","Matière inconnue"))</f>
        <v/>
      </c>
      <c r="D2204" s="69" t="str">
        <f>IF(B2204="","",IFERROR(INDEX(mat_unit,MATCH(B2204,mat_ref,0))&amp;"",""))</f>
        <v/>
      </c>
      <c r="E2204" s="72" t="n"/>
      <c r="F2204" s="65" t="n"/>
      <c r="G2204" s="68" t="str">
        <f>IF(J2204&lt;&gt;"OK","",IF(F2204="",N(INDEX(mat_loss,MATCH(B2204,mat_ref,0))),F2204))</f>
        <v/>
      </c>
      <c r="H2204" s="66" t="str">
        <f>IF(J2204&lt;&gt;"OK","",INDEX(mat_price,MATCH(B2204,mat_ref,0)))</f>
        <v/>
      </c>
      <c r="I2204" s="66" t="str">
        <f>IF(J2204&lt;&gt;"OK","",E2204*(1+G2204)*H2204)</f>
        <v/>
      </c>
      <c r="J2204" s="69" t="str">
        <f>IF(AND(A2204="",B2204=""),"",IF(A2204="","Produit manquant",IF(COUNTIF(prod_ref,A2204)=0,"Produit inconnu",IF(B2204="","Matière manquante",IF(ISNA(MATCH(B2204,mat_ref,0)),"Matière inconnue",IF(INDEX(mat_check,MATCH(B2204,mat_ref,0))&lt;&gt;"OK","Matière à corriger",IF(OR(NOT(ISNUMBER(E2204)),N(E2204)&lt;=0),"Quantité invalide",IF(AND(F2204&lt;&gt;"",OR(NOT(ISNUMBER(F2204)),N(F2204)&lt;0,N(F2204)&gt;=1)),"Perte entre 0 et 99 %",IF(COUNTIFS(bom_prod,A2204,bom_mat,B2204)&gt;1,"Matière en double","OK")))))))))</f>
        <v/>
      </c>
      <c r="K2204" s="71" t="str">
        <f>IF(AND(fiche_sel&lt;&gt;"",A2204=fiche_sel),COUNTIF(A$6:A2204,fiche_sel),"")</f>
        <v/>
      </c>
    </row>
    <row r="2205">
      <c r="A2205" s="60" t="n"/>
      <c r="B2205" s="60" t="n"/>
      <c r="C2205" s="71" t="str">
        <f>IF(B2205="","",IFERROR(INDEX(mat_des,MATCH(B2205,mat_ref,0))&amp;"","Matière inconnue"))</f>
        <v/>
      </c>
      <c r="D2205" s="69" t="str">
        <f>IF(B2205="","",IFERROR(INDEX(mat_unit,MATCH(B2205,mat_ref,0))&amp;"",""))</f>
        <v/>
      </c>
      <c r="E2205" s="72" t="n"/>
      <c r="F2205" s="65" t="n"/>
      <c r="G2205" s="68" t="str">
        <f>IF(J2205&lt;&gt;"OK","",IF(F2205="",N(INDEX(mat_loss,MATCH(B2205,mat_ref,0))),F2205))</f>
        <v/>
      </c>
      <c r="H2205" s="66" t="str">
        <f>IF(J2205&lt;&gt;"OK","",INDEX(mat_price,MATCH(B2205,mat_ref,0)))</f>
        <v/>
      </c>
      <c r="I2205" s="66" t="str">
        <f>IF(J2205&lt;&gt;"OK","",E2205*(1+G2205)*H2205)</f>
        <v/>
      </c>
      <c r="J2205" s="69" t="str">
        <f>IF(AND(A2205="",B2205=""),"",IF(A2205="","Produit manquant",IF(COUNTIF(prod_ref,A2205)=0,"Produit inconnu",IF(B2205="","Matière manquante",IF(ISNA(MATCH(B2205,mat_ref,0)),"Matière inconnue",IF(INDEX(mat_check,MATCH(B2205,mat_ref,0))&lt;&gt;"OK","Matière à corriger",IF(OR(NOT(ISNUMBER(E2205)),N(E2205)&lt;=0),"Quantité invalide",IF(AND(F2205&lt;&gt;"",OR(NOT(ISNUMBER(F2205)),N(F2205)&lt;0,N(F2205)&gt;=1)),"Perte entre 0 et 99 %",IF(COUNTIFS(bom_prod,A2205,bom_mat,B2205)&gt;1,"Matière en double","OK")))))))))</f>
        <v/>
      </c>
      <c r="K2205" s="71" t="str">
        <f>IF(AND(fiche_sel&lt;&gt;"",A2205=fiche_sel),COUNTIF(A$6:A2205,fiche_sel),"")</f>
        <v/>
      </c>
    </row>
    <row r="2206">
      <c r="A2206" s="60" t="n"/>
      <c r="B2206" s="60" t="n"/>
      <c r="C2206" s="71" t="str">
        <f>IF(B2206="","",IFERROR(INDEX(mat_des,MATCH(B2206,mat_ref,0))&amp;"","Matière inconnue"))</f>
        <v/>
      </c>
      <c r="D2206" s="69" t="str">
        <f>IF(B2206="","",IFERROR(INDEX(mat_unit,MATCH(B2206,mat_ref,0))&amp;"",""))</f>
        <v/>
      </c>
      <c r="E2206" s="72" t="n"/>
      <c r="F2206" s="65" t="n"/>
      <c r="G2206" s="68" t="str">
        <f>IF(J2206&lt;&gt;"OK","",IF(F2206="",N(INDEX(mat_loss,MATCH(B2206,mat_ref,0))),F2206))</f>
        <v/>
      </c>
      <c r="H2206" s="66" t="str">
        <f>IF(J2206&lt;&gt;"OK","",INDEX(mat_price,MATCH(B2206,mat_ref,0)))</f>
        <v/>
      </c>
      <c r="I2206" s="66" t="str">
        <f>IF(J2206&lt;&gt;"OK","",E2206*(1+G2206)*H2206)</f>
        <v/>
      </c>
      <c r="J2206" s="69" t="str">
        <f>IF(AND(A2206="",B2206=""),"",IF(A2206="","Produit manquant",IF(COUNTIF(prod_ref,A2206)=0,"Produit inconnu",IF(B2206="","Matière manquante",IF(ISNA(MATCH(B2206,mat_ref,0)),"Matière inconnue",IF(INDEX(mat_check,MATCH(B2206,mat_ref,0))&lt;&gt;"OK","Matière à corriger",IF(OR(NOT(ISNUMBER(E2206)),N(E2206)&lt;=0),"Quantité invalide",IF(AND(F2206&lt;&gt;"",OR(NOT(ISNUMBER(F2206)),N(F2206)&lt;0,N(F2206)&gt;=1)),"Perte entre 0 et 99 %",IF(COUNTIFS(bom_prod,A2206,bom_mat,B2206)&gt;1,"Matière en double","OK")))))))))</f>
        <v/>
      </c>
      <c r="K2206" s="71" t="str">
        <f>IF(AND(fiche_sel&lt;&gt;"",A2206=fiche_sel),COUNTIF(A$6:A2206,fiche_sel),"")</f>
        <v/>
      </c>
    </row>
    <row r="2207">
      <c r="A2207" s="60" t="n"/>
      <c r="B2207" s="60" t="n"/>
      <c r="C2207" s="71" t="str">
        <f>IF(B2207="","",IFERROR(INDEX(mat_des,MATCH(B2207,mat_ref,0))&amp;"","Matière inconnue"))</f>
        <v/>
      </c>
      <c r="D2207" s="69" t="str">
        <f>IF(B2207="","",IFERROR(INDEX(mat_unit,MATCH(B2207,mat_ref,0))&amp;"",""))</f>
        <v/>
      </c>
      <c r="E2207" s="72" t="n"/>
      <c r="F2207" s="65" t="n"/>
      <c r="G2207" s="68" t="str">
        <f>IF(J2207&lt;&gt;"OK","",IF(F2207="",N(INDEX(mat_loss,MATCH(B2207,mat_ref,0))),F2207))</f>
        <v/>
      </c>
      <c r="H2207" s="66" t="str">
        <f>IF(J2207&lt;&gt;"OK","",INDEX(mat_price,MATCH(B2207,mat_ref,0)))</f>
        <v/>
      </c>
      <c r="I2207" s="66" t="str">
        <f>IF(J2207&lt;&gt;"OK","",E2207*(1+G2207)*H2207)</f>
        <v/>
      </c>
      <c r="J2207" s="69" t="str">
        <f>IF(AND(A2207="",B2207=""),"",IF(A2207="","Produit manquant",IF(COUNTIF(prod_ref,A2207)=0,"Produit inconnu",IF(B2207="","Matière manquante",IF(ISNA(MATCH(B2207,mat_ref,0)),"Matière inconnue",IF(INDEX(mat_check,MATCH(B2207,mat_ref,0))&lt;&gt;"OK","Matière à corriger",IF(OR(NOT(ISNUMBER(E2207)),N(E2207)&lt;=0),"Quantité invalide",IF(AND(F2207&lt;&gt;"",OR(NOT(ISNUMBER(F2207)),N(F2207)&lt;0,N(F2207)&gt;=1)),"Perte entre 0 et 99 %",IF(COUNTIFS(bom_prod,A2207,bom_mat,B2207)&gt;1,"Matière en double","OK")))))))))</f>
        <v/>
      </c>
      <c r="K2207" s="71" t="str">
        <f>IF(AND(fiche_sel&lt;&gt;"",A2207=fiche_sel),COUNTIF(A$6:A2207,fiche_sel),"")</f>
        <v/>
      </c>
    </row>
    <row r="2208">
      <c r="A2208" s="60" t="n"/>
      <c r="B2208" s="60" t="n"/>
      <c r="C2208" s="71" t="str">
        <f>IF(B2208="","",IFERROR(INDEX(mat_des,MATCH(B2208,mat_ref,0))&amp;"","Matière inconnue"))</f>
        <v/>
      </c>
      <c r="D2208" s="69" t="str">
        <f>IF(B2208="","",IFERROR(INDEX(mat_unit,MATCH(B2208,mat_ref,0))&amp;"",""))</f>
        <v/>
      </c>
      <c r="E2208" s="72" t="n"/>
      <c r="F2208" s="65" t="n"/>
      <c r="G2208" s="68" t="str">
        <f>IF(J2208&lt;&gt;"OK","",IF(F2208="",N(INDEX(mat_loss,MATCH(B2208,mat_ref,0))),F2208))</f>
        <v/>
      </c>
      <c r="H2208" s="66" t="str">
        <f>IF(J2208&lt;&gt;"OK","",INDEX(mat_price,MATCH(B2208,mat_ref,0)))</f>
        <v/>
      </c>
      <c r="I2208" s="66" t="str">
        <f>IF(J2208&lt;&gt;"OK","",E2208*(1+G2208)*H2208)</f>
        <v/>
      </c>
      <c r="J2208" s="69" t="str">
        <f>IF(AND(A2208="",B2208=""),"",IF(A2208="","Produit manquant",IF(COUNTIF(prod_ref,A2208)=0,"Produit inconnu",IF(B2208="","Matière manquante",IF(ISNA(MATCH(B2208,mat_ref,0)),"Matière inconnue",IF(INDEX(mat_check,MATCH(B2208,mat_ref,0))&lt;&gt;"OK","Matière à corriger",IF(OR(NOT(ISNUMBER(E2208)),N(E2208)&lt;=0),"Quantité invalide",IF(AND(F2208&lt;&gt;"",OR(NOT(ISNUMBER(F2208)),N(F2208)&lt;0,N(F2208)&gt;=1)),"Perte entre 0 et 99 %",IF(COUNTIFS(bom_prod,A2208,bom_mat,B2208)&gt;1,"Matière en double","OK")))))))))</f>
        <v/>
      </c>
      <c r="K2208" s="71" t="str">
        <f>IF(AND(fiche_sel&lt;&gt;"",A2208=fiche_sel),COUNTIF(A$6:A2208,fiche_sel),"")</f>
        <v/>
      </c>
    </row>
    <row r="2209">
      <c r="A2209" s="60" t="n"/>
      <c r="B2209" s="60" t="n"/>
      <c r="C2209" s="71" t="str">
        <f>IF(B2209="","",IFERROR(INDEX(mat_des,MATCH(B2209,mat_ref,0))&amp;"","Matière inconnue"))</f>
        <v/>
      </c>
      <c r="D2209" s="69" t="str">
        <f>IF(B2209="","",IFERROR(INDEX(mat_unit,MATCH(B2209,mat_ref,0))&amp;"",""))</f>
        <v/>
      </c>
      <c r="E2209" s="72" t="n"/>
      <c r="F2209" s="65" t="n"/>
      <c r="G2209" s="68" t="str">
        <f>IF(J2209&lt;&gt;"OK","",IF(F2209="",N(INDEX(mat_loss,MATCH(B2209,mat_ref,0))),F2209))</f>
        <v/>
      </c>
      <c r="H2209" s="66" t="str">
        <f>IF(J2209&lt;&gt;"OK","",INDEX(mat_price,MATCH(B2209,mat_ref,0)))</f>
        <v/>
      </c>
      <c r="I2209" s="66" t="str">
        <f>IF(J2209&lt;&gt;"OK","",E2209*(1+G2209)*H2209)</f>
        <v/>
      </c>
      <c r="J2209" s="69" t="str">
        <f>IF(AND(A2209="",B2209=""),"",IF(A2209="","Produit manquant",IF(COUNTIF(prod_ref,A2209)=0,"Produit inconnu",IF(B2209="","Matière manquante",IF(ISNA(MATCH(B2209,mat_ref,0)),"Matière inconnue",IF(INDEX(mat_check,MATCH(B2209,mat_ref,0))&lt;&gt;"OK","Matière à corriger",IF(OR(NOT(ISNUMBER(E2209)),N(E2209)&lt;=0),"Quantité invalide",IF(AND(F2209&lt;&gt;"",OR(NOT(ISNUMBER(F2209)),N(F2209)&lt;0,N(F2209)&gt;=1)),"Perte entre 0 et 99 %",IF(COUNTIFS(bom_prod,A2209,bom_mat,B2209)&gt;1,"Matière en double","OK")))))))))</f>
        <v/>
      </c>
      <c r="K2209" s="71" t="str">
        <f>IF(AND(fiche_sel&lt;&gt;"",A2209=fiche_sel),COUNTIF(A$6:A2209,fiche_sel),"")</f>
        <v/>
      </c>
    </row>
    <row r="2210">
      <c r="A2210" s="60" t="n"/>
      <c r="B2210" s="60" t="n"/>
      <c r="C2210" s="71" t="str">
        <f>IF(B2210="","",IFERROR(INDEX(mat_des,MATCH(B2210,mat_ref,0))&amp;"","Matière inconnue"))</f>
        <v/>
      </c>
      <c r="D2210" s="69" t="str">
        <f>IF(B2210="","",IFERROR(INDEX(mat_unit,MATCH(B2210,mat_ref,0))&amp;"",""))</f>
        <v/>
      </c>
      <c r="E2210" s="72" t="n"/>
      <c r="F2210" s="65" t="n"/>
      <c r="G2210" s="68" t="str">
        <f>IF(J2210&lt;&gt;"OK","",IF(F2210="",N(INDEX(mat_loss,MATCH(B2210,mat_ref,0))),F2210))</f>
        <v/>
      </c>
      <c r="H2210" s="66" t="str">
        <f>IF(J2210&lt;&gt;"OK","",INDEX(mat_price,MATCH(B2210,mat_ref,0)))</f>
        <v/>
      </c>
      <c r="I2210" s="66" t="str">
        <f>IF(J2210&lt;&gt;"OK","",E2210*(1+G2210)*H2210)</f>
        <v/>
      </c>
      <c r="J2210" s="69" t="str">
        <f>IF(AND(A2210="",B2210=""),"",IF(A2210="","Produit manquant",IF(COUNTIF(prod_ref,A2210)=0,"Produit inconnu",IF(B2210="","Matière manquante",IF(ISNA(MATCH(B2210,mat_ref,0)),"Matière inconnue",IF(INDEX(mat_check,MATCH(B2210,mat_ref,0))&lt;&gt;"OK","Matière à corriger",IF(OR(NOT(ISNUMBER(E2210)),N(E2210)&lt;=0),"Quantité invalide",IF(AND(F2210&lt;&gt;"",OR(NOT(ISNUMBER(F2210)),N(F2210)&lt;0,N(F2210)&gt;=1)),"Perte entre 0 et 99 %",IF(COUNTIFS(bom_prod,A2210,bom_mat,B2210)&gt;1,"Matière en double","OK")))))))))</f>
        <v/>
      </c>
      <c r="K2210" s="71" t="str">
        <f>IF(AND(fiche_sel&lt;&gt;"",A2210=fiche_sel),COUNTIF(A$6:A2210,fiche_sel),"")</f>
        <v/>
      </c>
    </row>
    <row r="2211">
      <c r="A2211" s="60" t="n"/>
      <c r="B2211" s="60" t="n"/>
      <c r="C2211" s="71" t="str">
        <f>IF(B2211="","",IFERROR(INDEX(mat_des,MATCH(B2211,mat_ref,0))&amp;"","Matière inconnue"))</f>
        <v/>
      </c>
      <c r="D2211" s="69" t="str">
        <f>IF(B2211="","",IFERROR(INDEX(mat_unit,MATCH(B2211,mat_ref,0))&amp;"",""))</f>
        <v/>
      </c>
      <c r="E2211" s="72" t="n"/>
      <c r="F2211" s="65" t="n"/>
      <c r="G2211" s="68" t="str">
        <f>IF(J2211&lt;&gt;"OK","",IF(F2211="",N(INDEX(mat_loss,MATCH(B2211,mat_ref,0))),F2211))</f>
        <v/>
      </c>
      <c r="H2211" s="66" t="str">
        <f>IF(J2211&lt;&gt;"OK","",INDEX(mat_price,MATCH(B2211,mat_ref,0)))</f>
        <v/>
      </c>
      <c r="I2211" s="66" t="str">
        <f>IF(J2211&lt;&gt;"OK","",E2211*(1+G2211)*H2211)</f>
        <v/>
      </c>
      <c r="J2211" s="69" t="str">
        <f>IF(AND(A2211="",B2211=""),"",IF(A2211="","Produit manquant",IF(COUNTIF(prod_ref,A2211)=0,"Produit inconnu",IF(B2211="","Matière manquante",IF(ISNA(MATCH(B2211,mat_ref,0)),"Matière inconnue",IF(INDEX(mat_check,MATCH(B2211,mat_ref,0))&lt;&gt;"OK","Matière à corriger",IF(OR(NOT(ISNUMBER(E2211)),N(E2211)&lt;=0),"Quantité invalide",IF(AND(F2211&lt;&gt;"",OR(NOT(ISNUMBER(F2211)),N(F2211)&lt;0,N(F2211)&gt;=1)),"Perte entre 0 et 99 %",IF(COUNTIFS(bom_prod,A2211,bom_mat,B2211)&gt;1,"Matière en double","OK")))))))))</f>
        <v/>
      </c>
      <c r="K2211" s="71" t="str">
        <f>IF(AND(fiche_sel&lt;&gt;"",A2211=fiche_sel),COUNTIF(A$6:A2211,fiche_sel),"")</f>
        <v/>
      </c>
    </row>
    <row r="2212">
      <c r="A2212" s="60" t="n"/>
      <c r="B2212" s="60" t="n"/>
      <c r="C2212" s="71" t="str">
        <f>IF(B2212="","",IFERROR(INDEX(mat_des,MATCH(B2212,mat_ref,0))&amp;"","Matière inconnue"))</f>
        <v/>
      </c>
      <c r="D2212" s="69" t="str">
        <f>IF(B2212="","",IFERROR(INDEX(mat_unit,MATCH(B2212,mat_ref,0))&amp;"",""))</f>
        <v/>
      </c>
      <c r="E2212" s="72" t="n"/>
      <c r="F2212" s="65" t="n"/>
      <c r="G2212" s="68" t="str">
        <f>IF(J2212&lt;&gt;"OK","",IF(F2212="",N(INDEX(mat_loss,MATCH(B2212,mat_ref,0))),F2212))</f>
        <v/>
      </c>
      <c r="H2212" s="66" t="str">
        <f>IF(J2212&lt;&gt;"OK","",INDEX(mat_price,MATCH(B2212,mat_ref,0)))</f>
        <v/>
      </c>
      <c r="I2212" s="66" t="str">
        <f>IF(J2212&lt;&gt;"OK","",E2212*(1+G2212)*H2212)</f>
        <v/>
      </c>
      <c r="J2212" s="69" t="str">
        <f>IF(AND(A2212="",B2212=""),"",IF(A2212="","Produit manquant",IF(COUNTIF(prod_ref,A2212)=0,"Produit inconnu",IF(B2212="","Matière manquante",IF(ISNA(MATCH(B2212,mat_ref,0)),"Matière inconnue",IF(INDEX(mat_check,MATCH(B2212,mat_ref,0))&lt;&gt;"OK","Matière à corriger",IF(OR(NOT(ISNUMBER(E2212)),N(E2212)&lt;=0),"Quantité invalide",IF(AND(F2212&lt;&gt;"",OR(NOT(ISNUMBER(F2212)),N(F2212)&lt;0,N(F2212)&gt;=1)),"Perte entre 0 et 99 %",IF(COUNTIFS(bom_prod,A2212,bom_mat,B2212)&gt;1,"Matière en double","OK")))))))))</f>
        <v/>
      </c>
      <c r="K2212" s="71" t="str">
        <f>IF(AND(fiche_sel&lt;&gt;"",A2212=fiche_sel),COUNTIF(A$6:A2212,fiche_sel),"")</f>
        <v/>
      </c>
    </row>
    <row r="2213">
      <c r="A2213" s="60" t="n"/>
      <c r="B2213" s="60" t="n"/>
      <c r="C2213" s="71" t="str">
        <f>IF(B2213="","",IFERROR(INDEX(mat_des,MATCH(B2213,mat_ref,0))&amp;"","Matière inconnue"))</f>
        <v/>
      </c>
      <c r="D2213" s="69" t="str">
        <f>IF(B2213="","",IFERROR(INDEX(mat_unit,MATCH(B2213,mat_ref,0))&amp;"",""))</f>
        <v/>
      </c>
      <c r="E2213" s="72" t="n"/>
      <c r="F2213" s="65" t="n"/>
      <c r="G2213" s="68" t="str">
        <f>IF(J2213&lt;&gt;"OK","",IF(F2213="",N(INDEX(mat_loss,MATCH(B2213,mat_ref,0))),F2213))</f>
        <v/>
      </c>
      <c r="H2213" s="66" t="str">
        <f>IF(J2213&lt;&gt;"OK","",INDEX(mat_price,MATCH(B2213,mat_ref,0)))</f>
        <v/>
      </c>
      <c r="I2213" s="66" t="str">
        <f>IF(J2213&lt;&gt;"OK","",E2213*(1+G2213)*H2213)</f>
        <v/>
      </c>
      <c r="J2213" s="69" t="str">
        <f>IF(AND(A2213="",B2213=""),"",IF(A2213="","Produit manquant",IF(COUNTIF(prod_ref,A2213)=0,"Produit inconnu",IF(B2213="","Matière manquante",IF(ISNA(MATCH(B2213,mat_ref,0)),"Matière inconnue",IF(INDEX(mat_check,MATCH(B2213,mat_ref,0))&lt;&gt;"OK","Matière à corriger",IF(OR(NOT(ISNUMBER(E2213)),N(E2213)&lt;=0),"Quantité invalide",IF(AND(F2213&lt;&gt;"",OR(NOT(ISNUMBER(F2213)),N(F2213)&lt;0,N(F2213)&gt;=1)),"Perte entre 0 et 99 %",IF(COUNTIFS(bom_prod,A2213,bom_mat,B2213)&gt;1,"Matière en double","OK")))))))))</f>
        <v/>
      </c>
      <c r="K2213" s="71" t="str">
        <f>IF(AND(fiche_sel&lt;&gt;"",A2213=fiche_sel),COUNTIF(A$6:A2213,fiche_sel),"")</f>
        <v/>
      </c>
    </row>
    <row r="2214">
      <c r="A2214" s="60" t="n"/>
      <c r="B2214" s="60" t="n"/>
      <c r="C2214" s="71" t="str">
        <f>IF(B2214="","",IFERROR(INDEX(mat_des,MATCH(B2214,mat_ref,0))&amp;"","Matière inconnue"))</f>
        <v/>
      </c>
      <c r="D2214" s="69" t="str">
        <f>IF(B2214="","",IFERROR(INDEX(mat_unit,MATCH(B2214,mat_ref,0))&amp;"",""))</f>
        <v/>
      </c>
      <c r="E2214" s="72" t="n"/>
      <c r="F2214" s="65" t="n"/>
      <c r="G2214" s="68" t="str">
        <f>IF(J2214&lt;&gt;"OK","",IF(F2214="",N(INDEX(mat_loss,MATCH(B2214,mat_ref,0))),F2214))</f>
        <v/>
      </c>
      <c r="H2214" s="66" t="str">
        <f>IF(J2214&lt;&gt;"OK","",INDEX(mat_price,MATCH(B2214,mat_ref,0)))</f>
        <v/>
      </c>
      <c r="I2214" s="66" t="str">
        <f>IF(J2214&lt;&gt;"OK","",E2214*(1+G2214)*H2214)</f>
        <v/>
      </c>
      <c r="J2214" s="69" t="str">
        <f>IF(AND(A2214="",B2214=""),"",IF(A2214="","Produit manquant",IF(COUNTIF(prod_ref,A2214)=0,"Produit inconnu",IF(B2214="","Matière manquante",IF(ISNA(MATCH(B2214,mat_ref,0)),"Matière inconnue",IF(INDEX(mat_check,MATCH(B2214,mat_ref,0))&lt;&gt;"OK","Matière à corriger",IF(OR(NOT(ISNUMBER(E2214)),N(E2214)&lt;=0),"Quantité invalide",IF(AND(F2214&lt;&gt;"",OR(NOT(ISNUMBER(F2214)),N(F2214)&lt;0,N(F2214)&gt;=1)),"Perte entre 0 et 99 %",IF(COUNTIFS(bom_prod,A2214,bom_mat,B2214)&gt;1,"Matière en double","OK")))))))))</f>
        <v/>
      </c>
      <c r="K2214" s="71" t="str">
        <f>IF(AND(fiche_sel&lt;&gt;"",A2214=fiche_sel),COUNTIF(A$6:A2214,fiche_sel),"")</f>
        <v/>
      </c>
    </row>
    <row r="2215">
      <c r="A2215" s="60" t="n"/>
      <c r="B2215" s="60" t="n"/>
      <c r="C2215" s="71" t="str">
        <f>IF(B2215="","",IFERROR(INDEX(mat_des,MATCH(B2215,mat_ref,0))&amp;"","Matière inconnue"))</f>
        <v/>
      </c>
      <c r="D2215" s="69" t="str">
        <f>IF(B2215="","",IFERROR(INDEX(mat_unit,MATCH(B2215,mat_ref,0))&amp;"",""))</f>
        <v/>
      </c>
      <c r="E2215" s="72" t="n"/>
      <c r="F2215" s="65" t="n"/>
      <c r="G2215" s="68" t="str">
        <f>IF(J2215&lt;&gt;"OK","",IF(F2215="",N(INDEX(mat_loss,MATCH(B2215,mat_ref,0))),F2215))</f>
        <v/>
      </c>
      <c r="H2215" s="66" t="str">
        <f>IF(J2215&lt;&gt;"OK","",INDEX(mat_price,MATCH(B2215,mat_ref,0)))</f>
        <v/>
      </c>
      <c r="I2215" s="66" t="str">
        <f>IF(J2215&lt;&gt;"OK","",E2215*(1+G2215)*H2215)</f>
        <v/>
      </c>
      <c r="J2215" s="69" t="str">
        <f>IF(AND(A2215="",B2215=""),"",IF(A2215="","Produit manquant",IF(COUNTIF(prod_ref,A2215)=0,"Produit inconnu",IF(B2215="","Matière manquante",IF(ISNA(MATCH(B2215,mat_ref,0)),"Matière inconnue",IF(INDEX(mat_check,MATCH(B2215,mat_ref,0))&lt;&gt;"OK","Matière à corriger",IF(OR(NOT(ISNUMBER(E2215)),N(E2215)&lt;=0),"Quantité invalide",IF(AND(F2215&lt;&gt;"",OR(NOT(ISNUMBER(F2215)),N(F2215)&lt;0,N(F2215)&gt;=1)),"Perte entre 0 et 99 %",IF(COUNTIFS(bom_prod,A2215,bom_mat,B2215)&gt;1,"Matière en double","OK")))))))))</f>
        <v/>
      </c>
      <c r="K2215" s="71" t="str">
        <f>IF(AND(fiche_sel&lt;&gt;"",A2215=fiche_sel),COUNTIF(A$6:A2215,fiche_sel),"")</f>
        <v/>
      </c>
    </row>
    <row r="2216">
      <c r="A2216" s="60" t="n"/>
      <c r="B2216" s="60" t="n"/>
      <c r="C2216" s="71" t="str">
        <f>IF(B2216="","",IFERROR(INDEX(mat_des,MATCH(B2216,mat_ref,0))&amp;"","Matière inconnue"))</f>
        <v/>
      </c>
      <c r="D2216" s="69" t="str">
        <f>IF(B2216="","",IFERROR(INDEX(mat_unit,MATCH(B2216,mat_ref,0))&amp;"",""))</f>
        <v/>
      </c>
      <c r="E2216" s="72" t="n"/>
      <c r="F2216" s="65" t="n"/>
      <c r="G2216" s="68" t="str">
        <f>IF(J2216&lt;&gt;"OK","",IF(F2216="",N(INDEX(mat_loss,MATCH(B2216,mat_ref,0))),F2216))</f>
        <v/>
      </c>
      <c r="H2216" s="66" t="str">
        <f>IF(J2216&lt;&gt;"OK","",INDEX(mat_price,MATCH(B2216,mat_ref,0)))</f>
        <v/>
      </c>
      <c r="I2216" s="66" t="str">
        <f>IF(J2216&lt;&gt;"OK","",E2216*(1+G2216)*H2216)</f>
        <v/>
      </c>
      <c r="J2216" s="69" t="str">
        <f>IF(AND(A2216="",B2216=""),"",IF(A2216="","Produit manquant",IF(COUNTIF(prod_ref,A2216)=0,"Produit inconnu",IF(B2216="","Matière manquante",IF(ISNA(MATCH(B2216,mat_ref,0)),"Matière inconnue",IF(INDEX(mat_check,MATCH(B2216,mat_ref,0))&lt;&gt;"OK","Matière à corriger",IF(OR(NOT(ISNUMBER(E2216)),N(E2216)&lt;=0),"Quantité invalide",IF(AND(F2216&lt;&gt;"",OR(NOT(ISNUMBER(F2216)),N(F2216)&lt;0,N(F2216)&gt;=1)),"Perte entre 0 et 99 %",IF(COUNTIFS(bom_prod,A2216,bom_mat,B2216)&gt;1,"Matière en double","OK")))))))))</f>
        <v/>
      </c>
      <c r="K2216" s="71" t="str">
        <f>IF(AND(fiche_sel&lt;&gt;"",A2216=fiche_sel),COUNTIF(A$6:A2216,fiche_sel),"")</f>
        <v/>
      </c>
    </row>
    <row r="2217">
      <c r="A2217" s="60" t="n"/>
      <c r="B2217" s="60" t="n"/>
      <c r="C2217" s="71" t="str">
        <f>IF(B2217="","",IFERROR(INDEX(mat_des,MATCH(B2217,mat_ref,0))&amp;"","Matière inconnue"))</f>
        <v/>
      </c>
      <c r="D2217" s="69" t="str">
        <f>IF(B2217="","",IFERROR(INDEX(mat_unit,MATCH(B2217,mat_ref,0))&amp;"",""))</f>
        <v/>
      </c>
      <c r="E2217" s="72" t="n"/>
      <c r="F2217" s="65" t="n"/>
      <c r="G2217" s="68" t="str">
        <f>IF(J2217&lt;&gt;"OK","",IF(F2217="",N(INDEX(mat_loss,MATCH(B2217,mat_ref,0))),F2217))</f>
        <v/>
      </c>
      <c r="H2217" s="66" t="str">
        <f>IF(J2217&lt;&gt;"OK","",INDEX(mat_price,MATCH(B2217,mat_ref,0)))</f>
        <v/>
      </c>
      <c r="I2217" s="66" t="str">
        <f>IF(J2217&lt;&gt;"OK","",E2217*(1+G2217)*H2217)</f>
        <v/>
      </c>
      <c r="J2217" s="69" t="str">
        <f>IF(AND(A2217="",B2217=""),"",IF(A2217="","Produit manquant",IF(COUNTIF(prod_ref,A2217)=0,"Produit inconnu",IF(B2217="","Matière manquante",IF(ISNA(MATCH(B2217,mat_ref,0)),"Matière inconnue",IF(INDEX(mat_check,MATCH(B2217,mat_ref,0))&lt;&gt;"OK","Matière à corriger",IF(OR(NOT(ISNUMBER(E2217)),N(E2217)&lt;=0),"Quantité invalide",IF(AND(F2217&lt;&gt;"",OR(NOT(ISNUMBER(F2217)),N(F2217)&lt;0,N(F2217)&gt;=1)),"Perte entre 0 et 99 %",IF(COUNTIFS(bom_prod,A2217,bom_mat,B2217)&gt;1,"Matière en double","OK")))))))))</f>
        <v/>
      </c>
      <c r="K2217" s="71" t="str">
        <f>IF(AND(fiche_sel&lt;&gt;"",A2217=fiche_sel),COUNTIF(A$6:A2217,fiche_sel),"")</f>
        <v/>
      </c>
    </row>
    <row r="2218">
      <c r="A2218" s="60" t="n"/>
      <c r="B2218" s="60" t="n"/>
      <c r="C2218" s="71" t="str">
        <f>IF(B2218="","",IFERROR(INDEX(mat_des,MATCH(B2218,mat_ref,0))&amp;"","Matière inconnue"))</f>
        <v/>
      </c>
      <c r="D2218" s="69" t="str">
        <f>IF(B2218="","",IFERROR(INDEX(mat_unit,MATCH(B2218,mat_ref,0))&amp;"",""))</f>
        <v/>
      </c>
      <c r="E2218" s="72" t="n"/>
      <c r="F2218" s="65" t="n"/>
      <c r="G2218" s="68" t="str">
        <f>IF(J2218&lt;&gt;"OK","",IF(F2218="",N(INDEX(mat_loss,MATCH(B2218,mat_ref,0))),F2218))</f>
        <v/>
      </c>
      <c r="H2218" s="66" t="str">
        <f>IF(J2218&lt;&gt;"OK","",INDEX(mat_price,MATCH(B2218,mat_ref,0)))</f>
        <v/>
      </c>
      <c r="I2218" s="66" t="str">
        <f>IF(J2218&lt;&gt;"OK","",E2218*(1+G2218)*H2218)</f>
        <v/>
      </c>
      <c r="J2218" s="69" t="str">
        <f>IF(AND(A2218="",B2218=""),"",IF(A2218="","Produit manquant",IF(COUNTIF(prod_ref,A2218)=0,"Produit inconnu",IF(B2218="","Matière manquante",IF(ISNA(MATCH(B2218,mat_ref,0)),"Matière inconnue",IF(INDEX(mat_check,MATCH(B2218,mat_ref,0))&lt;&gt;"OK","Matière à corriger",IF(OR(NOT(ISNUMBER(E2218)),N(E2218)&lt;=0),"Quantité invalide",IF(AND(F2218&lt;&gt;"",OR(NOT(ISNUMBER(F2218)),N(F2218)&lt;0,N(F2218)&gt;=1)),"Perte entre 0 et 99 %",IF(COUNTIFS(bom_prod,A2218,bom_mat,B2218)&gt;1,"Matière en double","OK")))))))))</f>
        <v/>
      </c>
      <c r="K2218" s="71" t="str">
        <f>IF(AND(fiche_sel&lt;&gt;"",A2218=fiche_sel),COUNTIF(A$6:A2218,fiche_sel),"")</f>
        <v/>
      </c>
    </row>
    <row r="2219">
      <c r="A2219" s="60" t="n"/>
      <c r="B2219" s="60" t="n"/>
      <c r="C2219" s="71" t="str">
        <f>IF(B2219="","",IFERROR(INDEX(mat_des,MATCH(B2219,mat_ref,0))&amp;"","Matière inconnue"))</f>
        <v/>
      </c>
      <c r="D2219" s="69" t="str">
        <f>IF(B2219="","",IFERROR(INDEX(mat_unit,MATCH(B2219,mat_ref,0))&amp;"",""))</f>
        <v/>
      </c>
      <c r="E2219" s="72" t="n"/>
      <c r="F2219" s="65" t="n"/>
      <c r="G2219" s="68" t="str">
        <f>IF(J2219&lt;&gt;"OK","",IF(F2219="",N(INDEX(mat_loss,MATCH(B2219,mat_ref,0))),F2219))</f>
        <v/>
      </c>
      <c r="H2219" s="66" t="str">
        <f>IF(J2219&lt;&gt;"OK","",INDEX(mat_price,MATCH(B2219,mat_ref,0)))</f>
        <v/>
      </c>
      <c r="I2219" s="66" t="str">
        <f>IF(J2219&lt;&gt;"OK","",E2219*(1+G2219)*H2219)</f>
        <v/>
      </c>
      <c r="J2219" s="69" t="str">
        <f>IF(AND(A2219="",B2219=""),"",IF(A2219="","Produit manquant",IF(COUNTIF(prod_ref,A2219)=0,"Produit inconnu",IF(B2219="","Matière manquante",IF(ISNA(MATCH(B2219,mat_ref,0)),"Matière inconnue",IF(INDEX(mat_check,MATCH(B2219,mat_ref,0))&lt;&gt;"OK","Matière à corriger",IF(OR(NOT(ISNUMBER(E2219)),N(E2219)&lt;=0),"Quantité invalide",IF(AND(F2219&lt;&gt;"",OR(NOT(ISNUMBER(F2219)),N(F2219)&lt;0,N(F2219)&gt;=1)),"Perte entre 0 et 99 %",IF(COUNTIFS(bom_prod,A2219,bom_mat,B2219)&gt;1,"Matière en double","OK")))))))))</f>
        <v/>
      </c>
      <c r="K2219" s="71" t="str">
        <f>IF(AND(fiche_sel&lt;&gt;"",A2219=fiche_sel),COUNTIF(A$6:A2219,fiche_sel),"")</f>
        <v/>
      </c>
    </row>
    <row r="2220">
      <c r="A2220" s="60" t="n"/>
      <c r="B2220" s="60" t="n"/>
      <c r="C2220" s="71" t="str">
        <f>IF(B2220="","",IFERROR(INDEX(mat_des,MATCH(B2220,mat_ref,0))&amp;"","Matière inconnue"))</f>
        <v/>
      </c>
      <c r="D2220" s="69" t="str">
        <f>IF(B2220="","",IFERROR(INDEX(mat_unit,MATCH(B2220,mat_ref,0))&amp;"",""))</f>
        <v/>
      </c>
      <c r="E2220" s="72" t="n"/>
      <c r="F2220" s="65" t="n"/>
      <c r="G2220" s="68" t="str">
        <f>IF(J2220&lt;&gt;"OK","",IF(F2220="",N(INDEX(mat_loss,MATCH(B2220,mat_ref,0))),F2220))</f>
        <v/>
      </c>
      <c r="H2220" s="66" t="str">
        <f>IF(J2220&lt;&gt;"OK","",INDEX(mat_price,MATCH(B2220,mat_ref,0)))</f>
        <v/>
      </c>
      <c r="I2220" s="66" t="str">
        <f>IF(J2220&lt;&gt;"OK","",E2220*(1+G2220)*H2220)</f>
        <v/>
      </c>
      <c r="J2220" s="69" t="str">
        <f>IF(AND(A2220="",B2220=""),"",IF(A2220="","Produit manquant",IF(COUNTIF(prod_ref,A2220)=0,"Produit inconnu",IF(B2220="","Matière manquante",IF(ISNA(MATCH(B2220,mat_ref,0)),"Matière inconnue",IF(INDEX(mat_check,MATCH(B2220,mat_ref,0))&lt;&gt;"OK","Matière à corriger",IF(OR(NOT(ISNUMBER(E2220)),N(E2220)&lt;=0),"Quantité invalide",IF(AND(F2220&lt;&gt;"",OR(NOT(ISNUMBER(F2220)),N(F2220)&lt;0,N(F2220)&gt;=1)),"Perte entre 0 et 99 %",IF(COUNTIFS(bom_prod,A2220,bom_mat,B2220)&gt;1,"Matière en double","OK")))))))))</f>
        <v/>
      </c>
      <c r="K2220" s="71" t="str">
        <f>IF(AND(fiche_sel&lt;&gt;"",A2220=fiche_sel),COUNTIF(A$6:A2220,fiche_sel),"")</f>
        <v/>
      </c>
    </row>
    <row r="2221">
      <c r="A2221" s="60" t="n"/>
      <c r="B2221" s="60" t="n"/>
      <c r="C2221" s="71" t="str">
        <f>IF(B2221="","",IFERROR(INDEX(mat_des,MATCH(B2221,mat_ref,0))&amp;"","Matière inconnue"))</f>
        <v/>
      </c>
      <c r="D2221" s="69" t="str">
        <f>IF(B2221="","",IFERROR(INDEX(mat_unit,MATCH(B2221,mat_ref,0))&amp;"",""))</f>
        <v/>
      </c>
      <c r="E2221" s="72" t="n"/>
      <c r="F2221" s="65" t="n"/>
      <c r="G2221" s="68" t="str">
        <f>IF(J2221&lt;&gt;"OK","",IF(F2221="",N(INDEX(mat_loss,MATCH(B2221,mat_ref,0))),F2221))</f>
        <v/>
      </c>
      <c r="H2221" s="66" t="str">
        <f>IF(J2221&lt;&gt;"OK","",INDEX(mat_price,MATCH(B2221,mat_ref,0)))</f>
        <v/>
      </c>
      <c r="I2221" s="66" t="str">
        <f>IF(J2221&lt;&gt;"OK","",E2221*(1+G2221)*H2221)</f>
        <v/>
      </c>
      <c r="J2221" s="69" t="str">
        <f>IF(AND(A2221="",B2221=""),"",IF(A2221="","Produit manquant",IF(COUNTIF(prod_ref,A2221)=0,"Produit inconnu",IF(B2221="","Matière manquante",IF(ISNA(MATCH(B2221,mat_ref,0)),"Matière inconnue",IF(INDEX(mat_check,MATCH(B2221,mat_ref,0))&lt;&gt;"OK","Matière à corriger",IF(OR(NOT(ISNUMBER(E2221)),N(E2221)&lt;=0),"Quantité invalide",IF(AND(F2221&lt;&gt;"",OR(NOT(ISNUMBER(F2221)),N(F2221)&lt;0,N(F2221)&gt;=1)),"Perte entre 0 et 99 %",IF(COUNTIFS(bom_prod,A2221,bom_mat,B2221)&gt;1,"Matière en double","OK")))))))))</f>
        <v/>
      </c>
      <c r="K2221" s="71" t="str">
        <f>IF(AND(fiche_sel&lt;&gt;"",A2221=fiche_sel),COUNTIF(A$6:A2221,fiche_sel),"")</f>
        <v/>
      </c>
    </row>
    <row r="2222">
      <c r="A2222" s="60" t="n"/>
      <c r="B2222" s="60" t="n"/>
      <c r="C2222" s="71" t="str">
        <f>IF(B2222="","",IFERROR(INDEX(mat_des,MATCH(B2222,mat_ref,0))&amp;"","Matière inconnue"))</f>
        <v/>
      </c>
      <c r="D2222" s="69" t="str">
        <f>IF(B2222="","",IFERROR(INDEX(mat_unit,MATCH(B2222,mat_ref,0))&amp;"",""))</f>
        <v/>
      </c>
      <c r="E2222" s="72" t="n"/>
      <c r="F2222" s="65" t="n"/>
      <c r="G2222" s="68" t="str">
        <f>IF(J2222&lt;&gt;"OK","",IF(F2222="",N(INDEX(mat_loss,MATCH(B2222,mat_ref,0))),F2222))</f>
        <v/>
      </c>
      <c r="H2222" s="66" t="str">
        <f>IF(J2222&lt;&gt;"OK","",INDEX(mat_price,MATCH(B2222,mat_ref,0)))</f>
        <v/>
      </c>
      <c r="I2222" s="66" t="str">
        <f>IF(J2222&lt;&gt;"OK","",E2222*(1+G2222)*H2222)</f>
        <v/>
      </c>
      <c r="J2222" s="69" t="str">
        <f>IF(AND(A2222="",B2222=""),"",IF(A2222="","Produit manquant",IF(COUNTIF(prod_ref,A2222)=0,"Produit inconnu",IF(B2222="","Matière manquante",IF(ISNA(MATCH(B2222,mat_ref,0)),"Matière inconnue",IF(INDEX(mat_check,MATCH(B2222,mat_ref,0))&lt;&gt;"OK","Matière à corriger",IF(OR(NOT(ISNUMBER(E2222)),N(E2222)&lt;=0),"Quantité invalide",IF(AND(F2222&lt;&gt;"",OR(NOT(ISNUMBER(F2222)),N(F2222)&lt;0,N(F2222)&gt;=1)),"Perte entre 0 et 99 %",IF(COUNTIFS(bom_prod,A2222,bom_mat,B2222)&gt;1,"Matière en double","OK")))))))))</f>
        <v/>
      </c>
      <c r="K2222" s="71" t="str">
        <f>IF(AND(fiche_sel&lt;&gt;"",A2222=fiche_sel),COUNTIF(A$6:A2222,fiche_sel),"")</f>
        <v/>
      </c>
    </row>
    <row r="2223">
      <c r="A2223" s="60" t="n"/>
      <c r="B2223" s="60" t="n"/>
      <c r="C2223" s="71" t="str">
        <f>IF(B2223="","",IFERROR(INDEX(mat_des,MATCH(B2223,mat_ref,0))&amp;"","Matière inconnue"))</f>
        <v/>
      </c>
      <c r="D2223" s="69" t="str">
        <f>IF(B2223="","",IFERROR(INDEX(mat_unit,MATCH(B2223,mat_ref,0))&amp;"",""))</f>
        <v/>
      </c>
      <c r="E2223" s="72" t="n"/>
      <c r="F2223" s="65" t="n"/>
      <c r="G2223" s="68" t="str">
        <f>IF(J2223&lt;&gt;"OK","",IF(F2223="",N(INDEX(mat_loss,MATCH(B2223,mat_ref,0))),F2223))</f>
        <v/>
      </c>
      <c r="H2223" s="66" t="str">
        <f>IF(J2223&lt;&gt;"OK","",INDEX(mat_price,MATCH(B2223,mat_ref,0)))</f>
        <v/>
      </c>
      <c r="I2223" s="66" t="str">
        <f>IF(J2223&lt;&gt;"OK","",E2223*(1+G2223)*H2223)</f>
        <v/>
      </c>
      <c r="J2223" s="69" t="str">
        <f>IF(AND(A2223="",B2223=""),"",IF(A2223="","Produit manquant",IF(COUNTIF(prod_ref,A2223)=0,"Produit inconnu",IF(B2223="","Matière manquante",IF(ISNA(MATCH(B2223,mat_ref,0)),"Matière inconnue",IF(INDEX(mat_check,MATCH(B2223,mat_ref,0))&lt;&gt;"OK","Matière à corriger",IF(OR(NOT(ISNUMBER(E2223)),N(E2223)&lt;=0),"Quantité invalide",IF(AND(F2223&lt;&gt;"",OR(NOT(ISNUMBER(F2223)),N(F2223)&lt;0,N(F2223)&gt;=1)),"Perte entre 0 et 99 %",IF(COUNTIFS(bom_prod,A2223,bom_mat,B2223)&gt;1,"Matière en double","OK")))))))))</f>
        <v/>
      </c>
      <c r="K2223" s="71" t="str">
        <f>IF(AND(fiche_sel&lt;&gt;"",A2223=fiche_sel),COUNTIF(A$6:A2223,fiche_sel),"")</f>
        <v/>
      </c>
    </row>
    <row r="2224">
      <c r="A2224" s="60" t="n"/>
      <c r="B2224" s="60" t="n"/>
      <c r="C2224" s="71" t="str">
        <f>IF(B2224="","",IFERROR(INDEX(mat_des,MATCH(B2224,mat_ref,0))&amp;"","Matière inconnue"))</f>
        <v/>
      </c>
      <c r="D2224" s="69" t="str">
        <f>IF(B2224="","",IFERROR(INDEX(mat_unit,MATCH(B2224,mat_ref,0))&amp;"",""))</f>
        <v/>
      </c>
      <c r="E2224" s="72" t="n"/>
      <c r="F2224" s="65" t="n"/>
      <c r="G2224" s="68" t="str">
        <f>IF(J2224&lt;&gt;"OK","",IF(F2224="",N(INDEX(mat_loss,MATCH(B2224,mat_ref,0))),F2224))</f>
        <v/>
      </c>
      <c r="H2224" s="66" t="str">
        <f>IF(J2224&lt;&gt;"OK","",INDEX(mat_price,MATCH(B2224,mat_ref,0)))</f>
        <v/>
      </c>
      <c r="I2224" s="66" t="str">
        <f>IF(J2224&lt;&gt;"OK","",E2224*(1+G2224)*H2224)</f>
        <v/>
      </c>
      <c r="J2224" s="69" t="str">
        <f>IF(AND(A2224="",B2224=""),"",IF(A2224="","Produit manquant",IF(COUNTIF(prod_ref,A2224)=0,"Produit inconnu",IF(B2224="","Matière manquante",IF(ISNA(MATCH(B2224,mat_ref,0)),"Matière inconnue",IF(INDEX(mat_check,MATCH(B2224,mat_ref,0))&lt;&gt;"OK","Matière à corriger",IF(OR(NOT(ISNUMBER(E2224)),N(E2224)&lt;=0),"Quantité invalide",IF(AND(F2224&lt;&gt;"",OR(NOT(ISNUMBER(F2224)),N(F2224)&lt;0,N(F2224)&gt;=1)),"Perte entre 0 et 99 %",IF(COUNTIFS(bom_prod,A2224,bom_mat,B2224)&gt;1,"Matière en double","OK")))))))))</f>
        <v/>
      </c>
      <c r="K2224" s="71" t="str">
        <f>IF(AND(fiche_sel&lt;&gt;"",A2224=fiche_sel),COUNTIF(A$6:A2224,fiche_sel),"")</f>
        <v/>
      </c>
    </row>
    <row r="2225">
      <c r="A2225" s="60" t="n"/>
      <c r="B2225" s="60" t="n"/>
      <c r="C2225" s="71" t="str">
        <f>IF(B2225="","",IFERROR(INDEX(mat_des,MATCH(B2225,mat_ref,0))&amp;"","Matière inconnue"))</f>
        <v/>
      </c>
      <c r="D2225" s="69" t="str">
        <f>IF(B2225="","",IFERROR(INDEX(mat_unit,MATCH(B2225,mat_ref,0))&amp;"",""))</f>
        <v/>
      </c>
      <c r="E2225" s="72" t="n"/>
      <c r="F2225" s="65" t="n"/>
      <c r="G2225" s="68" t="str">
        <f>IF(J2225&lt;&gt;"OK","",IF(F2225="",N(INDEX(mat_loss,MATCH(B2225,mat_ref,0))),F2225))</f>
        <v/>
      </c>
      <c r="H2225" s="66" t="str">
        <f>IF(J2225&lt;&gt;"OK","",INDEX(mat_price,MATCH(B2225,mat_ref,0)))</f>
        <v/>
      </c>
      <c r="I2225" s="66" t="str">
        <f>IF(J2225&lt;&gt;"OK","",E2225*(1+G2225)*H2225)</f>
        <v/>
      </c>
      <c r="J2225" s="69" t="str">
        <f>IF(AND(A2225="",B2225=""),"",IF(A2225="","Produit manquant",IF(COUNTIF(prod_ref,A2225)=0,"Produit inconnu",IF(B2225="","Matière manquante",IF(ISNA(MATCH(B2225,mat_ref,0)),"Matière inconnue",IF(INDEX(mat_check,MATCH(B2225,mat_ref,0))&lt;&gt;"OK","Matière à corriger",IF(OR(NOT(ISNUMBER(E2225)),N(E2225)&lt;=0),"Quantité invalide",IF(AND(F2225&lt;&gt;"",OR(NOT(ISNUMBER(F2225)),N(F2225)&lt;0,N(F2225)&gt;=1)),"Perte entre 0 et 99 %",IF(COUNTIFS(bom_prod,A2225,bom_mat,B2225)&gt;1,"Matière en double","OK")))))))))</f>
        <v/>
      </c>
      <c r="K2225" s="71" t="str">
        <f>IF(AND(fiche_sel&lt;&gt;"",A2225=fiche_sel),COUNTIF(A$6:A2225,fiche_sel),"")</f>
        <v/>
      </c>
    </row>
    <row r="2226">
      <c r="A2226" s="60" t="n"/>
      <c r="B2226" s="60" t="n"/>
      <c r="C2226" s="71" t="str">
        <f>IF(B2226="","",IFERROR(INDEX(mat_des,MATCH(B2226,mat_ref,0))&amp;"","Matière inconnue"))</f>
        <v/>
      </c>
      <c r="D2226" s="69" t="str">
        <f>IF(B2226="","",IFERROR(INDEX(mat_unit,MATCH(B2226,mat_ref,0))&amp;"",""))</f>
        <v/>
      </c>
      <c r="E2226" s="72" t="n"/>
      <c r="F2226" s="65" t="n"/>
      <c r="G2226" s="68" t="str">
        <f>IF(J2226&lt;&gt;"OK","",IF(F2226="",N(INDEX(mat_loss,MATCH(B2226,mat_ref,0))),F2226))</f>
        <v/>
      </c>
      <c r="H2226" s="66" t="str">
        <f>IF(J2226&lt;&gt;"OK","",INDEX(mat_price,MATCH(B2226,mat_ref,0)))</f>
        <v/>
      </c>
      <c r="I2226" s="66" t="str">
        <f>IF(J2226&lt;&gt;"OK","",E2226*(1+G2226)*H2226)</f>
        <v/>
      </c>
      <c r="J2226" s="69" t="str">
        <f>IF(AND(A2226="",B2226=""),"",IF(A2226="","Produit manquant",IF(COUNTIF(prod_ref,A2226)=0,"Produit inconnu",IF(B2226="","Matière manquante",IF(ISNA(MATCH(B2226,mat_ref,0)),"Matière inconnue",IF(INDEX(mat_check,MATCH(B2226,mat_ref,0))&lt;&gt;"OK","Matière à corriger",IF(OR(NOT(ISNUMBER(E2226)),N(E2226)&lt;=0),"Quantité invalide",IF(AND(F2226&lt;&gt;"",OR(NOT(ISNUMBER(F2226)),N(F2226)&lt;0,N(F2226)&gt;=1)),"Perte entre 0 et 99 %",IF(COUNTIFS(bom_prod,A2226,bom_mat,B2226)&gt;1,"Matière en double","OK")))))))))</f>
        <v/>
      </c>
      <c r="K2226" s="71" t="str">
        <f>IF(AND(fiche_sel&lt;&gt;"",A2226=fiche_sel),COUNTIF(A$6:A2226,fiche_sel),"")</f>
        <v/>
      </c>
    </row>
    <row r="2227">
      <c r="A2227" s="60" t="n"/>
      <c r="B2227" s="60" t="n"/>
      <c r="C2227" s="71" t="str">
        <f>IF(B2227="","",IFERROR(INDEX(mat_des,MATCH(B2227,mat_ref,0))&amp;"","Matière inconnue"))</f>
        <v/>
      </c>
      <c r="D2227" s="69" t="str">
        <f>IF(B2227="","",IFERROR(INDEX(mat_unit,MATCH(B2227,mat_ref,0))&amp;"",""))</f>
        <v/>
      </c>
      <c r="E2227" s="72" t="n"/>
      <c r="F2227" s="65" t="n"/>
      <c r="G2227" s="68" t="str">
        <f>IF(J2227&lt;&gt;"OK","",IF(F2227="",N(INDEX(mat_loss,MATCH(B2227,mat_ref,0))),F2227))</f>
        <v/>
      </c>
      <c r="H2227" s="66" t="str">
        <f>IF(J2227&lt;&gt;"OK","",INDEX(mat_price,MATCH(B2227,mat_ref,0)))</f>
        <v/>
      </c>
      <c r="I2227" s="66" t="str">
        <f>IF(J2227&lt;&gt;"OK","",E2227*(1+G2227)*H2227)</f>
        <v/>
      </c>
      <c r="J2227" s="69" t="str">
        <f>IF(AND(A2227="",B2227=""),"",IF(A2227="","Produit manquant",IF(COUNTIF(prod_ref,A2227)=0,"Produit inconnu",IF(B2227="","Matière manquante",IF(ISNA(MATCH(B2227,mat_ref,0)),"Matière inconnue",IF(INDEX(mat_check,MATCH(B2227,mat_ref,0))&lt;&gt;"OK","Matière à corriger",IF(OR(NOT(ISNUMBER(E2227)),N(E2227)&lt;=0),"Quantité invalide",IF(AND(F2227&lt;&gt;"",OR(NOT(ISNUMBER(F2227)),N(F2227)&lt;0,N(F2227)&gt;=1)),"Perte entre 0 et 99 %",IF(COUNTIFS(bom_prod,A2227,bom_mat,B2227)&gt;1,"Matière en double","OK")))))))))</f>
        <v/>
      </c>
      <c r="K2227" s="71" t="str">
        <f>IF(AND(fiche_sel&lt;&gt;"",A2227=fiche_sel),COUNTIF(A$6:A2227,fiche_sel),"")</f>
        <v/>
      </c>
    </row>
    <row r="2228">
      <c r="A2228" s="60" t="n"/>
      <c r="B2228" s="60" t="n"/>
      <c r="C2228" s="71" t="str">
        <f>IF(B2228="","",IFERROR(INDEX(mat_des,MATCH(B2228,mat_ref,0))&amp;"","Matière inconnue"))</f>
        <v/>
      </c>
      <c r="D2228" s="69" t="str">
        <f>IF(B2228="","",IFERROR(INDEX(mat_unit,MATCH(B2228,mat_ref,0))&amp;"",""))</f>
        <v/>
      </c>
      <c r="E2228" s="72" t="n"/>
      <c r="F2228" s="65" t="n"/>
      <c r="G2228" s="68" t="str">
        <f>IF(J2228&lt;&gt;"OK","",IF(F2228="",N(INDEX(mat_loss,MATCH(B2228,mat_ref,0))),F2228))</f>
        <v/>
      </c>
      <c r="H2228" s="66" t="str">
        <f>IF(J2228&lt;&gt;"OK","",INDEX(mat_price,MATCH(B2228,mat_ref,0)))</f>
        <v/>
      </c>
      <c r="I2228" s="66" t="str">
        <f>IF(J2228&lt;&gt;"OK","",E2228*(1+G2228)*H2228)</f>
        <v/>
      </c>
      <c r="J2228" s="69" t="str">
        <f>IF(AND(A2228="",B2228=""),"",IF(A2228="","Produit manquant",IF(COUNTIF(prod_ref,A2228)=0,"Produit inconnu",IF(B2228="","Matière manquante",IF(ISNA(MATCH(B2228,mat_ref,0)),"Matière inconnue",IF(INDEX(mat_check,MATCH(B2228,mat_ref,0))&lt;&gt;"OK","Matière à corriger",IF(OR(NOT(ISNUMBER(E2228)),N(E2228)&lt;=0),"Quantité invalide",IF(AND(F2228&lt;&gt;"",OR(NOT(ISNUMBER(F2228)),N(F2228)&lt;0,N(F2228)&gt;=1)),"Perte entre 0 et 99 %",IF(COUNTIFS(bom_prod,A2228,bom_mat,B2228)&gt;1,"Matière en double","OK")))))))))</f>
        <v/>
      </c>
      <c r="K2228" s="71" t="str">
        <f>IF(AND(fiche_sel&lt;&gt;"",A2228=fiche_sel),COUNTIF(A$6:A2228,fiche_sel),"")</f>
        <v/>
      </c>
    </row>
    <row r="2229">
      <c r="A2229" s="60" t="n"/>
      <c r="B2229" s="60" t="n"/>
      <c r="C2229" s="71" t="str">
        <f>IF(B2229="","",IFERROR(INDEX(mat_des,MATCH(B2229,mat_ref,0))&amp;"","Matière inconnue"))</f>
        <v/>
      </c>
      <c r="D2229" s="69" t="str">
        <f>IF(B2229="","",IFERROR(INDEX(mat_unit,MATCH(B2229,mat_ref,0))&amp;"",""))</f>
        <v/>
      </c>
      <c r="E2229" s="72" t="n"/>
      <c r="F2229" s="65" t="n"/>
      <c r="G2229" s="68" t="str">
        <f>IF(J2229&lt;&gt;"OK","",IF(F2229="",N(INDEX(mat_loss,MATCH(B2229,mat_ref,0))),F2229))</f>
        <v/>
      </c>
      <c r="H2229" s="66" t="str">
        <f>IF(J2229&lt;&gt;"OK","",INDEX(mat_price,MATCH(B2229,mat_ref,0)))</f>
        <v/>
      </c>
      <c r="I2229" s="66" t="str">
        <f>IF(J2229&lt;&gt;"OK","",E2229*(1+G2229)*H2229)</f>
        <v/>
      </c>
      <c r="J2229" s="69" t="str">
        <f>IF(AND(A2229="",B2229=""),"",IF(A2229="","Produit manquant",IF(COUNTIF(prod_ref,A2229)=0,"Produit inconnu",IF(B2229="","Matière manquante",IF(ISNA(MATCH(B2229,mat_ref,0)),"Matière inconnue",IF(INDEX(mat_check,MATCH(B2229,mat_ref,0))&lt;&gt;"OK","Matière à corriger",IF(OR(NOT(ISNUMBER(E2229)),N(E2229)&lt;=0),"Quantité invalide",IF(AND(F2229&lt;&gt;"",OR(NOT(ISNUMBER(F2229)),N(F2229)&lt;0,N(F2229)&gt;=1)),"Perte entre 0 et 99 %",IF(COUNTIFS(bom_prod,A2229,bom_mat,B2229)&gt;1,"Matière en double","OK")))))))))</f>
        <v/>
      </c>
      <c r="K2229" s="71" t="str">
        <f>IF(AND(fiche_sel&lt;&gt;"",A2229=fiche_sel),COUNTIF(A$6:A2229,fiche_sel),"")</f>
        <v/>
      </c>
    </row>
    <row r="2230">
      <c r="A2230" s="60" t="n"/>
      <c r="B2230" s="60" t="n"/>
      <c r="C2230" s="71" t="str">
        <f>IF(B2230="","",IFERROR(INDEX(mat_des,MATCH(B2230,mat_ref,0))&amp;"","Matière inconnue"))</f>
        <v/>
      </c>
      <c r="D2230" s="69" t="str">
        <f>IF(B2230="","",IFERROR(INDEX(mat_unit,MATCH(B2230,mat_ref,0))&amp;"",""))</f>
        <v/>
      </c>
      <c r="E2230" s="72" t="n"/>
      <c r="F2230" s="65" t="n"/>
      <c r="G2230" s="68" t="str">
        <f>IF(J2230&lt;&gt;"OK","",IF(F2230="",N(INDEX(mat_loss,MATCH(B2230,mat_ref,0))),F2230))</f>
        <v/>
      </c>
      <c r="H2230" s="66" t="str">
        <f>IF(J2230&lt;&gt;"OK","",INDEX(mat_price,MATCH(B2230,mat_ref,0)))</f>
        <v/>
      </c>
      <c r="I2230" s="66" t="str">
        <f>IF(J2230&lt;&gt;"OK","",E2230*(1+G2230)*H2230)</f>
        <v/>
      </c>
      <c r="J2230" s="69" t="str">
        <f>IF(AND(A2230="",B2230=""),"",IF(A2230="","Produit manquant",IF(COUNTIF(prod_ref,A2230)=0,"Produit inconnu",IF(B2230="","Matière manquante",IF(ISNA(MATCH(B2230,mat_ref,0)),"Matière inconnue",IF(INDEX(mat_check,MATCH(B2230,mat_ref,0))&lt;&gt;"OK","Matière à corriger",IF(OR(NOT(ISNUMBER(E2230)),N(E2230)&lt;=0),"Quantité invalide",IF(AND(F2230&lt;&gt;"",OR(NOT(ISNUMBER(F2230)),N(F2230)&lt;0,N(F2230)&gt;=1)),"Perte entre 0 et 99 %",IF(COUNTIFS(bom_prod,A2230,bom_mat,B2230)&gt;1,"Matière en double","OK")))))))))</f>
        <v/>
      </c>
      <c r="K2230" s="71" t="str">
        <f>IF(AND(fiche_sel&lt;&gt;"",A2230=fiche_sel),COUNTIF(A$6:A2230,fiche_sel),"")</f>
        <v/>
      </c>
    </row>
    <row r="2231">
      <c r="A2231" s="60" t="n"/>
      <c r="B2231" s="60" t="n"/>
      <c r="C2231" s="71" t="str">
        <f>IF(B2231="","",IFERROR(INDEX(mat_des,MATCH(B2231,mat_ref,0))&amp;"","Matière inconnue"))</f>
        <v/>
      </c>
      <c r="D2231" s="69" t="str">
        <f>IF(B2231="","",IFERROR(INDEX(mat_unit,MATCH(B2231,mat_ref,0))&amp;"",""))</f>
        <v/>
      </c>
      <c r="E2231" s="72" t="n"/>
      <c r="F2231" s="65" t="n"/>
      <c r="G2231" s="68" t="str">
        <f>IF(J2231&lt;&gt;"OK","",IF(F2231="",N(INDEX(mat_loss,MATCH(B2231,mat_ref,0))),F2231))</f>
        <v/>
      </c>
      <c r="H2231" s="66" t="str">
        <f>IF(J2231&lt;&gt;"OK","",INDEX(mat_price,MATCH(B2231,mat_ref,0)))</f>
        <v/>
      </c>
      <c r="I2231" s="66" t="str">
        <f>IF(J2231&lt;&gt;"OK","",E2231*(1+G2231)*H2231)</f>
        <v/>
      </c>
      <c r="J2231" s="69" t="str">
        <f>IF(AND(A2231="",B2231=""),"",IF(A2231="","Produit manquant",IF(COUNTIF(prod_ref,A2231)=0,"Produit inconnu",IF(B2231="","Matière manquante",IF(ISNA(MATCH(B2231,mat_ref,0)),"Matière inconnue",IF(INDEX(mat_check,MATCH(B2231,mat_ref,0))&lt;&gt;"OK","Matière à corriger",IF(OR(NOT(ISNUMBER(E2231)),N(E2231)&lt;=0),"Quantité invalide",IF(AND(F2231&lt;&gt;"",OR(NOT(ISNUMBER(F2231)),N(F2231)&lt;0,N(F2231)&gt;=1)),"Perte entre 0 et 99 %",IF(COUNTIFS(bom_prod,A2231,bom_mat,B2231)&gt;1,"Matière en double","OK")))))))))</f>
        <v/>
      </c>
      <c r="K2231" s="71" t="str">
        <f>IF(AND(fiche_sel&lt;&gt;"",A2231=fiche_sel),COUNTIF(A$6:A2231,fiche_sel),"")</f>
        <v/>
      </c>
    </row>
    <row r="2232">
      <c r="A2232" s="60" t="n"/>
      <c r="B2232" s="60" t="n"/>
      <c r="C2232" s="71" t="str">
        <f>IF(B2232="","",IFERROR(INDEX(mat_des,MATCH(B2232,mat_ref,0))&amp;"","Matière inconnue"))</f>
        <v/>
      </c>
      <c r="D2232" s="69" t="str">
        <f>IF(B2232="","",IFERROR(INDEX(mat_unit,MATCH(B2232,mat_ref,0))&amp;"",""))</f>
        <v/>
      </c>
      <c r="E2232" s="72" t="n"/>
      <c r="F2232" s="65" t="n"/>
      <c r="G2232" s="68" t="str">
        <f>IF(J2232&lt;&gt;"OK","",IF(F2232="",N(INDEX(mat_loss,MATCH(B2232,mat_ref,0))),F2232))</f>
        <v/>
      </c>
      <c r="H2232" s="66" t="str">
        <f>IF(J2232&lt;&gt;"OK","",INDEX(mat_price,MATCH(B2232,mat_ref,0)))</f>
        <v/>
      </c>
      <c r="I2232" s="66" t="str">
        <f>IF(J2232&lt;&gt;"OK","",E2232*(1+G2232)*H2232)</f>
        <v/>
      </c>
      <c r="J2232" s="69" t="str">
        <f>IF(AND(A2232="",B2232=""),"",IF(A2232="","Produit manquant",IF(COUNTIF(prod_ref,A2232)=0,"Produit inconnu",IF(B2232="","Matière manquante",IF(ISNA(MATCH(B2232,mat_ref,0)),"Matière inconnue",IF(INDEX(mat_check,MATCH(B2232,mat_ref,0))&lt;&gt;"OK","Matière à corriger",IF(OR(NOT(ISNUMBER(E2232)),N(E2232)&lt;=0),"Quantité invalide",IF(AND(F2232&lt;&gt;"",OR(NOT(ISNUMBER(F2232)),N(F2232)&lt;0,N(F2232)&gt;=1)),"Perte entre 0 et 99 %",IF(COUNTIFS(bom_prod,A2232,bom_mat,B2232)&gt;1,"Matière en double","OK")))))))))</f>
        <v/>
      </c>
      <c r="K2232" s="71" t="str">
        <f>IF(AND(fiche_sel&lt;&gt;"",A2232=fiche_sel),COUNTIF(A$6:A2232,fiche_sel),"")</f>
        <v/>
      </c>
    </row>
    <row r="2233">
      <c r="A2233" s="60" t="n"/>
      <c r="B2233" s="60" t="n"/>
      <c r="C2233" s="71" t="str">
        <f>IF(B2233="","",IFERROR(INDEX(mat_des,MATCH(B2233,mat_ref,0))&amp;"","Matière inconnue"))</f>
        <v/>
      </c>
      <c r="D2233" s="69" t="str">
        <f>IF(B2233="","",IFERROR(INDEX(mat_unit,MATCH(B2233,mat_ref,0))&amp;"",""))</f>
        <v/>
      </c>
      <c r="E2233" s="72" t="n"/>
      <c r="F2233" s="65" t="n"/>
      <c r="G2233" s="68" t="str">
        <f>IF(J2233&lt;&gt;"OK","",IF(F2233="",N(INDEX(mat_loss,MATCH(B2233,mat_ref,0))),F2233))</f>
        <v/>
      </c>
      <c r="H2233" s="66" t="str">
        <f>IF(J2233&lt;&gt;"OK","",INDEX(mat_price,MATCH(B2233,mat_ref,0)))</f>
        <v/>
      </c>
      <c r="I2233" s="66" t="str">
        <f>IF(J2233&lt;&gt;"OK","",E2233*(1+G2233)*H2233)</f>
        <v/>
      </c>
      <c r="J2233" s="69" t="str">
        <f>IF(AND(A2233="",B2233=""),"",IF(A2233="","Produit manquant",IF(COUNTIF(prod_ref,A2233)=0,"Produit inconnu",IF(B2233="","Matière manquante",IF(ISNA(MATCH(B2233,mat_ref,0)),"Matière inconnue",IF(INDEX(mat_check,MATCH(B2233,mat_ref,0))&lt;&gt;"OK","Matière à corriger",IF(OR(NOT(ISNUMBER(E2233)),N(E2233)&lt;=0),"Quantité invalide",IF(AND(F2233&lt;&gt;"",OR(NOT(ISNUMBER(F2233)),N(F2233)&lt;0,N(F2233)&gt;=1)),"Perte entre 0 et 99 %",IF(COUNTIFS(bom_prod,A2233,bom_mat,B2233)&gt;1,"Matière en double","OK")))))))))</f>
        <v/>
      </c>
      <c r="K2233" s="71" t="str">
        <f>IF(AND(fiche_sel&lt;&gt;"",A2233=fiche_sel),COUNTIF(A$6:A2233,fiche_sel),"")</f>
        <v/>
      </c>
    </row>
    <row r="2234">
      <c r="A2234" s="60" t="n"/>
      <c r="B2234" s="60" t="n"/>
      <c r="C2234" s="71" t="str">
        <f>IF(B2234="","",IFERROR(INDEX(mat_des,MATCH(B2234,mat_ref,0))&amp;"","Matière inconnue"))</f>
        <v/>
      </c>
      <c r="D2234" s="69" t="str">
        <f>IF(B2234="","",IFERROR(INDEX(mat_unit,MATCH(B2234,mat_ref,0))&amp;"",""))</f>
        <v/>
      </c>
      <c r="E2234" s="72" t="n"/>
      <c r="F2234" s="65" t="n"/>
      <c r="G2234" s="68" t="str">
        <f>IF(J2234&lt;&gt;"OK","",IF(F2234="",N(INDEX(mat_loss,MATCH(B2234,mat_ref,0))),F2234))</f>
        <v/>
      </c>
      <c r="H2234" s="66" t="str">
        <f>IF(J2234&lt;&gt;"OK","",INDEX(mat_price,MATCH(B2234,mat_ref,0)))</f>
        <v/>
      </c>
      <c r="I2234" s="66" t="str">
        <f>IF(J2234&lt;&gt;"OK","",E2234*(1+G2234)*H2234)</f>
        <v/>
      </c>
      <c r="J2234" s="69" t="str">
        <f>IF(AND(A2234="",B2234=""),"",IF(A2234="","Produit manquant",IF(COUNTIF(prod_ref,A2234)=0,"Produit inconnu",IF(B2234="","Matière manquante",IF(ISNA(MATCH(B2234,mat_ref,0)),"Matière inconnue",IF(INDEX(mat_check,MATCH(B2234,mat_ref,0))&lt;&gt;"OK","Matière à corriger",IF(OR(NOT(ISNUMBER(E2234)),N(E2234)&lt;=0),"Quantité invalide",IF(AND(F2234&lt;&gt;"",OR(NOT(ISNUMBER(F2234)),N(F2234)&lt;0,N(F2234)&gt;=1)),"Perte entre 0 et 99 %",IF(COUNTIFS(bom_prod,A2234,bom_mat,B2234)&gt;1,"Matière en double","OK")))))))))</f>
        <v/>
      </c>
      <c r="K2234" s="71" t="str">
        <f>IF(AND(fiche_sel&lt;&gt;"",A2234=fiche_sel),COUNTIF(A$6:A2234,fiche_sel),"")</f>
        <v/>
      </c>
    </row>
    <row r="2235">
      <c r="A2235" s="60" t="n"/>
      <c r="B2235" s="60" t="n"/>
      <c r="C2235" s="71" t="str">
        <f>IF(B2235="","",IFERROR(INDEX(mat_des,MATCH(B2235,mat_ref,0))&amp;"","Matière inconnue"))</f>
        <v/>
      </c>
      <c r="D2235" s="69" t="str">
        <f>IF(B2235="","",IFERROR(INDEX(mat_unit,MATCH(B2235,mat_ref,0))&amp;"",""))</f>
        <v/>
      </c>
      <c r="E2235" s="72" t="n"/>
      <c r="F2235" s="65" t="n"/>
      <c r="G2235" s="68" t="str">
        <f>IF(J2235&lt;&gt;"OK","",IF(F2235="",N(INDEX(mat_loss,MATCH(B2235,mat_ref,0))),F2235))</f>
        <v/>
      </c>
      <c r="H2235" s="66" t="str">
        <f>IF(J2235&lt;&gt;"OK","",INDEX(mat_price,MATCH(B2235,mat_ref,0)))</f>
        <v/>
      </c>
      <c r="I2235" s="66" t="str">
        <f>IF(J2235&lt;&gt;"OK","",E2235*(1+G2235)*H2235)</f>
        <v/>
      </c>
      <c r="J2235" s="69" t="str">
        <f>IF(AND(A2235="",B2235=""),"",IF(A2235="","Produit manquant",IF(COUNTIF(prod_ref,A2235)=0,"Produit inconnu",IF(B2235="","Matière manquante",IF(ISNA(MATCH(B2235,mat_ref,0)),"Matière inconnue",IF(INDEX(mat_check,MATCH(B2235,mat_ref,0))&lt;&gt;"OK","Matière à corriger",IF(OR(NOT(ISNUMBER(E2235)),N(E2235)&lt;=0),"Quantité invalide",IF(AND(F2235&lt;&gt;"",OR(NOT(ISNUMBER(F2235)),N(F2235)&lt;0,N(F2235)&gt;=1)),"Perte entre 0 et 99 %",IF(COUNTIFS(bom_prod,A2235,bom_mat,B2235)&gt;1,"Matière en double","OK")))))))))</f>
        <v/>
      </c>
      <c r="K2235" s="71" t="str">
        <f>IF(AND(fiche_sel&lt;&gt;"",A2235=fiche_sel),COUNTIF(A$6:A2235,fiche_sel),"")</f>
        <v/>
      </c>
    </row>
    <row r="2236">
      <c r="A2236" s="60" t="n"/>
      <c r="B2236" s="60" t="n"/>
      <c r="C2236" s="71" t="str">
        <f>IF(B2236="","",IFERROR(INDEX(mat_des,MATCH(B2236,mat_ref,0))&amp;"","Matière inconnue"))</f>
        <v/>
      </c>
      <c r="D2236" s="69" t="str">
        <f>IF(B2236="","",IFERROR(INDEX(mat_unit,MATCH(B2236,mat_ref,0))&amp;"",""))</f>
        <v/>
      </c>
      <c r="E2236" s="72" t="n"/>
      <c r="F2236" s="65" t="n"/>
      <c r="G2236" s="68" t="str">
        <f>IF(J2236&lt;&gt;"OK","",IF(F2236="",N(INDEX(mat_loss,MATCH(B2236,mat_ref,0))),F2236))</f>
        <v/>
      </c>
      <c r="H2236" s="66" t="str">
        <f>IF(J2236&lt;&gt;"OK","",INDEX(mat_price,MATCH(B2236,mat_ref,0)))</f>
        <v/>
      </c>
      <c r="I2236" s="66" t="str">
        <f>IF(J2236&lt;&gt;"OK","",E2236*(1+G2236)*H2236)</f>
        <v/>
      </c>
      <c r="J2236" s="69" t="str">
        <f>IF(AND(A2236="",B2236=""),"",IF(A2236="","Produit manquant",IF(COUNTIF(prod_ref,A2236)=0,"Produit inconnu",IF(B2236="","Matière manquante",IF(ISNA(MATCH(B2236,mat_ref,0)),"Matière inconnue",IF(INDEX(mat_check,MATCH(B2236,mat_ref,0))&lt;&gt;"OK","Matière à corriger",IF(OR(NOT(ISNUMBER(E2236)),N(E2236)&lt;=0),"Quantité invalide",IF(AND(F2236&lt;&gt;"",OR(NOT(ISNUMBER(F2236)),N(F2236)&lt;0,N(F2236)&gt;=1)),"Perte entre 0 et 99 %",IF(COUNTIFS(bom_prod,A2236,bom_mat,B2236)&gt;1,"Matière en double","OK")))))))))</f>
        <v/>
      </c>
      <c r="K2236" s="71" t="str">
        <f>IF(AND(fiche_sel&lt;&gt;"",A2236=fiche_sel),COUNTIF(A$6:A2236,fiche_sel),"")</f>
        <v/>
      </c>
    </row>
    <row r="2237">
      <c r="A2237" s="60" t="n"/>
      <c r="B2237" s="60" t="n"/>
      <c r="C2237" s="71" t="str">
        <f>IF(B2237="","",IFERROR(INDEX(mat_des,MATCH(B2237,mat_ref,0))&amp;"","Matière inconnue"))</f>
        <v/>
      </c>
      <c r="D2237" s="69" t="str">
        <f>IF(B2237="","",IFERROR(INDEX(mat_unit,MATCH(B2237,mat_ref,0))&amp;"",""))</f>
        <v/>
      </c>
      <c r="E2237" s="72" t="n"/>
      <c r="F2237" s="65" t="n"/>
      <c r="G2237" s="68" t="str">
        <f>IF(J2237&lt;&gt;"OK","",IF(F2237="",N(INDEX(mat_loss,MATCH(B2237,mat_ref,0))),F2237))</f>
        <v/>
      </c>
      <c r="H2237" s="66" t="str">
        <f>IF(J2237&lt;&gt;"OK","",INDEX(mat_price,MATCH(B2237,mat_ref,0)))</f>
        <v/>
      </c>
      <c r="I2237" s="66" t="str">
        <f>IF(J2237&lt;&gt;"OK","",E2237*(1+G2237)*H2237)</f>
        <v/>
      </c>
      <c r="J2237" s="69" t="str">
        <f>IF(AND(A2237="",B2237=""),"",IF(A2237="","Produit manquant",IF(COUNTIF(prod_ref,A2237)=0,"Produit inconnu",IF(B2237="","Matière manquante",IF(ISNA(MATCH(B2237,mat_ref,0)),"Matière inconnue",IF(INDEX(mat_check,MATCH(B2237,mat_ref,0))&lt;&gt;"OK","Matière à corriger",IF(OR(NOT(ISNUMBER(E2237)),N(E2237)&lt;=0),"Quantité invalide",IF(AND(F2237&lt;&gt;"",OR(NOT(ISNUMBER(F2237)),N(F2237)&lt;0,N(F2237)&gt;=1)),"Perte entre 0 et 99 %",IF(COUNTIFS(bom_prod,A2237,bom_mat,B2237)&gt;1,"Matière en double","OK")))))))))</f>
        <v/>
      </c>
      <c r="K2237" s="71" t="str">
        <f>IF(AND(fiche_sel&lt;&gt;"",A2237=fiche_sel),COUNTIF(A$6:A2237,fiche_sel),"")</f>
        <v/>
      </c>
    </row>
    <row r="2238">
      <c r="A2238" s="60" t="n"/>
      <c r="B2238" s="60" t="n"/>
      <c r="C2238" s="71" t="str">
        <f>IF(B2238="","",IFERROR(INDEX(mat_des,MATCH(B2238,mat_ref,0))&amp;"","Matière inconnue"))</f>
        <v/>
      </c>
      <c r="D2238" s="69" t="str">
        <f>IF(B2238="","",IFERROR(INDEX(mat_unit,MATCH(B2238,mat_ref,0))&amp;"",""))</f>
        <v/>
      </c>
      <c r="E2238" s="72" t="n"/>
      <c r="F2238" s="65" t="n"/>
      <c r="G2238" s="68" t="str">
        <f>IF(J2238&lt;&gt;"OK","",IF(F2238="",N(INDEX(mat_loss,MATCH(B2238,mat_ref,0))),F2238))</f>
        <v/>
      </c>
      <c r="H2238" s="66" t="str">
        <f>IF(J2238&lt;&gt;"OK","",INDEX(mat_price,MATCH(B2238,mat_ref,0)))</f>
        <v/>
      </c>
      <c r="I2238" s="66" t="str">
        <f>IF(J2238&lt;&gt;"OK","",E2238*(1+G2238)*H2238)</f>
        <v/>
      </c>
      <c r="J2238" s="69" t="str">
        <f>IF(AND(A2238="",B2238=""),"",IF(A2238="","Produit manquant",IF(COUNTIF(prod_ref,A2238)=0,"Produit inconnu",IF(B2238="","Matière manquante",IF(ISNA(MATCH(B2238,mat_ref,0)),"Matière inconnue",IF(INDEX(mat_check,MATCH(B2238,mat_ref,0))&lt;&gt;"OK","Matière à corriger",IF(OR(NOT(ISNUMBER(E2238)),N(E2238)&lt;=0),"Quantité invalide",IF(AND(F2238&lt;&gt;"",OR(NOT(ISNUMBER(F2238)),N(F2238)&lt;0,N(F2238)&gt;=1)),"Perte entre 0 et 99 %",IF(COUNTIFS(bom_prod,A2238,bom_mat,B2238)&gt;1,"Matière en double","OK")))))))))</f>
        <v/>
      </c>
      <c r="K2238" s="71" t="str">
        <f>IF(AND(fiche_sel&lt;&gt;"",A2238=fiche_sel),COUNTIF(A$6:A2238,fiche_sel),"")</f>
        <v/>
      </c>
    </row>
    <row r="2239">
      <c r="A2239" s="60" t="n"/>
      <c r="B2239" s="60" t="n"/>
      <c r="C2239" s="71" t="str">
        <f>IF(B2239="","",IFERROR(INDEX(mat_des,MATCH(B2239,mat_ref,0))&amp;"","Matière inconnue"))</f>
        <v/>
      </c>
      <c r="D2239" s="69" t="str">
        <f>IF(B2239="","",IFERROR(INDEX(mat_unit,MATCH(B2239,mat_ref,0))&amp;"",""))</f>
        <v/>
      </c>
      <c r="E2239" s="72" t="n"/>
      <c r="F2239" s="65" t="n"/>
      <c r="G2239" s="68" t="str">
        <f>IF(J2239&lt;&gt;"OK","",IF(F2239="",N(INDEX(mat_loss,MATCH(B2239,mat_ref,0))),F2239))</f>
        <v/>
      </c>
      <c r="H2239" s="66" t="str">
        <f>IF(J2239&lt;&gt;"OK","",INDEX(mat_price,MATCH(B2239,mat_ref,0)))</f>
        <v/>
      </c>
      <c r="I2239" s="66" t="str">
        <f>IF(J2239&lt;&gt;"OK","",E2239*(1+G2239)*H2239)</f>
        <v/>
      </c>
      <c r="J2239" s="69" t="str">
        <f>IF(AND(A2239="",B2239=""),"",IF(A2239="","Produit manquant",IF(COUNTIF(prod_ref,A2239)=0,"Produit inconnu",IF(B2239="","Matière manquante",IF(ISNA(MATCH(B2239,mat_ref,0)),"Matière inconnue",IF(INDEX(mat_check,MATCH(B2239,mat_ref,0))&lt;&gt;"OK","Matière à corriger",IF(OR(NOT(ISNUMBER(E2239)),N(E2239)&lt;=0),"Quantité invalide",IF(AND(F2239&lt;&gt;"",OR(NOT(ISNUMBER(F2239)),N(F2239)&lt;0,N(F2239)&gt;=1)),"Perte entre 0 et 99 %",IF(COUNTIFS(bom_prod,A2239,bom_mat,B2239)&gt;1,"Matière en double","OK")))))))))</f>
        <v/>
      </c>
      <c r="K2239" s="71" t="str">
        <f>IF(AND(fiche_sel&lt;&gt;"",A2239=fiche_sel),COUNTIF(A$6:A2239,fiche_sel),"")</f>
        <v/>
      </c>
    </row>
    <row r="2240">
      <c r="A2240" s="60" t="n"/>
      <c r="B2240" s="60" t="n"/>
      <c r="C2240" s="71" t="str">
        <f>IF(B2240="","",IFERROR(INDEX(mat_des,MATCH(B2240,mat_ref,0))&amp;"","Matière inconnue"))</f>
        <v/>
      </c>
      <c r="D2240" s="69" t="str">
        <f>IF(B2240="","",IFERROR(INDEX(mat_unit,MATCH(B2240,mat_ref,0))&amp;"",""))</f>
        <v/>
      </c>
      <c r="E2240" s="72" t="n"/>
      <c r="F2240" s="65" t="n"/>
      <c r="G2240" s="68" t="str">
        <f>IF(J2240&lt;&gt;"OK","",IF(F2240="",N(INDEX(mat_loss,MATCH(B2240,mat_ref,0))),F2240))</f>
        <v/>
      </c>
      <c r="H2240" s="66" t="str">
        <f>IF(J2240&lt;&gt;"OK","",INDEX(mat_price,MATCH(B2240,mat_ref,0)))</f>
        <v/>
      </c>
      <c r="I2240" s="66" t="str">
        <f>IF(J2240&lt;&gt;"OK","",E2240*(1+G2240)*H2240)</f>
        <v/>
      </c>
      <c r="J2240" s="69" t="str">
        <f>IF(AND(A2240="",B2240=""),"",IF(A2240="","Produit manquant",IF(COUNTIF(prod_ref,A2240)=0,"Produit inconnu",IF(B2240="","Matière manquante",IF(ISNA(MATCH(B2240,mat_ref,0)),"Matière inconnue",IF(INDEX(mat_check,MATCH(B2240,mat_ref,0))&lt;&gt;"OK","Matière à corriger",IF(OR(NOT(ISNUMBER(E2240)),N(E2240)&lt;=0),"Quantité invalide",IF(AND(F2240&lt;&gt;"",OR(NOT(ISNUMBER(F2240)),N(F2240)&lt;0,N(F2240)&gt;=1)),"Perte entre 0 et 99 %",IF(COUNTIFS(bom_prod,A2240,bom_mat,B2240)&gt;1,"Matière en double","OK")))))))))</f>
        <v/>
      </c>
      <c r="K2240" s="71" t="str">
        <f>IF(AND(fiche_sel&lt;&gt;"",A2240=fiche_sel),COUNTIF(A$6:A2240,fiche_sel),"")</f>
        <v/>
      </c>
    </row>
    <row r="2241">
      <c r="A2241" s="60" t="n"/>
      <c r="B2241" s="60" t="n"/>
      <c r="C2241" s="71" t="str">
        <f>IF(B2241="","",IFERROR(INDEX(mat_des,MATCH(B2241,mat_ref,0))&amp;"","Matière inconnue"))</f>
        <v/>
      </c>
      <c r="D2241" s="69" t="str">
        <f>IF(B2241="","",IFERROR(INDEX(mat_unit,MATCH(B2241,mat_ref,0))&amp;"",""))</f>
        <v/>
      </c>
      <c r="E2241" s="72" t="n"/>
      <c r="F2241" s="65" t="n"/>
      <c r="G2241" s="68" t="str">
        <f>IF(J2241&lt;&gt;"OK","",IF(F2241="",N(INDEX(mat_loss,MATCH(B2241,mat_ref,0))),F2241))</f>
        <v/>
      </c>
      <c r="H2241" s="66" t="str">
        <f>IF(J2241&lt;&gt;"OK","",INDEX(mat_price,MATCH(B2241,mat_ref,0)))</f>
        <v/>
      </c>
      <c r="I2241" s="66" t="str">
        <f>IF(J2241&lt;&gt;"OK","",E2241*(1+G2241)*H2241)</f>
        <v/>
      </c>
      <c r="J2241" s="69" t="str">
        <f>IF(AND(A2241="",B2241=""),"",IF(A2241="","Produit manquant",IF(COUNTIF(prod_ref,A2241)=0,"Produit inconnu",IF(B2241="","Matière manquante",IF(ISNA(MATCH(B2241,mat_ref,0)),"Matière inconnue",IF(INDEX(mat_check,MATCH(B2241,mat_ref,0))&lt;&gt;"OK","Matière à corriger",IF(OR(NOT(ISNUMBER(E2241)),N(E2241)&lt;=0),"Quantité invalide",IF(AND(F2241&lt;&gt;"",OR(NOT(ISNUMBER(F2241)),N(F2241)&lt;0,N(F2241)&gt;=1)),"Perte entre 0 et 99 %",IF(COUNTIFS(bom_prod,A2241,bom_mat,B2241)&gt;1,"Matière en double","OK")))))))))</f>
        <v/>
      </c>
      <c r="K2241" s="71" t="str">
        <f>IF(AND(fiche_sel&lt;&gt;"",A2241=fiche_sel),COUNTIF(A$6:A2241,fiche_sel),"")</f>
        <v/>
      </c>
    </row>
    <row r="2242">
      <c r="A2242" s="60" t="n"/>
      <c r="B2242" s="60" t="n"/>
      <c r="C2242" s="71" t="str">
        <f>IF(B2242="","",IFERROR(INDEX(mat_des,MATCH(B2242,mat_ref,0))&amp;"","Matière inconnue"))</f>
        <v/>
      </c>
      <c r="D2242" s="69" t="str">
        <f>IF(B2242="","",IFERROR(INDEX(mat_unit,MATCH(B2242,mat_ref,0))&amp;"",""))</f>
        <v/>
      </c>
      <c r="E2242" s="72" t="n"/>
      <c r="F2242" s="65" t="n"/>
      <c r="G2242" s="68" t="str">
        <f>IF(J2242&lt;&gt;"OK","",IF(F2242="",N(INDEX(mat_loss,MATCH(B2242,mat_ref,0))),F2242))</f>
        <v/>
      </c>
      <c r="H2242" s="66" t="str">
        <f>IF(J2242&lt;&gt;"OK","",INDEX(mat_price,MATCH(B2242,mat_ref,0)))</f>
        <v/>
      </c>
      <c r="I2242" s="66" t="str">
        <f>IF(J2242&lt;&gt;"OK","",E2242*(1+G2242)*H2242)</f>
        <v/>
      </c>
      <c r="J2242" s="69" t="str">
        <f>IF(AND(A2242="",B2242=""),"",IF(A2242="","Produit manquant",IF(COUNTIF(prod_ref,A2242)=0,"Produit inconnu",IF(B2242="","Matière manquante",IF(ISNA(MATCH(B2242,mat_ref,0)),"Matière inconnue",IF(INDEX(mat_check,MATCH(B2242,mat_ref,0))&lt;&gt;"OK","Matière à corriger",IF(OR(NOT(ISNUMBER(E2242)),N(E2242)&lt;=0),"Quantité invalide",IF(AND(F2242&lt;&gt;"",OR(NOT(ISNUMBER(F2242)),N(F2242)&lt;0,N(F2242)&gt;=1)),"Perte entre 0 et 99 %",IF(COUNTIFS(bom_prod,A2242,bom_mat,B2242)&gt;1,"Matière en double","OK")))))))))</f>
        <v/>
      </c>
      <c r="K2242" s="71" t="str">
        <f>IF(AND(fiche_sel&lt;&gt;"",A2242=fiche_sel),COUNTIF(A$6:A2242,fiche_sel),"")</f>
        <v/>
      </c>
    </row>
    <row r="2243">
      <c r="A2243" s="60" t="n"/>
      <c r="B2243" s="60" t="n"/>
      <c r="C2243" s="71" t="str">
        <f>IF(B2243="","",IFERROR(INDEX(mat_des,MATCH(B2243,mat_ref,0))&amp;"","Matière inconnue"))</f>
        <v/>
      </c>
      <c r="D2243" s="69" t="str">
        <f>IF(B2243="","",IFERROR(INDEX(mat_unit,MATCH(B2243,mat_ref,0))&amp;"",""))</f>
        <v/>
      </c>
      <c r="E2243" s="72" t="n"/>
      <c r="F2243" s="65" t="n"/>
      <c r="G2243" s="68" t="str">
        <f>IF(J2243&lt;&gt;"OK","",IF(F2243="",N(INDEX(mat_loss,MATCH(B2243,mat_ref,0))),F2243))</f>
        <v/>
      </c>
      <c r="H2243" s="66" t="str">
        <f>IF(J2243&lt;&gt;"OK","",INDEX(mat_price,MATCH(B2243,mat_ref,0)))</f>
        <v/>
      </c>
      <c r="I2243" s="66" t="str">
        <f>IF(J2243&lt;&gt;"OK","",E2243*(1+G2243)*H2243)</f>
        <v/>
      </c>
      <c r="J2243" s="69" t="str">
        <f>IF(AND(A2243="",B2243=""),"",IF(A2243="","Produit manquant",IF(COUNTIF(prod_ref,A2243)=0,"Produit inconnu",IF(B2243="","Matière manquante",IF(ISNA(MATCH(B2243,mat_ref,0)),"Matière inconnue",IF(INDEX(mat_check,MATCH(B2243,mat_ref,0))&lt;&gt;"OK","Matière à corriger",IF(OR(NOT(ISNUMBER(E2243)),N(E2243)&lt;=0),"Quantité invalide",IF(AND(F2243&lt;&gt;"",OR(NOT(ISNUMBER(F2243)),N(F2243)&lt;0,N(F2243)&gt;=1)),"Perte entre 0 et 99 %",IF(COUNTIFS(bom_prod,A2243,bom_mat,B2243)&gt;1,"Matière en double","OK")))))))))</f>
        <v/>
      </c>
      <c r="K2243" s="71" t="str">
        <f>IF(AND(fiche_sel&lt;&gt;"",A2243=fiche_sel),COUNTIF(A$6:A2243,fiche_sel),"")</f>
        <v/>
      </c>
    </row>
    <row r="2244">
      <c r="A2244" s="60" t="n"/>
      <c r="B2244" s="60" t="n"/>
      <c r="C2244" s="71" t="str">
        <f>IF(B2244="","",IFERROR(INDEX(mat_des,MATCH(B2244,mat_ref,0))&amp;"","Matière inconnue"))</f>
        <v/>
      </c>
      <c r="D2244" s="69" t="str">
        <f>IF(B2244="","",IFERROR(INDEX(mat_unit,MATCH(B2244,mat_ref,0))&amp;"",""))</f>
        <v/>
      </c>
      <c r="E2244" s="72" t="n"/>
      <c r="F2244" s="65" t="n"/>
      <c r="G2244" s="68" t="str">
        <f>IF(J2244&lt;&gt;"OK","",IF(F2244="",N(INDEX(mat_loss,MATCH(B2244,mat_ref,0))),F2244))</f>
        <v/>
      </c>
      <c r="H2244" s="66" t="str">
        <f>IF(J2244&lt;&gt;"OK","",INDEX(mat_price,MATCH(B2244,mat_ref,0)))</f>
        <v/>
      </c>
      <c r="I2244" s="66" t="str">
        <f>IF(J2244&lt;&gt;"OK","",E2244*(1+G2244)*H2244)</f>
        <v/>
      </c>
      <c r="J2244" s="69" t="str">
        <f>IF(AND(A2244="",B2244=""),"",IF(A2244="","Produit manquant",IF(COUNTIF(prod_ref,A2244)=0,"Produit inconnu",IF(B2244="","Matière manquante",IF(ISNA(MATCH(B2244,mat_ref,0)),"Matière inconnue",IF(INDEX(mat_check,MATCH(B2244,mat_ref,0))&lt;&gt;"OK","Matière à corriger",IF(OR(NOT(ISNUMBER(E2244)),N(E2244)&lt;=0),"Quantité invalide",IF(AND(F2244&lt;&gt;"",OR(NOT(ISNUMBER(F2244)),N(F2244)&lt;0,N(F2244)&gt;=1)),"Perte entre 0 et 99 %",IF(COUNTIFS(bom_prod,A2244,bom_mat,B2244)&gt;1,"Matière en double","OK")))))))))</f>
        <v/>
      </c>
      <c r="K2244" s="71" t="str">
        <f>IF(AND(fiche_sel&lt;&gt;"",A2244=fiche_sel),COUNTIF(A$6:A2244,fiche_sel),"")</f>
        <v/>
      </c>
    </row>
    <row r="2245">
      <c r="A2245" s="60" t="n"/>
      <c r="B2245" s="60" t="n"/>
      <c r="C2245" s="71" t="str">
        <f>IF(B2245="","",IFERROR(INDEX(mat_des,MATCH(B2245,mat_ref,0))&amp;"","Matière inconnue"))</f>
        <v/>
      </c>
      <c r="D2245" s="69" t="str">
        <f>IF(B2245="","",IFERROR(INDEX(mat_unit,MATCH(B2245,mat_ref,0))&amp;"",""))</f>
        <v/>
      </c>
      <c r="E2245" s="72" t="n"/>
      <c r="F2245" s="65" t="n"/>
      <c r="G2245" s="68" t="str">
        <f>IF(J2245&lt;&gt;"OK","",IF(F2245="",N(INDEX(mat_loss,MATCH(B2245,mat_ref,0))),F2245))</f>
        <v/>
      </c>
      <c r="H2245" s="66" t="str">
        <f>IF(J2245&lt;&gt;"OK","",INDEX(mat_price,MATCH(B2245,mat_ref,0)))</f>
        <v/>
      </c>
      <c r="I2245" s="66" t="str">
        <f>IF(J2245&lt;&gt;"OK","",E2245*(1+G2245)*H2245)</f>
        <v/>
      </c>
      <c r="J2245" s="69" t="str">
        <f>IF(AND(A2245="",B2245=""),"",IF(A2245="","Produit manquant",IF(COUNTIF(prod_ref,A2245)=0,"Produit inconnu",IF(B2245="","Matière manquante",IF(ISNA(MATCH(B2245,mat_ref,0)),"Matière inconnue",IF(INDEX(mat_check,MATCH(B2245,mat_ref,0))&lt;&gt;"OK","Matière à corriger",IF(OR(NOT(ISNUMBER(E2245)),N(E2245)&lt;=0),"Quantité invalide",IF(AND(F2245&lt;&gt;"",OR(NOT(ISNUMBER(F2245)),N(F2245)&lt;0,N(F2245)&gt;=1)),"Perte entre 0 et 99 %",IF(COUNTIFS(bom_prod,A2245,bom_mat,B2245)&gt;1,"Matière en double","OK")))))))))</f>
        <v/>
      </c>
      <c r="K2245" s="71" t="str">
        <f>IF(AND(fiche_sel&lt;&gt;"",A2245=fiche_sel),COUNTIF(A$6:A2245,fiche_sel),"")</f>
        <v/>
      </c>
    </row>
    <row r="2246">
      <c r="A2246" s="60" t="n"/>
      <c r="B2246" s="60" t="n"/>
      <c r="C2246" s="71" t="str">
        <f>IF(B2246="","",IFERROR(INDEX(mat_des,MATCH(B2246,mat_ref,0))&amp;"","Matière inconnue"))</f>
        <v/>
      </c>
      <c r="D2246" s="69" t="str">
        <f>IF(B2246="","",IFERROR(INDEX(mat_unit,MATCH(B2246,mat_ref,0))&amp;"",""))</f>
        <v/>
      </c>
      <c r="E2246" s="72" t="n"/>
      <c r="F2246" s="65" t="n"/>
      <c r="G2246" s="68" t="str">
        <f>IF(J2246&lt;&gt;"OK","",IF(F2246="",N(INDEX(mat_loss,MATCH(B2246,mat_ref,0))),F2246))</f>
        <v/>
      </c>
      <c r="H2246" s="66" t="str">
        <f>IF(J2246&lt;&gt;"OK","",INDEX(mat_price,MATCH(B2246,mat_ref,0)))</f>
        <v/>
      </c>
      <c r="I2246" s="66" t="str">
        <f>IF(J2246&lt;&gt;"OK","",E2246*(1+G2246)*H2246)</f>
        <v/>
      </c>
      <c r="J2246" s="69" t="str">
        <f>IF(AND(A2246="",B2246=""),"",IF(A2246="","Produit manquant",IF(COUNTIF(prod_ref,A2246)=0,"Produit inconnu",IF(B2246="","Matière manquante",IF(ISNA(MATCH(B2246,mat_ref,0)),"Matière inconnue",IF(INDEX(mat_check,MATCH(B2246,mat_ref,0))&lt;&gt;"OK","Matière à corriger",IF(OR(NOT(ISNUMBER(E2246)),N(E2246)&lt;=0),"Quantité invalide",IF(AND(F2246&lt;&gt;"",OR(NOT(ISNUMBER(F2246)),N(F2246)&lt;0,N(F2246)&gt;=1)),"Perte entre 0 et 99 %",IF(COUNTIFS(bom_prod,A2246,bom_mat,B2246)&gt;1,"Matière en double","OK")))))))))</f>
        <v/>
      </c>
      <c r="K2246" s="71" t="str">
        <f>IF(AND(fiche_sel&lt;&gt;"",A2246=fiche_sel),COUNTIF(A$6:A2246,fiche_sel),"")</f>
        <v/>
      </c>
    </row>
    <row r="2247">
      <c r="A2247" s="60" t="n"/>
      <c r="B2247" s="60" t="n"/>
      <c r="C2247" s="71" t="str">
        <f>IF(B2247="","",IFERROR(INDEX(mat_des,MATCH(B2247,mat_ref,0))&amp;"","Matière inconnue"))</f>
        <v/>
      </c>
      <c r="D2247" s="69" t="str">
        <f>IF(B2247="","",IFERROR(INDEX(mat_unit,MATCH(B2247,mat_ref,0))&amp;"",""))</f>
        <v/>
      </c>
      <c r="E2247" s="72" t="n"/>
      <c r="F2247" s="65" t="n"/>
      <c r="G2247" s="68" t="str">
        <f>IF(J2247&lt;&gt;"OK","",IF(F2247="",N(INDEX(mat_loss,MATCH(B2247,mat_ref,0))),F2247))</f>
        <v/>
      </c>
      <c r="H2247" s="66" t="str">
        <f>IF(J2247&lt;&gt;"OK","",INDEX(mat_price,MATCH(B2247,mat_ref,0)))</f>
        <v/>
      </c>
      <c r="I2247" s="66" t="str">
        <f>IF(J2247&lt;&gt;"OK","",E2247*(1+G2247)*H2247)</f>
        <v/>
      </c>
      <c r="J2247" s="69" t="str">
        <f>IF(AND(A2247="",B2247=""),"",IF(A2247="","Produit manquant",IF(COUNTIF(prod_ref,A2247)=0,"Produit inconnu",IF(B2247="","Matière manquante",IF(ISNA(MATCH(B2247,mat_ref,0)),"Matière inconnue",IF(INDEX(mat_check,MATCH(B2247,mat_ref,0))&lt;&gt;"OK","Matière à corriger",IF(OR(NOT(ISNUMBER(E2247)),N(E2247)&lt;=0),"Quantité invalide",IF(AND(F2247&lt;&gt;"",OR(NOT(ISNUMBER(F2247)),N(F2247)&lt;0,N(F2247)&gt;=1)),"Perte entre 0 et 99 %",IF(COUNTIFS(bom_prod,A2247,bom_mat,B2247)&gt;1,"Matière en double","OK")))))))))</f>
        <v/>
      </c>
      <c r="K2247" s="71" t="str">
        <f>IF(AND(fiche_sel&lt;&gt;"",A2247=fiche_sel),COUNTIF(A$6:A2247,fiche_sel),"")</f>
        <v/>
      </c>
    </row>
    <row r="2248">
      <c r="A2248" s="60" t="n"/>
      <c r="B2248" s="60" t="n"/>
      <c r="C2248" s="71" t="str">
        <f>IF(B2248="","",IFERROR(INDEX(mat_des,MATCH(B2248,mat_ref,0))&amp;"","Matière inconnue"))</f>
        <v/>
      </c>
      <c r="D2248" s="69" t="str">
        <f>IF(B2248="","",IFERROR(INDEX(mat_unit,MATCH(B2248,mat_ref,0))&amp;"",""))</f>
        <v/>
      </c>
      <c r="E2248" s="72" t="n"/>
      <c r="F2248" s="65" t="n"/>
      <c r="G2248" s="68" t="str">
        <f>IF(J2248&lt;&gt;"OK","",IF(F2248="",N(INDEX(mat_loss,MATCH(B2248,mat_ref,0))),F2248))</f>
        <v/>
      </c>
      <c r="H2248" s="66" t="str">
        <f>IF(J2248&lt;&gt;"OK","",INDEX(mat_price,MATCH(B2248,mat_ref,0)))</f>
        <v/>
      </c>
      <c r="I2248" s="66" t="str">
        <f>IF(J2248&lt;&gt;"OK","",E2248*(1+G2248)*H2248)</f>
        <v/>
      </c>
      <c r="J2248" s="69" t="str">
        <f>IF(AND(A2248="",B2248=""),"",IF(A2248="","Produit manquant",IF(COUNTIF(prod_ref,A2248)=0,"Produit inconnu",IF(B2248="","Matière manquante",IF(ISNA(MATCH(B2248,mat_ref,0)),"Matière inconnue",IF(INDEX(mat_check,MATCH(B2248,mat_ref,0))&lt;&gt;"OK","Matière à corriger",IF(OR(NOT(ISNUMBER(E2248)),N(E2248)&lt;=0),"Quantité invalide",IF(AND(F2248&lt;&gt;"",OR(NOT(ISNUMBER(F2248)),N(F2248)&lt;0,N(F2248)&gt;=1)),"Perte entre 0 et 99 %",IF(COUNTIFS(bom_prod,A2248,bom_mat,B2248)&gt;1,"Matière en double","OK")))))))))</f>
        <v/>
      </c>
      <c r="K2248" s="71" t="str">
        <f>IF(AND(fiche_sel&lt;&gt;"",A2248=fiche_sel),COUNTIF(A$6:A2248,fiche_sel),"")</f>
        <v/>
      </c>
    </row>
    <row r="2249">
      <c r="A2249" s="60" t="n"/>
      <c r="B2249" s="60" t="n"/>
      <c r="C2249" s="71" t="str">
        <f>IF(B2249="","",IFERROR(INDEX(mat_des,MATCH(B2249,mat_ref,0))&amp;"","Matière inconnue"))</f>
        <v/>
      </c>
      <c r="D2249" s="69" t="str">
        <f>IF(B2249="","",IFERROR(INDEX(mat_unit,MATCH(B2249,mat_ref,0))&amp;"",""))</f>
        <v/>
      </c>
      <c r="E2249" s="72" t="n"/>
      <c r="F2249" s="65" t="n"/>
      <c r="G2249" s="68" t="str">
        <f>IF(J2249&lt;&gt;"OK","",IF(F2249="",N(INDEX(mat_loss,MATCH(B2249,mat_ref,0))),F2249))</f>
        <v/>
      </c>
      <c r="H2249" s="66" t="str">
        <f>IF(J2249&lt;&gt;"OK","",INDEX(mat_price,MATCH(B2249,mat_ref,0)))</f>
        <v/>
      </c>
      <c r="I2249" s="66" t="str">
        <f>IF(J2249&lt;&gt;"OK","",E2249*(1+G2249)*H2249)</f>
        <v/>
      </c>
      <c r="J2249" s="69" t="str">
        <f>IF(AND(A2249="",B2249=""),"",IF(A2249="","Produit manquant",IF(COUNTIF(prod_ref,A2249)=0,"Produit inconnu",IF(B2249="","Matière manquante",IF(ISNA(MATCH(B2249,mat_ref,0)),"Matière inconnue",IF(INDEX(mat_check,MATCH(B2249,mat_ref,0))&lt;&gt;"OK","Matière à corriger",IF(OR(NOT(ISNUMBER(E2249)),N(E2249)&lt;=0),"Quantité invalide",IF(AND(F2249&lt;&gt;"",OR(NOT(ISNUMBER(F2249)),N(F2249)&lt;0,N(F2249)&gt;=1)),"Perte entre 0 et 99 %",IF(COUNTIFS(bom_prod,A2249,bom_mat,B2249)&gt;1,"Matière en double","OK")))))))))</f>
        <v/>
      </c>
      <c r="K2249" s="71" t="str">
        <f>IF(AND(fiche_sel&lt;&gt;"",A2249=fiche_sel),COUNTIF(A$6:A2249,fiche_sel),"")</f>
        <v/>
      </c>
    </row>
    <row r="2250">
      <c r="A2250" s="60" t="n"/>
      <c r="B2250" s="60" t="n"/>
      <c r="C2250" s="71" t="str">
        <f>IF(B2250="","",IFERROR(INDEX(mat_des,MATCH(B2250,mat_ref,0))&amp;"","Matière inconnue"))</f>
        <v/>
      </c>
      <c r="D2250" s="69" t="str">
        <f>IF(B2250="","",IFERROR(INDEX(mat_unit,MATCH(B2250,mat_ref,0))&amp;"",""))</f>
        <v/>
      </c>
      <c r="E2250" s="72" t="n"/>
      <c r="F2250" s="65" t="n"/>
      <c r="G2250" s="68" t="str">
        <f>IF(J2250&lt;&gt;"OK","",IF(F2250="",N(INDEX(mat_loss,MATCH(B2250,mat_ref,0))),F2250))</f>
        <v/>
      </c>
      <c r="H2250" s="66" t="str">
        <f>IF(J2250&lt;&gt;"OK","",INDEX(mat_price,MATCH(B2250,mat_ref,0)))</f>
        <v/>
      </c>
      <c r="I2250" s="66" t="str">
        <f>IF(J2250&lt;&gt;"OK","",E2250*(1+G2250)*H2250)</f>
        <v/>
      </c>
      <c r="J2250" s="69" t="str">
        <f>IF(AND(A2250="",B2250=""),"",IF(A2250="","Produit manquant",IF(COUNTIF(prod_ref,A2250)=0,"Produit inconnu",IF(B2250="","Matière manquante",IF(ISNA(MATCH(B2250,mat_ref,0)),"Matière inconnue",IF(INDEX(mat_check,MATCH(B2250,mat_ref,0))&lt;&gt;"OK","Matière à corriger",IF(OR(NOT(ISNUMBER(E2250)),N(E2250)&lt;=0),"Quantité invalide",IF(AND(F2250&lt;&gt;"",OR(NOT(ISNUMBER(F2250)),N(F2250)&lt;0,N(F2250)&gt;=1)),"Perte entre 0 et 99 %",IF(COUNTIFS(bom_prod,A2250,bom_mat,B2250)&gt;1,"Matière en double","OK")))))))))</f>
        <v/>
      </c>
      <c r="K2250" s="71" t="str">
        <f>IF(AND(fiche_sel&lt;&gt;"",A2250=fiche_sel),COUNTIF(A$6:A2250,fiche_sel),"")</f>
        <v/>
      </c>
    </row>
    <row r="2251">
      <c r="A2251" s="60" t="n"/>
      <c r="B2251" s="60" t="n"/>
      <c r="C2251" s="71" t="str">
        <f>IF(B2251="","",IFERROR(INDEX(mat_des,MATCH(B2251,mat_ref,0))&amp;"","Matière inconnue"))</f>
        <v/>
      </c>
      <c r="D2251" s="69" t="str">
        <f>IF(B2251="","",IFERROR(INDEX(mat_unit,MATCH(B2251,mat_ref,0))&amp;"",""))</f>
        <v/>
      </c>
      <c r="E2251" s="72" t="n"/>
      <c r="F2251" s="65" t="n"/>
      <c r="G2251" s="68" t="str">
        <f>IF(J2251&lt;&gt;"OK","",IF(F2251="",N(INDEX(mat_loss,MATCH(B2251,mat_ref,0))),F2251))</f>
        <v/>
      </c>
      <c r="H2251" s="66" t="str">
        <f>IF(J2251&lt;&gt;"OK","",INDEX(mat_price,MATCH(B2251,mat_ref,0)))</f>
        <v/>
      </c>
      <c r="I2251" s="66" t="str">
        <f>IF(J2251&lt;&gt;"OK","",E2251*(1+G2251)*H2251)</f>
        <v/>
      </c>
      <c r="J2251" s="69" t="str">
        <f>IF(AND(A2251="",B2251=""),"",IF(A2251="","Produit manquant",IF(COUNTIF(prod_ref,A2251)=0,"Produit inconnu",IF(B2251="","Matière manquante",IF(ISNA(MATCH(B2251,mat_ref,0)),"Matière inconnue",IF(INDEX(mat_check,MATCH(B2251,mat_ref,0))&lt;&gt;"OK","Matière à corriger",IF(OR(NOT(ISNUMBER(E2251)),N(E2251)&lt;=0),"Quantité invalide",IF(AND(F2251&lt;&gt;"",OR(NOT(ISNUMBER(F2251)),N(F2251)&lt;0,N(F2251)&gt;=1)),"Perte entre 0 et 99 %",IF(COUNTIFS(bom_prod,A2251,bom_mat,B2251)&gt;1,"Matière en double","OK")))))))))</f>
        <v/>
      </c>
      <c r="K2251" s="71" t="str">
        <f>IF(AND(fiche_sel&lt;&gt;"",A2251=fiche_sel),COUNTIF(A$6:A2251,fiche_sel),"")</f>
        <v/>
      </c>
    </row>
    <row r="2252">
      <c r="A2252" s="60" t="n"/>
      <c r="B2252" s="60" t="n"/>
      <c r="C2252" s="71" t="str">
        <f>IF(B2252="","",IFERROR(INDEX(mat_des,MATCH(B2252,mat_ref,0))&amp;"","Matière inconnue"))</f>
        <v/>
      </c>
      <c r="D2252" s="69" t="str">
        <f>IF(B2252="","",IFERROR(INDEX(mat_unit,MATCH(B2252,mat_ref,0))&amp;"",""))</f>
        <v/>
      </c>
      <c r="E2252" s="72" t="n"/>
      <c r="F2252" s="65" t="n"/>
      <c r="G2252" s="68" t="str">
        <f>IF(J2252&lt;&gt;"OK","",IF(F2252="",N(INDEX(mat_loss,MATCH(B2252,mat_ref,0))),F2252))</f>
        <v/>
      </c>
      <c r="H2252" s="66" t="str">
        <f>IF(J2252&lt;&gt;"OK","",INDEX(mat_price,MATCH(B2252,mat_ref,0)))</f>
        <v/>
      </c>
      <c r="I2252" s="66" t="str">
        <f>IF(J2252&lt;&gt;"OK","",E2252*(1+G2252)*H2252)</f>
        <v/>
      </c>
      <c r="J2252" s="69" t="str">
        <f>IF(AND(A2252="",B2252=""),"",IF(A2252="","Produit manquant",IF(COUNTIF(prod_ref,A2252)=0,"Produit inconnu",IF(B2252="","Matière manquante",IF(ISNA(MATCH(B2252,mat_ref,0)),"Matière inconnue",IF(INDEX(mat_check,MATCH(B2252,mat_ref,0))&lt;&gt;"OK","Matière à corriger",IF(OR(NOT(ISNUMBER(E2252)),N(E2252)&lt;=0),"Quantité invalide",IF(AND(F2252&lt;&gt;"",OR(NOT(ISNUMBER(F2252)),N(F2252)&lt;0,N(F2252)&gt;=1)),"Perte entre 0 et 99 %",IF(COUNTIFS(bom_prod,A2252,bom_mat,B2252)&gt;1,"Matière en double","OK")))))))))</f>
        <v/>
      </c>
      <c r="K2252" s="71" t="str">
        <f>IF(AND(fiche_sel&lt;&gt;"",A2252=fiche_sel),COUNTIF(A$6:A2252,fiche_sel),"")</f>
        <v/>
      </c>
    </row>
    <row r="2253">
      <c r="A2253" s="60" t="n"/>
      <c r="B2253" s="60" t="n"/>
      <c r="C2253" s="71" t="str">
        <f>IF(B2253="","",IFERROR(INDEX(mat_des,MATCH(B2253,mat_ref,0))&amp;"","Matière inconnue"))</f>
        <v/>
      </c>
      <c r="D2253" s="69" t="str">
        <f>IF(B2253="","",IFERROR(INDEX(mat_unit,MATCH(B2253,mat_ref,0))&amp;"",""))</f>
        <v/>
      </c>
      <c r="E2253" s="72" t="n"/>
      <c r="F2253" s="65" t="n"/>
      <c r="G2253" s="68" t="str">
        <f>IF(J2253&lt;&gt;"OK","",IF(F2253="",N(INDEX(mat_loss,MATCH(B2253,mat_ref,0))),F2253))</f>
        <v/>
      </c>
      <c r="H2253" s="66" t="str">
        <f>IF(J2253&lt;&gt;"OK","",INDEX(mat_price,MATCH(B2253,mat_ref,0)))</f>
        <v/>
      </c>
      <c r="I2253" s="66" t="str">
        <f>IF(J2253&lt;&gt;"OK","",E2253*(1+G2253)*H2253)</f>
        <v/>
      </c>
      <c r="J2253" s="69" t="str">
        <f>IF(AND(A2253="",B2253=""),"",IF(A2253="","Produit manquant",IF(COUNTIF(prod_ref,A2253)=0,"Produit inconnu",IF(B2253="","Matière manquante",IF(ISNA(MATCH(B2253,mat_ref,0)),"Matière inconnue",IF(INDEX(mat_check,MATCH(B2253,mat_ref,0))&lt;&gt;"OK","Matière à corriger",IF(OR(NOT(ISNUMBER(E2253)),N(E2253)&lt;=0),"Quantité invalide",IF(AND(F2253&lt;&gt;"",OR(NOT(ISNUMBER(F2253)),N(F2253)&lt;0,N(F2253)&gt;=1)),"Perte entre 0 et 99 %",IF(COUNTIFS(bom_prod,A2253,bom_mat,B2253)&gt;1,"Matière en double","OK")))))))))</f>
        <v/>
      </c>
      <c r="K2253" s="71" t="str">
        <f>IF(AND(fiche_sel&lt;&gt;"",A2253=fiche_sel),COUNTIF(A$6:A2253,fiche_sel),"")</f>
        <v/>
      </c>
    </row>
    <row r="2254">
      <c r="A2254" s="60" t="n"/>
      <c r="B2254" s="60" t="n"/>
      <c r="C2254" s="71" t="str">
        <f>IF(B2254="","",IFERROR(INDEX(mat_des,MATCH(B2254,mat_ref,0))&amp;"","Matière inconnue"))</f>
        <v/>
      </c>
      <c r="D2254" s="69" t="str">
        <f>IF(B2254="","",IFERROR(INDEX(mat_unit,MATCH(B2254,mat_ref,0))&amp;"",""))</f>
        <v/>
      </c>
      <c r="E2254" s="72" t="n"/>
      <c r="F2254" s="65" t="n"/>
      <c r="G2254" s="68" t="str">
        <f>IF(J2254&lt;&gt;"OK","",IF(F2254="",N(INDEX(mat_loss,MATCH(B2254,mat_ref,0))),F2254))</f>
        <v/>
      </c>
      <c r="H2254" s="66" t="str">
        <f>IF(J2254&lt;&gt;"OK","",INDEX(mat_price,MATCH(B2254,mat_ref,0)))</f>
        <v/>
      </c>
      <c r="I2254" s="66" t="str">
        <f>IF(J2254&lt;&gt;"OK","",E2254*(1+G2254)*H2254)</f>
        <v/>
      </c>
      <c r="J2254" s="69" t="str">
        <f>IF(AND(A2254="",B2254=""),"",IF(A2254="","Produit manquant",IF(COUNTIF(prod_ref,A2254)=0,"Produit inconnu",IF(B2254="","Matière manquante",IF(ISNA(MATCH(B2254,mat_ref,0)),"Matière inconnue",IF(INDEX(mat_check,MATCH(B2254,mat_ref,0))&lt;&gt;"OK","Matière à corriger",IF(OR(NOT(ISNUMBER(E2254)),N(E2254)&lt;=0),"Quantité invalide",IF(AND(F2254&lt;&gt;"",OR(NOT(ISNUMBER(F2254)),N(F2254)&lt;0,N(F2254)&gt;=1)),"Perte entre 0 et 99 %",IF(COUNTIFS(bom_prod,A2254,bom_mat,B2254)&gt;1,"Matière en double","OK")))))))))</f>
        <v/>
      </c>
      <c r="K2254" s="71" t="str">
        <f>IF(AND(fiche_sel&lt;&gt;"",A2254=fiche_sel),COUNTIF(A$6:A2254,fiche_sel),"")</f>
        <v/>
      </c>
    </row>
    <row r="2255">
      <c r="A2255" s="60" t="n"/>
      <c r="B2255" s="60" t="n"/>
      <c r="C2255" s="71" t="str">
        <f>IF(B2255="","",IFERROR(INDEX(mat_des,MATCH(B2255,mat_ref,0))&amp;"","Matière inconnue"))</f>
        <v/>
      </c>
      <c r="D2255" s="69" t="str">
        <f>IF(B2255="","",IFERROR(INDEX(mat_unit,MATCH(B2255,mat_ref,0))&amp;"",""))</f>
        <v/>
      </c>
      <c r="E2255" s="72" t="n"/>
      <c r="F2255" s="65" t="n"/>
      <c r="G2255" s="68" t="str">
        <f>IF(J2255&lt;&gt;"OK","",IF(F2255="",N(INDEX(mat_loss,MATCH(B2255,mat_ref,0))),F2255))</f>
        <v/>
      </c>
      <c r="H2255" s="66" t="str">
        <f>IF(J2255&lt;&gt;"OK","",INDEX(mat_price,MATCH(B2255,mat_ref,0)))</f>
        <v/>
      </c>
      <c r="I2255" s="66" t="str">
        <f>IF(J2255&lt;&gt;"OK","",E2255*(1+G2255)*H2255)</f>
        <v/>
      </c>
      <c r="J2255" s="69" t="str">
        <f>IF(AND(A2255="",B2255=""),"",IF(A2255="","Produit manquant",IF(COUNTIF(prod_ref,A2255)=0,"Produit inconnu",IF(B2255="","Matière manquante",IF(ISNA(MATCH(B2255,mat_ref,0)),"Matière inconnue",IF(INDEX(mat_check,MATCH(B2255,mat_ref,0))&lt;&gt;"OK","Matière à corriger",IF(OR(NOT(ISNUMBER(E2255)),N(E2255)&lt;=0),"Quantité invalide",IF(AND(F2255&lt;&gt;"",OR(NOT(ISNUMBER(F2255)),N(F2255)&lt;0,N(F2255)&gt;=1)),"Perte entre 0 et 99 %",IF(COUNTIFS(bom_prod,A2255,bom_mat,B2255)&gt;1,"Matière en double","OK")))))))))</f>
        <v/>
      </c>
      <c r="K2255" s="71" t="str">
        <f>IF(AND(fiche_sel&lt;&gt;"",A2255=fiche_sel),COUNTIF(A$6:A2255,fiche_sel),"")</f>
        <v/>
      </c>
    </row>
    <row r="2256">
      <c r="A2256" s="60" t="n"/>
      <c r="B2256" s="60" t="n"/>
      <c r="C2256" s="71" t="str">
        <f>IF(B2256="","",IFERROR(INDEX(mat_des,MATCH(B2256,mat_ref,0))&amp;"","Matière inconnue"))</f>
        <v/>
      </c>
      <c r="D2256" s="69" t="str">
        <f>IF(B2256="","",IFERROR(INDEX(mat_unit,MATCH(B2256,mat_ref,0))&amp;"",""))</f>
        <v/>
      </c>
      <c r="E2256" s="72" t="n"/>
      <c r="F2256" s="65" t="n"/>
      <c r="G2256" s="68" t="str">
        <f>IF(J2256&lt;&gt;"OK","",IF(F2256="",N(INDEX(mat_loss,MATCH(B2256,mat_ref,0))),F2256))</f>
        <v/>
      </c>
      <c r="H2256" s="66" t="str">
        <f>IF(J2256&lt;&gt;"OK","",INDEX(mat_price,MATCH(B2256,mat_ref,0)))</f>
        <v/>
      </c>
      <c r="I2256" s="66" t="str">
        <f>IF(J2256&lt;&gt;"OK","",E2256*(1+G2256)*H2256)</f>
        <v/>
      </c>
      <c r="J2256" s="69" t="str">
        <f>IF(AND(A2256="",B2256=""),"",IF(A2256="","Produit manquant",IF(COUNTIF(prod_ref,A2256)=0,"Produit inconnu",IF(B2256="","Matière manquante",IF(ISNA(MATCH(B2256,mat_ref,0)),"Matière inconnue",IF(INDEX(mat_check,MATCH(B2256,mat_ref,0))&lt;&gt;"OK","Matière à corriger",IF(OR(NOT(ISNUMBER(E2256)),N(E2256)&lt;=0),"Quantité invalide",IF(AND(F2256&lt;&gt;"",OR(NOT(ISNUMBER(F2256)),N(F2256)&lt;0,N(F2256)&gt;=1)),"Perte entre 0 et 99 %",IF(COUNTIFS(bom_prod,A2256,bom_mat,B2256)&gt;1,"Matière en double","OK")))))))))</f>
        <v/>
      </c>
      <c r="K2256" s="71" t="str">
        <f>IF(AND(fiche_sel&lt;&gt;"",A2256=fiche_sel),COUNTIF(A$6:A2256,fiche_sel),"")</f>
        <v/>
      </c>
    </row>
    <row r="2257">
      <c r="A2257" s="60" t="n"/>
      <c r="B2257" s="60" t="n"/>
      <c r="C2257" s="71" t="str">
        <f>IF(B2257="","",IFERROR(INDEX(mat_des,MATCH(B2257,mat_ref,0))&amp;"","Matière inconnue"))</f>
        <v/>
      </c>
      <c r="D2257" s="69" t="str">
        <f>IF(B2257="","",IFERROR(INDEX(mat_unit,MATCH(B2257,mat_ref,0))&amp;"",""))</f>
        <v/>
      </c>
      <c r="E2257" s="72" t="n"/>
      <c r="F2257" s="65" t="n"/>
      <c r="G2257" s="68" t="str">
        <f>IF(J2257&lt;&gt;"OK","",IF(F2257="",N(INDEX(mat_loss,MATCH(B2257,mat_ref,0))),F2257))</f>
        <v/>
      </c>
      <c r="H2257" s="66" t="str">
        <f>IF(J2257&lt;&gt;"OK","",INDEX(mat_price,MATCH(B2257,mat_ref,0)))</f>
        <v/>
      </c>
      <c r="I2257" s="66" t="str">
        <f>IF(J2257&lt;&gt;"OK","",E2257*(1+G2257)*H2257)</f>
        <v/>
      </c>
      <c r="J2257" s="69" t="str">
        <f>IF(AND(A2257="",B2257=""),"",IF(A2257="","Produit manquant",IF(COUNTIF(prod_ref,A2257)=0,"Produit inconnu",IF(B2257="","Matière manquante",IF(ISNA(MATCH(B2257,mat_ref,0)),"Matière inconnue",IF(INDEX(mat_check,MATCH(B2257,mat_ref,0))&lt;&gt;"OK","Matière à corriger",IF(OR(NOT(ISNUMBER(E2257)),N(E2257)&lt;=0),"Quantité invalide",IF(AND(F2257&lt;&gt;"",OR(NOT(ISNUMBER(F2257)),N(F2257)&lt;0,N(F2257)&gt;=1)),"Perte entre 0 et 99 %",IF(COUNTIFS(bom_prod,A2257,bom_mat,B2257)&gt;1,"Matière en double","OK")))))))))</f>
        <v/>
      </c>
      <c r="K2257" s="71" t="str">
        <f>IF(AND(fiche_sel&lt;&gt;"",A2257=fiche_sel),COUNTIF(A$6:A2257,fiche_sel),"")</f>
        <v/>
      </c>
    </row>
    <row r="2258">
      <c r="A2258" s="60" t="n"/>
      <c r="B2258" s="60" t="n"/>
      <c r="C2258" s="71" t="str">
        <f>IF(B2258="","",IFERROR(INDEX(mat_des,MATCH(B2258,mat_ref,0))&amp;"","Matière inconnue"))</f>
        <v/>
      </c>
      <c r="D2258" s="69" t="str">
        <f>IF(B2258="","",IFERROR(INDEX(mat_unit,MATCH(B2258,mat_ref,0))&amp;"",""))</f>
        <v/>
      </c>
      <c r="E2258" s="72" t="n"/>
      <c r="F2258" s="65" t="n"/>
      <c r="G2258" s="68" t="str">
        <f>IF(J2258&lt;&gt;"OK","",IF(F2258="",N(INDEX(mat_loss,MATCH(B2258,mat_ref,0))),F2258))</f>
        <v/>
      </c>
      <c r="H2258" s="66" t="str">
        <f>IF(J2258&lt;&gt;"OK","",INDEX(mat_price,MATCH(B2258,mat_ref,0)))</f>
        <v/>
      </c>
      <c r="I2258" s="66" t="str">
        <f>IF(J2258&lt;&gt;"OK","",E2258*(1+G2258)*H2258)</f>
        <v/>
      </c>
      <c r="J2258" s="69" t="str">
        <f>IF(AND(A2258="",B2258=""),"",IF(A2258="","Produit manquant",IF(COUNTIF(prod_ref,A2258)=0,"Produit inconnu",IF(B2258="","Matière manquante",IF(ISNA(MATCH(B2258,mat_ref,0)),"Matière inconnue",IF(INDEX(mat_check,MATCH(B2258,mat_ref,0))&lt;&gt;"OK","Matière à corriger",IF(OR(NOT(ISNUMBER(E2258)),N(E2258)&lt;=0),"Quantité invalide",IF(AND(F2258&lt;&gt;"",OR(NOT(ISNUMBER(F2258)),N(F2258)&lt;0,N(F2258)&gt;=1)),"Perte entre 0 et 99 %",IF(COUNTIFS(bom_prod,A2258,bom_mat,B2258)&gt;1,"Matière en double","OK")))))))))</f>
        <v/>
      </c>
      <c r="K2258" s="71" t="str">
        <f>IF(AND(fiche_sel&lt;&gt;"",A2258=fiche_sel),COUNTIF(A$6:A2258,fiche_sel),"")</f>
        <v/>
      </c>
    </row>
    <row r="2259">
      <c r="A2259" s="60" t="n"/>
      <c r="B2259" s="60" t="n"/>
      <c r="C2259" s="71" t="str">
        <f>IF(B2259="","",IFERROR(INDEX(mat_des,MATCH(B2259,mat_ref,0))&amp;"","Matière inconnue"))</f>
        <v/>
      </c>
      <c r="D2259" s="69" t="str">
        <f>IF(B2259="","",IFERROR(INDEX(mat_unit,MATCH(B2259,mat_ref,0))&amp;"",""))</f>
        <v/>
      </c>
      <c r="E2259" s="72" t="n"/>
      <c r="F2259" s="65" t="n"/>
      <c r="G2259" s="68" t="str">
        <f>IF(J2259&lt;&gt;"OK","",IF(F2259="",N(INDEX(mat_loss,MATCH(B2259,mat_ref,0))),F2259))</f>
        <v/>
      </c>
      <c r="H2259" s="66" t="str">
        <f>IF(J2259&lt;&gt;"OK","",INDEX(mat_price,MATCH(B2259,mat_ref,0)))</f>
        <v/>
      </c>
      <c r="I2259" s="66" t="str">
        <f>IF(J2259&lt;&gt;"OK","",E2259*(1+G2259)*H2259)</f>
        <v/>
      </c>
      <c r="J2259" s="69" t="str">
        <f>IF(AND(A2259="",B2259=""),"",IF(A2259="","Produit manquant",IF(COUNTIF(prod_ref,A2259)=0,"Produit inconnu",IF(B2259="","Matière manquante",IF(ISNA(MATCH(B2259,mat_ref,0)),"Matière inconnue",IF(INDEX(mat_check,MATCH(B2259,mat_ref,0))&lt;&gt;"OK","Matière à corriger",IF(OR(NOT(ISNUMBER(E2259)),N(E2259)&lt;=0),"Quantité invalide",IF(AND(F2259&lt;&gt;"",OR(NOT(ISNUMBER(F2259)),N(F2259)&lt;0,N(F2259)&gt;=1)),"Perte entre 0 et 99 %",IF(COUNTIFS(bom_prod,A2259,bom_mat,B2259)&gt;1,"Matière en double","OK")))))))))</f>
        <v/>
      </c>
      <c r="K2259" s="71" t="str">
        <f>IF(AND(fiche_sel&lt;&gt;"",A2259=fiche_sel),COUNTIF(A$6:A2259,fiche_sel),"")</f>
        <v/>
      </c>
    </row>
    <row r="2260">
      <c r="A2260" s="60" t="n"/>
      <c r="B2260" s="60" t="n"/>
      <c r="C2260" s="71" t="str">
        <f>IF(B2260="","",IFERROR(INDEX(mat_des,MATCH(B2260,mat_ref,0))&amp;"","Matière inconnue"))</f>
        <v/>
      </c>
      <c r="D2260" s="69" t="str">
        <f>IF(B2260="","",IFERROR(INDEX(mat_unit,MATCH(B2260,mat_ref,0))&amp;"",""))</f>
        <v/>
      </c>
      <c r="E2260" s="72" t="n"/>
      <c r="F2260" s="65" t="n"/>
      <c r="G2260" s="68" t="str">
        <f>IF(J2260&lt;&gt;"OK","",IF(F2260="",N(INDEX(mat_loss,MATCH(B2260,mat_ref,0))),F2260))</f>
        <v/>
      </c>
      <c r="H2260" s="66" t="str">
        <f>IF(J2260&lt;&gt;"OK","",INDEX(mat_price,MATCH(B2260,mat_ref,0)))</f>
        <v/>
      </c>
      <c r="I2260" s="66" t="str">
        <f>IF(J2260&lt;&gt;"OK","",E2260*(1+G2260)*H2260)</f>
        <v/>
      </c>
      <c r="J2260" s="69" t="str">
        <f>IF(AND(A2260="",B2260=""),"",IF(A2260="","Produit manquant",IF(COUNTIF(prod_ref,A2260)=0,"Produit inconnu",IF(B2260="","Matière manquante",IF(ISNA(MATCH(B2260,mat_ref,0)),"Matière inconnue",IF(INDEX(mat_check,MATCH(B2260,mat_ref,0))&lt;&gt;"OK","Matière à corriger",IF(OR(NOT(ISNUMBER(E2260)),N(E2260)&lt;=0),"Quantité invalide",IF(AND(F2260&lt;&gt;"",OR(NOT(ISNUMBER(F2260)),N(F2260)&lt;0,N(F2260)&gt;=1)),"Perte entre 0 et 99 %",IF(COUNTIFS(bom_prod,A2260,bom_mat,B2260)&gt;1,"Matière en double","OK")))))))))</f>
        <v/>
      </c>
      <c r="K2260" s="71" t="str">
        <f>IF(AND(fiche_sel&lt;&gt;"",A2260=fiche_sel),COUNTIF(A$6:A2260,fiche_sel),"")</f>
        <v/>
      </c>
    </row>
    <row r="2261">
      <c r="A2261" s="60" t="n"/>
      <c r="B2261" s="60" t="n"/>
      <c r="C2261" s="71" t="str">
        <f>IF(B2261="","",IFERROR(INDEX(mat_des,MATCH(B2261,mat_ref,0))&amp;"","Matière inconnue"))</f>
        <v/>
      </c>
      <c r="D2261" s="69" t="str">
        <f>IF(B2261="","",IFERROR(INDEX(mat_unit,MATCH(B2261,mat_ref,0))&amp;"",""))</f>
        <v/>
      </c>
      <c r="E2261" s="72" t="n"/>
      <c r="F2261" s="65" t="n"/>
      <c r="G2261" s="68" t="str">
        <f>IF(J2261&lt;&gt;"OK","",IF(F2261="",N(INDEX(mat_loss,MATCH(B2261,mat_ref,0))),F2261))</f>
        <v/>
      </c>
      <c r="H2261" s="66" t="str">
        <f>IF(J2261&lt;&gt;"OK","",INDEX(mat_price,MATCH(B2261,mat_ref,0)))</f>
        <v/>
      </c>
      <c r="I2261" s="66" t="str">
        <f>IF(J2261&lt;&gt;"OK","",E2261*(1+G2261)*H2261)</f>
        <v/>
      </c>
      <c r="J2261" s="69" t="str">
        <f>IF(AND(A2261="",B2261=""),"",IF(A2261="","Produit manquant",IF(COUNTIF(prod_ref,A2261)=0,"Produit inconnu",IF(B2261="","Matière manquante",IF(ISNA(MATCH(B2261,mat_ref,0)),"Matière inconnue",IF(INDEX(mat_check,MATCH(B2261,mat_ref,0))&lt;&gt;"OK","Matière à corriger",IF(OR(NOT(ISNUMBER(E2261)),N(E2261)&lt;=0),"Quantité invalide",IF(AND(F2261&lt;&gt;"",OR(NOT(ISNUMBER(F2261)),N(F2261)&lt;0,N(F2261)&gt;=1)),"Perte entre 0 et 99 %",IF(COUNTIFS(bom_prod,A2261,bom_mat,B2261)&gt;1,"Matière en double","OK")))))))))</f>
        <v/>
      </c>
      <c r="K2261" s="71" t="str">
        <f>IF(AND(fiche_sel&lt;&gt;"",A2261=fiche_sel),COUNTIF(A$6:A2261,fiche_sel),"")</f>
        <v/>
      </c>
    </row>
    <row r="2262">
      <c r="A2262" s="60" t="n"/>
      <c r="B2262" s="60" t="n"/>
      <c r="C2262" s="71" t="str">
        <f>IF(B2262="","",IFERROR(INDEX(mat_des,MATCH(B2262,mat_ref,0))&amp;"","Matière inconnue"))</f>
        <v/>
      </c>
      <c r="D2262" s="69" t="str">
        <f>IF(B2262="","",IFERROR(INDEX(mat_unit,MATCH(B2262,mat_ref,0))&amp;"",""))</f>
        <v/>
      </c>
      <c r="E2262" s="72" t="n"/>
      <c r="F2262" s="65" t="n"/>
      <c r="G2262" s="68" t="str">
        <f>IF(J2262&lt;&gt;"OK","",IF(F2262="",N(INDEX(mat_loss,MATCH(B2262,mat_ref,0))),F2262))</f>
        <v/>
      </c>
      <c r="H2262" s="66" t="str">
        <f>IF(J2262&lt;&gt;"OK","",INDEX(mat_price,MATCH(B2262,mat_ref,0)))</f>
        <v/>
      </c>
      <c r="I2262" s="66" t="str">
        <f>IF(J2262&lt;&gt;"OK","",E2262*(1+G2262)*H2262)</f>
        <v/>
      </c>
      <c r="J2262" s="69" t="str">
        <f>IF(AND(A2262="",B2262=""),"",IF(A2262="","Produit manquant",IF(COUNTIF(prod_ref,A2262)=0,"Produit inconnu",IF(B2262="","Matière manquante",IF(ISNA(MATCH(B2262,mat_ref,0)),"Matière inconnue",IF(INDEX(mat_check,MATCH(B2262,mat_ref,0))&lt;&gt;"OK","Matière à corriger",IF(OR(NOT(ISNUMBER(E2262)),N(E2262)&lt;=0),"Quantité invalide",IF(AND(F2262&lt;&gt;"",OR(NOT(ISNUMBER(F2262)),N(F2262)&lt;0,N(F2262)&gt;=1)),"Perte entre 0 et 99 %",IF(COUNTIFS(bom_prod,A2262,bom_mat,B2262)&gt;1,"Matière en double","OK")))))))))</f>
        <v/>
      </c>
      <c r="K2262" s="71" t="str">
        <f>IF(AND(fiche_sel&lt;&gt;"",A2262=fiche_sel),COUNTIF(A$6:A2262,fiche_sel),"")</f>
        <v/>
      </c>
    </row>
    <row r="2263">
      <c r="A2263" s="60" t="n"/>
      <c r="B2263" s="60" t="n"/>
      <c r="C2263" s="71" t="str">
        <f>IF(B2263="","",IFERROR(INDEX(mat_des,MATCH(B2263,mat_ref,0))&amp;"","Matière inconnue"))</f>
        <v/>
      </c>
      <c r="D2263" s="69" t="str">
        <f>IF(B2263="","",IFERROR(INDEX(mat_unit,MATCH(B2263,mat_ref,0))&amp;"",""))</f>
        <v/>
      </c>
      <c r="E2263" s="72" t="n"/>
      <c r="F2263" s="65" t="n"/>
      <c r="G2263" s="68" t="str">
        <f>IF(J2263&lt;&gt;"OK","",IF(F2263="",N(INDEX(mat_loss,MATCH(B2263,mat_ref,0))),F2263))</f>
        <v/>
      </c>
      <c r="H2263" s="66" t="str">
        <f>IF(J2263&lt;&gt;"OK","",INDEX(mat_price,MATCH(B2263,mat_ref,0)))</f>
        <v/>
      </c>
      <c r="I2263" s="66" t="str">
        <f>IF(J2263&lt;&gt;"OK","",E2263*(1+G2263)*H2263)</f>
        <v/>
      </c>
      <c r="J2263" s="69" t="str">
        <f>IF(AND(A2263="",B2263=""),"",IF(A2263="","Produit manquant",IF(COUNTIF(prod_ref,A2263)=0,"Produit inconnu",IF(B2263="","Matière manquante",IF(ISNA(MATCH(B2263,mat_ref,0)),"Matière inconnue",IF(INDEX(mat_check,MATCH(B2263,mat_ref,0))&lt;&gt;"OK","Matière à corriger",IF(OR(NOT(ISNUMBER(E2263)),N(E2263)&lt;=0),"Quantité invalide",IF(AND(F2263&lt;&gt;"",OR(NOT(ISNUMBER(F2263)),N(F2263)&lt;0,N(F2263)&gt;=1)),"Perte entre 0 et 99 %",IF(COUNTIFS(bom_prod,A2263,bom_mat,B2263)&gt;1,"Matière en double","OK")))))))))</f>
        <v/>
      </c>
      <c r="K2263" s="71" t="str">
        <f>IF(AND(fiche_sel&lt;&gt;"",A2263=fiche_sel),COUNTIF(A$6:A2263,fiche_sel),"")</f>
        <v/>
      </c>
    </row>
    <row r="2264">
      <c r="A2264" s="60" t="n"/>
      <c r="B2264" s="60" t="n"/>
      <c r="C2264" s="71" t="str">
        <f>IF(B2264="","",IFERROR(INDEX(mat_des,MATCH(B2264,mat_ref,0))&amp;"","Matière inconnue"))</f>
        <v/>
      </c>
      <c r="D2264" s="69" t="str">
        <f>IF(B2264="","",IFERROR(INDEX(mat_unit,MATCH(B2264,mat_ref,0))&amp;"",""))</f>
        <v/>
      </c>
      <c r="E2264" s="72" t="n"/>
      <c r="F2264" s="65" t="n"/>
      <c r="G2264" s="68" t="str">
        <f>IF(J2264&lt;&gt;"OK","",IF(F2264="",N(INDEX(mat_loss,MATCH(B2264,mat_ref,0))),F2264))</f>
        <v/>
      </c>
      <c r="H2264" s="66" t="str">
        <f>IF(J2264&lt;&gt;"OK","",INDEX(mat_price,MATCH(B2264,mat_ref,0)))</f>
        <v/>
      </c>
      <c r="I2264" s="66" t="str">
        <f>IF(J2264&lt;&gt;"OK","",E2264*(1+G2264)*H2264)</f>
        <v/>
      </c>
      <c r="J2264" s="69" t="str">
        <f>IF(AND(A2264="",B2264=""),"",IF(A2264="","Produit manquant",IF(COUNTIF(prod_ref,A2264)=0,"Produit inconnu",IF(B2264="","Matière manquante",IF(ISNA(MATCH(B2264,mat_ref,0)),"Matière inconnue",IF(INDEX(mat_check,MATCH(B2264,mat_ref,0))&lt;&gt;"OK","Matière à corriger",IF(OR(NOT(ISNUMBER(E2264)),N(E2264)&lt;=0),"Quantité invalide",IF(AND(F2264&lt;&gt;"",OR(NOT(ISNUMBER(F2264)),N(F2264)&lt;0,N(F2264)&gt;=1)),"Perte entre 0 et 99 %",IF(COUNTIFS(bom_prod,A2264,bom_mat,B2264)&gt;1,"Matière en double","OK")))))))))</f>
        <v/>
      </c>
      <c r="K2264" s="71" t="str">
        <f>IF(AND(fiche_sel&lt;&gt;"",A2264=fiche_sel),COUNTIF(A$6:A2264,fiche_sel),"")</f>
        <v/>
      </c>
    </row>
    <row r="2265">
      <c r="A2265" s="60" t="n"/>
      <c r="B2265" s="60" t="n"/>
      <c r="C2265" s="71" t="str">
        <f>IF(B2265="","",IFERROR(INDEX(mat_des,MATCH(B2265,mat_ref,0))&amp;"","Matière inconnue"))</f>
        <v/>
      </c>
      <c r="D2265" s="69" t="str">
        <f>IF(B2265="","",IFERROR(INDEX(mat_unit,MATCH(B2265,mat_ref,0))&amp;"",""))</f>
        <v/>
      </c>
      <c r="E2265" s="72" t="n"/>
      <c r="F2265" s="65" t="n"/>
      <c r="G2265" s="68" t="str">
        <f>IF(J2265&lt;&gt;"OK","",IF(F2265="",N(INDEX(mat_loss,MATCH(B2265,mat_ref,0))),F2265))</f>
        <v/>
      </c>
      <c r="H2265" s="66" t="str">
        <f>IF(J2265&lt;&gt;"OK","",INDEX(mat_price,MATCH(B2265,mat_ref,0)))</f>
        <v/>
      </c>
      <c r="I2265" s="66" t="str">
        <f>IF(J2265&lt;&gt;"OK","",E2265*(1+G2265)*H2265)</f>
        <v/>
      </c>
      <c r="J2265" s="69" t="str">
        <f>IF(AND(A2265="",B2265=""),"",IF(A2265="","Produit manquant",IF(COUNTIF(prod_ref,A2265)=0,"Produit inconnu",IF(B2265="","Matière manquante",IF(ISNA(MATCH(B2265,mat_ref,0)),"Matière inconnue",IF(INDEX(mat_check,MATCH(B2265,mat_ref,0))&lt;&gt;"OK","Matière à corriger",IF(OR(NOT(ISNUMBER(E2265)),N(E2265)&lt;=0),"Quantité invalide",IF(AND(F2265&lt;&gt;"",OR(NOT(ISNUMBER(F2265)),N(F2265)&lt;0,N(F2265)&gt;=1)),"Perte entre 0 et 99 %",IF(COUNTIFS(bom_prod,A2265,bom_mat,B2265)&gt;1,"Matière en double","OK")))))))))</f>
        <v/>
      </c>
      <c r="K2265" s="71" t="str">
        <f>IF(AND(fiche_sel&lt;&gt;"",A2265=fiche_sel),COUNTIF(A$6:A2265,fiche_sel),"")</f>
        <v/>
      </c>
    </row>
    <row r="2266">
      <c r="A2266" s="60" t="n"/>
      <c r="B2266" s="60" t="n"/>
      <c r="C2266" s="71" t="str">
        <f>IF(B2266="","",IFERROR(INDEX(mat_des,MATCH(B2266,mat_ref,0))&amp;"","Matière inconnue"))</f>
        <v/>
      </c>
      <c r="D2266" s="69" t="str">
        <f>IF(B2266="","",IFERROR(INDEX(mat_unit,MATCH(B2266,mat_ref,0))&amp;"",""))</f>
        <v/>
      </c>
      <c r="E2266" s="72" t="n"/>
      <c r="F2266" s="65" t="n"/>
      <c r="G2266" s="68" t="str">
        <f>IF(J2266&lt;&gt;"OK","",IF(F2266="",N(INDEX(mat_loss,MATCH(B2266,mat_ref,0))),F2266))</f>
        <v/>
      </c>
      <c r="H2266" s="66" t="str">
        <f>IF(J2266&lt;&gt;"OK","",INDEX(mat_price,MATCH(B2266,mat_ref,0)))</f>
        <v/>
      </c>
      <c r="I2266" s="66" t="str">
        <f>IF(J2266&lt;&gt;"OK","",E2266*(1+G2266)*H2266)</f>
        <v/>
      </c>
      <c r="J2266" s="69" t="str">
        <f>IF(AND(A2266="",B2266=""),"",IF(A2266="","Produit manquant",IF(COUNTIF(prod_ref,A2266)=0,"Produit inconnu",IF(B2266="","Matière manquante",IF(ISNA(MATCH(B2266,mat_ref,0)),"Matière inconnue",IF(INDEX(mat_check,MATCH(B2266,mat_ref,0))&lt;&gt;"OK","Matière à corriger",IF(OR(NOT(ISNUMBER(E2266)),N(E2266)&lt;=0),"Quantité invalide",IF(AND(F2266&lt;&gt;"",OR(NOT(ISNUMBER(F2266)),N(F2266)&lt;0,N(F2266)&gt;=1)),"Perte entre 0 et 99 %",IF(COUNTIFS(bom_prod,A2266,bom_mat,B2266)&gt;1,"Matière en double","OK")))))))))</f>
        <v/>
      </c>
      <c r="K2266" s="71" t="str">
        <f>IF(AND(fiche_sel&lt;&gt;"",A2266=fiche_sel),COUNTIF(A$6:A2266,fiche_sel),"")</f>
        <v/>
      </c>
    </row>
    <row r="2267">
      <c r="A2267" s="60" t="n"/>
      <c r="B2267" s="60" t="n"/>
      <c r="C2267" s="71" t="str">
        <f>IF(B2267="","",IFERROR(INDEX(mat_des,MATCH(B2267,mat_ref,0))&amp;"","Matière inconnue"))</f>
        <v/>
      </c>
      <c r="D2267" s="69" t="str">
        <f>IF(B2267="","",IFERROR(INDEX(mat_unit,MATCH(B2267,mat_ref,0))&amp;"",""))</f>
        <v/>
      </c>
      <c r="E2267" s="72" t="n"/>
      <c r="F2267" s="65" t="n"/>
      <c r="G2267" s="68" t="str">
        <f>IF(J2267&lt;&gt;"OK","",IF(F2267="",N(INDEX(mat_loss,MATCH(B2267,mat_ref,0))),F2267))</f>
        <v/>
      </c>
      <c r="H2267" s="66" t="str">
        <f>IF(J2267&lt;&gt;"OK","",INDEX(mat_price,MATCH(B2267,mat_ref,0)))</f>
        <v/>
      </c>
      <c r="I2267" s="66" t="str">
        <f>IF(J2267&lt;&gt;"OK","",E2267*(1+G2267)*H2267)</f>
        <v/>
      </c>
      <c r="J2267" s="69" t="str">
        <f>IF(AND(A2267="",B2267=""),"",IF(A2267="","Produit manquant",IF(COUNTIF(prod_ref,A2267)=0,"Produit inconnu",IF(B2267="","Matière manquante",IF(ISNA(MATCH(B2267,mat_ref,0)),"Matière inconnue",IF(INDEX(mat_check,MATCH(B2267,mat_ref,0))&lt;&gt;"OK","Matière à corriger",IF(OR(NOT(ISNUMBER(E2267)),N(E2267)&lt;=0),"Quantité invalide",IF(AND(F2267&lt;&gt;"",OR(NOT(ISNUMBER(F2267)),N(F2267)&lt;0,N(F2267)&gt;=1)),"Perte entre 0 et 99 %",IF(COUNTIFS(bom_prod,A2267,bom_mat,B2267)&gt;1,"Matière en double","OK")))))))))</f>
        <v/>
      </c>
      <c r="K2267" s="71" t="str">
        <f>IF(AND(fiche_sel&lt;&gt;"",A2267=fiche_sel),COUNTIF(A$6:A2267,fiche_sel),"")</f>
        <v/>
      </c>
    </row>
    <row r="2268">
      <c r="A2268" s="60" t="n"/>
      <c r="B2268" s="60" t="n"/>
      <c r="C2268" s="71" t="str">
        <f>IF(B2268="","",IFERROR(INDEX(mat_des,MATCH(B2268,mat_ref,0))&amp;"","Matière inconnue"))</f>
        <v/>
      </c>
      <c r="D2268" s="69" t="str">
        <f>IF(B2268="","",IFERROR(INDEX(mat_unit,MATCH(B2268,mat_ref,0))&amp;"",""))</f>
        <v/>
      </c>
      <c r="E2268" s="72" t="n"/>
      <c r="F2268" s="65" t="n"/>
      <c r="G2268" s="68" t="str">
        <f>IF(J2268&lt;&gt;"OK","",IF(F2268="",N(INDEX(mat_loss,MATCH(B2268,mat_ref,0))),F2268))</f>
        <v/>
      </c>
      <c r="H2268" s="66" t="str">
        <f>IF(J2268&lt;&gt;"OK","",INDEX(mat_price,MATCH(B2268,mat_ref,0)))</f>
        <v/>
      </c>
      <c r="I2268" s="66" t="str">
        <f>IF(J2268&lt;&gt;"OK","",E2268*(1+G2268)*H2268)</f>
        <v/>
      </c>
      <c r="J2268" s="69" t="str">
        <f>IF(AND(A2268="",B2268=""),"",IF(A2268="","Produit manquant",IF(COUNTIF(prod_ref,A2268)=0,"Produit inconnu",IF(B2268="","Matière manquante",IF(ISNA(MATCH(B2268,mat_ref,0)),"Matière inconnue",IF(INDEX(mat_check,MATCH(B2268,mat_ref,0))&lt;&gt;"OK","Matière à corriger",IF(OR(NOT(ISNUMBER(E2268)),N(E2268)&lt;=0),"Quantité invalide",IF(AND(F2268&lt;&gt;"",OR(NOT(ISNUMBER(F2268)),N(F2268)&lt;0,N(F2268)&gt;=1)),"Perte entre 0 et 99 %",IF(COUNTIFS(bom_prod,A2268,bom_mat,B2268)&gt;1,"Matière en double","OK")))))))))</f>
        <v/>
      </c>
      <c r="K2268" s="71" t="str">
        <f>IF(AND(fiche_sel&lt;&gt;"",A2268=fiche_sel),COUNTIF(A$6:A2268,fiche_sel),"")</f>
        <v/>
      </c>
    </row>
    <row r="2269">
      <c r="A2269" s="60" t="n"/>
      <c r="B2269" s="60" t="n"/>
      <c r="C2269" s="71" t="str">
        <f>IF(B2269="","",IFERROR(INDEX(mat_des,MATCH(B2269,mat_ref,0))&amp;"","Matière inconnue"))</f>
        <v/>
      </c>
      <c r="D2269" s="69" t="str">
        <f>IF(B2269="","",IFERROR(INDEX(mat_unit,MATCH(B2269,mat_ref,0))&amp;"",""))</f>
        <v/>
      </c>
      <c r="E2269" s="72" t="n"/>
      <c r="F2269" s="65" t="n"/>
      <c r="G2269" s="68" t="str">
        <f>IF(J2269&lt;&gt;"OK","",IF(F2269="",N(INDEX(mat_loss,MATCH(B2269,mat_ref,0))),F2269))</f>
        <v/>
      </c>
      <c r="H2269" s="66" t="str">
        <f>IF(J2269&lt;&gt;"OK","",INDEX(mat_price,MATCH(B2269,mat_ref,0)))</f>
        <v/>
      </c>
      <c r="I2269" s="66" t="str">
        <f>IF(J2269&lt;&gt;"OK","",E2269*(1+G2269)*H2269)</f>
        <v/>
      </c>
      <c r="J2269" s="69" t="str">
        <f>IF(AND(A2269="",B2269=""),"",IF(A2269="","Produit manquant",IF(COUNTIF(prod_ref,A2269)=0,"Produit inconnu",IF(B2269="","Matière manquante",IF(ISNA(MATCH(B2269,mat_ref,0)),"Matière inconnue",IF(INDEX(mat_check,MATCH(B2269,mat_ref,0))&lt;&gt;"OK","Matière à corriger",IF(OR(NOT(ISNUMBER(E2269)),N(E2269)&lt;=0),"Quantité invalide",IF(AND(F2269&lt;&gt;"",OR(NOT(ISNUMBER(F2269)),N(F2269)&lt;0,N(F2269)&gt;=1)),"Perte entre 0 et 99 %",IF(COUNTIFS(bom_prod,A2269,bom_mat,B2269)&gt;1,"Matière en double","OK")))))))))</f>
        <v/>
      </c>
      <c r="K2269" s="71" t="str">
        <f>IF(AND(fiche_sel&lt;&gt;"",A2269=fiche_sel),COUNTIF(A$6:A2269,fiche_sel),"")</f>
        <v/>
      </c>
    </row>
    <row r="2270">
      <c r="A2270" s="60" t="n"/>
      <c r="B2270" s="60" t="n"/>
      <c r="C2270" s="71" t="str">
        <f>IF(B2270="","",IFERROR(INDEX(mat_des,MATCH(B2270,mat_ref,0))&amp;"","Matière inconnue"))</f>
        <v/>
      </c>
      <c r="D2270" s="69" t="str">
        <f>IF(B2270="","",IFERROR(INDEX(mat_unit,MATCH(B2270,mat_ref,0))&amp;"",""))</f>
        <v/>
      </c>
      <c r="E2270" s="72" t="n"/>
      <c r="F2270" s="65" t="n"/>
      <c r="G2270" s="68" t="str">
        <f>IF(J2270&lt;&gt;"OK","",IF(F2270="",N(INDEX(mat_loss,MATCH(B2270,mat_ref,0))),F2270))</f>
        <v/>
      </c>
      <c r="H2270" s="66" t="str">
        <f>IF(J2270&lt;&gt;"OK","",INDEX(mat_price,MATCH(B2270,mat_ref,0)))</f>
        <v/>
      </c>
      <c r="I2270" s="66" t="str">
        <f>IF(J2270&lt;&gt;"OK","",E2270*(1+G2270)*H2270)</f>
        <v/>
      </c>
      <c r="J2270" s="69" t="str">
        <f>IF(AND(A2270="",B2270=""),"",IF(A2270="","Produit manquant",IF(COUNTIF(prod_ref,A2270)=0,"Produit inconnu",IF(B2270="","Matière manquante",IF(ISNA(MATCH(B2270,mat_ref,0)),"Matière inconnue",IF(INDEX(mat_check,MATCH(B2270,mat_ref,0))&lt;&gt;"OK","Matière à corriger",IF(OR(NOT(ISNUMBER(E2270)),N(E2270)&lt;=0),"Quantité invalide",IF(AND(F2270&lt;&gt;"",OR(NOT(ISNUMBER(F2270)),N(F2270)&lt;0,N(F2270)&gt;=1)),"Perte entre 0 et 99 %",IF(COUNTIFS(bom_prod,A2270,bom_mat,B2270)&gt;1,"Matière en double","OK")))))))))</f>
        <v/>
      </c>
      <c r="K2270" s="71" t="str">
        <f>IF(AND(fiche_sel&lt;&gt;"",A2270=fiche_sel),COUNTIF(A$6:A2270,fiche_sel),"")</f>
        <v/>
      </c>
    </row>
    <row r="2271">
      <c r="A2271" s="60" t="n"/>
      <c r="B2271" s="60" t="n"/>
      <c r="C2271" s="71" t="str">
        <f>IF(B2271="","",IFERROR(INDEX(mat_des,MATCH(B2271,mat_ref,0))&amp;"","Matière inconnue"))</f>
        <v/>
      </c>
      <c r="D2271" s="69" t="str">
        <f>IF(B2271="","",IFERROR(INDEX(mat_unit,MATCH(B2271,mat_ref,0))&amp;"",""))</f>
        <v/>
      </c>
      <c r="E2271" s="72" t="n"/>
      <c r="F2271" s="65" t="n"/>
      <c r="G2271" s="68" t="str">
        <f>IF(J2271&lt;&gt;"OK","",IF(F2271="",N(INDEX(mat_loss,MATCH(B2271,mat_ref,0))),F2271))</f>
        <v/>
      </c>
      <c r="H2271" s="66" t="str">
        <f>IF(J2271&lt;&gt;"OK","",INDEX(mat_price,MATCH(B2271,mat_ref,0)))</f>
        <v/>
      </c>
      <c r="I2271" s="66" t="str">
        <f>IF(J2271&lt;&gt;"OK","",E2271*(1+G2271)*H2271)</f>
        <v/>
      </c>
      <c r="J2271" s="69" t="str">
        <f>IF(AND(A2271="",B2271=""),"",IF(A2271="","Produit manquant",IF(COUNTIF(prod_ref,A2271)=0,"Produit inconnu",IF(B2271="","Matière manquante",IF(ISNA(MATCH(B2271,mat_ref,0)),"Matière inconnue",IF(INDEX(mat_check,MATCH(B2271,mat_ref,0))&lt;&gt;"OK","Matière à corriger",IF(OR(NOT(ISNUMBER(E2271)),N(E2271)&lt;=0),"Quantité invalide",IF(AND(F2271&lt;&gt;"",OR(NOT(ISNUMBER(F2271)),N(F2271)&lt;0,N(F2271)&gt;=1)),"Perte entre 0 et 99 %",IF(COUNTIFS(bom_prod,A2271,bom_mat,B2271)&gt;1,"Matière en double","OK")))))))))</f>
        <v/>
      </c>
      <c r="K2271" s="71" t="str">
        <f>IF(AND(fiche_sel&lt;&gt;"",A2271=fiche_sel),COUNTIF(A$6:A2271,fiche_sel),"")</f>
        <v/>
      </c>
    </row>
    <row r="2272">
      <c r="A2272" s="60" t="n"/>
      <c r="B2272" s="60" t="n"/>
      <c r="C2272" s="71" t="str">
        <f>IF(B2272="","",IFERROR(INDEX(mat_des,MATCH(B2272,mat_ref,0))&amp;"","Matière inconnue"))</f>
        <v/>
      </c>
      <c r="D2272" s="69" t="str">
        <f>IF(B2272="","",IFERROR(INDEX(mat_unit,MATCH(B2272,mat_ref,0))&amp;"",""))</f>
        <v/>
      </c>
      <c r="E2272" s="72" t="n"/>
      <c r="F2272" s="65" t="n"/>
      <c r="G2272" s="68" t="str">
        <f>IF(J2272&lt;&gt;"OK","",IF(F2272="",N(INDEX(mat_loss,MATCH(B2272,mat_ref,0))),F2272))</f>
        <v/>
      </c>
      <c r="H2272" s="66" t="str">
        <f>IF(J2272&lt;&gt;"OK","",INDEX(mat_price,MATCH(B2272,mat_ref,0)))</f>
        <v/>
      </c>
      <c r="I2272" s="66" t="str">
        <f>IF(J2272&lt;&gt;"OK","",E2272*(1+G2272)*H2272)</f>
        <v/>
      </c>
      <c r="J2272" s="69" t="str">
        <f>IF(AND(A2272="",B2272=""),"",IF(A2272="","Produit manquant",IF(COUNTIF(prod_ref,A2272)=0,"Produit inconnu",IF(B2272="","Matière manquante",IF(ISNA(MATCH(B2272,mat_ref,0)),"Matière inconnue",IF(INDEX(mat_check,MATCH(B2272,mat_ref,0))&lt;&gt;"OK","Matière à corriger",IF(OR(NOT(ISNUMBER(E2272)),N(E2272)&lt;=0),"Quantité invalide",IF(AND(F2272&lt;&gt;"",OR(NOT(ISNUMBER(F2272)),N(F2272)&lt;0,N(F2272)&gt;=1)),"Perte entre 0 et 99 %",IF(COUNTIFS(bom_prod,A2272,bom_mat,B2272)&gt;1,"Matière en double","OK")))))))))</f>
        <v/>
      </c>
      <c r="K2272" s="71" t="str">
        <f>IF(AND(fiche_sel&lt;&gt;"",A2272=fiche_sel),COUNTIF(A$6:A2272,fiche_sel),"")</f>
        <v/>
      </c>
    </row>
    <row r="2273">
      <c r="A2273" s="60" t="n"/>
      <c r="B2273" s="60" t="n"/>
      <c r="C2273" s="71" t="str">
        <f>IF(B2273="","",IFERROR(INDEX(mat_des,MATCH(B2273,mat_ref,0))&amp;"","Matière inconnue"))</f>
        <v/>
      </c>
      <c r="D2273" s="69" t="str">
        <f>IF(B2273="","",IFERROR(INDEX(mat_unit,MATCH(B2273,mat_ref,0))&amp;"",""))</f>
        <v/>
      </c>
      <c r="E2273" s="72" t="n"/>
      <c r="F2273" s="65" t="n"/>
      <c r="G2273" s="68" t="str">
        <f>IF(J2273&lt;&gt;"OK","",IF(F2273="",N(INDEX(mat_loss,MATCH(B2273,mat_ref,0))),F2273))</f>
        <v/>
      </c>
      <c r="H2273" s="66" t="str">
        <f>IF(J2273&lt;&gt;"OK","",INDEX(mat_price,MATCH(B2273,mat_ref,0)))</f>
        <v/>
      </c>
      <c r="I2273" s="66" t="str">
        <f>IF(J2273&lt;&gt;"OK","",E2273*(1+G2273)*H2273)</f>
        <v/>
      </c>
      <c r="J2273" s="69" t="str">
        <f>IF(AND(A2273="",B2273=""),"",IF(A2273="","Produit manquant",IF(COUNTIF(prod_ref,A2273)=0,"Produit inconnu",IF(B2273="","Matière manquante",IF(ISNA(MATCH(B2273,mat_ref,0)),"Matière inconnue",IF(INDEX(mat_check,MATCH(B2273,mat_ref,0))&lt;&gt;"OK","Matière à corriger",IF(OR(NOT(ISNUMBER(E2273)),N(E2273)&lt;=0),"Quantité invalide",IF(AND(F2273&lt;&gt;"",OR(NOT(ISNUMBER(F2273)),N(F2273)&lt;0,N(F2273)&gt;=1)),"Perte entre 0 et 99 %",IF(COUNTIFS(bom_prod,A2273,bom_mat,B2273)&gt;1,"Matière en double","OK")))))))))</f>
        <v/>
      </c>
      <c r="K2273" s="71" t="str">
        <f>IF(AND(fiche_sel&lt;&gt;"",A2273=fiche_sel),COUNTIF(A$6:A2273,fiche_sel),"")</f>
        <v/>
      </c>
    </row>
    <row r="2274">
      <c r="A2274" s="60" t="n"/>
      <c r="B2274" s="60" t="n"/>
      <c r="C2274" s="71" t="str">
        <f>IF(B2274="","",IFERROR(INDEX(mat_des,MATCH(B2274,mat_ref,0))&amp;"","Matière inconnue"))</f>
        <v/>
      </c>
      <c r="D2274" s="69" t="str">
        <f>IF(B2274="","",IFERROR(INDEX(mat_unit,MATCH(B2274,mat_ref,0))&amp;"",""))</f>
        <v/>
      </c>
      <c r="E2274" s="72" t="n"/>
      <c r="F2274" s="65" t="n"/>
      <c r="G2274" s="68" t="str">
        <f>IF(J2274&lt;&gt;"OK","",IF(F2274="",N(INDEX(mat_loss,MATCH(B2274,mat_ref,0))),F2274))</f>
        <v/>
      </c>
      <c r="H2274" s="66" t="str">
        <f>IF(J2274&lt;&gt;"OK","",INDEX(mat_price,MATCH(B2274,mat_ref,0)))</f>
        <v/>
      </c>
      <c r="I2274" s="66" t="str">
        <f>IF(J2274&lt;&gt;"OK","",E2274*(1+G2274)*H2274)</f>
        <v/>
      </c>
      <c r="J2274" s="69" t="str">
        <f>IF(AND(A2274="",B2274=""),"",IF(A2274="","Produit manquant",IF(COUNTIF(prod_ref,A2274)=0,"Produit inconnu",IF(B2274="","Matière manquante",IF(ISNA(MATCH(B2274,mat_ref,0)),"Matière inconnue",IF(INDEX(mat_check,MATCH(B2274,mat_ref,0))&lt;&gt;"OK","Matière à corriger",IF(OR(NOT(ISNUMBER(E2274)),N(E2274)&lt;=0),"Quantité invalide",IF(AND(F2274&lt;&gt;"",OR(NOT(ISNUMBER(F2274)),N(F2274)&lt;0,N(F2274)&gt;=1)),"Perte entre 0 et 99 %",IF(COUNTIFS(bom_prod,A2274,bom_mat,B2274)&gt;1,"Matière en double","OK")))))))))</f>
        <v/>
      </c>
      <c r="K2274" s="71" t="str">
        <f>IF(AND(fiche_sel&lt;&gt;"",A2274=fiche_sel),COUNTIF(A$6:A2274,fiche_sel),"")</f>
        <v/>
      </c>
    </row>
    <row r="2275">
      <c r="A2275" s="60" t="n"/>
      <c r="B2275" s="60" t="n"/>
      <c r="C2275" s="71" t="str">
        <f>IF(B2275="","",IFERROR(INDEX(mat_des,MATCH(B2275,mat_ref,0))&amp;"","Matière inconnue"))</f>
        <v/>
      </c>
      <c r="D2275" s="69" t="str">
        <f>IF(B2275="","",IFERROR(INDEX(mat_unit,MATCH(B2275,mat_ref,0))&amp;"",""))</f>
        <v/>
      </c>
      <c r="E2275" s="72" t="n"/>
      <c r="F2275" s="65" t="n"/>
      <c r="G2275" s="68" t="str">
        <f>IF(J2275&lt;&gt;"OK","",IF(F2275="",N(INDEX(mat_loss,MATCH(B2275,mat_ref,0))),F2275))</f>
        <v/>
      </c>
      <c r="H2275" s="66" t="str">
        <f>IF(J2275&lt;&gt;"OK","",INDEX(mat_price,MATCH(B2275,mat_ref,0)))</f>
        <v/>
      </c>
      <c r="I2275" s="66" t="str">
        <f>IF(J2275&lt;&gt;"OK","",E2275*(1+G2275)*H2275)</f>
        <v/>
      </c>
      <c r="J2275" s="69" t="str">
        <f>IF(AND(A2275="",B2275=""),"",IF(A2275="","Produit manquant",IF(COUNTIF(prod_ref,A2275)=0,"Produit inconnu",IF(B2275="","Matière manquante",IF(ISNA(MATCH(B2275,mat_ref,0)),"Matière inconnue",IF(INDEX(mat_check,MATCH(B2275,mat_ref,0))&lt;&gt;"OK","Matière à corriger",IF(OR(NOT(ISNUMBER(E2275)),N(E2275)&lt;=0),"Quantité invalide",IF(AND(F2275&lt;&gt;"",OR(NOT(ISNUMBER(F2275)),N(F2275)&lt;0,N(F2275)&gt;=1)),"Perte entre 0 et 99 %",IF(COUNTIFS(bom_prod,A2275,bom_mat,B2275)&gt;1,"Matière en double","OK")))))))))</f>
        <v/>
      </c>
      <c r="K2275" s="71" t="str">
        <f>IF(AND(fiche_sel&lt;&gt;"",A2275=fiche_sel),COUNTIF(A$6:A2275,fiche_sel),"")</f>
        <v/>
      </c>
    </row>
    <row r="2276">
      <c r="A2276" s="60" t="n"/>
      <c r="B2276" s="60" t="n"/>
      <c r="C2276" s="71" t="str">
        <f>IF(B2276="","",IFERROR(INDEX(mat_des,MATCH(B2276,mat_ref,0))&amp;"","Matière inconnue"))</f>
        <v/>
      </c>
      <c r="D2276" s="69" t="str">
        <f>IF(B2276="","",IFERROR(INDEX(mat_unit,MATCH(B2276,mat_ref,0))&amp;"",""))</f>
        <v/>
      </c>
      <c r="E2276" s="72" t="n"/>
      <c r="F2276" s="65" t="n"/>
      <c r="G2276" s="68" t="str">
        <f>IF(J2276&lt;&gt;"OK","",IF(F2276="",N(INDEX(mat_loss,MATCH(B2276,mat_ref,0))),F2276))</f>
        <v/>
      </c>
      <c r="H2276" s="66" t="str">
        <f>IF(J2276&lt;&gt;"OK","",INDEX(mat_price,MATCH(B2276,mat_ref,0)))</f>
        <v/>
      </c>
      <c r="I2276" s="66" t="str">
        <f>IF(J2276&lt;&gt;"OK","",E2276*(1+G2276)*H2276)</f>
        <v/>
      </c>
      <c r="J2276" s="69" t="str">
        <f>IF(AND(A2276="",B2276=""),"",IF(A2276="","Produit manquant",IF(COUNTIF(prod_ref,A2276)=0,"Produit inconnu",IF(B2276="","Matière manquante",IF(ISNA(MATCH(B2276,mat_ref,0)),"Matière inconnue",IF(INDEX(mat_check,MATCH(B2276,mat_ref,0))&lt;&gt;"OK","Matière à corriger",IF(OR(NOT(ISNUMBER(E2276)),N(E2276)&lt;=0),"Quantité invalide",IF(AND(F2276&lt;&gt;"",OR(NOT(ISNUMBER(F2276)),N(F2276)&lt;0,N(F2276)&gt;=1)),"Perte entre 0 et 99 %",IF(COUNTIFS(bom_prod,A2276,bom_mat,B2276)&gt;1,"Matière en double","OK")))))))))</f>
        <v/>
      </c>
      <c r="K2276" s="71" t="str">
        <f>IF(AND(fiche_sel&lt;&gt;"",A2276=fiche_sel),COUNTIF(A$6:A2276,fiche_sel),"")</f>
        <v/>
      </c>
    </row>
    <row r="2277">
      <c r="A2277" s="60" t="n"/>
      <c r="B2277" s="60" t="n"/>
      <c r="C2277" s="71" t="str">
        <f>IF(B2277="","",IFERROR(INDEX(mat_des,MATCH(B2277,mat_ref,0))&amp;"","Matière inconnue"))</f>
        <v/>
      </c>
      <c r="D2277" s="69" t="str">
        <f>IF(B2277="","",IFERROR(INDEX(mat_unit,MATCH(B2277,mat_ref,0))&amp;"",""))</f>
        <v/>
      </c>
      <c r="E2277" s="72" t="n"/>
      <c r="F2277" s="65" t="n"/>
      <c r="G2277" s="68" t="str">
        <f>IF(J2277&lt;&gt;"OK","",IF(F2277="",N(INDEX(mat_loss,MATCH(B2277,mat_ref,0))),F2277))</f>
        <v/>
      </c>
      <c r="H2277" s="66" t="str">
        <f>IF(J2277&lt;&gt;"OK","",INDEX(mat_price,MATCH(B2277,mat_ref,0)))</f>
        <v/>
      </c>
      <c r="I2277" s="66" t="str">
        <f>IF(J2277&lt;&gt;"OK","",E2277*(1+G2277)*H2277)</f>
        <v/>
      </c>
      <c r="J2277" s="69" t="str">
        <f>IF(AND(A2277="",B2277=""),"",IF(A2277="","Produit manquant",IF(COUNTIF(prod_ref,A2277)=0,"Produit inconnu",IF(B2277="","Matière manquante",IF(ISNA(MATCH(B2277,mat_ref,0)),"Matière inconnue",IF(INDEX(mat_check,MATCH(B2277,mat_ref,0))&lt;&gt;"OK","Matière à corriger",IF(OR(NOT(ISNUMBER(E2277)),N(E2277)&lt;=0),"Quantité invalide",IF(AND(F2277&lt;&gt;"",OR(NOT(ISNUMBER(F2277)),N(F2277)&lt;0,N(F2277)&gt;=1)),"Perte entre 0 et 99 %",IF(COUNTIFS(bom_prod,A2277,bom_mat,B2277)&gt;1,"Matière en double","OK")))))))))</f>
        <v/>
      </c>
      <c r="K2277" s="71" t="str">
        <f>IF(AND(fiche_sel&lt;&gt;"",A2277=fiche_sel),COUNTIF(A$6:A2277,fiche_sel),"")</f>
        <v/>
      </c>
    </row>
    <row r="2278">
      <c r="A2278" s="60" t="n"/>
      <c r="B2278" s="60" t="n"/>
      <c r="C2278" s="71" t="str">
        <f>IF(B2278="","",IFERROR(INDEX(mat_des,MATCH(B2278,mat_ref,0))&amp;"","Matière inconnue"))</f>
        <v/>
      </c>
      <c r="D2278" s="69" t="str">
        <f>IF(B2278="","",IFERROR(INDEX(mat_unit,MATCH(B2278,mat_ref,0))&amp;"",""))</f>
        <v/>
      </c>
      <c r="E2278" s="72" t="n"/>
      <c r="F2278" s="65" t="n"/>
      <c r="G2278" s="68" t="str">
        <f>IF(J2278&lt;&gt;"OK","",IF(F2278="",N(INDEX(mat_loss,MATCH(B2278,mat_ref,0))),F2278))</f>
        <v/>
      </c>
      <c r="H2278" s="66" t="str">
        <f>IF(J2278&lt;&gt;"OK","",INDEX(mat_price,MATCH(B2278,mat_ref,0)))</f>
        <v/>
      </c>
      <c r="I2278" s="66" t="str">
        <f>IF(J2278&lt;&gt;"OK","",E2278*(1+G2278)*H2278)</f>
        <v/>
      </c>
      <c r="J2278" s="69" t="str">
        <f>IF(AND(A2278="",B2278=""),"",IF(A2278="","Produit manquant",IF(COUNTIF(prod_ref,A2278)=0,"Produit inconnu",IF(B2278="","Matière manquante",IF(ISNA(MATCH(B2278,mat_ref,0)),"Matière inconnue",IF(INDEX(mat_check,MATCH(B2278,mat_ref,0))&lt;&gt;"OK","Matière à corriger",IF(OR(NOT(ISNUMBER(E2278)),N(E2278)&lt;=0),"Quantité invalide",IF(AND(F2278&lt;&gt;"",OR(NOT(ISNUMBER(F2278)),N(F2278)&lt;0,N(F2278)&gt;=1)),"Perte entre 0 et 99 %",IF(COUNTIFS(bom_prod,A2278,bom_mat,B2278)&gt;1,"Matière en double","OK")))))))))</f>
        <v/>
      </c>
      <c r="K2278" s="71" t="str">
        <f>IF(AND(fiche_sel&lt;&gt;"",A2278=fiche_sel),COUNTIF(A$6:A2278,fiche_sel),"")</f>
        <v/>
      </c>
    </row>
    <row r="2279">
      <c r="A2279" s="60" t="n"/>
      <c r="B2279" s="60" t="n"/>
      <c r="C2279" s="71" t="str">
        <f>IF(B2279="","",IFERROR(INDEX(mat_des,MATCH(B2279,mat_ref,0))&amp;"","Matière inconnue"))</f>
        <v/>
      </c>
      <c r="D2279" s="69" t="str">
        <f>IF(B2279="","",IFERROR(INDEX(mat_unit,MATCH(B2279,mat_ref,0))&amp;"",""))</f>
        <v/>
      </c>
      <c r="E2279" s="72" t="n"/>
      <c r="F2279" s="65" t="n"/>
      <c r="G2279" s="68" t="str">
        <f>IF(J2279&lt;&gt;"OK","",IF(F2279="",N(INDEX(mat_loss,MATCH(B2279,mat_ref,0))),F2279))</f>
        <v/>
      </c>
      <c r="H2279" s="66" t="str">
        <f>IF(J2279&lt;&gt;"OK","",INDEX(mat_price,MATCH(B2279,mat_ref,0)))</f>
        <v/>
      </c>
      <c r="I2279" s="66" t="str">
        <f>IF(J2279&lt;&gt;"OK","",E2279*(1+G2279)*H2279)</f>
        <v/>
      </c>
      <c r="J2279" s="69" t="str">
        <f>IF(AND(A2279="",B2279=""),"",IF(A2279="","Produit manquant",IF(COUNTIF(prod_ref,A2279)=0,"Produit inconnu",IF(B2279="","Matière manquante",IF(ISNA(MATCH(B2279,mat_ref,0)),"Matière inconnue",IF(INDEX(mat_check,MATCH(B2279,mat_ref,0))&lt;&gt;"OK","Matière à corriger",IF(OR(NOT(ISNUMBER(E2279)),N(E2279)&lt;=0),"Quantité invalide",IF(AND(F2279&lt;&gt;"",OR(NOT(ISNUMBER(F2279)),N(F2279)&lt;0,N(F2279)&gt;=1)),"Perte entre 0 et 99 %",IF(COUNTIFS(bom_prod,A2279,bom_mat,B2279)&gt;1,"Matière en double","OK")))))))))</f>
        <v/>
      </c>
      <c r="K2279" s="71" t="str">
        <f>IF(AND(fiche_sel&lt;&gt;"",A2279=fiche_sel),COUNTIF(A$6:A2279,fiche_sel),"")</f>
        <v/>
      </c>
    </row>
    <row r="2280">
      <c r="A2280" s="60" t="n"/>
      <c r="B2280" s="60" t="n"/>
      <c r="C2280" s="71" t="str">
        <f>IF(B2280="","",IFERROR(INDEX(mat_des,MATCH(B2280,mat_ref,0))&amp;"","Matière inconnue"))</f>
        <v/>
      </c>
      <c r="D2280" s="69" t="str">
        <f>IF(B2280="","",IFERROR(INDEX(mat_unit,MATCH(B2280,mat_ref,0))&amp;"",""))</f>
        <v/>
      </c>
      <c r="E2280" s="72" t="n"/>
      <c r="F2280" s="65" t="n"/>
      <c r="G2280" s="68" t="str">
        <f>IF(J2280&lt;&gt;"OK","",IF(F2280="",N(INDEX(mat_loss,MATCH(B2280,mat_ref,0))),F2280))</f>
        <v/>
      </c>
      <c r="H2280" s="66" t="str">
        <f>IF(J2280&lt;&gt;"OK","",INDEX(mat_price,MATCH(B2280,mat_ref,0)))</f>
        <v/>
      </c>
      <c r="I2280" s="66" t="str">
        <f>IF(J2280&lt;&gt;"OK","",E2280*(1+G2280)*H2280)</f>
        <v/>
      </c>
      <c r="J2280" s="69" t="str">
        <f>IF(AND(A2280="",B2280=""),"",IF(A2280="","Produit manquant",IF(COUNTIF(prod_ref,A2280)=0,"Produit inconnu",IF(B2280="","Matière manquante",IF(ISNA(MATCH(B2280,mat_ref,0)),"Matière inconnue",IF(INDEX(mat_check,MATCH(B2280,mat_ref,0))&lt;&gt;"OK","Matière à corriger",IF(OR(NOT(ISNUMBER(E2280)),N(E2280)&lt;=0),"Quantité invalide",IF(AND(F2280&lt;&gt;"",OR(NOT(ISNUMBER(F2280)),N(F2280)&lt;0,N(F2280)&gt;=1)),"Perte entre 0 et 99 %",IF(COUNTIFS(bom_prod,A2280,bom_mat,B2280)&gt;1,"Matière en double","OK")))))))))</f>
        <v/>
      </c>
      <c r="K2280" s="71" t="str">
        <f>IF(AND(fiche_sel&lt;&gt;"",A2280=fiche_sel),COUNTIF(A$6:A2280,fiche_sel),"")</f>
        <v/>
      </c>
    </row>
    <row r="2281">
      <c r="A2281" s="60" t="n"/>
      <c r="B2281" s="60" t="n"/>
      <c r="C2281" s="71" t="str">
        <f>IF(B2281="","",IFERROR(INDEX(mat_des,MATCH(B2281,mat_ref,0))&amp;"","Matière inconnue"))</f>
        <v/>
      </c>
      <c r="D2281" s="69" t="str">
        <f>IF(B2281="","",IFERROR(INDEX(mat_unit,MATCH(B2281,mat_ref,0))&amp;"",""))</f>
        <v/>
      </c>
      <c r="E2281" s="72" t="n"/>
      <c r="F2281" s="65" t="n"/>
      <c r="G2281" s="68" t="str">
        <f>IF(J2281&lt;&gt;"OK","",IF(F2281="",N(INDEX(mat_loss,MATCH(B2281,mat_ref,0))),F2281))</f>
        <v/>
      </c>
      <c r="H2281" s="66" t="str">
        <f>IF(J2281&lt;&gt;"OK","",INDEX(mat_price,MATCH(B2281,mat_ref,0)))</f>
        <v/>
      </c>
      <c r="I2281" s="66" t="str">
        <f>IF(J2281&lt;&gt;"OK","",E2281*(1+G2281)*H2281)</f>
        <v/>
      </c>
      <c r="J2281" s="69" t="str">
        <f>IF(AND(A2281="",B2281=""),"",IF(A2281="","Produit manquant",IF(COUNTIF(prod_ref,A2281)=0,"Produit inconnu",IF(B2281="","Matière manquante",IF(ISNA(MATCH(B2281,mat_ref,0)),"Matière inconnue",IF(INDEX(mat_check,MATCH(B2281,mat_ref,0))&lt;&gt;"OK","Matière à corriger",IF(OR(NOT(ISNUMBER(E2281)),N(E2281)&lt;=0),"Quantité invalide",IF(AND(F2281&lt;&gt;"",OR(NOT(ISNUMBER(F2281)),N(F2281)&lt;0,N(F2281)&gt;=1)),"Perte entre 0 et 99 %",IF(COUNTIFS(bom_prod,A2281,bom_mat,B2281)&gt;1,"Matière en double","OK")))))))))</f>
        <v/>
      </c>
      <c r="K2281" s="71" t="str">
        <f>IF(AND(fiche_sel&lt;&gt;"",A2281=fiche_sel),COUNTIF(A$6:A2281,fiche_sel),"")</f>
        <v/>
      </c>
    </row>
    <row r="2282">
      <c r="A2282" s="60" t="n"/>
      <c r="B2282" s="60" t="n"/>
      <c r="C2282" s="71" t="str">
        <f>IF(B2282="","",IFERROR(INDEX(mat_des,MATCH(B2282,mat_ref,0))&amp;"","Matière inconnue"))</f>
        <v/>
      </c>
      <c r="D2282" s="69" t="str">
        <f>IF(B2282="","",IFERROR(INDEX(mat_unit,MATCH(B2282,mat_ref,0))&amp;"",""))</f>
        <v/>
      </c>
      <c r="E2282" s="72" t="n"/>
      <c r="F2282" s="65" t="n"/>
      <c r="G2282" s="68" t="str">
        <f>IF(J2282&lt;&gt;"OK","",IF(F2282="",N(INDEX(mat_loss,MATCH(B2282,mat_ref,0))),F2282))</f>
        <v/>
      </c>
      <c r="H2282" s="66" t="str">
        <f>IF(J2282&lt;&gt;"OK","",INDEX(mat_price,MATCH(B2282,mat_ref,0)))</f>
        <v/>
      </c>
      <c r="I2282" s="66" t="str">
        <f>IF(J2282&lt;&gt;"OK","",E2282*(1+G2282)*H2282)</f>
        <v/>
      </c>
      <c r="J2282" s="69" t="str">
        <f>IF(AND(A2282="",B2282=""),"",IF(A2282="","Produit manquant",IF(COUNTIF(prod_ref,A2282)=0,"Produit inconnu",IF(B2282="","Matière manquante",IF(ISNA(MATCH(B2282,mat_ref,0)),"Matière inconnue",IF(INDEX(mat_check,MATCH(B2282,mat_ref,0))&lt;&gt;"OK","Matière à corriger",IF(OR(NOT(ISNUMBER(E2282)),N(E2282)&lt;=0),"Quantité invalide",IF(AND(F2282&lt;&gt;"",OR(NOT(ISNUMBER(F2282)),N(F2282)&lt;0,N(F2282)&gt;=1)),"Perte entre 0 et 99 %",IF(COUNTIFS(bom_prod,A2282,bom_mat,B2282)&gt;1,"Matière en double","OK")))))))))</f>
        <v/>
      </c>
      <c r="K2282" s="71" t="str">
        <f>IF(AND(fiche_sel&lt;&gt;"",A2282=fiche_sel),COUNTIF(A$6:A2282,fiche_sel),"")</f>
        <v/>
      </c>
    </row>
    <row r="2283">
      <c r="A2283" s="60" t="n"/>
      <c r="B2283" s="60" t="n"/>
      <c r="C2283" s="71" t="str">
        <f>IF(B2283="","",IFERROR(INDEX(mat_des,MATCH(B2283,mat_ref,0))&amp;"","Matière inconnue"))</f>
        <v/>
      </c>
      <c r="D2283" s="69" t="str">
        <f>IF(B2283="","",IFERROR(INDEX(mat_unit,MATCH(B2283,mat_ref,0))&amp;"",""))</f>
        <v/>
      </c>
      <c r="E2283" s="72" t="n"/>
      <c r="F2283" s="65" t="n"/>
      <c r="G2283" s="68" t="str">
        <f>IF(J2283&lt;&gt;"OK","",IF(F2283="",N(INDEX(mat_loss,MATCH(B2283,mat_ref,0))),F2283))</f>
        <v/>
      </c>
      <c r="H2283" s="66" t="str">
        <f>IF(J2283&lt;&gt;"OK","",INDEX(mat_price,MATCH(B2283,mat_ref,0)))</f>
        <v/>
      </c>
      <c r="I2283" s="66" t="str">
        <f>IF(J2283&lt;&gt;"OK","",E2283*(1+G2283)*H2283)</f>
        <v/>
      </c>
      <c r="J2283" s="69" t="str">
        <f>IF(AND(A2283="",B2283=""),"",IF(A2283="","Produit manquant",IF(COUNTIF(prod_ref,A2283)=0,"Produit inconnu",IF(B2283="","Matière manquante",IF(ISNA(MATCH(B2283,mat_ref,0)),"Matière inconnue",IF(INDEX(mat_check,MATCH(B2283,mat_ref,0))&lt;&gt;"OK","Matière à corriger",IF(OR(NOT(ISNUMBER(E2283)),N(E2283)&lt;=0),"Quantité invalide",IF(AND(F2283&lt;&gt;"",OR(NOT(ISNUMBER(F2283)),N(F2283)&lt;0,N(F2283)&gt;=1)),"Perte entre 0 et 99 %",IF(COUNTIFS(bom_prod,A2283,bom_mat,B2283)&gt;1,"Matière en double","OK")))))))))</f>
        <v/>
      </c>
      <c r="K2283" s="71" t="str">
        <f>IF(AND(fiche_sel&lt;&gt;"",A2283=fiche_sel),COUNTIF(A$6:A2283,fiche_sel),"")</f>
        <v/>
      </c>
    </row>
    <row r="2284">
      <c r="A2284" s="60" t="n"/>
      <c r="B2284" s="60" t="n"/>
      <c r="C2284" s="71" t="str">
        <f>IF(B2284="","",IFERROR(INDEX(mat_des,MATCH(B2284,mat_ref,0))&amp;"","Matière inconnue"))</f>
        <v/>
      </c>
      <c r="D2284" s="69" t="str">
        <f>IF(B2284="","",IFERROR(INDEX(mat_unit,MATCH(B2284,mat_ref,0))&amp;"",""))</f>
        <v/>
      </c>
      <c r="E2284" s="72" t="n"/>
      <c r="F2284" s="65" t="n"/>
      <c r="G2284" s="68" t="str">
        <f>IF(J2284&lt;&gt;"OK","",IF(F2284="",N(INDEX(mat_loss,MATCH(B2284,mat_ref,0))),F2284))</f>
        <v/>
      </c>
      <c r="H2284" s="66" t="str">
        <f>IF(J2284&lt;&gt;"OK","",INDEX(mat_price,MATCH(B2284,mat_ref,0)))</f>
        <v/>
      </c>
      <c r="I2284" s="66" t="str">
        <f>IF(J2284&lt;&gt;"OK","",E2284*(1+G2284)*H2284)</f>
        <v/>
      </c>
      <c r="J2284" s="69" t="str">
        <f>IF(AND(A2284="",B2284=""),"",IF(A2284="","Produit manquant",IF(COUNTIF(prod_ref,A2284)=0,"Produit inconnu",IF(B2284="","Matière manquante",IF(ISNA(MATCH(B2284,mat_ref,0)),"Matière inconnue",IF(INDEX(mat_check,MATCH(B2284,mat_ref,0))&lt;&gt;"OK","Matière à corriger",IF(OR(NOT(ISNUMBER(E2284)),N(E2284)&lt;=0),"Quantité invalide",IF(AND(F2284&lt;&gt;"",OR(NOT(ISNUMBER(F2284)),N(F2284)&lt;0,N(F2284)&gt;=1)),"Perte entre 0 et 99 %",IF(COUNTIFS(bom_prod,A2284,bom_mat,B2284)&gt;1,"Matière en double","OK")))))))))</f>
        <v/>
      </c>
      <c r="K2284" s="71" t="str">
        <f>IF(AND(fiche_sel&lt;&gt;"",A2284=fiche_sel),COUNTIF(A$6:A2284,fiche_sel),"")</f>
        <v/>
      </c>
    </row>
    <row r="2285">
      <c r="A2285" s="60" t="n"/>
      <c r="B2285" s="60" t="n"/>
      <c r="C2285" s="71" t="str">
        <f>IF(B2285="","",IFERROR(INDEX(mat_des,MATCH(B2285,mat_ref,0))&amp;"","Matière inconnue"))</f>
        <v/>
      </c>
      <c r="D2285" s="69" t="str">
        <f>IF(B2285="","",IFERROR(INDEX(mat_unit,MATCH(B2285,mat_ref,0))&amp;"",""))</f>
        <v/>
      </c>
      <c r="E2285" s="72" t="n"/>
      <c r="F2285" s="65" t="n"/>
      <c r="G2285" s="68" t="str">
        <f>IF(J2285&lt;&gt;"OK","",IF(F2285="",N(INDEX(mat_loss,MATCH(B2285,mat_ref,0))),F2285))</f>
        <v/>
      </c>
      <c r="H2285" s="66" t="str">
        <f>IF(J2285&lt;&gt;"OK","",INDEX(mat_price,MATCH(B2285,mat_ref,0)))</f>
        <v/>
      </c>
      <c r="I2285" s="66" t="str">
        <f>IF(J2285&lt;&gt;"OK","",E2285*(1+G2285)*H2285)</f>
        <v/>
      </c>
      <c r="J2285" s="69" t="str">
        <f>IF(AND(A2285="",B2285=""),"",IF(A2285="","Produit manquant",IF(COUNTIF(prod_ref,A2285)=0,"Produit inconnu",IF(B2285="","Matière manquante",IF(ISNA(MATCH(B2285,mat_ref,0)),"Matière inconnue",IF(INDEX(mat_check,MATCH(B2285,mat_ref,0))&lt;&gt;"OK","Matière à corriger",IF(OR(NOT(ISNUMBER(E2285)),N(E2285)&lt;=0),"Quantité invalide",IF(AND(F2285&lt;&gt;"",OR(NOT(ISNUMBER(F2285)),N(F2285)&lt;0,N(F2285)&gt;=1)),"Perte entre 0 et 99 %",IF(COUNTIFS(bom_prod,A2285,bom_mat,B2285)&gt;1,"Matière en double","OK")))))))))</f>
        <v/>
      </c>
      <c r="K2285" s="71" t="str">
        <f>IF(AND(fiche_sel&lt;&gt;"",A2285=fiche_sel),COUNTIF(A$6:A2285,fiche_sel),"")</f>
        <v/>
      </c>
    </row>
    <row r="2286">
      <c r="A2286" s="60" t="n"/>
      <c r="B2286" s="60" t="n"/>
      <c r="C2286" s="71" t="str">
        <f>IF(B2286="","",IFERROR(INDEX(mat_des,MATCH(B2286,mat_ref,0))&amp;"","Matière inconnue"))</f>
        <v/>
      </c>
      <c r="D2286" s="69" t="str">
        <f>IF(B2286="","",IFERROR(INDEX(mat_unit,MATCH(B2286,mat_ref,0))&amp;"",""))</f>
        <v/>
      </c>
      <c r="E2286" s="72" t="n"/>
      <c r="F2286" s="65" t="n"/>
      <c r="G2286" s="68" t="str">
        <f>IF(J2286&lt;&gt;"OK","",IF(F2286="",N(INDEX(mat_loss,MATCH(B2286,mat_ref,0))),F2286))</f>
        <v/>
      </c>
      <c r="H2286" s="66" t="str">
        <f>IF(J2286&lt;&gt;"OK","",INDEX(mat_price,MATCH(B2286,mat_ref,0)))</f>
        <v/>
      </c>
      <c r="I2286" s="66" t="str">
        <f>IF(J2286&lt;&gt;"OK","",E2286*(1+G2286)*H2286)</f>
        <v/>
      </c>
      <c r="J2286" s="69" t="str">
        <f>IF(AND(A2286="",B2286=""),"",IF(A2286="","Produit manquant",IF(COUNTIF(prod_ref,A2286)=0,"Produit inconnu",IF(B2286="","Matière manquante",IF(ISNA(MATCH(B2286,mat_ref,0)),"Matière inconnue",IF(INDEX(mat_check,MATCH(B2286,mat_ref,0))&lt;&gt;"OK","Matière à corriger",IF(OR(NOT(ISNUMBER(E2286)),N(E2286)&lt;=0),"Quantité invalide",IF(AND(F2286&lt;&gt;"",OR(NOT(ISNUMBER(F2286)),N(F2286)&lt;0,N(F2286)&gt;=1)),"Perte entre 0 et 99 %",IF(COUNTIFS(bom_prod,A2286,bom_mat,B2286)&gt;1,"Matière en double","OK")))))))))</f>
        <v/>
      </c>
      <c r="K2286" s="71" t="str">
        <f>IF(AND(fiche_sel&lt;&gt;"",A2286=fiche_sel),COUNTIF(A$6:A2286,fiche_sel),"")</f>
        <v/>
      </c>
    </row>
    <row r="2287">
      <c r="A2287" s="60" t="n"/>
      <c r="B2287" s="60" t="n"/>
      <c r="C2287" s="71" t="str">
        <f>IF(B2287="","",IFERROR(INDEX(mat_des,MATCH(B2287,mat_ref,0))&amp;"","Matière inconnue"))</f>
        <v/>
      </c>
      <c r="D2287" s="69" t="str">
        <f>IF(B2287="","",IFERROR(INDEX(mat_unit,MATCH(B2287,mat_ref,0))&amp;"",""))</f>
        <v/>
      </c>
      <c r="E2287" s="72" t="n"/>
      <c r="F2287" s="65" t="n"/>
      <c r="G2287" s="68" t="str">
        <f>IF(J2287&lt;&gt;"OK","",IF(F2287="",N(INDEX(mat_loss,MATCH(B2287,mat_ref,0))),F2287))</f>
        <v/>
      </c>
      <c r="H2287" s="66" t="str">
        <f>IF(J2287&lt;&gt;"OK","",INDEX(mat_price,MATCH(B2287,mat_ref,0)))</f>
        <v/>
      </c>
      <c r="I2287" s="66" t="str">
        <f>IF(J2287&lt;&gt;"OK","",E2287*(1+G2287)*H2287)</f>
        <v/>
      </c>
      <c r="J2287" s="69" t="str">
        <f>IF(AND(A2287="",B2287=""),"",IF(A2287="","Produit manquant",IF(COUNTIF(prod_ref,A2287)=0,"Produit inconnu",IF(B2287="","Matière manquante",IF(ISNA(MATCH(B2287,mat_ref,0)),"Matière inconnue",IF(INDEX(mat_check,MATCH(B2287,mat_ref,0))&lt;&gt;"OK","Matière à corriger",IF(OR(NOT(ISNUMBER(E2287)),N(E2287)&lt;=0),"Quantité invalide",IF(AND(F2287&lt;&gt;"",OR(NOT(ISNUMBER(F2287)),N(F2287)&lt;0,N(F2287)&gt;=1)),"Perte entre 0 et 99 %",IF(COUNTIFS(bom_prod,A2287,bom_mat,B2287)&gt;1,"Matière en double","OK")))))))))</f>
        <v/>
      </c>
      <c r="K2287" s="71" t="str">
        <f>IF(AND(fiche_sel&lt;&gt;"",A2287=fiche_sel),COUNTIF(A$6:A2287,fiche_sel),"")</f>
        <v/>
      </c>
    </row>
    <row r="2288">
      <c r="A2288" s="60" t="n"/>
      <c r="B2288" s="60" t="n"/>
      <c r="C2288" s="71" t="str">
        <f>IF(B2288="","",IFERROR(INDEX(mat_des,MATCH(B2288,mat_ref,0))&amp;"","Matière inconnue"))</f>
        <v/>
      </c>
      <c r="D2288" s="69" t="str">
        <f>IF(B2288="","",IFERROR(INDEX(mat_unit,MATCH(B2288,mat_ref,0))&amp;"",""))</f>
        <v/>
      </c>
      <c r="E2288" s="72" t="n"/>
      <c r="F2288" s="65" t="n"/>
      <c r="G2288" s="68" t="str">
        <f>IF(J2288&lt;&gt;"OK","",IF(F2288="",N(INDEX(mat_loss,MATCH(B2288,mat_ref,0))),F2288))</f>
        <v/>
      </c>
      <c r="H2288" s="66" t="str">
        <f>IF(J2288&lt;&gt;"OK","",INDEX(mat_price,MATCH(B2288,mat_ref,0)))</f>
        <v/>
      </c>
      <c r="I2288" s="66" t="str">
        <f>IF(J2288&lt;&gt;"OK","",E2288*(1+G2288)*H2288)</f>
        <v/>
      </c>
      <c r="J2288" s="69" t="str">
        <f>IF(AND(A2288="",B2288=""),"",IF(A2288="","Produit manquant",IF(COUNTIF(prod_ref,A2288)=0,"Produit inconnu",IF(B2288="","Matière manquante",IF(ISNA(MATCH(B2288,mat_ref,0)),"Matière inconnue",IF(INDEX(mat_check,MATCH(B2288,mat_ref,0))&lt;&gt;"OK","Matière à corriger",IF(OR(NOT(ISNUMBER(E2288)),N(E2288)&lt;=0),"Quantité invalide",IF(AND(F2288&lt;&gt;"",OR(NOT(ISNUMBER(F2288)),N(F2288)&lt;0,N(F2288)&gt;=1)),"Perte entre 0 et 99 %",IF(COUNTIFS(bom_prod,A2288,bom_mat,B2288)&gt;1,"Matière en double","OK")))))))))</f>
        <v/>
      </c>
      <c r="K2288" s="71" t="str">
        <f>IF(AND(fiche_sel&lt;&gt;"",A2288=fiche_sel),COUNTIF(A$6:A2288,fiche_sel),"")</f>
        <v/>
      </c>
    </row>
    <row r="2289">
      <c r="A2289" s="60" t="n"/>
      <c r="B2289" s="60" t="n"/>
      <c r="C2289" s="71" t="str">
        <f>IF(B2289="","",IFERROR(INDEX(mat_des,MATCH(B2289,mat_ref,0))&amp;"","Matière inconnue"))</f>
        <v/>
      </c>
      <c r="D2289" s="69" t="str">
        <f>IF(B2289="","",IFERROR(INDEX(mat_unit,MATCH(B2289,mat_ref,0))&amp;"",""))</f>
        <v/>
      </c>
      <c r="E2289" s="72" t="n"/>
      <c r="F2289" s="65" t="n"/>
      <c r="G2289" s="68" t="str">
        <f>IF(J2289&lt;&gt;"OK","",IF(F2289="",N(INDEX(mat_loss,MATCH(B2289,mat_ref,0))),F2289))</f>
        <v/>
      </c>
      <c r="H2289" s="66" t="str">
        <f>IF(J2289&lt;&gt;"OK","",INDEX(mat_price,MATCH(B2289,mat_ref,0)))</f>
        <v/>
      </c>
      <c r="I2289" s="66" t="str">
        <f>IF(J2289&lt;&gt;"OK","",E2289*(1+G2289)*H2289)</f>
        <v/>
      </c>
      <c r="J2289" s="69" t="str">
        <f>IF(AND(A2289="",B2289=""),"",IF(A2289="","Produit manquant",IF(COUNTIF(prod_ref,A2289)=0,"Produit inconnu",IF(B2289="","Matière manquante",IF(ISNA(MATCH(B2289,mat_ref,0)),"Matière inconnue",IF(INDEX(mat_check,MATCH(B2289,mat_ref,0))&lt;&gt;"OK","Matière à corriger",IF(OR(NOT(ISNUMBER(E2289)),N(E2289)&lt;=0),"Quantité invalide",IF(AND(F2289&lt;&gt;"",OR(NOT(ISNUMBER(F2289)),N(F2289)&lt;0,N(F2289)&gt;=1)),"Perte entre 0 et 99 %",IF(COUNTIFS(bom_prod,A2289,bom_mat,B2289)&gt;1,"Matière en double","OK")))))))))</f>
        <v/>
      </c>
      <c r="K2289" s="71" t="str">
        <f>IF(AND(fiche_sel&lt;&gt;"",A2289=fiche_sel),COUNTIF(A$6:A2289,fiche_sel),"")</f>
        <v/>
      </c>
    </row>
    <row r="2290">
      <c r="A2290" s="60" t="n"/>
      <c r="B2290" s="60" t="n"/>
      <c r="C2290" s="71" t="str">
        <f>IF(B2290="","",IFERROR(INDEX(mat_des,MATCH(B2290,mat_ref,0))&amp;"","Matière inconnue"))</f>
        <v/>
      </c>
      <c r="D2290" s="69" t="str">
        <f>IF(B2290="","",IFERROR(INDEX(mat_unit,MATCH(B2290,mat_ref,0))&amp;"",""))</f>
        <v/>
      </c>
      <c r="E2290" s="72" t="n"/>
      <c r="F2290" s="65" t="n"/>
      <c r="G2290" s="68" t="str">
        <f>IF(J2290&lt;&gt;"OK","",IF(F2290="",N(INDEX(mat_loss,MATCH(B2290,mat_ref,0))),F2290))</f>
        <v/>
      </c>
      <c r="H2290" s="66" t="str">
        <f>IF(J2290&lt;&gt;"OK","",INDEX(mat_price,MATCH(B2290,mat_ref,0)))</f>
        <v/>
      </c>
      <c r="I2290" s="66" t="str">
        <f>IF(J2290&lt;&gt;"OK","",E2290*(1+G2290)*H2290)</f>
        <v/>
      </c>
      <c r="J2290" s="69" t="str">
        <f>IF(AND(A2290="",B2290=""),"",IF(A2290="","Produit manquant",IF(COUNTIF(prod_ref,A2290)=0,"Produit inconnu",IF(B2290="","Matière manquante",IF(ISNA(MATCH(B2290,mat_ref,0)),"Matière inconnue",IF(INDEX(mat_check,MATCH(B2290,mat_ref,0))&lt;&gt;"OK","Matière à corriger",IF(OR(NOT(ISNUMBER(E2290)),N(E2290)&lt;=0),"Quantité invalide",IF(AND(F2290&lt;&gt;"",OR(NOT(ISNUMBER(F2290)),N(F2290)&lt;0,N(F2290)&gt;=1)),"Perte entre 0 et 99 %",IF(COUNTIFS(bom_prod,A2290,bom_mat,B2290)&gt;1,"Matière en double","OK")))))))))</f>
        <v/>
      </c>
      <c r="K2290" s="71" t="str">
        <f>IF(AND(fiche_sel&lt;&gt;"",A2290=fiche_sel),COUNTIF(A$6:A2290,fiche_sel),"")</f>
        <v/>
      </c>
    </row>
    <row r="2291">
      <c r="A2291" s="60" t="n"/>
      <c r="B2291" s="60" t="n"/>
      <c r="C2291" s="71" t="str">
        <f>IF(B2291="","",IFERROR(INDEX(mat_des,MATCH(B2291,mat_ref,0))&amp;"","Matière inconnue"))</f>
        <v/>
      </c>
      <c r="D2291" s="69" t="str">
        <f>IF(B2291="","",IFERROR(INDEX(mat_unit,MATCH(B2291,mat_ref,0))&amp;"",""))</f>
        <v/>
      </c>
      <c r="E2291" s="72" t="n"/>
      <c r="F2291" s="65" t="n"/>
      <c r="G2291" s="68" t="str">
        <f>IF(J2291&lt;&gt;"OK","",IF(F2291="",N(INDEX(mat_loss,MATCH(B2291,mat_ref,0))),F2291))</f>
        <v/>
      </c>
      <c r="H2291" s="66" t="str">
        <f>IF(J2291&lt;&gt;"OK","",INDEX(mat_price,MATCH(B2291,mat_ref,0)))</f>
        <v/>
      </c>
      <c r="I2291" s="66" t="str">
        <f>IF(J2291&lt;&gt;"OK","",E2291*(1+G2291)*H2291)</f>
        <v/>
      </c>
      <c r="J2291" s="69" t="str">
        <f>IF(AND(A2291="",B2291=""),"",IF(A2291="","Produit manquant",IF(COUNTIF(prod_ref,A2291)=0,"Produit inconnu",IF(B2291="","Matière manquante",IF(ISNA(MATCH(B2291,mat_ref,0)),"Matière inconnue",IF(INDEX(mat_check,MATCH(B2291,mat_ref,0))&lt;&gt;"OK","Matière à corriger",IF(OR(NOT(ISNUMBER(E2291)),N(E2291)&lt;=0),"Quantité invalide",IF(AND(F2291&lt;&gt;"",OR(NOT(ISNUMBER(F2291)),N(F2291)&lt;0,N(F2291)&gt;=1)),"Perte entre 0 et 99 %",IF(COUNTIFS(bom_prod,A2291,bom_mat,B2291)&gt;1,"Matière en double","OK")))))))))</f>
        <v/>
      </c>
      <c r="K2291" s="71" t="str">
        <f>IF(AND(fiche_sel&lt;&gt;"",A2291=fiche_sel),COUNTIF(A$6:A2291,fiche_sel),"")</f>
        <v/>
      </c>
    </row>
    <row r="2292">
      <c r="A2292" s="60" t="n"/>
      <c r="B2292" s="60" t="n"/>
      <c r="C2292" s="71" t="str">
        <f>IF(B2292="","",IFERROR(INDEX(mat_des,MATCH(B2292,mat_ref,0))&amp;"","Matière inconnue"))</f>
        <v/>
      </c>
      <c r="D2292" s="69" t="str">
        <f>IF(B2292="","",IFERROR(INDEX(mat_unit,MATCH(B2292,mat_ref,0))&amp;"",""))</f>
        <v/>
      </c>
      <c r="E2292" s="72" t="n"/>
      <c r="F2292" s="65" t="n"/>
      <c r="G2292" s="68" t="str">
        <f>IF(J2292&lt;&gt;"OK","",IF(F2292="",N(INDEX(mat_loss,MATCH(B2292,mat_ref,0))),F2292))</f>
        <v/>
      </c>
      <c r="H2292" s="66" t="str">
        <f>IF(J2292&lt;&gt;"OK","",INDEX(mat_price,MATCH(B2292,mat_ref,0)))</f>
        <v/>
      </c>
      <c r="I2292" s="66" t="str">
        <f>IF(J2292&lt;&gt;"OK","",E2292*(1+G2292)*H2292)</f>
        <v/>
      </c>
      <c r="J2292" s="69" t="str">
        <f>IF(AND(A2292="",B2292=""),"",IF(A2292="","Produit manquant",IF(COUNTIF(prod_ref,A2292)=0,"Produit inconnu",IF(B2292="","Matière manquante",IF(ISNA(MATCH(B2292,mat_ref,0)),"Matière inconnue",IF(INDEX(mat_check,MATCH(B2292,mat_ref,0))&lt;&gt;"OK","Matière à corriger",IF(OR(NOT(ISNUMBER(E2292)),N(E2292)&lt;=0),"Quantité invalide",IF(AND(F2292&lt;&gt;"",OR(NOT(ISNUMBER(F2292)),N(F2292)&lt;0,N(F2292)&gt;=1)),"Perte entre 0 et 99 %",IF(COUNTIFS(bom_prod,A2292,bom_mat,B2292)&gt;1,"Matière en double","OK")))))))))</f>
        <v/>
      </c>
      <c r="K2292" s="71" t="str">
        <f>IF(AND(fiche_sel&lt;&gt;"",A2292=fiche_sel),COUNTIF(A$6:A2292,fiche_sel),"")</f>
        <v/>
      </c>
    </row>
    <row r="2293">
      <c r="A2293" s="60" t="n"/>
      <c r="B2293" s="60" t="n"/>
      <c r="C2293" s="71" t="str">
        <f>IF(B2293="","",IFERROR(INDEX(mat_des,MATCH(B2293,mat_ref,0))&amp;"","Matière inconnue"))</f>
        <v/>
      </c>
      <c r="D2293" s="69" t="str">
        <f>IF(B2293="","",IFERROR(INDEX(mat_unit,MATCH(B2293,mat_ref,0))&amp;"",""))</f>
        <v/>
      </c>
      <c r="E2293" s="72" t="n"/>
      <c r="F2293" s="65" t="n"/>
      <c r="G2293" s="68" t="str">
        <f>IF(J2293&lt;&gt;"OK","",IF(F2293="",N(INDEX(mat_loss,MATCH(B2293,mat_ref,0))),F2293))</f>
        <v/>
      </c>
      <c r="H2293" s="66" t="str">
        <f>IF(J2293&lt;&gt;"OK","",INDEX(mat_price,MATCH(B2293,mat_ref,0)))</f>
        <v/>
      </c>
      <c r="I2293" s="66" t="str">
        <f>IF(J2293&lt;&gt;"OK","",E2293*(1+G2293)*H2293)</f>
        <v/>
      </c>
      <c r="J2293" s="69" t="str">
        <f>IF(AND(A2293="",B2293=""),"",IF(A2293="","Produit manquant",IF(COUNTIF(prod_ref,A2293)=0,"Produit inconnu",IF(B2293="","Matière manquante",IF(ISNA(MATCH(B2293,mat_ref,0)),"Matière inconnue",IF(INDEX(mat_check,MATCH(B2293,mat_ref,0))&lt;&gt;"OK","Matière à corriger",IF(OR(NOT(ISNUMBER(E2293)),N(E2293)&lt;=0),"Quantité invalide",IF(AND(F2293&lt;&gt;"",OR(NOT(ISNUMBER(F2293)),N(F2293)&lt;0,N(F2293)&gt;=1)),"Perte entre 0 et 99 %",IF(COUNTIFS(bom_prod,A2293,bom_mat,B2293)&gt;1,"Matière en double","OK")))))))))</f>
        <v/>
      </c>
      <c r="K2293" s="71" t="str">
        <f>IF(AND(fiche_sel&lt;&gt;"",A2293=fiche_sel),COUNTIF(A$6:A2293,fiche_sel),"")</f>
        <v/>
      </c>
    </row>
    <row r="2294">
      <c r="A2294" s="60" t="n"/>
      <c r="B2294" s="60" t="n"/>
      <c r="C2294" s="71" t="str">
        <f>IF(B2294="","",IFERROR(INDEX(mat_des,MATCH(B2294,mat_ref,0))&amp;"","Matière inconnue"))</f>
        <v/>
      </c>
      <c r="D2294" s="69" t="str">
        <f>IF(B2294="","",IFERROR(INDEX(mat_unit,MATCH(B2294,mat_ref,0))&amp;"",""))</f>
        <v/>
      </c>
      <c r="E2294" s="72" t="n"/>
      <c r="F2294" s="65" t="n"/>
      <c r="G2294" s="68" t="str">
        <f>IF(J2294&lt;&gt;"OK","",IF(F2294="",N(INDEX(mat_loss,MATCH(B2294,mat_ref,0))),F2294))</f>
        <v/>
      </c>
      <c r="H2294" s="66" t="str">
        <f>IF(J2294&lt;&gt;"OK","",INDEX(mat_price,MATCH(B2294,mat_ref,0)))</f>
        <v/>
      </c>
      <c r="I2294" s="66" t="str">
        <f>IF(J2294&lt;&gt;"OK","",E2294*(1+G2294)*H2294)</f>
        <v/>
      </c>
      <c r="J2294" s="69" t="str">
        <f>IF(AND(A2294="",B2294=""),"",IF(A2294="","Produit manquant",IF(COUNTIF(prod_ref,A2294)=0,"Produit inconnu",IF(B2294="","Matière manquante",IF(ISNA(MATCH(B2294,mat_ref,0)),"Matière inconnue",IF(INDEX(mat_check,MATCH(B2294,mat_ref,0))&lt;&gt;"OK","Matière à corriger",IF(OR(NOT(ISNUMBER(E2294)),N(E2294)&lt;=0),"Quantité invalide",IF(AND(F2294&lt;&gt;"",OR(NOT(ISNUMBER(F2294)),N(F2294)&lt;0,N(F2294)&gt;=1)),"Perte entre 0 et 99 %",IF(COUNTIFS(bom_prod,A2294,bom_mat,B2294)&gt;1,"Matière en double","OK")))))))))</f>
        <v/>
      </c>
      <c r="K2294" s="71" t="str">
        <f>IF(AND(fiche_sel&lt;&gt;"",A2294=fiche_sel),COUNTIF(A$6:A2294,fiche_sel),"")</f>
        <v/>
      </c>
    </row>
    <row r="2295">
      <c r="A2295" s="60" t="n"/>
      <c r="B2295" s="60" t="n"/>
      <c r="C2295" s="71" t="str">
        <f>IF(B2295="","",IFERROR(INDEX(mat_des,MATCH(B2295,mat_ref,0))&amp;"","Matière inconnue"))</f>
        <v/>
      </c>
      <c r="D2295" s="69" t="str">
        <f>IF(B2295="","",IFERROR(INDEX(mat_unit,MATCH(B2295,mat_ref,0))&amp;"",""))</f>
        <v/>
      </c>
      <c r="E2295" s="72" t="n"/>
      <c r="F2295" s="65" t="n"/>
      <c r="G2295" s="68" t="str">
        <f>IF(J2295&lt;&gt;"OK","",IF(F2295="",N(INDEX(mat_loss,MATCH(B2295,mat_ref,0))),F2295))</f>
        <v/>
      </c>
      <c r="H2295" s="66" t="str">
        <f>IF(J2295&lt;&gt;"OK","",INDEX(mat_price,MATCH(B2295,mat_ref,0)))</f>
        <v/>
      </c>
      <c r="I2295" s="66" t="str">
        <f>IF(J2295&lt;&gt;"OK","",E2295*(1+G2295)*H2295)</f>
        <v/>
      </c>
      <c r="J2295" s="69" t="str">
        <f>IF(AND(A2295="",B2295=""),"",IF(A2295="","Produit manquant",IF(COUNTIF(prod_ref,A2295)=0,"Produit inconnu",IF(B2295="","Matière manquante",IF(ISNA(MATCH(B2295,mat_ref,0)),"Matière inconnue",IF(INDEX(mat_check,MATCH(B2295,mat_ref,0))&lt;&gt;"OK","Matière à corriger",IF(OR(NOT(ISNUMBER(E2295)),N(E2295)&lt;=0),"Quantité invalide",IF(AND(F2295&lt;&gt;"",OR(NOT(ISNUMBER(F2295)),N(F2295)&lt;0,N(F2295)&gt;=1)),"Perte entre 0 et 99 %",IF(COUNTIFS(bom_prod,A2295,bom_mat,B2295)&gt;1,"Matière en double","OK")))))))))</f>
        <v/>
      </c>
      <c r="K2295" s="71" t="str">
        <f>IF(AND(fiche_sel&lt;&gt;"",A2295=fiche_sel),COUNTIF(A$6:A2295,fiche_sel),"")</f>
        <v/>
      </c>
    </row>
    <row r="2296">
      <c r="A2296" s="60" t="n"/>
      <c r="B2296" s="60" t="n"/>
      <c r="C2296" s="71" t="str">
        <f>IF(B2296="","",IFERROR(INDEX(mat_des,MATCH(B2296,mat_ref,0))&amp;"","Matière inconnue"))</f>
        <v/>
      </c>
      <c r="D2296" s="69" t="str">
        <f>IF(B2296="","",IFERROR(INDEX(mat_unit,MATCH(B2296,mat_ref,0))&amp;"",""))</f>
        <v/>
      </c>
      <c r="E2296" s="72" t="n"/>
      <c r="F2296" s="65" t="n"/>
      <c r="G2296" s="68" t="str">
        <f>IF(J2296&lt;&gt;"OK","",IF(F2296="",N(INDEX(mat_loss,MATCH(B2296,mat_ref,0))),F2296))</f>
        <v/>
      </c>
      <c r="H2296" s="66" t="str">
        <f>IF(J2296&lt;&gt;"OK","",INDEX(mat_price,MATCH(B2296,mat_ref,0)))</f>
        <v/>
      </c>
      <c r="I2296" s="66" t="str">
        <f>IF(J2296&lt;&gt;"OK","",E2296*(1+G2296)*H2296)</f>
        <v/>
      </c>
      <c r="J2296" s="69" t="str">
        <f>IF(AND(A2296="",B2296=""),"",IF(A2296="","Produit manquant",IF(COUNTIF(prod_ref,A2296)=0,"Produit inconnu",IF(B2296="","Matière manquante",IF(ISNA(MATCH(B2296,mat_ref,0)),"Matière inconnue",IF(INDEX(mat_check,MATCH(B2296,mat_ref,0))&lt;&gt;"OK","Matière à corriger",IF(OR(NOT(ISNUMBER(E2296)),N(E2296)&lt;=0),"Quantité invalide",IF(AND(F2296&lt;&gt;"",OR(NOT(ISNUMBER(F2296)),N(F2296)&lt;0,N(F2296)&gt;=1)),"Perte entre 0 et 99 %",IF(COUNTIFS(bom_prod,A2296,bom_mat,B2296)&gt;1,"Matière en double","OK")))))))))</f>
        <v/>
      </c>
      <c r="K2296" s="71" t="str">
        <f>IF(AND(fiche_sel&lt;&gt;"",A2296=fiche_sel),COUNTIF(A$6:A2296,fiche_sel),"")</f>
        <v/>
      </c>
    </row>
    <row r="2297">
      <c r="A2297" s="60" t="n"/>
      <c r="B2297" s="60" t="n"/>
      <c r="C2297" s="71" t="str">
        <f>IF(B2297="","",IFERROR(INDEX(mat_des,MATCH(B2297,mat_ref,0))&amp;"","Matière inconnue"))</f>
        <v/>
      </c>
      <c r="D2297" s="69" t="str">
        <f>IF(B2297="","",IFERROR(INDEX(mat_unit,MATCH(B2297,mat_ref,0))&amp;"",""))</f>
        <v/>
      </c>
      <c r="E2297" s="72" t="n"/>
      <c r="F2297" s="65" t="n"/>
      <c r="G2297" s="68" t="str">
        <f>IF(J2297&lt;&gt;"OK","",IF(F2297="",N(INDEX(mat_loss,MATCH(B2297,mat_ref,0))),F2297))</f>
        <v/>
      </c>
      <c r="H2297" s="66" t="str">
        <f>IF(J2297&lt;&gt;"OK","",INDEX(mat_price,MATCH(B2297,mat_ref,0)))</f>
        <v/>
      </c>
      <c r="I2297" s="66" t="str">
        <f>IF(J2297&lt;&gt;"OK","",E2297*(1+G2297)*H2297)</f>
        <v/>
      </c>
      <c r="J2297" s="69" t="str">
        <f>IF(AND(A2297="",B2297=""),"",IF(A2297="","Produit manquant",IF(COUNTIF(prod_ref,A2297)=0,"Produit inconnu",IF(B2297="","Matière manquante",IF(ISNA(MATCH(B2297,mat_ref,0)),"Matière inconnue",IF(INDEX(mat_check,MATCH(B2297,mat_ref,0))&lt;&gt;"OK","Matière à corriger",IF(OR(NOT(ISNUMBER(E2297)),N(E2297)&lt;=0),"Quantité invalide",IF(AND(F2297&lt;&gt;"",OR(NOT(ISNUMBER(F2297)),N(F2297)&lt;0,N(F2297)&gt;=1)),"Perte entre 0 et 99 %",IF(COUNTIFS(bom_prod,A2297,bom_mat,B2297)&gt;1,"Matière en double","OK")))))))))</f>
        <v/>
      </c>
      <c r="K2297" s="71" t="str">
        <f>IF(AND(fiche_sel&lt;&gt;"",A2297=fiche_sel),COUNTIF(A$6:A2297,fiche_sel),"")</f>
        <v/>
      </c>
    </row>
    <row r="2298">
      <c r="A2298" s="60" t="n"/>
      <c r="B2298" s="60" t="n"/>
      <c r="C2298" s="71" t="str">
        <f>IF(B2298="","",IFERROR(INDEX(mat_des,MATCH(B2298,mat_ref,0))&amp;"","Matière inconnue"))</f>
        <v/>
      </c>
      <c r="D2298" s="69" t="str">
        <f>IF(B2298="","",IFERROR(INDEX(mat_unit,MATCH(B2298,mat_ref,0))&amp;"",""))</f>
        <v/>
      </c>
      <c r="E2298" s="72" t="n"/>
      <c r="F2298" s="65" t="n"/>
      <c r="G2298" s="68" t="str">
        <f>IF(J2298&lt;&gt;"OK","",IF(F2298="",N(INDEX(mat_loss,MATCH(B2298,mat_ref,0))),F2298))</f>
        <v/>
      </c>
      <c r="H2298" s="66" t="str">
        <f>IF(J2298&lt;&gt;"OK","",INDEX(mat_price,MATCH(B2298,mat_ref,0)))</f>
        <v/>
      </c>
      <c r="I2298" s="66" t="str">
        <f>IF(J2298&lt;&gt;"OK","",E2298*(1+G2298)*H2298)</f>
        <v/>
      </c>
      <c r="J2298" s="69" t="str">
        <f>IF(AND(A2298="",B2298=""),"",IF(A2298="","Produit manquant",IF(COUNTIF(prod_ref,A2298)=0,"Produit inconnu",IF(B2298="","Matière manquante",IF(ISNA(MATCH(B2298,mat_ref,0)),"Matière inconnue",IF(INDEX(mat_check,MATCH(B2298,mat_ref,0))&lt;&gt;"OK","Matière à corriger",IF(OR(NOT(ISNUMBER(E2298)),N(E2298)&lt;=0),"Quantité invalide",IF(AND(F2298&lt;&gt;"",OR(NOT(ISNUMBER(F2298)),N(F2298)&lt;0,N(F2298)&gt;=1)),"Perte entre 0 et 99 %",IF(COUNTIFS(bom_prod,A2298,bom_mat,B2298)&gt;1,"Matière en double","OK")))))))))</f>
        <v/>
      </c>
      <c r="K2298" s="71" t="str">
        <f>IF(AND(fiche_sel&lt;&gt;"",A2298=fiche_sel),COUNTIF(A$6:A2298,fiche_sel),"")</f>
        <v/>
      </c>
    </row>
    <row r="2299">
      <c r="A2299" s="60" t="n"/>
      <c r="B2299" s="60" t="n"/>
      <c r="C2299" s="71" t="str">
        <f>IF(B2299="","",IFERROR(INDEX(mat_des,MATCH(B2299,mat_ref,0))&amp;"","Matière inconnue"))</f>
        <v/>
      </c>
      <c r="D2299" s="69" t="str">
        <f>IF(B2299="","",IFERROR(INDEX(mat_unit,MATCH(B2299,mat_ref,0))&amp;"",""))</f>
        <v/>
      </c>
      <c r="E2299" s="72" t="n"/>
      <c r="F2299" s="65" t="n"/>
      <c r="G2299" s="68" t="str">
        <f>IF(J2299&lt;&gt;"OK","",IF(F2299="",N(INDEX(mat_loss,MATCH(B2299,mat_ref,0))),F2299))</f>
        <v/>
      </c>
      <c r="H2299" s="66" t="str">
        <f>IF(J2299&lt;&gt;"OK","",INDEX(mat_price,MATCH(B2299,mat_ref,0)))</f>
        <v/>
      </c>
      <c r="I2299" s="66" t="str">
        <f>IF(J2299&lt;&gt;"OK","",E2299*(1+G2299)*H2299)</f>
        <v/>
      </c>
      <c r="J2299" s="69" t="str">
        <f>IF(AND(A2299="",B2299=""),"",IF(A2299="","Produit manquant",IF(COUNTIF(prod_ref,A2299)=0,"Produit inconnu",IF(B2299="","Matière manquante",IF(ISNA(MATCH(B2299,mat_ref,0)),"Matière inconnue",IF(INDEX(mat_check,MATCH(B2299,mat_ref,0))&lt;&gt;"OK","Matière à corriger",IF(OR(NOT(ISNUMBER(E2299)),N(E2299)&lt;=0),"Quantité invalide",IF(AND(F2299&lt;&gt;"",OR(NOT(ISNUMBER(F2299)),N(F2299)&lt;0,N(F2299)&gt;=1)),"Perte entre 0 et 99 %",IF(COUNTIFS(bom_prod,A2299,bom_mat,B2299)&gt;1,"Matière en double","OK")))))))))</f>
        <v/>
      </c>
      <c r="K2299" s="71" t="str">
        <f>IF(AND(fiche_sel&lt;&gt;"",A2299=fiche_sel),COUNTIF(A$6:A2299,fiche_sel),"")</f>
        <v/>
      </c>
    </row>
    <row r="2300">
      <c r="A2300" s="60" t="n"/>
      <c r="B2300" s="60" t="n"/>
      <c r="C2300" s="71" t="str">
        <f>IF(B2300="","",IFERROR(INDEX(mat_des,MATCH(B2300,mat_ref,0))&amp;"","Matière inconnue"))</f>
        <v/>
      </c>
      <c r="D2300" s="69" t="str">
        <f>IF(B2300="","",IFERROR(INDEX(mat_unit,MATCH(B2300,mat_ref,0))&amp;"",""))</f>
        <v/>
      </c>
      <c r="E2300" s="72" t="n"/>
      <c r="F2300" s="65" t="n"/>
      <c r="G2300" s="68" t="str">
        <f>IF(J2300&lt;&gt;"OK","",IF(F2300="",N(INDEX(mat_loss,MATCH(B2300,mat_ref,0))),F2300))</f>
        <v/>
      </c>
      <c r="H2300" s="66" t="str">
        <f>IF(J2300&lt;&gt;"OK","",INDEX(mat_price,MATCH(B2300,mat_ref,0)))</f>
        <v/>
      </c>
      <c r="I2300" s="66" t="str">
        <f>IF(J2300&lt;&gt;"OK","",E2300*(1+G2300)*H2300)</f>
        <v/>
      </c>
      <c r="J2300" s="69" t="str">
        <f>IF(AND(A2300="",B2300=""),"",IF(A2300="","Produit manquant",IF(COUNTIF(prod_ref,A2300)=0,"Produit inconnu",IF(B2300="","Matière manquante",IF(ISNA(MATCH(B2300,mat_ref,0)),"Matière inconnue",IF(INDEX(mat_check,MATCH(B2300,mat_ref,0))&lt;&gt;"OK","Matière à corriger",IF(OR(NOT(ISNUMBER(E2300)),N(E2300)&lt;=0),"Quantité invalide",IF(AND(F2300&lt;&gt;"",OR(NOT(ISNUMBER(F2300)),N(F2300)&lt;0,N(F2300)&gt;=1)),"Perte entre 0 et 99 %",IF(COUNTIFS(bom_prod,A2300,bom_mat,B2300)&gt;1,"Matière en double","OK")))))))))</f>
        <v/>
      </c>
      <c r="K2300" s="71" t="str">
        <f>IF(AND(fiche_sel&lt;&gt;"",A2300=fiche_sel),COUNTIF(A$6:A2300,fiche_sel),"")</f>
        <v/>
      </c>
    </row>
    <row r="2301">
      <c r="A2301" s="60" t="n"/>
      <c r="B2301" s="60" t="n"/>
      <c r="C2301" s="71" t="str">
        <f>IF(B2301="","",IFERROR(INDEX(mat_des,MATCH(B2301,mat_ref,0))&amp;"","Matière inconnue"))</f>
        <v/>
      </c>
      <c r="D2301" s="69" t="str">
        <f>IF(B2301="","",IFERROR(INDEX(mat_unit,MATCH(B2301,mat_ref,0))&amp;"",""))</f>
        <v/>
      </c>
      <c r="E2301" s="72" t="n"/>
      <c r="F2301" s="65" t="n"/>
      <c r="G2301" s="68" t="str">
        <f>IF(J2301&lt;&gt;"OK","",IF(F2301="",N(INDEX(mat_loss,MATCH(B2301,mat_ref,0))),F2301))</f>
        <v/>
      </c>
      <c r="H2301" s="66" t="str">
        <f>IF(J2301&lt;&gt;"OK","",INDEX(mat_price,MATCH(B2301,mat_ref,0)))</f>
        <v/>
      </c>
      <c r="I2301" s="66" t="str">
        <f>IF(J2301&lt;&gt;"OK","",E2301*(1+G2301)*H2301)</f>
        <v/>
      </c>
      <c r="J2301" s="69" t="str">
        <f>IF(AND(A2301="",B2301=""),"",IF(A2301="","Produit manquant",IF(COUNTIF(prod_ref,A2301)=0,"Produit inconnu",IF(B2301="","Matière manquante",IF(ISNA(MATCH(B2301,mat_ref,0)),"Matière inconnue",IF(INDEX(mat_check,MATCH(B2301,mat_ref,0))&lt;&gt;"OK","Matière à corriger",IF(OR(NOT(ISNUMBER(E2301)),N(E2301)&lt;=0),"Quantité invalide",IF(AND(F2301&lt;&gt;"",OR(NOT(ISNUMBER(F2301)),N(F2301)&lt;0,N(F2301)&gt;=1)),"Perte entre 0 et 99 %",IF(COUNTIFS(bom_prod,A2301,bom_mat,B2301)&gt;1,"Matière en double","OK")))))))))</f>
        <v/>
      </c>
      <c r="K2301" s="71" t="str">
        <f>IF(AND(fiche_sel&lt;&gt;"",A2301=fiche_sel),COUNTIF(A$6:A2301,fiche_sel),"")</f>
        <v/>
      </c>
    </row>
    <row r="2302">
      <c r="A2302" s="60" t="n"/>
      <c r="B2302" s="60" t="n"/>
      <c r="C2302" s="71" t="str">
        <f>IF(B2302="","",IFERROR(INDEX(mat_des,MATCH(B2302,mat_ref,0))&amp;"","Matière inconnue"))</f>
        <v/>
      </c>
      <c r="D2302" s="69" t="str">
        <f>IF(B2302="","",IFERROR(INDEX(mat_unit,MATCH(B2302,mat_ref,0))&amp;"",""))</f>
        <v/>
      </c>
      <c r="E2302" s="72" t="n"/>
      <c r="F2302" s="65" t="n"/>
      <c r="G2302" s="68" t="str">
        <f>IF(J2302&lt;&gt;"OK","",IF(F2302="",N(INDEX(mat_loss,MATCH(B2302,mat_ref,0))),F2302))</f>
        <v/>
      </c>
      <c r="H2302" s="66" t="str">
        <f>IF(J2302&lt;&gt;"OK","",INDEX(mat_price,MATCH(B2302,mat_ref,0)))</f>
        <v/>
      </c>
      <c r="I2302" s="66" t="str">
        <f>IF(J2302&lt;&gt;"OK","",E2302*(1+G2302)*H2302)</f>
        <v/>
      </c>
      <c r="J2302" s="69" t="str">
        <f>IF(AND(A2302="",B2302=""),"",IF(A2302="","Produit manquant",IF(COUNTIF(prod_ref,A2302)=0,"Produit inconnu",IF(B2302="","Matière manquante",IF(ISNA(MATCH(B2302,mat_ref,0)),"Matière inconnue",IF(INDEX(mat_check,MATCH(B2302,mat_ref,0))&lt;&gt;"OK","Matière à corriger",IF(OR(NOT(ISNUMBER(E2302)),N(E2302)&lt;=0),"Quantité invalide",IF(AND(F2302&lt;&gt;"",OR(NOT(ISNUMBER(F2302)),N(F2302)&lt;0,N(F2302)&gt;=1)),"Perte entre 0 et 99 %",IF(COUNTIFS(bom_prod,A2302,bom_mat,B2302)&gt;1,"Matière en double","OK")))))))))</f>
        <v/>
      </c>
      <c r="K2302" s="71" t="str">
        <f>IF(AND(fiche_sel&lt;&gt;"",A2302=fiche_sel),COUNTIF(A$6:A2302,fiche_sel),"")</f>
        <v/>
      </c>
    </row>
    <row r="2303">
      <c r="A2303" s="60" t="n"/>
      <c r="B2303" s="60" t="n"/>
      <c r="C2303" s="71" t="str">
        <f>IF(B2303="","",IFERROR(INDEX(mat_des,MATCH(B2303,mat_ref,0))&amp;"","Matière inconnue"))</f>
        <v/>
      </c>
      <c r="D2303" s="69" t="str">
        <f>IF(B2303="","",IFERROR(INDEX(mat_unit,MATCH(B2303,mat_ref,0))&amp;"",""))</f>
        <v/>
      </c>
      <c r="E2303" s="72" t="n"/>
      <c r="F2303" s="65" t="n"/>
      <c r="G2303" s="68" t="str">
        <f>IF(J2303&lt;&gt;"OK","",IF(F2303="",N(INDEX(mat_loss,MATCH(B2303,mat_ref,0))),F2303))</f>
        <v/>
      </c>
      <c r="H2303" s="66" t="str">
        <f>IF(J2303&lt;&gt;"OK","",INDEX(mat_price,MATCH(B2303,mat_ref,0)))</f>
        <v/>
      </c>
      <c r="I2303" s="66" t="str">
        <f>IF(J2303&lt;&gt;"OK","",E2303*(1+G2303)*H2303)</f>
        <v/>
      </c>
      <c r="J2303" s="69" t="str">
        <f>IF(AND(A2303="",B2303=""),"",IF(A2303="","Produit manquant",IF(COUNTIF(prod_ref,A2303)=0,"Produit inconnu",IF(B2303="","Matière manquante",IF(ISNA(MATCH(B2303,mat_ref,0)),"Matière inconnue",IF(INDEX(mat_check,MATCH(B2303,mat_ref,0))&lt;&gt;"OK","Matière à corriger",IF(OR(NOT(ISNUMBER(E2303)),N(E2303)&lt;=0),"Quantité invalide",IF(AND(F2303&lt;&gt;"",OR(NOT(ISNUMBER(F2303)),N(F2303)&lt;0,N(F2303)&gt;=1)),"Perte entre 0 et 99 %",IF(COUNTIFS(bom_prod,A2303,bom_mat,B2303)&gt;1,"Matière en double","OK")))))))))</f>
        <v/>
      </c>
      <c r="K2303" s="71" t="str">
        <f>IF(AND(fiche_sel&lt;&gt;"",A2303=fiche_sel),COUNTIF(A$6:A2303,fiche_sel),"")</f>
        <v/>
      </c>
    </row>
    <row r="2304">
      <c r="A2304" s="60" t="n"/>
      <c r="B2304" s="60" t="n"/>
      <c r="C2304" s="71" t="str">
        <f>IF(B2304="","",IFERROR(INDEX(mat_des,MATCH(B2304,mat_ref,0))&amp;"","Matière inconnue"))</f>
        <v/>
      </c>
      <c r="D2304" s="69" t="str">
        <f>IF(B2304="","",IFERROR(INDEX(mat_unit,MATCH(B2304,mat_ref,0))&amp;"",""))</f>
        <v/>
      </c>
      <c r="E2304" s="72" t="n"/>
      <c r="F2304" s="65" t="n"/>
      <c r="G2304" s="68" t="str">
        <f>IF(J2304&lt;&gt;"OK","",IF(F2304="",N(INDEX(mat_loss,MATCH(B2304,mat_ref,0))),F2304))</f>
        <v/>
      </c>
      <c r="H2304" s="66" t="str">
        <f>IF(J2304&lt;&gt;"OK","",INDEX(mat_price,MATCH(B2304,mat_ref,0)))</f>
        <v/>
      </c>
      <c r="I2304" s="66" t="str">
        <f>IF(J2304&lt;&gt;"OK","",E2304*(1+G2304)*H2304)</f>
        <v/>
      </c>
      <c r="J2304" s="69" t="str">
        <f>IF(AND(A2304="",B2304=""),"",IF(A2304="","Produit manquant",IF(COUNTIF(prod_ref,A2304)=0,"Produit inconnu",IF(B2304="","Matière manquante",IF(ISNA(MATCH(B2304,mat_ref,0)),"Matière inconnue",IF(INDEX(mat_check,MATCH(B2304,mat_ref,0))&lt;&gt;"OK","Matière à corriger",IF(OR(NOT(ISNUMBER(E2304)),N(E2304)&lt;=0),"Quantité invalide",IF(AND(F2304&lt;&gt;"",OR(NOT(ISNUMBER(F2304)),N(F2304)&lt;0,N(F2304)&gt;=1)),"Perte entre 0 et 99 %",IF(COUNTIFS(bom_prod,A2304,bom_mat,B2304)&gt;1,"Matière en double","OK")))))))))</f>
        <v/>
      </c>
      <c r="K2304" s="71" t="str">
        <f>IF(AND(fiche_sel&lt;&gt;"",A2304=fiche_sel),COUNTIF(A$6:A2304,fiche_sel),"")</f>
        <v/>
      </c>
    </row>
    <row r="2305">
      <c r="A2305" s="60" t="n"/>
      <c r="B2305" s="60" t="n"/>
      <c r="C2305" s="71" t="str">
        <f>IF(B2305="","",IFERROR(INDEX(mat_des,MATCH(B2305,mat_ref,0))&amp;"","Matière inconnue"))</f>
        <v/>
      </c>
      <c r="D2305" s="69" t="str">
        <f>IF(B2305="","",IFERROR(INDEX(mat_unit,MATCH(B2305,mat_ref,0))&amp;"",""))</f>
        <v/>
      </c>
      <c r="E2305" s="72" t="n"/>
      <c r="F2305" s="65" t="n"/>
      <c r="G2305" s="68" t="str">
        <f>IF(J2305&lt;&gt;"OK","",IF(F2305="",N(INDEX(mat_loss,MATCH(B2305,mat_ref,0))),F2305))</f>
        <v/>
      </c>
      <c r="H2305" s="66" t="str">
        <f>IF(J2305&lt;&gt;"OK","",INDEX(mat_price,MATCH(B2305,mat_ref,0)))</f>
        <v/>
      </c>
      <c r="I2305" s="66" t="str">
        <f>IF(J2305&lt;&gt;"OK","",E2305*(1+G2305)*H2305)</f>
        <v/>
      </c>
      <c r="J2305" s="69" t="str">
        <f>IF(AND(A2305="",B2305=""),"",IF(A2305="","Produit manquant",IF(COUNTIF(prod_ref,A2305)=0,"Produit inconnu",IF(B2305="","Matière manquante",IF(ISNA(MATCH(B2305,mat_ref,0)),"Matière inconnue",IF(INDEX(mat_check,MATCH(B2305,mat_ref,0))&lt;&gt;"OK","Matière à corriger",IF(OR(NOT(ISNUMBER(E2305)),N(E2305)&lt;=0),"Quantité invalide",IF(AND(F2305&lt;&gt;"",OR(NOT(ISNUMBER(F2305)),N(F2305)&lt;0,N(F2305)&gt;=1)),"Perte entre 0 et 99 %",IF(COUNTIFS(bom_prod,A2305,bom_mat,B2305)&gt;1,"Matière en double","OK")))))))))</f>
        <v/>
      </c>
      <c r="K2305" s="71" t="str">
        <f>IF(AND(fiche_sel&lt;&gt;"",A2305=fiche_sel),COUNTIF(A$6:A2305,fiche_sel),"")</f>
        <v/>
      </c>
    </row>
    <row r="2306">
      <c r="A2306" s="60" t="n"/>
      <c r="B2306" s="60" t="n"/>
      <c r="C2306" s="71" t="str">
        <f>IF(B2306="","",IFERROR(INDEX(mat_des,MATCH(B2306,mat_ref,0))&amp;"","Matière inconnue"))</f>
        <v/>
      </c>
      <c r="D2306" s="69" t="str">
        <f>IF(B2306="","",IFERROR(INDEX(mat_unit,MATCH(B2306,mat_ref,0))&amp;"",""))</f>
        <v/>
      </c>
      <c r="E2306" s="72" t="n"/>
      <c r="F2306" s="65" t="n"/>
      <c r="G2306" s="68" t="str">
        <f>IF(J2306&lt;&gt;"OK","",IF(F2306="",N(INDEX(mat_loss,MATCH(B2306,mat_ref,0))),F2306))</f>
        <v/>
      </c>
      <c r="H2306" s="66" t="str">
        <f>IF(J2306&lt;&gt;"OK","",INDEX(mat_price,MATCH(B2306,mat_ref,0)))</f>
        <v/>
      </c>
      <c r="I2306" s="66" t="str">
        <f>IF(J2306&lt;&gt;"OK","",E2306*(1+G2306)*H2306)</f>
        <v/>
      </c>
      <c r="J2306" s="69" t="str">
        <f>IF(AND(A2306="",B2306=""),"",IF(A2306="","Produit manquant",IF(COUNTIF(prod_ref,A2306)=0,"Produit inconnu",IF(B2306="","Matière manquante",IF(ISNA(MATCH(B2306,mat_ref,0)),"Matière inconnue",IF(INDEX(mat_check,MATCH(B2306,mat_ref,0))&lt;&gt;"OK","Matière à corriger",IF(OR(NOT(ISNUMBER(E2306)),N(E2306)&lt;=0),"Quantité invalide",IF(AND(F2306&lt;&gt;"",OR(NOT(ISNUMBER(F2306)),N(F2306)&lt;0,N(F2306)&gt;=1)),"Perte entre 0 et 99 %",IF(COUNTIFS(bom_prod,A2306,bom_mat,B2306)&gt;1,"Matière en double","OK")))))))))</f>
        <v/>
      </c>
      <c r="K2306" s="71" t="str">
        <f>IF(AND(fiche_sel&lt;&gt;"",A2306=fiche_sel),COUNTIF(A$6:A2306,fiche_sel),"")</f>
        <v/>
      </c>
    </row>
    <row r="2307">
      <c r="A2307" s="60" t="n"/>
      <c r="B2307" s="60" t="n"/>
      <c r="C2307" s="71" t="str">
        <f>IF(B2307="","",IFERROR(INDEX(mat_des,MATCH(B2307,mat_ref,0))&amp;"","Matière inconnue"))</f>
        <v/>
      </c>
      <c r="D2307" s="69" t="str">
        <f>IF(B2307="","",IFERROR(INDEX(mat_unit,MATCH(B2307,mat_ref,0))&amp;"",""))</f>
        <v/>
      </c>
      <c r="E2307" s="72" t="n"/>
      <c r="F2307" s="65" t="n"/>
      <c r="G2307" s="68" t="str">
        <f>IF(J2307&lt;&gt;"OK","",IF(F2307="",N(INDEX(mat_loss,MATCH(B2307,mat_ref,0))),F2307))</f>
        <v/>
      </c>
      <c r="H2307" s="66" t="str">
        <f>IF(J2307&lt;&gt;"OK","",INDEX(mat_price,MATCH(B2307,mat_ref,0)))</f>
        <v/>
      </c>
      <c r="I2307" s="66" t="str">
        <f>IF(J2307&lt;&gt;"OK","",E2307*(1+G2307)*H2307)</f>
        <v/>
      </c>
      <c r="J2307" s="69" t="str">
        <f>IF(AND(A2307="",B2307=""),"",IF(A2307="","Produit manquant",IF(COUNTIF(prod_ref,A2307)=0,"Produit inconnu",IF(B2307="","Matière manquante",IF(ISNA(MATCH(B2307,mat_ref,0)),"Matière inconnue",IF(INDEX(mat_check,MATCH(B2307,mat_ref,0))&lt;&gt;"OK","Matière à corriger",IF(OR(NOT(ISNUMBER(E2307)),N(E2307)&lt;=0),"Quantité invalide",IF(AND(F2307&lt;&gt;"",OR(NOT(ISNUMBER(F2307)),N(F2307)&lt;0,N(F2307)&gt;=1)),"Perte entre 0 et 99 %",IF(COUNTIFS(bom_prod,A2307,bom_mat,B2307)&gt;1,"Matière en double","OK")))))))))</f>
        <v/>
      </c>
      <c r="K2307" s="71" t="str">
        <f>IF(AND(fiche_sel&lt;&gt;"",A2307=fiche_sel),COUNTIF(A$6:A2307,fiche_sel),"")</f>
        <v/>
      </c>
    </row>
    <row r="2308">
      <c r="A2308" s="60" t="n"/>
      <c r="B2308" s="60" t="n"/>
      <c r="C2308" s="71" t="str">
        <f>IF(B2308="","",IFERROR(INDEX(mat_des,MATCH(B2308,mat_ref,0))&amp;"","Matière inconnue"))</f>
        <v/>
      </c>
      <c r="D2308" s="69" t="str">
        <f>IF(B2308="","",IFERROR(INDEX(mat_unit,MATCH(B2308,mat_ref,0))&amp;"",""))</f>
        <v/>
      </c>
      <c r="E2308" s="72" t="n"/>
      <c r="F2308" s="65" t="n"/>
      <c r="G2308" s="68" t="str">
        <f>IF(J2308&lt;&gt;"OK","",IF(F2308="",N(INDEX(mat_loss,MATCH(B2308,mat_ref,0))),F2308))</f>
        <v/>
      </c>
      <c r="H2308" s="66" t="str">
        <f>IF(J2308&lt;&gt;"OK","",INDEX(mat_price,MATCH(B2308,mat_ref,0)))</f>
        <v/>
      </c>
      <c r="I2308" s="66" t="str">
        <f>IF(J2308&lt;&gt;"OK","",E2308*(1+G2308)*H2308)</f>
        <v/>
      </c>
      <c r="J2308" s="69" t="str">
        <f>IF(AND(A2308="",B2308=""),"",IF(A2308="","Produit manquant",IF(COUNTIF(prod_ref,A2308)=0,"Produit inconnu",IF(B2308="","Matière manquante",IF(ISNA(MATCH(B2308,mat_ref,0)),"Matière inconnue",IF(INDEX(mat_check,MATCH(B2308,mat_ref,0))&lt;&gt;"OK","Matière à corriger",IF(OR(NOT(ISNUMBER(E2308)),N(E2308)&lt;=0),"Quantité invalide",IF(AND(F2308&lt;&gt;"",OR(NOT(ISNUMBER(F2308)),N(F2308)&lt;0,N(F2308)&gt;=1)),"Perte entre 0 et 99 %",IF(COUNTIFS(bom_prod,A2308,bom_mat,B2308)&gt;1,"Matière en double","OK")))))))))</f>
        <v/>
      </c>
      <c r="K2308" s="71" t="str">
        <f>IF(AND(fiche_sel&lt;&gt;"",A2308=fiche_sel),COUNTIF(A$6:A2308,fiche_sel),"")</f>
        <v/>
      </c>
    </row>
    <row r="2309">
      <c r="A2309" s="60" t="n"/>
      <c r="B2309" s="60" t="n"/>
      <c r="C2309" s="71" t="str">
        <f>IF(B2309="","",IFERROR(INDEX(mat_des,MATCH(B2309,mat_ref,0))&amp;"","Matière inconnue"))</f>
        <v/>
      </c>
      <c r="D2309" s="69" t="str">
        <f>IF(B2309="","",IFERROR(INDEX(mat_unit,MATCH(B2309,mat_ref,0))&amp;"",""))</f>
        <v/>
      </c>
      <c r="E2309" s="72" t="n"/>
      <c r="F2309" s="65" t="n"/>
      <c r="G2309" s="68" t="str">
        <f>IF(J2309&lt;&gt;"OK","",IF(F2309="",N(INDEX(mat_loss,MATCH(B2309,mat_ref,0))),F2309))</f>
        <v/>
      </c>
      <c r="H2309" s="66" t="str">
        <f>IF(J2309&lt;&gt;"OK","",INDEX(mat_price,MATCH(B2309,mat_ref,0)))</f>
        <v/>
      </c>
      <c r="I2309" s="66" t="str">
        <f>IF(J2309&lt;&gt;"OK","",E2309*(1+G2309)*H2309)</f>
        <v/>
      </c>
      <c r="J2309" s="69" t="str">
        <f>IF(AND(A2309="",B2309=""),"",IF(A2309="","Produit manquant",IF(COUNTIF(prod_ref,A2309)=0,"Produit inconnu",IF(B2309="","Matière manquante",IF(ISNA(MATCH(B2309,mat_ref,0)),"Matière inconnue",IF(INDEX(mat_check,MATCH(B2309,mat_ref,0))&lt;&gt;"OK","Matière à corriger",IF(OR(NOT(ISNUMBER(E2309)),N(E2309)&lt;=0),"Quantité invalide",IF(AND(F2309&lt;&gt;"",OR(NOT(ISNUMBER(F2309)),N(F2309)&lt;0,N(F2309)&gt;=1)),"Perte entre 0 et 99 %",IF(COUNTIFS(bom_prod,A2309,bom_mat,B2309)&gt;1,"Matière en double","OK")))))))))</f>
        <v/>
      </c>
      <c r="K2309" s="71" t="str">
        <f>IF(AND(fiche_sel&lt;&gt;"",A2309=fiche_sel),COUNTIF(A$6:A2309,fiche_sel),"")</f>
        <v/>
      </c>
    </row>
    <row r="2310">
      <c r="A2310" s="60" t="n"/>
      <c r="B2310" s="60" t="n"/>
      <c r="C2310" s="71" t="str">
        <f>IF(B2310="","",IFERROR(INDEX(mat_des,MATCH(B2310,mat_ref,0))&amp;"","Matière inconnue"))</f>
        <v/>
      </c>
      <c r="D2310" s="69" t="str">
        <f>IF(B2310="","",IFERROR(INDEX(mat_unit,MATCH(B2310,mat_ref,0))&amp;"",""))</f>
        <v/>
      </c>
      <c r="E2310" s="72" t="n"/>
      <c r="F2310" s="65" t="n"/>
      <c r="G2310" s="68" t="str">
        <f>IF(J2310&lt;&gt;"OK","",IF(F2310="",N(INDEX(mat_loss,MATCH(B2310,mat_ref,0))),F2310))</f>
        <v/>
      </c>
      <c r="H2310" s="66" t="str">
        <f>IF(J2310&lt;&gt;"OK","",INDEX(mat_price,MATCH(B2310,mat_ref,0)))</f>
        <v/>
      </c>
      <c r="I2310" s="66" t="str">
        <f>IF(J2310&lt;&gt;"OK","",E2310*(1+G2310)*H2310)</f>
        <v/>
      </c>
      <c r="J2310" s="69" t="str">
        <f>IF(AND(A2310="",B2310=""),"",IF(A2310="","Produit manquant",IF(COUNTIF(prod_ref,A2310)=0,"Produit inconnu",IF(B2310="","Matière manquante",IF(ISNA(MATCH(B2310,mat_ref,0)),"Matière inconnue",IF(INDEX(mat_check,MATCH(B2310,mat_ref,0))&lt;&gt;"OK","Matière à corriger",IF(OR(NOT(ISNUMBER(E2310)),N(E2310)&lt;=0),"Quantité invalide",IF(AND(F2310&lt;&gt;"",OR(NOT(ISNUMBER(F2310)),N(F2310)&lt;0,N(F2310)&gt;=1)),"Perte entre 0 et 99 %",IF(COUNTIFS(bom_prod,A2310,bom_mat,B2310)&gt;1,"Matière en double","OK")))))))))</f>
        <v/>
      </c>
      <c r="K2310" s="71" t="str">
        <f>IF(AND(fiche_sel&lt;&gt;"",A2310=fiche_sel),COUNTIF(A$6:A2310,fiche_sel),"")</f>
        <v/>
      </c>
    </row>
    <row r="2311">
      <c r="A2311" s="60" t="n"/>
      <c r="B2311" s="60" t="n"/>
      <c r="C2311" s="71" t="str">
        <f>IF(B2311="","",IFERROR(INDEX(mat_des,MATCH(B2311,mat_ref,0))&amp;"","Matière inconnue"))</f>
        <v/>
      </c>
      <c r="D2311" s="69" t="str">
        <f>IF(B2311="","",IFERROR(INDEX(mat_unit,MATCH(B2311,mat_ref,0))&amp;"",""))</f>
        <v/>
      </c>
      <c r="E2311" s="72" t="n"/>
      <c r="F2311" s="65" t="n"/>
      <c r="G2311" s="68" t="str">
        <f>IF(J2311&lt;&gt;"OK","",IF(F2311="",N(INDEX(mat_loss,MATCH(B2311,mat_ref,0))),F2311))</f>
        <v/>
      </c>
      <c r="H2311" s="66" t="str">
        <f>IF(J2311&lt;&gt;"OK","",INDEX(mat_price,MATCH(B2311,mat_ref,0)))</f>
        <v/>
      </c>
      <c r="I2311" s="66" t="str">
        <f>IF(J2311&lt;&gt;"OK","",E2311*(1+G2311)*H2311)</f>
        <v/>
      </c>
      <c r="J2311" s="69" t="str">
        <f>IF(AND(A2311="",B2311=""),"",IF(A2311="","Produit manquant",IF(COUNTIF(prod_ref,A2311)=0,"Produit inconnu",IF(B2311="","Matière manquante",IF(ISNA(MATCH(B2311,mat_ref,0)),"Matière inconnue",IF(INDEX(mat_check,MATCH(B2311,mat_ref,0))&lt;&gt;"OK","Matière à corriger",IF(OR(NOT(ISNUMBER(E2311)),N(E2311)&lt;=0),"Quantité invalide",IF(AND(F2311&lt;&gt;"",OR(NOT(ISNUMBER(F2311)),N(F2311)&lt;0,N(F2311)&gt;=1)),"Perte entre 0 et 99 %",IF(COUNTIFS(bom_prod,A2311,bom_mat,B2311)&gt;1,"Matière en double","OK")))))))))</f>
        <v/>
      </c>
      <c r="K2311" s="71" t="str">
        <f>IF(AND(fiche_sel&lt;&gt;"",A2311=fiche_sel),COUNTIF(A$6:A2311,fiche_sel),"")</f>
        <v/>
      </c>
    </row>
    <row r="2312">
      <c r="A2312" s="60" t="n"/>
      <c r="B2312" s="60" t="n"/>
      <c r="C2312" s="71" t="str">
        <f>IF(B2312="","",IFERROR(INDEX(mat_des,MATCH(B2312,mat_ref,0))&amp;"","Matière inconnue"))</f>
        <v/>
      </c>
      <c r="D2312" s="69" t="str">
        <f>IF(B2312="","",IFERROR(INDEX(mat_unit,MATCH(B2312,mat_ref,0))&amp;"",""))</f>
        <v/>
      </c>
      <c r="E2312" s="72" t="n"/>
      <c r="F2312" s="65" t="n"/>
      <c r="G2312" s="68" t="str">
        <f>IF(J2312&lt;&gt;"OK","",IF(F2312="",N(INDEX(mat_loss,MATCH(B2312,mat_ref,0))),F2312))</f>
        <v/>
      </c>
      <c r="H2312" s="66" t="str">
        <f>IF(J2312&lt;&gt;"OK","",INDEX(mat_price,MATCH(B2312,mat_ref,0)))</f>
        <v/>
      </c>
      <c r="I2312" s="66" t="str">
        <f>IF(J2312&lt;&gt;"OK","",E2312*(1+G2312)*H2312)</f>
        <v/>
      </c>
      <c r="J2312" s="69" t="str">
        <f>IF(AND(A2312="",B2312=""),"",IF(A2312="","Produit manquant",IF(COUNTIF(prod_ref,A2312)=0,"Produit inconnu",IF(B2312="","Matière manquante",IF(ISNA(MATCH(B2312,mat_ref,0)),"Matière inconnue",IF(INDEX(mat_check,MATCH(B2312,mat_ref,0))&lt;&gt;"OK","Matière à corriger",IF(OR(NOT(ISNUMBER(E2312)),N(E2312)&lt;=0),"Quantité invalide",IF(AND(F2312&lt;&gt;"",OR(NOT(ISNUMBER(F2312)),N(F2312)&lt;0,N(F2312)&gt;=1)),"Perte entre 0 et 99 %",IF(COUNTIFS(bom_prod,A2312,bom_mat,B2312)&gt;1,"Matière en double","OK")))))))))</f>
        <v/>
      </c>
      <c r="K2312" s="71" t="str">
        <f>IF(AND(fiche_sel&lt;&gt;"",A2312=fiche_sel),COUNTIF(A$6:A2312,fiche_sel),"")</f>
        <v/>
      </c>
    </row>
    <row r="2313">
      <c r="A2313" s="60" t="n"/>
      <c r="B2313" s="60" t="n"/>
      <c r="C2313" s="71" t="str">
        <f>IF(B2313="","",IFERROR(INDEX(mat_des,MATCH(B2313,mat_ref,0))&amp;"","Matière inconnue"))</f>
        <v/>
      </c>
      <c r="D2313" s="69" t="str">
        <f>IF(B2313="","",IFERROR(INDEX(mat_unit,MATCH(B2313,mat_ref,0))&amp;"",""))</f>
        <v/>
      </c>
      <c r="E2313" s="72" t="n"/>
      <c r="F2313" s="65" t="n"/>
      <c r="G2313" s="68" t="str">
        <f>IF(J2313&lt;&gt;"OK","",IF(F2313="",N(INDEX(mat_loss,MATCH(B2313,mat_ref,0))),F2313))</f>
        <v/>
      </c>
      <c r="H2313" s="66" t="str">
        <f>IF(J2313&lt;&gt;"OK","",INDEX(mat_price,MATCH(B2313,mat_ref,0)))</f>
        <v/>
      </c>
      <c r="I2313" s="66" t="str">
        <f>IF(J2313&lt;&gt;"OK","",E2313*(1+G2313)*H2313)</f>
        <v/>
      </c>
      <c r="J2313" s="69" t="str">
        <f>IF(AND(A2313="",B2313=""),"",IF(A2313="","Produit manquant",IF(COUNTIF(prod_ref,A2313)=0,"Produit inconnu",IF(B2313="","Matière manquante",IF(ISNA(MATCH(B2313,mat_ref,0)),"Matière inconnue",IF(INDEX(mat_check,MATCH(B2313,mat_ref,0))&lt;&gt;"OK","Matière à corriger",IF(OR(NOT(ISNUMBER(E2313)),N(E2313)&lt;=0),"Quantité invalide",IF(AND(F2313&lt;&gt;"",OR(NOT(ISNUMBER(F2313)),N(F2313)&lt;0,N(F2313)&gt;=1)),"Perte entre 0 et 99 %",IF(COUNTIFS(bom_prod,A2313,bom_mat,B2313)&gt;1,"Matière en double","OK")))))))))</f>
        <v/>
      </c>
      <c r="K2313" s="71" t="str">
        <f>IF(AND(fiche_sel&lt;&gt;"",A2313=fiche_sel),COUNTIF(A$6:A2313,fiche_sel),"")</f>
        <v/>
      </c>
    </row>
    <row r="2314">
      <c r="A2314" s="60" t="n"/>
      <c r="B2314" s="60" t="n"/>
      <c r="C2314" s="71" t="str">
        <f>IF(B2314="","",IFERROR(INDEX(mat_des,MATCH(B2314,mat_ref,0))&amp;"","Matière inconnue"))</f>
        <v/>
      </c>
      <c r="D2314" s="69" t="str">
        <f>IF(B2314="","",IFERROR(INDEX(mat_unit,MATCH(B2314,mat_ref,0))&amp;"",""))</f>
        <v/>
      </c>
      <c r="E2314" s="72" t="n"/>
      <c r="F2314" s="65" t="n"/>
      <c r="G2314" s="68" t="str">
        <f>IF(J2314&lt;&gt;"OK","",IF(F2314="",N(INDEX(mat_loss,MATCH(B2314,mat_ref,0))),F2314))</f>
        <v/>
      </c>
      <c r="H2314" s="66" t="str">
        <f>IF(J2314&lt;&gt;"OK","",INDEX(mat_price,MATCH(B2314,mat_ref,0)))</f>
        <v/>
      </c>
      <c r="I2314" s="66" t="str">
        <f>IF(J2314&lt;&gt;"OK","",E2314*(1+G2314)*H2314)</f>
        <v/>
      </c>
      <c r="J2314" s="69" t="str">
        <f>IF(AND(A2314="",B2314=""),"",IF(A2314="","Produit manquant",IF(COUNTIF(prod_ref,A2314)=0,"Produit inconnu",IF(B2314="","Matière manquante",IF(ISNA(MATCH(B2314,mat_ref,0)),"Matière inconnue",IF(INDEX(mat_check,MATCH(B2314,mat_ref,0))&lt;&gt;"OK","Matière à corriger",IF(OR(NOT(ISNUMBER(E2314)),N(E2314)&lt;=0),"Quantité invalide",IF(AND(F2314&lt;&gt;"",OR(NOT(ISNUMBER(F2314)),N(F2314)&lt;0,N(F2314)&gt;=1)),"Perte entre 0 et 99 %",IF(COUNTIFS(bom_prod,A2314,bom_mat,B2314)&gt;1,"Matière en double","OK")))))))))</f>
        <v/>
      </c>
      <c r="K2314" s="71" t="str">
        <f>IF(AND(fiche_sel&lt;&gt;"",A2314=fiche_sel),COUNTIF(A$6:A2314,fiche_sel),"")</f>
        <v/>
      </c>
    </row>
    <row r="2315">
      <c r="A2315" s="60" t="n"/>
      <c r="B2315" s="60" t="n"/>
      <c r="C2315" s="71" t="str">
        <f>IF(B2315="","",IFERROR(INDEX(mat_des,MATCH(B2315,mat_ref,0))&amp;"","Matière inconnue"))</f>
        <v/>
      </c>
      <c r="D2315" s="69" t="str">
        <f>IF(B2315="","",IFERROR(INDEX(mat_unit,MATCH(B2315,mat_ref,0))&amp;"",""))</f>
        <v/>
      </c>
      <c r="E2315" s="72" t="n"/>
      <c r="F2315" s="65" t="n"/>
      <c r="G2315" s="68" t="str">
        <f>IF(J2315&lt;&gt;"OK","",IF(F2315="",N(INDEX(mat_loss,MATCH(B2315,mat_ref,0))),F2315))</f>
        <v/>
      </c>
      <c r="H2315" s="66" t="str">
        <f>IF(J2315&lt;&gt;"OK","",INDEX(mat_price,MATCH(B2315,mat_ref,0)))</f>
        <v/>
      </c>
      <c r="I2315" s="66" t="str">
        <f>IF(J2315&lt;&gt;"OK","",E2315*(1+G2315)*H2315)</f>
        <v/>
      </c>
      <c r="J2315" s="69" t="str">
        <f>IF(AND(A2315="",B2315=""),"",IF(A2315="","Produit manquant",IF(COUNTIF(prod_ref,A2315)=0,"Produit inconnu",IF(B2315="","Matière manquante",IF(ISNA(MATCH(B2315,mat_ref,0)),"Matière inconnue",IF(INDEX(mat_check,MATCH(B2315,mat_ref,0))&lt;&gt;"OK","Matière à corriger",IF(OR(NOT(ISNUMBER(E2315)),N(E2315)&lt;=0),"Quantité invalide",IF(AND(F2315&lt;&gt;"",OR(NOT(ISNUMBER(F2315)),N(F2315)&lt;0,N(F2315)&gt;=1)),"Perte entre 0 et 99 %",IF(COUNTIFS(bom_prod,A2315,bom_mat,B2315)&gt;1,"Matière en double","OK")))))))))</f>
        <v/>
      </c>
      <c r="K2315" s="71" t="str">
        <f>IF(AND(fiche_sel&lt;&gt;"",A2315=fiche_sel),COUNTIF(A$6:A2315,fiche_sel),"")</f>
        <v/>
      </c>
    </row>
    <row r="2316">
      <c r="A2316" s="60" t="n"/>
      <c r="B2316" s="60" t="n"/>
      <c r="C2316" s="71" t="str">
        <f>IF(B2316="","",IFERROR(INDEX(mat_des,MATCH(B2316,mat_ref,0))&amp;"","Matière inconnue"))</f>
        <v/>
      </c>
      <c r="D2316" s="69" t="str">
        <f>IF(B2316="","",IFERROR(INDEX(mat_unit,MATCH(B2316,mat_ref,0))&amp;"",""))</f>
        <v/>
      </c>
      <c r="E2316" s="72" t="n"/>
      <c r="F2316" s="65" t="n"/>
      <c r="G2316" s="68" t="str">
        <f>IF(J2316&lt;&gt;"OK","",IF(F2316="",N(INDEX(mat_loss,MATCH(B2316,mat_ref,0))),F2316))</f>
        <v/>
      </c>
      <c r="H2316" s="66" t="str">
        <f>IF(J2316&lt;&gt;"OK","",INDEX(mat_price,MATCH(B2316,mat_ref,0)))</f>
        <v/>
      </c>
      <c r="I2316" s="66" t="str">
        <f>IF(J2316&lt;&gt;"OK","",E2316*(1+G2316)*H2316)</f>
        <v/>
      </c>
      <c r="J2316" s="69" t="str">
        <f>IF(AND(A2316="",B2316=""),"",IF(A2316="","Produit manquant",IF(COUNTIF(prod_ref,A2316)=0,"Produit inconnu",IF(B2316="","Matière manquante",IF(ISNA(MATCH(B2316,mat_ref,0)),"Matière inconnue",IF(INDEX(mat_check,MATCH(B2316,mat_ref,0))&lt;&gt;"OK","Matière à corriger",IF(OR(NOT(ISNUMBER(E2316)),N(E2316)&lt;=0),"Quantité invalide",IF(AND(F2316&lt;&gt;"",OR(NOT(ISNUMBER(F2316)),N(F2316)&lt;0,N(F2316)&gt;=1)),"Perte entre 0 et 99 %",IF(COUNTIFS(bom_prod,A2316,bom_mat,B2316)&gt;1,"Matière en double","OK")))))))))</f>
        <v/>
      </c>
      <c r="K2316" s="71" t="str">
        <f>IF(AND(fiche_sel&lt;&gt;"",A2316=fiche_sel),COUNTIF(A$6:A2316,fiche_sel),"")</f>
        <v/>
      </c>
    </row>
    <row r="2317">
      <c r="A2317" s="60" t="n"/>
      <c r="B2317" s="60" t="n"/>
      <c r="C2317" s="71" t="str">
        <f>IF(B2317="","",IFERROR(INDEX(mat_des,MATCH(B2317,mat_ref,0))&amp;"","Matière inconnue"))</f>
        <v/>
      </c>
      <c r="D2317" s="69" t="str">
        <f>IF(B2317="","",IFERROR(INDEX(mat_unit,MATCH(B2317,mat_ref,0))&amp;"",""))</f>
        <v/>
      </c>
      <c r="E2317" s="72" t="n"/>
      <c r="F2317" s="65" t="n"/>
      <c r="G2317" s="68" t="str">
        <f>IF(J2317&lt;&gt;"OK","",IF(F2317="",N(INDEX(mat_loss,MATCH(B2317,mat_ref,0))),F2317))</f>
        <v/>
      </c>
      <c r="H2317" s="66" t="str">
        <f>IF(J2317&lt;&gt;"OK","",INDEX(mat_price,MATCH(B2317,mat_ref,0)))</f>
        <v/>
      </c>
      <c r="I2317" s="66" t="str">
        <f>IF(J2317&lt;&gt;"OK","",E2317*(1+G2317)*H2317)</f>
        <v/>
      </c>
      <c r="J2317" s="69" t="str">
        <f>IF(AND(A2317="",B2317=""),"",IF(A2317="","Produit manquant",IF(COUNTIF(prod_ref,A2317)=0,"Produit inconnu",IF(B2317="","Matière manquante",IF(ISNA(MATCH(B2317,mat_ref,0)),"Matière inconnue",IF(INDEX(mat_check,MATCH(B2317,mat_ref,0))&lt;&gt;"OK","Matière à corriger",IF(OR(NOT(ISNUMBER(E2317)),N(E2317)&lt;=0),"Quantité invalide",IF(AND(F2317&lt;&gt;"",OR(NOT(ISNUMBER(F2317)),N(F2317)&lt;0,N(F2317)&gt;=1)),"Perte entre 0 et 99 %",IF(COUNTIFS(bom_prod,A2317,bom_mat,B2317)&gt;1,"Matière en double","OK")))))))))</f>
        <v/>
      </c>
      <c r="K2317" s="71" t="str">
        <f>IF(AND(fiche_sel&lt;&gt;"",A2317=fiche_sel),COUNTIF(A$6:A2317,fiche_sel),"")</f>
        <v/>
      </c>
    </row>
    <row r="2318">
      <c r="A2318" s="60" t="n"/>
      <c r="B2318" s="60" t="n"/>
      <c r="C2318" s="71" t="str">
        <f>IF(B2318="","",IFERROR(INDEX(mat_des,MATCH(B2318,mat_ref,0))&amp;"","Matière inconnue"))</f>
        <v/>
      </c>
      <c r="D2318" s="69" t="str">
        <f>IF(B2318="","",IFERROR(INDEX(mat_unit,MATCH(B2318,mat_ref,0))&amp;"",""))</f>
        <v/>
      </c>
      <c r="E2318" s="72" t="n"/>
      <c r="F2318" s="65" t="n"/>
      <c r="G2318" s="68" t="str">
        <f>IF(J2318&lt;&gt;"OK","",IF(F2318="",N(INDEX(mat_loss,MATCH(B2318,mat_ref,0))),F2318))</f>
        <v/>
      </c>
      <c r="H2318" s="66" t="str">
        <f>IF(J2318&lt;&gt;"OK","",INDEX(mat_price,MATCH(B2318,mat_ref,0)))</f>
        <v/>
      </c>
      <c r="I2318" s="66" t="str">
        <f>IF(J2318&lt;&gt;"OK","",E2318*(1+G2318)*H2318)</f>
        <v/>
      </c>
      <c r="J2318" s="69" t="str">
        <f>IF(AND(A2318="",B2318=""),"",IF(A2318="","Produit manquant",IF(COUNTIF(prod_ref,A2318)=0,"Produit inconnu",IF(B2318="","Matière manquante",IF(ISNA(MATCH(B2318,mat_ref,0)),"Matière inconnue",IF(INDEX(mat_check,MATCH(B2318,mat_ref,0))&lt;&gt;"OK","Matière à corriger",IF(OR(NOT(ISNUMBER(E2318)),N(E2318)&lt;=0),"Quantité invalide",IF(AND(F2318&lt;&gt;"",OR(NOT(ISNUMBER(F2318)),N(F2318)&lt;0,N(F2318)&gt;=1)),"Perte entre 0 et 99 %",IF(COUNTIFS(bom_prod,A2318,bom_mat,B2318)&gt;1,"Matière en double","OK")))))))))</f>
        <v/>
      </c>
      <c r="K2318" s="71" t="str">
        <f>IF(AND(fiche_sel&lt;&gt;"",A2318=fiche_sel),COUNTIF(A$6:A2318,fiche_sel),"")</f>
        <v/>
      </c>
    </row>
    <row r="2319">
      <c r="A2319" s="60" t="n"/>
      <c r="B2319" s="60" t="n"/>
      <c r="C2319" s="71" t="str">
        <f>IF(B2319="","",IFERROR(INDEX(mat_des,MATCH(B2319,mat_ref,0))&amp;"","Matière inconnue"))</f>
        <v/>
      </c>
      <c r="D2319" s="69" t="str">
        <f>IF(B2319="","",IFERROR(INDEX(mat_unit,MATCH(B2319,mat_ref,0))&amp;"",""))</f>
        <v/>
      </c>
      <c r="E2319" s="72" t="n"/>
      <c r="F2319" s="65" t="n"/>
      <c r="G2319" s="68" t="str">
        <f>IF(J2319&lt;&gt;"OK","",IF(F2319="",N(INDEX(mat_loss,MATCH(B2319,mat_ref,0))),F2319))</f>
        <v/>
      </c>
      <c r="H2319" s="66" t="str">
        <f>IF(J2319&lt;&gt;"OK","",INDEX(mat_price,MATCH(B2319,mat_ref,0)))</f>
        <v/>
      </c>
      <c r="I2319" s="66" t="str">
        <f>IF(J2319&lt;&gt;"OK","",E2319*(1+G2319)*H2319)</f>
        <v/>
      </c>
      <c r="J2319" s="69" t="str">
        <f>IF(AND(A2319="",B2319=""),"",IF(A2319="","Produit manquant",IF(COUNTIF(prod_ref,A2319)=0,"Produit inconnu",IF(B2319="","Matière manquante",IF(ISNA(MATCH(B2319,mat_ref,0)),"Matière inconnue",IF(INDEX(mat_check,MATCH(B2319,mat_ref,0))&lt;&gt;"OK","Matière à corriger",IF(OR(NOT(ISNUMBER(E2319)),N(E2319)&lt;=0),"Quantité invalide",IF(AND(F2319&lt;&gt;"",OR(NOT(ISNUMBER(F2319)),N(F2319)&lt;0,N(F2319)&gt;=1)),"Perte entre 0 et 99 %",IF(COUNTIFS(bom_prod,A2319,bom_mat,B2319)&gt;1,"Matière en double","OK")))))))))</f>
        <v/>
      </c>
      <c r="K2319" s="71" t="str">
        <f>IF(AND(fiche_sel&lt;&gt;"",A2319=fiche_sel),COUNTIF(A$6:A2319,fiche_sel),"")</f>
        <v/>
      </c>
    </row>
    <row r="2320">
      <c r="A2320" s="60" t="n"/>
      <c r="B2320" s="60" t="n"/>
      <c r="C2320" s="71" t="str">
        <f>IF(B2320="","",IFERROR(INDEX(mat_des,MATCH(B2320,mat_ref,0))&amp;"","Matière inconnue"))</f>
        <v/>
      </c>
      <c r="D2320" s="69" t="str">
        <f>IF(B2320="","",IFERROR(INDEX(mat_unit,MATCH(B2320,mat_ref,0))&amp;"",""))</f>
        <v/>
      </c>
      <c r="E2320" s="72" t="n"/>
      <c r="F2320" s="65" t="n"/>
      <c r="G2320" s="68" t="str">
        <f>IF(J2320&lt;&gt;"OK","",IF(F2320="",N(INDEX(mat_loss,MATCH(B2320,mat_ref,0))),F2320))</f>
        <v/>
      </c>
      <c r="H2320" s="66" t="str">
        <f>IF(J2320&lt;&gt;"OK","",INDEX(mat_price,MATCH(B2320,mat_ref,0)))</f>
        <v/>
      </c>
      <c r="I2320" s="66" t="str">
        <f>IF(J2320&lt;&gt;"OK","",E2320*(1+G2320)*H2320)</f>
        <v/>
      </c>
      <c r="J2320" s="69" t="str">
        <f>IF(AND(A2320="",B2320=""),"",IF(A2320="","Produit manquant",IF(COUNTIF(prod_ref,A2320)=0,"Produit inconnu",IF(B2320="","Matière manquante",IF(ISNA(MATCH(B2320,mat_ref,0)),"Matière inconnue",IF(INDEX(mat_check,MATCH(B2320,mat_ref,0))&lt;&gt;"OK","Matière à corriger",IF(OR(NOT(ISNUMBER(E2320)),N(E2320)&lt;=0),"Quantité invalide",IF(AND(F2320&lt;&gt;"",OR(NOT(ISNUMBER(F2320)),N(F2320)&lt;0,N(F2320)&gt;=1)),"Perte entre 0 et 99 %",IF(COUNTIFS(bom_prod,A2320,bom_mat,B2320)&gt;1,"Matière en double","OK")))))))))</f>
        <v/>
      </c>
      <c r="K2320" s="71" t="str">
        <f>IF(AND(fiche_sel&lt;&gt;"",A2320=fiche_sel),COUNTIF(A$6:A2320,fiche_sel),"")</f>
        <v/>
      </c>
    </row>
    <row r="2321">
      <c r="A2321" s="60" t="n"/>
      <c r="B2321" s="60" t="n"/>
      <c r="C2321" s="71" t="str">
        <f>IF(B2321="","",IFERROR(INDEX(mat_des,MATCH(B2321,mat_ref,0))&amp;"","Matière inconnue"))</f>
        <v/>
      </c>
      <c r="D2321" s="69" t="str">
        <f>IF(B2321="","",IFERROR(INDEX(mat_unit,MATCH(B2321,mat_ref,0))&amp;"",""))</f>
        <v/>
      </c>
      <c r="E2321" s="72" t="n"/>
      <c r="F2321" s="65" t="n"/>
      <c r="G2321" s="68" t="str">
        <f>IF(J2321&lt;&gt;"OK","",IF(F2321="",N(INDEX(mat_loss,MATCH(B2321,mat_ref,0))),F2321))</f>
        <v/>
      </c>
      <c r="H2321" s="66" t="str">
        <f>IF(J2321&lt;&gt;"OK","",INDEX(mat_price,MATCH(B2321,mat_ref,0)))</f>
        <v/>
      </c>
      <c r="I2321" s="66" t="str">
        <f>IF(J2321&lt;&gt;"OK","",E2321*(1+G2321)*H2321)</f>
        <v/>
      </c>
      <c r="J2321" s="69" t="str">
        <f>IF(AND(A2321="",B2321=""),"",IF(A2321="","Produit manquant",IF(COUNTIF(prod_ref,A2321)=0,"Produit inconnu",IF(B2321="","Matière manquante",IF(ISNA(MATCH(B2321,mat_ref,0)),"Matière inconnue",IF(INDEX(mat_check,MATCH(B2321,mat_ref,0))&lt;&gt;"OK","Matière à corriger",IF(OR(NOT(ISNUMBER(E2321)),N(E2321)&lt;=0),"Quantité invalide",IF(AND(F2321&lt;&gt;"",OR(NOT(ISNUMBER(F2321)),N(F2321)&lt;0,N(F2321)&gt;=1)),"Perte entre 0 et 99 %",IF(COUNTIFS(bom_prod,A2321,bom_mat,B2321)&gt;1,"Matière en double","OK")))))))))</f>
        <v/>
      </c>
      <c r="K2321" s="71" t="str">
        <f>IF(AND(fiche_sel&lt;&gt;"",A2321=fiche_sel),COUNTIF(A$6:A2321,fiche_sel),"")</f>
        <v/>
      </c>
    </row>
    <row r="2322">
      <c r="A2322" s="60" t="n"/>
      <c r="B2322" s="60" t="n"/>
      <c r="C2322" s="71" t="str">
        <f>IF(B2322="","",IFERROR(INDEX(mat_des,MATCH(B2322,mat_ref,0))&amp;"","Matière inconnue"))</f>
        <v/>
      </c>
      <c r="D2322" s="69" t="str">
        <f>IF(B2322="","",IFERROR(INDEX(mat_unit,MATCH(B2322,mat_ref,0))&amp;"",""))</f>
        <v/>
      </c>
      <c r="E2322" s="72" t="n"/>
      <c r="F2322" s="65" t="n"/>
      <c r="G2322" s="68" t="str">
        <f>IF(J2322&lt;&gt;"OK","",IF(F2322="",N(INDEX(mat_loss,MATCH(B2322,mat_ref,0))),F2322))</f>
        <v/>
      </c>
      <c r="H2322" s="66" t="str">
        <f>IF(J2322&lt;&gt;"OK","",INDEX(mat_price,MATCH(B2322,mat_ref,0)))</f>
        <v/>
      </c>
      <c r="I2322" s="66" t="str">
        <f>IF(J2322&lt;&gt;"OK","",E2322*(1+G2322)*H2322)</f>
        <v/>
      </c>
      <c r="J2322" s="69" t="str">
        <f>IF(AND(A2322="",B2322=""),"",IF(A2322="","Produit manquant",IF(COUNTIF(prod_ref,A2322)=0,"Produit inconnu",IF(B2322="","Matière manquante",IF(ISNA(MATCH(B2322,mat_ref,0)),"Matière inconnue",IF(INDEX(mat_check,MATCH(B2322,mat_ref,0))&lt;&gt;"OK","Matière à corriger",IF(OR(NOT(ISNUMBER(E2322)),N(E2322)&lt;=0),"Quantité invalide",IF(AND(F2322&lt;&gt;"",OR(NOT(ISNUMBER(F2322)),N(F2322)&lt;0,N(F2322)&gt;=1)),"Perte entre 0 et 99 %",IF(COUNTIFS(bom_prod,A2322,bom_mat,B2322)&gt;1,"Matière en double","OK")))))))))</f>
        <v/>
      </c>
      <c r="K2322" s="71" t="str">
        <f>IF(AND(fiche_sel&lt;&gt;"",A2322=fiche_sel),COUNTIF(A$6:A2322,fiche_sel),"")</f>
        <v/>
      </c>
    </row>
    <row r="2323">
      <c r="A2323" s="60" t="n"/>
      <c r="B2323" s="60" t="n"/>
      <c r="C2323" s="71" t="str">
        <f>IF(B2323="","",IFERROR(INDEX(mat_des,MATCH(B2323,mat_ref,0))&amp;"","Matière inconnue"))</f>
        <v/>
      </c>
      <c r="D2323" s="69" t="str">
        <f>IF(B2323="","",IFERROR(INDEX(mat_unit,MATCH(B2323,mat_ref,0))&amp;"",""))</f>
        <v/>
      </c>
      <c r="E2323" s="72" t="n"/>
      <c r="F2323" s="65" t="n"/>
      <c r="G2323" s="68" t="str">
        <f>IF(J2323&lt;&gt;"OK","",IF(F2323="",N(INDEX(mat_loss,MATCH(B2323,mat_ref,0))),F2323))</f>
        <v/>
      </c>
      <c r="H2323" s="66" t="str">
        <f>IF(J2323&lt;&gt;"OK","",INDEX(mat_price,MATCH(B2323,mat_ref,0)))</f>
        <v/>
      </c>
      <c r="I2323" s="66" t="str">
        <f>IF(J2323&lt;&gt;"OK","",E2323*(1+G2323)*H2323)</f>
        <v/>
      </c>
      <c r="J2323" s="69" t="str">
        <f>IF(AND(A2323="",B2323=""),"",IF(A2323="","Produit manquant",IF(COUNTIF(prod_ref,A2323)=0,"Produit inconnu",IF(B2323="","Matière manquante",IF(ISNA(MATCH(B2323,mat_ref,0)),"Matière inconnue",IF(INDEX(mat_check,MATCH(B2323,mat_ref,0))&lt;&gt;"OK","Matière à corriger",IF(OR(NOT(ISNUMBER(E2323)),N(E2323)&lt;=0),"Quantité invalide",IF(AND(F2323&lt;&gt;"",OR(NOT(ISNUMBER(F2323)),N(F2323)&lt;0,N(F2323)&gt;=1)),"Perte entre 0 et 99 %",IF(COUNTIFS(bom_prod,A2323,bom_mat,B2323)&gt;1,"Matière en double","OK")))))))))</f>
        <v/>
      </c>
      <c r="K2323" s="71" t="str">
        <f>IF(AND(fiche_sel&lt;&gt;"",A2323=fiche_sel),COUNTIF(A$6:A2323,fiche_sel),"")</f>
        <v/>
      </c>
    </row>
    <row r="2324">
      <c r="A2324" s="60" t="n"/>
      <c r="B2324" s="60" t="n"/>
      <c r="C2324" s="71" t="str">
        <f>IF(B2324="","",IFERROR(INDEX(mat_des,MATCH(B2324,mat_ref,0))&amp;"","Matière inconnue"))</f>
        <v/>
      </c>
      <c r="D2324" s="69" t="str">
        <f>IF(B2324="","",IFERROR(INDEX(mat_unit,MATCH(B2324,mat_ref,0))&amp;"",""))</f>
        <v/>
      </c>
      <c r="E2324" s="72" t="n"/>
      <c r="F2324" s="65" t="n"/>
      <c r="G2324" s="68" t="str">
        <f>IF(J2324&lt;&gt;"OK","",IF(F2324="",N(INDEX(mat_loss,MATCH(B2324,mat_ref,0))),F2324))</f>
        <v/>
      </c>
      <c r="H2324" s="66" t="str">
        <f>IF(J2324&lt;&gt;"OK","",INDEX(mat_price,MATCH(B2324,mat_ref,0)))</f>
        <v/>
      </c>
      <c r="I2324" s="66" t="str">
        <f>IF(J2324&lt;&gt;"OK","",E2324*(1+G2324)*H2324)</f>
        <v/>
      </c>
      <c r="J2324" s="69" t="str">
        <f>IF(AND(A2324="",B2324=""),"",IF(A2324="","Produit manquant",IF(COUNTIF(prod_ref,A2324)=0,"Produit inconnu",IF(B2324="","Matière manquante",IF(ISNA(MATCH(B2324,mat_ref,0)),"Matière inconnue",IF(INDEX(mat_check,MATCH(B2324,mat_ref,0))&lt;&gt;"OK","Matière à corriger",IF(OR(NOT(ISNUMBER(E2324)),N(E2324)&lt;=0),"Quantité invalide",IF(AND(F2324&lt;&gt;"",OR(NOT(ISNUMBER(F2324)),N(F2324)&lt;0,N(F2324)&gt;=1)),"Perte entre 0 et 99 %",IF(COUNTIFS(bom_prod,A2324,bom_mat,B2324)&gt;1,"Matière en double","OK")))))))))</f>
        <v/>
      </c>
      <c r="K2324" s="71" t="str">
        <f>IF(AND(fiche_sel&lt;&gt;"",A2324=fiche_sel),COUNTIF(A$6:A2324,fiche_sel),"")</f>
        <v/>
      </c>
    </row>
    <row r="2325">
      <c r="A2325" s="60" t="n"/>
      <c r="B2325" s="60" t="n"/>
      <c r="C2325" s="71" t="str">
        <f>IF(B2325="","",IFERROR(INDEX(mat_des,MATCH(B2325,mat_ref,0))&amp;"","Matière inconnue"))</f>
        <v/>
      </c>
      <c r="D2325" s="69" t="str">
        <f>IF(B2325="","",IFERROR(INDEX(mat_unit,MATCH(B2325,mat_ref,0))&amp;"",""))</f>
        <v/>
      </c>
      <c r="E2325" s="72" t="n"/>
      <c r="F2325" s="65" t="n"/>
      <c r="G2325" s="68" t="str">
        <f>IF(J2325&lt;&gt;"OK","",IF(F2325="",N(INDEX(mat_loss,MATCH(B2325,mat_ref,0))),F2325))</f>
        <v/>
      </c>
      <c r="H2325" s="66" t="str">
        <f>IF(J2325&lt;&gt;"OK","",INDEX(mat_price,MATCH(B2325,mat_ref,0)))</f>
        <v/>
      </c>
      <c r="I2325" s="66" t="str">
        <f>IF(J2325&lt;&gt;"OK","",E2325*(1+G2325)*H2325)</f>
        <v/>
      </c>
      <c r="J2325" s="69" t="str">
        <f>IF(AND(A2325="",B2325=""),"",IF(A2325="","Produit manquant",IF(COUNTIF(prod_ref,A2325)=0,"Produit inconnu",IF(B2325="","Matière manquante",IF(ISNA(MATCH(B2325,mat_ref,0)),"Matière inconnue",IF(INDEX(mat_check,MATCH(B2325,mat_ref,0))&lt;&gt;"OK","Matière à corriger",IF(OR(NOT(ISNUMBER(E2325)),N(E2325)&lt;=0),"Quantité invalide",IF(AND(F2325&lt;&gt;"",OR(NOT(ISNUMBER(F2325)),N(F2325)&lt;0,N(F2325)&gt;=1)),"Perte entre 0 et 99 %",IF(COUNTIFS(bom_prod,A2325,bom_mat,B2325)&gt;1,"Matière en double","OK")))))))))</f>
        <v/>
      </c>
      <c r="K2325" s="71" t="str">
        <f>IF(AND(fiche_sel&lt;&gt;"",A2325=fiche_sel),COUNTIF(A$6:A2325,fiche_sel),"")</f>
        <v/>
      </c>
    </row>
    <row r="2326">
      <c r="A2326" s="60" t="n"/>
      <c r="B2326" s="60" t="n"/>
      <c r="C2326" s="71" t="str">
        <f>IF(B2326="","",IFERROR(INDEX(mat_des,MATCH(B2326,mat_ref,0))&amp;"","Matière inconnue"))</f>
        <v/>
      </c>
      <c r="D2326" s="69" t="str">
        <f>IF(B2326="","",IFERROR(INDEX(mat_unit,MATCH(B2326,mat_ref,0))&amp;"",""))</f>
        <v/>
      </c>
      <c r="E2326" s="72" t="n"/>
      <c r="F2326" s="65" t="n"/>
      <c r="G2326" s="68" t="str">
        <f>IF(J2326&lt;&gt;"OK","",IF(F2326="",N(INDEX(mat_loss,MATCH(B2326,mat_ref,0))),F2326))</f>
        <v/>
      </c>
      <c r="H2326" s="66" t="str">
        <f>IF(J2326&lt;&gt;"OK","",INDEX(mat_price,MATCH(B2326,mat_ref,0)))</f>
        <v/>
      </c>
      <c r="I2326" s="66" t="str">
        <f>IF(J2326&lt;&gt;"OK","",E2326*(1+G2326)*H2326)</f>
        <v/>
      </c>
      <c r="J2326" s="69" t="str">
        <f>IF(AND(A2326="",B2326=""),"",IF(A2326="","Produit manquant",IF(COUNTIF(prod_ref,A2326)=0,"Produit inconnu",IF(B2326="","Matière manquante",IF(ISNA(MATCH(B2326,mat_ref,0)),"Matière inconnue",IF(INDEX(mat_check,MATCH(B2326,mat_ref,0))&lt;&gt;"OK","Matière à corriger",IF(OR(NOT(ISNUMBER(E2326)),N(E2326)&lt;=0),"Quantité invalide",IF(AND(F2326&lt;&gt;"",OR(NOT(ISNUMBER(F2326)),N(F2326)&lt;0,N(F2326)&gt;=1)),"Perte entre 0 et 99 %",IF(COUNTIFS(bom_prod,A2326,bom_mat,B2326)&gt;1,"Matière en double","OK")))))))))</f>
        <v/>
      </c>
      <c r="K2326" s="71" t="str">
        <f>IF(AND(fiche_sel&lt;&gt;"",A2326=fiche_sel),COUNTIF(A$6:A2326,fiche_sel),"")</f>
        <v/>
      </c>
    </row>
    <row r="2327">
      <c r="A2327" s="60" t="n"/>
      <c r="B2327" s="60" t="n"/>
      <c r="C2327" s="71" t="str">
        <f>IF(B2327="","",IFERROR(INDEX(mat_des,MATCH(B2327,mat_ref,0))&amp;"","Matière inconnue"))</f>
        <v/>
      </c>
      <c r="D2327" s="69" t="str">
        <f>IF(B2327="","",IFERROR(INDEX(mat_unit,MATCH(B2327,mat_ref,0))&amp;"",""))</f>
        <v/>
      </c>
      <c r="E2327" s="72" t="n"/>
      <c r="F2327" s="65" t="n"/>
      <c r="G2327" s="68" t="str">
        <f>IF(J2327&lt;&gt;"OK","",IF(F2327="",N(INDEX(mat_loss,MATCH(B2327,mat_ref,0))),F2327))</f>
        <v/>
      </c>
      <c r="H2327" s="66" t="str">
        <f>IF(J2327&lt;&gt;"OK","",INDEX(mat_price,MATCH(B2327,mat_ref,0)))</f>
        <v/>
      </c>
      <c r="I2327" s="66" t="str">
        <f>IF(J2327&lt;&gt;"OK","",E2327*(1+G2327)*H2327)</f>
        <v/>
      </c>
      <c r="J2327" s="69" t="str">
        <f>IF(AND(A2327="",B2327=""),"",IF(A2327="","Produit manquant",IF(COUNTIF(prod_ref,A2327)=0,"Produit inconnu",IF(B2327="","Matière manquante",IF(ISNA(MATCH(B2327,mat_ref,0)),"Matière inconnue",IF(INDEX(mat_check,MATCH(B2327,mat_ref,0))&lt;&gt;"OK","Matière à corriger",IF(OR(NOT(ISNUMBER(E2327)),N(E2327)&lt;=0),"Quantité invalide",IF(AND(F2327&lt;&gt;"",OR(NOT(ISNUMBER(F2327)),N(F2327)&lt;0,N(F2327)&gt;=1)),"Perte entre 0 et 99 %",IF(COUNTIFS(bom_prod,A2327,bom_mat,B2327)&gt;1,"Matière en double","OK")))))))))</f>
        <v/>
      </c>
      <c r="K2327" s="71" t="str">
        <f>IF(AND(fiche_sel&lt;&gt;"",A2327=fiche_sel),COUNTIF(A$6:A2327,fiche_sel),"")</f>
        <v/>
      </c>
    </row>
    <row r="2328">
      <c r="A2328" s="60" t="n"/>
      <c r="B2328" s="60" t="n"/>
      <c r="C2328" s="71" t="str">
        <f>IF(B2328="","",IFERROR(INDEX(mat_des,MATCH(B2328,mat_ref,0))&amp;"","Matière inconnue"))</f>
        <v/>
      </c>
      <c r="D2328" s="69" t="str">
        <f>IF(B2328="","",IFERROR(INDEX(mat_unit,MATCH(B2328,mat_ref,0))&amp;"",""))</f>
        <v/>
      </c>
      <c r="E2328" s="72" t="n"/>
      <c r="F2328" s="65" t="n"/>
      <c r="G2328" s="68" t="str">
        <f>IF(J2328&lt;&gt;"OK","",IF(F2328="",N(INDEX(mat_loss,MATCH(B2328,mat_ref,0))),F2328))</f>
        <v/>
      </c>
      <c r="H2328" s="66" t="str">
        <f>IF(J2328&lt;&gt;"OK","",INDEX(mat_price,MATCH(B2328,mat_ref,0)))</f>
        <v/>
      </c>
      <c r="I2328" s="66" t="str">
        <f>IF(J2328&lt;&gt;"OK","",E2328*(1+G2328)*H2328)</f>
        <v/>
      </c>
      <c r="J2328" s="69" t="str">
        <f>IF(AND(A2328="",B2328=""),"",IF(A2328="","Produit manquant",IF(COUNTIF(prod_ref,A2328)=0,"Produit inconnu",IF(B2328="","Matière manquante",IF(ISNA(MATCH(B2328,mat_ref,0)),"Matière inconnue",IF(INDEX(mat_check,MATCH(B2328,mat_ref,0))&lt;&gt;"OK","Matière à corriger",IF(OR(NOT(ISNUMBER(E2328)),N(E2328)&lt;=0),"Quantité invalide",IF(AND(F2328&lt;&gt;"",OR(NOT(ISNUMBER(F2328)),N(F2328)&lt;0,N(F2328)&gt;=1)),"Perte entre 0 et 99 %",IF(COUNTIFS(bom_prod,A2328,bom_mat,B2328)&gt;1,"Matière en double","OK")))))))))</f>
        <v/>
      </c>
      <c r="K2328" s="71" t="str">
        <f>IF(AND(fiche_sel&lt;&gt;"",A2328=fiche_sel),COUNTIF(A$6:A2328,fiche_sel),"")</f>
        <v/>
      </c>
    </row>
    <row r="2329">
      <c r="A2329" s="60" t="n"/>
      <c r="B2329" s="60" t="n"/>
      <c r="C2329" s="71" t="str">
        <f>IF(B2329="","",IFERROR(INDEX(mat_des,MATCH(B2329,mat_ref,0))&amp;"","Matière inconnue"))</f>
        <v/>
      </c>
      <c r="D2329" s="69" t="str">
        <f>IF(B2329="","",IFERROR(INDEX(mat_unit,MATCH(B2329,mat_ref,0))&amp;"",""))</f>
        <v/>
      </c>
      <c r="E2329" s="72" t="n"/>
      <c r="F2329" s="65" t="n"/>
      <c r="G2329" s="68" t="str">
        <f>IF(J2329&lt;&gt;"OK","",IF(F2329="",N(INDEX(mat_loss,MATCH(B2329,mat_ref,0))),F2329))</f>
        <v/>
      </c>
      <c r="H2329" s="66" t="str">
        <f>IF(J2329&lt;&gt;"OK","",INDEX(mat_price,MATCH(B2329,mat_ref,0)))</f>
        <v/>
      </c>
      <c r="I2329" s="66" t="str">
        <f>IF(J2329&lt;&gt;"OK","",E2329*(1+G2329)*H2329)</f>
        <v/>
      </c>
      <c r="J2329" s="69" t="str">
        <f>IF(AND(A2329="",B2329=""),"",IF(A2329="","Produit manquant",IF(COUNTIF(prod_ref,A2329)=0,"Produit inconnu",IF(B2329="","Matière manquante",IF(ISNA(MATCH(B2329,mat_ref,0)),"Matière inconnue",IF(INDEX(mat_check,MATCH(B2329,mat_ref,0))&lt;&gt;"OK","Matière à corriger",IF(OR(NOT(ISNUMBER(E2329)),N(E2329)&lt;=0),"Quantité invalide",IF(AND(F2329&lt;&gt;"",OR(NOT(ISNUMBER(F2329)),N(F2329)&lt;0,N(F2329)&gt;=1)),"Perte entre 0 et 99 %",IF(COUNTIFS(bom_prod,A2329,bom_mat,B2329)&gt;1,"Matière en double","OK")))))))))</f>
        <v/>
      </c>
      <c r="K2329" s="71" t="str">
        <f>IF(AND(fiche_sel&lt;&gt;"",A2329=fiche_sel),COUNTIF(A$6:A2329,fiche_sel),"")</f>
        <v/>
      </c>
    </row>
    <row r="2330">
      <c r="A2330" s="60" t="n"/>
      <c r="B2330" s="60" t="n"/>
      <c r="C2330" s="71" t="str">
        <f>IF(B2330="","",IFERROR(INDEX(mat_des,MATCH(B2330,mat_ref,0))&amp;"","Matière inconnue"))</f>
        <v/>
      </c>
      <c r="D2330" s="69" t="str">
        <f>IF(B2330="","",IFERROR(INDEX(mat_unit,MATCH(B2330,mat_ref,0))&amp;"",""))</f>
        <v/>
      </c>
      <c r="E2330" s="72" t="n"/>
      <c r="F2330" s="65" t="n"/>
      <c r="G2330" s="68" t="str">
        <f>IF(J2330&lt;&gt;"OK","",IF(F2330="",N(INDEX(mat_loss,MATCH(B2330,mat_ref,0))),F2330))</f>
        <v/>
      </c>
      <c r="H2330" s="66" t="str">
        <f>IF(J2330&lt;&gt;"OK","",INDEX(mat_price,MATCH(B2330,mat_ref,0)))</f>
        <v/>
      </c>
      <c r="I2330" s="66" t="str">
        <f>IF(J2330&lt;&gt;"OK","",E2330*(1+G2330)*H2330)</f>
        <v/>
      </c>
      <c r="J2330" s="69" t="str">
        <f>IF(AND(A2330="",B2330=""),"",IF(A2330="","Produit manquant",IF(COUNTIF(prod_ref,A2330)=0,"Produit inconnu",IF(B2330="","Matière manquante",IF(ISNA(MATCH(B2330,mat_ref,0)),"Matière inconnue",IF(INDEX(mat_check,MATCH(B2330,mat_ref,0))&lt;&gt;"OK","Matière à corriger",IF(OR(NOT(ISNUMBER(E2330)),N(E2330)&lt;=0),"Quantité invalide",IF(AND(F2330&lt;&gt;"",OR(NOT(ISNUMBER(F2330)),N(F2330)&lt;0,N(F2330)&gt;=1)),"Perte entre 0 et 99 %",IF(COUNTIFS(bom_prod,A2330,bom_mat,B2330)&gt;1,"Matière en double","OK")))))))))</f>
        <v/>
      </c>
      <c r="K2330" s="71" t="str">
        <f>IF(AND(fiche_sel&lt;&gt;"",A2330=fiche_sel),COUNTIF(A$6:A2330,fiche_sel),"")</f>
        <v/>
      </c>
    </row>
    <row r="2331">
      <c r="A2331" s="60" t="n"/>
      <c r="B2331" s="60" t="n"/>
      <c r="C2331" s="71" t="str">
        <f>IF(B2331="","",IFERROR(INDEX(mat_des,MATCH(B2331,mat_ref,0))&amp;"","Matière inconnue"))</f>
        <v/>
      </c>
      <c r="D2331" s="69" t="str">
        <f>IF(B2331="","",IFERROR(INDEX(mat_unit,MATCH(B2331,mat_ref,0))&amp;"",""))</f>
        <v/>
      </c>
      <c r="E2331" s="72" t="n"/>
      <c r="F2331" s="65" t="n"/>
      <c r="G2331" s="68" t="str">
        <f>IF(J2331&lt;&gt;"OK","",IF(F2331="",N(INDEX(mat_loss,MATCH(B2331,mat_ref,0))),F2331))</f>
        <v/>
      </c>
      <c r="H2331" s="66" t="str">
        <f>IF(J2331&lt;&gt;"OK","",INDEX(mat_price,MATCH(B2331,mat_ref,0)))</f>
        <v/>
      </c>
      <c r="I2331" s="66" t="str">
        <f>IF(J2331&lt;&gt;"OK","",E2331*(1+G2331)*H2331)</f>
        <v/>
      </c>
      <c r="J2331" s="69" t="str">
        <f>IF(AND(A2331="",B2331=""),"",IF(A2331="","Produit manquant",IF(COUNTIF(prod_ref,A2331)=0,"Produit inconnu",IF(B2331="","Matière manquante",IF(ISNA(MATCH(B2331,mat_ref,0)),"Matière inconnue",IF(INDEX(mat_check,MATCH(B2331,mat_ref,0))&lt;&gt;"OK","Matière à corriger",IF(OR(NOT(ISNUMBER(E2331)),N(E2331)&lt;=0),"Quantité invalide",IF(AND(F2331&lt;&gt;"",OR(NOT(ISNUMBER(F2331)),N(F2331)&lt;0,N(F2331)&gt;=1)),"Perte entre 0 et 99 %",IF(COUNTIFS(bom_prod,A2331,bom_mat,B2331)&gt;1,"Matière en double","OK")))))))))</f>
        <v/>
      </c>
      <c r="K2331" s="71" t="str">
        <f>IF(AND(fiche_sel&lt;&gt;"",A2331=fiche_sel),COUNTIF(A$6:A2331,fiche_sel),"")</f>
        <v/>
      </c>
    </row>
    <row r="2332">
      <c r="A2332" s="60" t="n"/>
      <c r="B2332" s="60" t="n"/>
      <c r="C2332" s="71" t="str">
        <f>IF(B2332="","",IFERROR(INDEX(mat_des,MATCH(B2332,mat_ref,0))&amp;"","Matière inconnue"))</f>
        <v/>
      </c>
      <c r="D2332" s="69" t="str">
        <f>IF(B2332="","",IFERROR(INDEX(mat_unit,MATCH(B2332,mat_ref,0))&amp;"",""))</f>
        <v/>
      </c>
      <c r="E2332" s="72" t="n"/>
      <c r="F2332" s="65" t="n"/>
      <c r="G2332" s="68" t="str">
        <f>IF(J2332&lt;&gt;"OK","",IF(F2332="",N(INDEX(mat_loss,MATCH(B2332,mat_ref,0))),F2332))</f>
        <v/>
      </c>
      <c r="H2332" s="66" t="str">
        <f>IF(J2332&lt;&gt;"OK","",INDEX(mat_price,MATCH(B2332,mat_ref,0)))</f>
        <v/>
      </c>
      <c r="I2332" s="66" t="str">
        <f>IF(J2332&lt;&gt;"OK","",E2332*(1+G2332)*H2332)</f>
        <v/>
      </c>
      <c r="J2332" s="69" t="str">
        <f>IF(AND(A2332="",B2332=""),"",IF(A2332="","Produit manquant",IF(COUNTIF(prod_ref,A2332)=0,"Produit inconnu",IF(B2332="","Matière manquante",IF(ISNA(MATCH(B2332,mat_ref,0)),"Matière inconnue",IF(INDEX(mat_check,MATCH(B2332,mat_ref,0))&lt;&gt;"OK","Matière à corriger",IF(OR(NOT(ISNUMBER(E2332)),N(E2332)&lt;=0),"Quantité invalide",IF(AND(F2332&lt;&gt;"",OR(NOT(ISNUMBER(F2332)),N(F2332)&lt;0,N(F2332)&gt;=1)),"Perte entre 0 et 99 %",IF(COUNTIFS(bom_prod,A2332,bom_mat,B2332)&gt;1,"Matière en double","OK")))))))))</f>
        <v/>
      </c>
      <c r="K2332" s="71" t="str">
        <f>IF(AND(fiche_sel&lt;&gt;"",A2332=fiche_sel),COUNTIF(A$6:A2332,fiche_sel),"")</f>
        <v/>
      </c>
    </row>
    <row r="2333">
      <c r="A2333" s="60" t="n"/>
      <c r="B2333" s="60" t="n"/>
      <c r="C2333" s="71" t="str">
        <f>IF(B2333="","",IFERROR(INDEX(mat_des,MATCH(B2333,mat_ref,0))&amp;"","Matière inconnue"))</f>
        <v/>
      </c>
      <c r="D2333" s="69" t="str">
        <f>IF(B2333="","",IFERROR(INDEX(mat_unit,MATCH(B2333,mat_ref,0))&amp;"",""))</f>
        <v/>
      </c>
      <c r="E2333" s="72" t="n"/>
      <c r="F2333" s="65" t="n"/>
      <c r="G2333" s="68" t="str">
        <f>IF(J2333&lt;&gt;"OK","",IF(F2333="",N(INDEX(mat_loss,MATCH(B2333,mat_ref,0))),F2333))</f>
        <v/>
      </c>
      <c r="H2333" s="66" t="str">
        <f>IF(J2333&lt;&gt;"OK","",INDEX(mat_price,MATCH(B2333,mat_ref,0)))</f>
        <v/>
      </c>
      <c r="I2333" s="66" t="str">
        <f>IF(J2333&lt;&gt;"OK","",E2333*(1+G2333)*H2333)</f>
        <v/>
      </c>
      <c r="J2333" s="69" t="str">
        <f>IF(AND(A2333="",B2333=""),"",IF(A2333="","Produit manquant",IF(COUNTIF(prod_ref,A2333)=0,"Produit inconnu",IF(B2333="","Matière manquante",IF(ISNA(MATCH(B2333,mat_ref,0)),"Matière inconnue",IF(INDEX(mat_check,MATCH(B2333,mat_ref,0))&lt;&gt;"OK","Matière à corriger",IF(OR(NOT(ISNUMBER(E2333)),N(E2333)&lt;=0),"Quantité invalide",IF(AND(F2333&lt;&gt;"",OR(NOT(ISNUMBER(F2333)),N(F2333)&lt;0,N(F2333)&gt;=1)),"Perte entre 0 et 99 %",IF(COUNTIFS(bom_prod,A2333,bom_mat,B2333)&gt;1,"Matière en double","OK")))))))))</f>
        <v/>
      </c>
      <c r="K2333" s="71" t="str">
        <f>IF(AND(fiche_sel&lt;&gt;"",A2333=fiche_sel),COUNTIF(A$6:A2333,fiche_sel),"")</f>
        <v/>
      </c>
    </row>
    <row r="2334">
      <c r="A2334" s="60" t="n"/>
      <c r="B2334" s="60" t="n"/>
      <c r="C2334" s="71" t="str">
        <f>IF(B2334="","",IFERROR(INDEX(mat_des,MATCH(B2334,mat_ref,0))&amp;"","Matière inconnue"))</f>
        <v/>
      </c>
      <c r="D2334" s="69" t="str">
        <f>IF(B2334="","",IFERROR(INDEX(mat_unit,MATCH(B2334,mat_ref,0))&amp;"",""))</f>
        <v/>
      </c>
      <c r="E2334" s="72" t="n"/>
      <c r="F2334" s="65" t="n"/>
      <c r="G2334" s="68" t="str">
        <f>IF(J2334&lt;&gt;"OK","",IF(F2334="",N(INDEX(mat_loss,MATCH(B2334,mat_ref,0))),F2334))</f>
        <v/>
      </c>
      <c r="H2334" s="66" t="str">
        <f>IF(J2334&lt;&gt;"OK","",INDEX(mat_price,MATCH(B2334,mat_ref,0)))</f>
        <v/>
      </c>
      <c r="I2334" s="66" t="str">
        <f>IF(J2334&lt;&gt;"OK","",E2334*(1+G2334)*H2334)</f>
        <v/>
      </c>
      <c r="J2334" s="69" t="str">
        <f>IF(AND(A2334="",B2334=""),"",IF(A2334="","Produit manquant",IF(COUNTIF(prod_ref,A2334)=0,"Produit inconnu",IF(B2334="","Matière manquante",IF(ISNA(MATCH(B2334,mat_ref,0)),"Matière inconnue",IF(INDEX(mat_check,MATCH(B2334,mat_ref,0))&lt;&gt;"OK","Matière à corriger",IF(OR(NOT(ISNUMBER(E2334)),N(E2334)&lt;=0),"Quantité invalide",IF(AND(F2334&lt;&gt;"",OR(NOT(ISNUMBER(F2334)),N(F2334)&lt;0,N(F2334)&gt;=1)),"Perte entre 0 et 99 %",IF(COUNTIFS(bom_prod,A2334,bom_mat,B2334)&gt;1,"Matière en double","OK")))))))))</f>
        <v/>
      </c>
      <c r="K2334" s="71" t="str">
        <f>IF(AND(fiche_sel&lt;&gt;"",A2334=fiche_sel),COUNTIF(A$6:A2334,fiche_sel),"")</f>
        <v/>
      </c>
    </row>
    <row r="2335">
      <c r="A2335" s="60" t="n"/>
      <c r="B2335" s="60" t="n"/>
      <c r="C2335" s="71" t="str">
        <f>IF(B2335="","",IFERROR(INDEX(mat_des,MATCH(B2335,mat_ref,0))&amp;"","Matière inconnue"))</f>
        <v/>
      </c>
      <c r="D2335" s="69" t="str">
        <f>IF(B2335="","",IFERROR(INDEX(mat_unit,MATCH(B2335,mat_ref,0))&amp;"",""))</f>
        <v/>
      </c>
      <c r="E2335" s="72" t="n"/>
      <c r="F2335" s="65" t="n"/>
      <c r="G2335" s="68" t="str">
        <f>IF(J2335&lt;&gt;"OK","",IF(F2335="",N(INDEX(mat_loss,MATCH(B2335,mat_ref,0))),F2335))</f>
        <v/>
      </c>
      <c r="H2335" s="66" t="str">
        <f>IF(J2335&lt;&gt;"OK","",INDEX(mat_price,MATCH(B2335,mat_ref,0)))</f>
        <v/>
      </c>
      <c r="I2335" s="66" t="str">
        <f>IF(J2335&lt;&gt;"OK","",E2335*(1+G2335)*H2335)</f>
        <v/>
      </c>
      <c r="J2335" s="69" t="str">
        <f>IF(AND(A2335="",B2335=""),"",IF(A2335="","Produit manquant",IF(COUNTIF(prod_ref,A2335)=0,"Produit inconnu",IF(B2335="","Matière manquante",IF(ISNA(MATCH(B2335,mat_ref,0)),"Matière inconnue",IF(INDEX(mat_check,MATCH(B2335,mat_ref,0))&lt;&gt;"OK","Matière à corriger",IF(OR(NOT(ISNUMBER(E2335)),N(E2335)&lt;=0),"Quantité invalide",IF(AND(F2335&lt;&gt;"",OR(NOT(ISNUMBER(F2335)),N(F2335)&lt;0,N(F2335)&gt;=1)),"Perte entre 0 et 99 %",IF(COUNTIFS(bom_prod,A2335,bom_mat,B2335)&gt;1,"Matière en double","OK")))))))))</f>
        <v/>
      </c>
      <c r="K2335" s="71" t="str">
        <f>IF(AND(fiche_sel&lt;&gt;"",A2335=fiche_sel),COUNTIF(A$6:A2335,fiche_sel),"")</f>
        <v/>
      </c>
    </row>
    <row r="2336">
      <c r="A2336" s="60" t="n"/>
      <c r="B2336" s="60" t="n"/>
      <c r="C2336" s="71" t="str">
        <f>IF(B2336="","",IFERROR(INDEX(mat_des,MATCH(B2336,mat_ref,0))&amp;"","Matière inconnue"))</f>
        <v/>
      </c>
      <c r="D2336" s="69" t="str">
        <f>IF(B2336="","",IFERROR(INDEX(mat_unit,MATCH(B2336,mat_ref,0))&amp;"",""))</f>
        <v/>
      </c>
      <c r="E2336" s="72" t="n"/>
      <c r="F2336" s="65" t="n"/>
      <c r="G2336" s="68" t="str">
        <f>IF(J2336&lt;&gt;"OK","",IF(F2336="",N(INDEX(mat_loss,MATCH(B2336,mat_ref,0))),F2336))</f>
        <v/>
      </c>
      <c r="H2336" s="66" t="str">
        <f>IF(J2336&lt;&gt;"OK","",INDEX(mat_price,MATCH(B2336,mat_ref,0)))</f>
        <v/>
      </c>
      <c r="I2336" s="66" t="str">
        <f>IF(J2336&lt;&gt;"OK","",E2336*(1+G2336)*H2336)</f>
        <v/>
      </c>
      <c r="J2336" s="69" t="str">
        <f>IF(AND(A2336="",B2336=""),"",IF(A2336="","Produit manquant",IF(COUNTIF(prod_ref,A2336)=0,"Produit inconnu",IF(B2336="","Matière manquante",IF(ISNA(MATCH(B2336,mat_ref,0)),"Matière inconnue",IF(INDEX(mat_check,MATCH(B2336,mat_ref,0))&lt;&gt;"OK","Matière à corriger",IF(OR(NOT(ISNUMBER(E2336)),N(E2336)&lt;=0),"Quantité invalide",IF(AND(F2336&lt;&gt;"",OR(NOT(ISNUMBER(F2336)),N(F2336)&lt;0,N(F2336)&gt;=1)),"Perte entre 0 et 99 %",IF(COUNTIFS(bom_prod,A2336,bom_mat,B2336)&gt;1,"Matière en double","OK")))))))))</f>
        <v/>
      </c>
      <c r="K2336" s="71" t="str">
        <f>IF(AND(fiche_sel&lt;&gt;"",A2336=fiche_sel),COUNTIF(A$6:A2336,fiche_sel),"")</f>
        <v/>
      </c>
    </row>
    <row r="2337">
      <c r="A2337" s="60" t="n"/>
      <c r="B2337" s="60" t="n"/>
      <c r="C2337" s="71" t="str">
        <f>IF(B2337="","",IFERROR(INDEX(mat_des,MATCH(B2337,mat_ref,0))&amp;"","Matière inconnue"))</f>
        <v/>
      </c>
      <c r="D2337" s="69" t="str">
        <f>IF(B2337="","",IFERROR(INDEX(mat_unit,MATCH(B2337,mat_ref,0))&amp;"",""))</f>
        <v/>
      </c>
      <c r="E2337" s="72" t="n"/>
      <c r="F2337" s="65" t="n"/>
      <c r="G2337" s="68" t="str">
        <f>IF(J2337&lt;&gt;"OK","",IF(F2337="",N(INDEX(mat_loss,MATCH(B2337,mat_ref,0))),F2337))</f>
        <v/>
      </c>
      <c r="H2337" s="66" t="str">
        <f>IF(J2337&lt;&gt;"OK","",INDEX(mat_price,MATCH(B2337,mat_ref,0)))</f>
        <v/>
      </c>
      <c r="I2337" s="66" t="str">
        <f>IF(J2337&lt;&gt;"OK","",E2337*(1+G2337)*H2337)</f>
        <v/>
      </c>
      <c r="J2337" s="69" t="str">
        <f>IF(AND(A2337="",B2337=""),"",IF(A2337="","Produit manquant",IF(COUNTIF(prod_ref,A2337)=0,"Produit inconnu",IF(B2337="","Matière manquante",IF(ISNA(MATCH(B2337,mat_ref,0)),"Matière inconnue",IF(INDEX(mat_check,MATCH(B2337,mat_ref,0))&lt;&gt;"OK","Matière à corriger",IF(OR(NOT(ISNUMBER(E2337)),N(E2337)&lt;=0),"Quantité invalide",IF(AND(F2337&lt;&gt;"",OR(NOT(ISNUMBER(F2337)),N(F2337)&lt;0,N(F2337)&gt;=1)),"Perte entre 0 et 99 %",IF(COUNTIFS(bom_prod,A2337,bom_mat,B2337)&gt;1,"Matière en double","OK")))))))))</f>
        <v/>
      </c>
      <c r="K2337" s="71" t="str">
        <f>IF(AND(fiche_sel&lt;&gt;"",A2337=fiche_sel),COUNTIF(A$6:A2337,fiche_sel),"")</f>
        <v/>
      </c>
    </row>
    <row r="2338">
      <c r="A2338" s="60" t="n"/>
      <c r="B2338" s="60" t="n"/>
      <c r="C2338" s="71" t="str">
        <f>IF(B2338="","",IFERROR(INDEX(mat_des,MATCH(B2338,mat_ref,0))&amp;"","Matière inconnue"))</f>
        <v/>
      </c>
      <c r="D2338" s="69" t="str">
        <f>IF(B2338="","",IFERROR(INDEX(mat_unit,MATCH(B2338,mat_ref,0))&amp;"",""))</f>
        <v/>
      </c>
      <c r="E2338" s="72" t="n"/>
      <c r="F2338" s="65" t="n"/>
      <c r="G2338" s="68" t="str">
        <f>IF(J2338&lt;&gt;"OK","",IF(F2338="",N(INDEX(mat_loss,MATCH(B2338,mat_ref,0))),F2338))</f>
        <v/>
      </c>
      <c r="H2338" s="66" t="str">
        <f>IF(J2338&lt;&gt;"OK","",INDEX(mat_price,MATCH(B2338,mat_ref,0)))</f>
        <v/>
      </c>
      <c r="I2338" s="66" t="str">
        <f>IF(J2338&lt;&gt;"OK","",E2338*(1+G2338)*H2338)</f>
        <v/>
      </c>
      <c r="J2338" s="69" t="str">
        <f>IF(AND(A2338="",B2338=""),"",IF(A2338="","Produit manquant",IF(COUNTIF(prod_ref,A2338)=0,"Produit inconnu",IF(B2338="","Matière manquante",IF(ISNA(MATCH(B2338,mat_ref,0)),"Matière inconnue",IF(INDEX(mat_check,MATCH(B2338,mat_ref,0))&lt;&gt;"OK","Matière à corriger",IF(OR(NOT(ISNUMBER(E2338)),N(E2338)&lt;=0),"Quantité invalide",IF(AND(F2338&lt;&gt;"",OR(NOT(ISNUMBER(F2338)),N(F2338)&lt;0,N(F2338)&gt;=1)),"Perte entre 0 et 99 %",IF(COUNTIFS(bom_prod,A2338,bom_mat,B2338)&gt;1,"Matière en double","OK")))))))))</f>
        <v/>
      </c>
      <c r="K2338" s="71" t="str">
        <f>IF(AND(fiche_sel&lt;&gt;"",A2338=fiche_sel),COUNTIF(A$6:A2338,fiche_sel),"")</f>
        <v/>
      </c>
    </row>
    <row r="2339">
      <c r="A2339" s="60" t="n"/>
      <c r="B2339" s="60" t="n"/>
      <c r="C2339" s="71" t="str">
        <f>IF(B2339="","",IFERROR(INDEX(mat_des,MATCH(B2339,mat_ref,0))&amp;"","Matière inconnue"))</f>
        <v/>
      </c>
      <c r="D2339" s="69" t="str">
        <f>IF(B2339="","",IFERROR(INDEX(mat_unit,MATCH(B2339,mat_ref,0))&amp;"",""))</f>
        <v/>
      </c>
      <c r="E2339" s="72" t="n"/>
      <c r="F2339" s="65" t="n"/>
      <c r="G2339" s="68" t="str">
        <f>IF(J2339&lt;&gt;"OK","",IF(F2339="",N(INDEX(mat_loss,MATCH(B2339,mat_ref,0))),F2339))</f>
        <v/>
      </c>
      <c r="H2339" s="66" t="str">
        <f>IF(J2339&lt;&gt;"OK","",INDEX(mat_price,MATCH(B2339,mat_ref,0)))</f>
        <v/>
      </c>
      <c r="I2339" s="66" t="str">
        <f>IF(J2339&lt;&gt;"OK","",E2339*(1+G2339)*H2339)</f>
        <v/>
      </c>
      <c r="J2339" s="69" t="str">
        <f>IF(AND(A2339="",B2339=""),"",IF(A2339="","Produit manquant",IF(COUNTIF(prod_ref,A2339)=0,"Produit inconnu",IF(B2339="","Matière manquante",IF(ISNA(MATCH(B2339,mat_ref,0)),"Matière inconnue",IF(INDEX(mat_check,MATCH(B2339,mat_ref,0))&lt;&gt;"OK","Matière à corriger",IF(OR(NOT(ISNUMBER(E2339)),N(E2339)&lt;=0),"Quantité invalide",IF(AND(F2339&lt;&gt;"",OR(NOT(ISNUMBER(F2339)),N(F2339)&lt;0,N(F2339)&gt;=1)),"Perte entre 0 et 99 %",IF(COUNTIFS(bom_prod,A2339,bom_mat,B2339)&gt;1,"Matière en double","OK")))))))))</f>
        <v/>
      </c>
      <c r="K2339" s="71" t="str">
        <f>IF(AND(fiche_sel&lt;&gt;"",A2339=fiche_sel),COUNTIF(A$6:A2339,fiche_sel),"")</f>
        <v/>
      </c>
    </row>
    <row r="2340">
      <c r="A2340" s="60" t="n"/>
      <c r="B2340" s="60" t="n"/>
      <c r="C2340" s="71" t="str">
        <f>IF(B2340="","",IFERROR(INDEX(mat_des,MATCH(B2340,mat_ref,0))&amp;"","Matière inconnue"))</f>
        <v/>
      </c>
      <c r="D2340" s="69" t="str">
        <f>IF(B2340="","",IFERROR(INDEX(mat_unit,MATCH(B2340,mat_ref,0))&amp;"",""))</f>
        <v/>
      </c>
      <c r="E2340" s="72" t="n"/>
      <c r="F2340" s="65" t="n"/>
      <c r="G2340" s="68" t="str">
        <f>IF(J2340&lt;&gt;"OK","",IF(F2340="",N(INDEX(mat_loss,MATCH(B2340,mat_ref,0))),F2340))</f>
        <v/>
      </c>
      <c r="H2340" s="66" t="str">
        <f>IF(J2340&lt;&gt;"OK","",INDEX(mat_price,MATCH(B2340,mat_ref,0)))</f>
        <v/>
      </c>
      <c r="I2340" s="66" t="str">
        <f>IF(J2340&lt;&gt;"OK","",E2340*(1+G2340)*H2340)</f>
        <v/>
      </c>
      <c r="J2340" s="69" t="str">
        <f>IF(AND(A2340="",B2340=""),"",IF(A2340="","Produit manquant",IF(COUNTIF(prod_ref,A2340)=0,"Produit inconnu",IF(B2340="","Matière manquante",IF(ISNA(MATCH(B2340,mat_ref,0)),"Matière inconnue",IF(INDEX(mat_check,MATCH(B2340,mat_ref,0))&lt;&gt;"OK","Matière à corriger",IF(OR(NOT(ISNUMBER(E2340)),N(E2340)&lt;=0),"Quantité invalide",IF(AND(F2340&lt;&gt;"",OR(NOT(ISNUMBER(F2340)),N(F2340)&lt;0,N(F2340)&gt;=1)),"Perte entre 0 et 99 %",IF(COUNTIFS(bom_prod,A2340,bom_mat,B2340)&gt;1,"Matière en double","OK")))))))))</f>
        <v/>
      </c>
      <c r="K2340" s="71" t="str">
        <f>IF(AND(fiche_sel&lt;&gt;"",A2340=fiche_sel),COUNTIF(A$6:A2340,fiche_sel),"")</f>
        <v/>
      </c>
    </row>
    <row r="2341">
      <c r="A2341" s="60" t="n"/>
      <c r="B2341" s="60" t="n"/>
      <c r="C2341" s="71" t="str">
        <f>IF(B2341="","",IFERROR(INDEX(mat_des,MATCH(B2341,mat_ref,0))&amp;"","Matière inconnue"))</f>
        <v/>
      </c>
      <c r="D2341" s="69" t="str">
        <f>IF(B2341="","",IFERROR(INDEX(mat_unit,MATCH(B2341,mat_ref,0))&amp;"",""))</f>
        <v/>
      </c>
      <c r="E2341" s="72" t="n"/>
      <c r="F2341" s="65" t="n"/>
      <c r="G2341" s="68" t="str">
        <f>IF(J2341&lt;&gt;"OK","",IF(F2341="",N(INDEX(mat_loss,MATCH(B2341,mat_ref,0))),F2341))</f>
        <v/>
      </c>
      <c r="H2341" s="66" t="str">
        <f>IF(J2341&lt;&gt;"OK","",INDEX(mat_price,MATCH(B2341,mat_ref,0)))</f>
        <v/>
      </c>
      <c r="I2341" s="66" t="str">
        <f>IF(J2341&lt;&gt;"OK","",E2341*(1+G2341)*H2341)</f>
        <v/>
      </c>
      <c r="J2341" s="69" t="str">
        <f>IF(AND(A2341="",B2341=""),"",IF(A2341="","Produit manquant",IF(COUNTIF(prod_ref,A2341)=0,"Produit inconnu",IF(B2341="","Matière manquante",IF(ISNA(MATCH(B2341,mat_ref,0)),"Matière inconnue",IF(INDEX(mat_check,MATCH(B2341,mat_ref,0))&lt;&gt;"OK","Matière à corriger",IF(OR(NOT(ISNUMBER(E2341)),N(E2341)&lt;=0),"Quantité invalide",IF(AND(F2341&lt;&gt;"",OR(NOT(ISNUMBER(F2341)),N(F2341)&lt;0,N(F2341)&gt;=1)),"Perte entre 0 et 99 %",IF(COUNTIFS(bom_prod,A2341,bom_mat,B2341)&gt;1,"Matière en double","OK")))))))))</f>
        <v/>
      </c>
      <c r="K2341" s="71" t="str">
        <f>IF(AND(fiche_sel&lt;&gt;"",A2341=fiche_sel),COUNTIF(A$6:A2341,fiche_sel),"")</f>
        <v/>
      </c>
    </row>
    <row r="2342">
      <c r="A2342" s="60" t="n"/>
      <c r="B2342" s="60" t="n"/>
      <c r="C2342" s="71" t="str">
        <f>IF(B2342="","",IFERROR(INDEX(mat_des,MATCH(B2342,mat_ref,0))&amp;"","Matière inconnue"))</f>
        <v/>
      </c>
      <c r="D2342" s="69" t="str">
        <f>IF(B2342="","",IFERROR(INDEX(mat_unit,MATCH(B2342,mat_ref,0))&amp;"",""))</f>
        <v/>
      </c>
      <c r="E2342" s="72" t="n"/>
      <c r="F2342" s="65" t="n"/>
      <c r="G2342" s="68" t="str">
        <f>IF(J2342&lt;&gt;"OK","",IF(F2342="",N(INDEX(mat_loss,MATCH(B2342,mat_ref,0))),F2342))</f>
        <v/>
      </c>
      <c r="H2342" s="66" t="str">
        <f>IF(J2342&lt;&gt;"OK","",INDEX(mat_price,MATCH(B2342,mat_ref,0)))</f>
        <v/>
      </c>
      <c r="I2342" s="66" t="str">
        <f>IF(J2342&lt;&gt;"OK","",E2342*(1+G2342)*H2342)</f>
        <v/>
      </c>
      <c r="J2342" s="69" t="str">
        <f>IF(AND(A2342="",B2342=""),"",IF(A2342="","Produit manquant",IF(COUNTIF(prod_ref,A2342)=0,"Produit inconnu",IF(B2342="","Matière manquante",IF(ISNA(MATCH(B2342,mat_ref,0)),"Matière inconnue",IF(INDEX(mat_check,MATCH(B2342,mat_ref,0))&lt;&gt;"OK","Matière à corriger",IF(OR(NOT(ISNUMBER(E2342)),N(E2342)&lt;=0),"Quantité invalide",IF(AND(F2342&lt;&gt;"",OR(NOT(ISNUMBER(F2342)),N(F2342)&lt;0,N(F2342)&gt;=1)),"Perte entre 0 et 99 %",IF(COUNTIFS(bom_prod,A2342,bom_mat,B2342)&gt;1,"Matière en double","OK")))))))))</f>
        <v/>
      </c>
      <c r="K2342" s="71" t="str">
        <f>IF(AND(fiche_sel&lt;&gt;"",A2342=fiche_sel),COUNTIF(A$6:A2342,fiche_sel),"")</f>
        <v/>
      </c>
    </row>
    <row r="2343">
      <c r="A2343" s="60" t="n"/>
      <c r="B2343" s="60" t="n"/>
      <c r="C2343" s="71" t="str">
        <f>IF(B2343="","",IFERROR(INDEX(mat_des,MATCH(B2343,mat_ref,0))&amp;"","Matière inconnue"))</f>
        <v/>
      </c>
      <c r="D2343" s="69" t="str">
        <f>IF(B2343="","",IFERROR(INDEX(mat_unit,MATCH(B2343,mat_ref,0))&amp;"",""))</f>
        <v/>
      </c>
      <c r="E2343" s="72" t="n"/>
      <c r="F2343" s="65" t="n"/>
      <c r="G2343" s="68" t="str">
        <f>IF(J2343&lt;&gt;"OK","",IF(F2343="",N(INDEX(mat_loss,MATCH(B2343,mat_ref,0))),F2343))</f>
        <v/>
      </c>
      <c r="H2343" s="66" t="str">
        <f>IF(J2343&lt;&gt;"OK","",INDEX(mat_price,MATCH(B2343,mat_ref,0)))</f>
        <v/>
      </c>
      <c r="I2343" s="66" t="str">
        <f>IF(J2343&lt;&gt;"OK","",E2343*(1+G2343)*H2343)</f>
        <v/>
      </c>
      <c r="J2343" s="69" t="str">
        <f>IF(AND(A2343="",B2343=""),"",IF(A2343="","Produit manquant",IF(COUNTIF(prod_ref,A2343)=0,"Produit inconnu",IF(B2343="","Matière manquante",IF(ISNA(MATCH(B2343,mat_ref,0)),"Matière inconnue",IF(INDEX(mat_check,MATCH(B2343,mat_ref,0))&lt;&gt;"OK","Matière à corriger",IF(OR(NOT(ISNUMBER(E2343)),N(E2343)&lt;=0),"Quantité invalide",IF(AND(F2343&lt;&gt;"",OR(NOT(ISNUMBER(F2343)),N(F2343)&lt;0,N(F2343)&gt;=1)),"Perte entre 0 et 99 %",IF(COUNTIFS(bom_prod,A2343,bom_mat,B2343)&gt;1,"Matière en double","OK")))))))))</f>
        <v/>
      </c>
      <c r="K2343" s="71" t="str">
        <f>IF(AND(fiche_sel&lt;&gt;"",A2343=fiche_sel),COUNTIF(A$6:A2343,fiche_sel),"")</f>
        <v/>
      </c>
    </row>
    <row r="2344">
      <c r="A2344" s="60" t="n"/>
      <c r="B2344" s="60" t="n"/>
      <c r="C2344" s="71" t="str">
        <f>IF(B2344="","",IFERROR(INDEX(mat_des,MATCH(B2344,mat_ref,0))&amp;"","Matière inconnue"))</f>
        <v/>
      </c>
      <c r="D2344" s="69" t="str">
        <f>IF(B2344="","",IFERROR(INDEX(mat_unit,MATCH(B2344,mat_ref,0))&amp;"",""))</f>
        <v/>
      </c>
      <c r="E2344" s="72" t="n"/>
      <c r="F2344" s="65" t="n"/>
      <c r="G2344" s="68" t="str">
        <f>IF(J2344&lt;&gt;"OK","",IF(F2344="",N(INDEX(mat_loss,MATCH(B2344,mat_ref,0))),F2344))</f>
        <v/>
      </c>
      <c r="H2344" s="66" t="str">
        <f>IF(J2344&lt;&gt;"OK","",INDEX(mat_price,MATCH(B2344,mat_ref,0)))</f>
        <v/>
      </c>
      <c r="I2344" s="66" t="str">
        <f>IF(J2344&lt;&gt;"OK","",E2344*(1+G2344)*H2344)</f>
        <v/>
      </c>
      <c r="J2344" s="69" t="str">
        <f>IF(AND(A2344="",B2344=""),"",IF(A2344="","Produit manquant",IF(COUNTIF(prod_ref,A2344)=0,"Produit inconnu",IF(B2344="","Matière manquante",IF(ISNA(MATCH(B2344,mat_ref,0)),"Matière inconnue",IF(INDEX(mat_check,MATCH(B2344,mat_ref,0))&lt;&gt;"OK","Matière à corriger",IF(OR(NOT(ISNUMBER(E2344)),N(E2344)&lt;=0),"Quantité invalide",IF(AND(F2344&lt;&gt;"",OR(NOT(ISNUMBER(F2344)),N(F2344)&lt;0,N(F2344)&gt;=1)),"Perte entre 0 et 99 %",IF(COUNTIFS(bom_prod,A2344,bom_mat,B2344)&gt;1,"Matière en double","OK")))))))))</f>
        <v/>
      </c>
      <c r="K2344" s="71" t="str">
        <f>IF(AND(fiche_sel&lt;&gt;"",A2344=fiche_sel),COUNTIF(A$6:A2344,fiche_sel),"")</f>
        <v/>
      </c>
    </row>
    <row r="2345">
      <c r="A2345" s="60" t="n"/>
      <c r="B2345" s="60" t="n"/>
      <c r="C2345" s="71" t="str">
        <f>IF(B2345="","",IFERROR(INDEX(mat_des,MATCH(B2345,mat_ref,0))&amp;"","Matière inconnue"))</f>
        <v/>
      </c>
      <c r="D2345" s="69" t="str">
        <f>IF(B2345="","",IFERROR(INDEX(mat_unit,MATCH(B2345,mat_ref,0))&amp;"",""))</f>
        <v/>
      </c>
      <c r="E2345" s="72" t="n"/>
      <c r="F2345" s="65" t="n"/>
      <c r="G2345" s="68" t="str">
        <f>IF(J2345&lt;&gt;"OK","",IF(F2345="",N(INDEX(mat_loss,MATCH(B2345,mat_ref,0))),F2345))</f>
        <v/>
      </c>
      <c r="H2345" s="66" t="str">
        <f>IF(J2345&lt;&gt;"OK","",INDEX(mat_price,MATCH(B2345,mat_ref,0)))</f>
        <v/>
      </c>
      <c r="I2345" s="66" t="str">
        <f>IF(J2345&lt;&gt;"OK","",E2345*(1+G2345)*H2345)</f>
        <v/>
      </c>
      <c r="J2345" s="69" t="str">
        <f>IF(AND(A2345="",B2345=""),"",IF(A2345="","Produit manquant",IF(COUNTIF(prod_ref,A2345)=0,"Produit inconnu",IF(B2345="","Matière manquante",IF(ISNA(MATCH(B2345,mat_ref,0)),"Matière inconnue",IF(INDEX(mat_check,MATCH(B2345,mat_ref,0))&lt;&gt;"OK","Matière à corriger",IF(OR(NOT(ISNUMBER(E2345)),N(E2345)&lt;=0),"Quantité invalide",IF(AND(F2345&lt;&gt;"",OR(NOT(ISNUMBER(F2345)),N(F2345)&lt;0,N(F2345)&gt;=1)),"Perte entre 0 et 99 %",IF(COUNTIFS(bom_prod,A2345,bom_mat,B2345)&gt;1,"Matière en double","OK")))))))))</f>
        <v/>
      </c>
      <c r="K2345" s="71" t="str">
        <f>IF(AND(fiche_sel&lt;&gt;"",A2345=fiche_sel),COUNTIF(A$6:A2345,fiche_sel),"")</f>
        <v/>
      </c>
    </row>
    <row r="2346">
      <c r="A2346" s="60" t="n"/>
      <c r="B2346" s="60" t="n"/>
      <c r="C2346" s="71" t="str">
        <f>IF(B2346="","",IFERROR(INDEX(mat_des,MATCH(B2346,mat_ref,0))&amp;"","Matière inconnue"))</f>
        <v/>
      </c>
      <c r="D2346" s="69" t="str">
        <f>IF(B2346="","",IFERROR(INDEX(mat_unit,MATCH(B2346,mat_ref,0))&amp;"",""))</f>
        <v/>
      </c>
      <c r="E2346" s="72" t="n"/>
      <c r="F2346" s="65" t="n"/>
      <c r="G2346" s="68" t="str">
        <f>IF(J2346&lt;&gt;"OK","",IF(F2346="",N(INDEX(mat_loss,MATCH(B2346,mat_ref,0))),F2346))</f>
        <v/>
      </c>
      <c r="H2346" s="66" t="str">
        <f>IF(J2346&lt;&gt;"OK","",INDEX(mat_price,MATCH(B2346,mat_ref,0)))</f>
        <v/>
      </c>
      <c r="I2346" s="66" t="str">
        <f>IF(J2346&lt;&gt;"OK","",E2346*(1+G2346)*H2346)</f>
        <v/>
      </c>
      <c r="J2346" s="69" t="str">
        <f>IF(AND(A2346="",B2346=""),"",IF(A2346="","Produit manquant",IF(COUNTIF(prod_ref,A2346)=0,"Produit inconnu",IF(B2346="","Matière manquante",IF(ISNA(MATCH(B2346,mat_ref,0)),"Matière inconnue",IF(INDEX(mat_check,MATCH(B2346,mat_ref,0))&lt;&gt;"OK","Matière à corriger",IF(OR(NOT(ISNUMBER(E2346)),N(E2346)&lt;=0),"Quantité invalide",IF(AND(F2346&lt;&gt;"",OR(NOT(ISNUMBER(F2346)),N(F2346)&lt;0,N(F2346)&gt;=1)),"Perte entre 0 et 99 %",IF(COUNTIFS(bom_prod,A2346,bom_mat,B2346)&gt;1,"Matière en double","OK")))))))))</f>
        <v/>
      </c>
      <c r="K2346" s="71" t="str">
        <f>IF(AND(fiche_sel&lt;&gt;"",A2346=fiche_sel),COUNTIF(A$6:A2346,fiche_sel),"")</f>
        <v/>
      </c>
    </row>
    <row r="2347">
      <c r="A2347" s="60" t="n"/>
      <c r="B2347" s="60" t="n"/>
      <c r="C2347" s="71" t="str">
        <f>IF(B2347="","",IFERROR(INDEX(mat_des,MATCH(B2347,mat_ref,0))&amp;"","Matière inconnue"))</f>
        <v/>
      </c>
      <c r="D2347" s="69" t="str">
        <f>IF(B2347="","",IFERROR(INDEX(mat_unit,MATCH(B2347,mat_ref,0))&amp;"",""))</f>
        <v/>
      </c>
      <c r="E2347" s="72" t="n"/>
      <c r="F2347" s="65" t="n"/>
      <c r="G2347" s="68" t="str">
        <f>IF(J2347&lt;&gt;"OK","",IF(F2347="",N(INDEX(mat_loss,MATCH(B2347,mat_ref,0))),F2347))</f>
        <v/>
      </c>
      <c r="H2347" s="66" t="str">
        <f>IF(J2347&lt;&gt;"OK","",INDEX(mat_price,MATCH(B2347,mat_ref,0)))</f>
        <v/>
      </c>
      <c r="I2347" s="66" t="str">
        <f>IF(J2347&lt;&gt;"OK","",E2347*(1+G2347)*H2347)</f>
        <v/>
      </c>
      <c r="J2347" s="69" t="str">
        <f>IF(AND(A2347="",B2347=""),"",IF(A2347="","Produit manquant",IF(COUNTIF(prod_ref,A2347)=0,"Produit inconnu",IF(B2347="","Matière manquante",IF(ISNA(MATCH(B2347,mat_ref,0)),"Matière inconnue",IF(INDEX(mat_check,MATCH(B2347,mat_ref,0))&lt;&gt;"OK","Matière à corriger",IF(OR(NOT(ISNUMBER(E2347)),N(E2347)&lt;=0),"Quantité invalide",IF(AND(F2347&lt;&gt;"",OR(NOT(ISNUMBER(F2347)),N(F2347)&lt;0,N(F2347)&gt;=1)),"Perte entre 0 et 99 %",IF(COUNTIFS(bom_prod,A2347,bom_mat,B2347)&gt;1,"Matière en double","OK")))))))))</f>
        <v/>
      </c>
      <c r="K2347" s="71" t="str">
        <f>IF(AND(fiche_sel&lt;&gt;"",A2347=fiche_sel),COUNTIF(A$6:A2347,fiche_sel),"")</f>
        <v/>
      </c>
    </row>
    <row r="2348">
      <c r="A2348" s="60" t="n"/>
      <c r="B2348" s="60" t="n"/>
      <c r="C2348" s="71" t="str">
        <f>IF(B2348="","",IFERROR(INDEX(mat_des,MATCH(B2348,mat_ref,0))&amp;"","Matière inconnue"))</f>
        <v/>
      </c>
      <c r="D2348" s="69" t="str">
        <f>IF(B2348="","",IFERROR(INDEX(mat_unit,MATCH(B2348,mat_ref,0))&amp;"",""))</f>
        <v/>
      </c>
      <c r="E2348" s="72" t="n"/>
      <c r="F2348" s="65" t="n"/>
      <c r="G2348" s="68" t="str">
        <f>IF(J2348&lt;&gt;"OK","",IF(F2348="",N(INDEX(mat_loss,MATCH(B2348,mat_ref,0))),F2348))</f>
        <v/>
      </c>
      <c r="H2348" s="66" t="str">
        <f>IF(J2348&lt;&gt;"OK","",INDEX(mat_price,MATCH(B2348,mat_ref,0)))</f>
        <v/>
      </c>
      <c r="I2348" s="66" t="str">
        <f>IF(J2348&lt;&gt;"OK","",E2348*(1+G2348)*H2348)</f>
        <v/>
      </c>
      <c r="J2348" s="69" t="str">
        <f>IF(AND(A2348="",B2348=""),"",IF(A2348="","Produit manquant",IF(COUNTIF(prod_ref,A2348)=0,"Produit inconnu",IF(B2348="","Matière manquante",IF(ISNA(MATCH(B2348,mat_ref,0)),"Matière inconnue",IF(INDEX(mat_check,MATCH(B2348,mat_ref,0))&lt;&gt;"OK","Matière à corriger",IF(OR(NOT(ISNUMBER(E2348)),N(E2348)&lt;=0),"Quantité invalide",IF(AND(F2348&lt;&gt;"",OR(NOT(ISNUMBER(F2348)),N(F2348)&lt;0,N(F2348)&gt;=1)),"Perte entre 0 et 99 %",IF(COUNTIFS(bom_prod,A2348,bom_mat,B2348)&gt;1,"Matière en double","OK")))))))))</f>
        <v/>
      </c>
      <c r="K2348" s="71" t="str">
        <f>IF(AND(fiche_sel&lt;&gt;"",A2348=fiche_sel),COUNTIF(A$6:A2348,fiche_sel),"")</f>
        <v/>
      </c>
    </row>
    <row r="2349">
      <c r="A2349" s="60" t="n"/>
      <c r="B2349" s="60" t="n"/>
      <c r="C2349" s="71" t="str">
        <f>IF(B2349="","",IFERROR(INDEX(mat_des,MATCH(B2349,mat_ref,0))&amp;"","Matière inconnue"))</f>
        <v/>
      </c>
      <c r="D2349" s="69" t="str">
        <f>IF(B2349="","",IFERROR(INDEX(mat_unit,MATCH(B2349,mat_ref,0))&amp;"",""))</f>
        <v/>
      </c>
      <c r="E2349" s="72" t="n"/>
      <c r="F2349" s="65" t="n"/>
      <c r="G2349" s="68" t="str">
        <f>IF(J2349&lt;&gt;"OK","",IF(F2349="",N(INDEX(mat_loss,MATCH(B2349,mat_ref,0))),F2349))</f>
        <v/>
      </c>
      <c r="H2349" s="66" t="str">
        <f>IF(J2349&lt;&gt;"OK","",INDEX(mat_price,MATCH(B2349,mat_ref,0)))</f>
        <v/>
      </c>
      <c r="I2349" s="66" t="str">
        <f>IF(J2349&lt;&gt;"OK","",E2349*(1+G2349)*H2349)</f>
        <v/>
      </c>
      <c r="J2349" s="69" t="str">
        <f>IF(AND(A2349="",B2349=""),"",IF(A2349="","Produit manquant",IF(COUNTIF(prod_ref,A2349)=0,"Produit inconnu",IF(B2349="","Matière manquante",IF(ISNA(MATCH(B2349,mat_ref,0)),"Matière inconnue",IF(INDEX(mat_check,MATCH(B2349,mat_ref,0))&lt;&gt;"OK","Matière à corriger",IF(OR(NOT(ISNUMBER(E2349)),N(E2349)&lt;=0),"Quantité invalide",IF(AND(F2349&lt;&gt;"",OR(NOT(ISNUMBER(F2349)),N(F2349)&lt;0,N(F2349)&gt;=1)),"Perte entre 0 et 99 %",IF(COUNTIFS(bom_prod,A2349,bom_mat,B2349)&gt;1,"Matière en double","OK")))))))))</f>
        <v/>
      </c>
      <c r="K2349" s="71" t="str">
        <f>IF(AND(fiche_sel&lt;&gt;"",A2349=fiche_sel),COUNTIF(A$6:A2349,fiche_sel),"")</f>
        <v/>
      </c>
    </row>
    <row r="2350">
      <c r="A2350" s="60" t="n"/>
      <c r="B2350" s="60" t="n"/>
      <c r="C2350" s="71" t="str">
        <f>IF(B2350="","",IFERROR(INDEX(mat_des,MATCH(B2350,mat_ref,0))&amp;"","Matière inconnue"))</f>
        <v/>
      </c>
      <c r="D2350" s="69" t="str">
        <f>IF(B2350="","",IFERROR(INDEX(mat_unit,MATCH(B2350,mat_ref,0))&amp;"",""))</f>
        <v/>
      </c>
      <c r="E2350" s="72" t="n"/>
      <c r="F2350" s="65" t="n"/>
      <c r="G2350" s="68" t="str">
        <f>IF(J2350&lt;&gt;"OK","",IF(F2350="",N(INDEX(mat_loss,MATCH(B2350,mat_ref,0))),F2350))</f>
        <v/>
      </c>
      <c r="H2350" s="66" t="str">
        <f>IF(J2350&lt;&gt;"OK","",INDEX(mat_price,MATCH(B2350,mat_ref,0)))</f>
        <v/>
      </c>
      <c r="I2350" s="66" t="str">
        <f>IF(J2350&lt;&gt;"OK","",E2350*(1+G2350)*H2350)</f>
        <v/>
      </c>
      <c r="J2350" s="69" t="str">
        <f>IF(AND(A2350="",B2350=""),"",IF(A2350="","Produit manquant",IF(COUNTIF(prod_ref,A2350)=0,"Produit inconnu",IF(B2350="","Matière manquante",IF(ISNA(MATCH(B2350,mat_ref,0)),"Matière inconnue",IF(INDEX(mat_check,MATCH(B2350,mat_ref,0))&lt;&gt;"OK","Matière à corriger",IF(OR(NOT(ISNUMBER(E2350)),N(E2350)&lt;=0),"Quantité invalide",IF(AND(F2350&lt;&gt;"",OR(NOT(ISNUMBER(F2350)),N(F2350)&lt;0,N(F2350)&gt;=1)),"Perte entre 0 et 99 %",IF(COUNTIFS(bom_prod,A2350,bom_mat,B2350)&gt;1,"Matière en double","OK")))))))))</f>
        <v/>
      </c>
      <c r="K2350" s="71" t="str">
        <f>IF(AND(fiche_sel&lt;&gt;"",A2350=fiche_sel),COUNTIF(A$6:A2350,fiche_sel),"")</f>
        <v/>
      </c>
    </row>
    <row r="2351">
      <c r="A2351" s="60" t="n"/>
      <c r="B2351" s="60" t="n"/>
      <c r="C2351" s="71" t="str">
        <f>IF(B2351="","",IFERROR(INDEX(mat_des,MATCH(B2351,mat_ref,0))&amp;"","Matière inconnue"))</f>
        <v/>
      </c>
      <c r="D2351" s="69" t="str">
        <f>IF(B2351="","",IFERROR(INDEX(mat_unit,MATCH(B2351,mat_ref,0))&amp;"",""))</f>
        <v/>
      </c>
      <c r="E2351" s="72" t="n"/>
      <c r="F2351" s="65" t="n"/>
      <c r="G2351" s="68" t="str">
        <f>IF(J2351&lt;&gt;"OK","",IF(F2351="",N(INDEX(mat_loss,MATCH(B2351,mat_ref,0))),F2351))</f>
        <v/>
      </c>
      <c r="H2351" s="66" t="str">
        <f>IF(J2351&lt;&gt;"OK","",INDEX(mat_price,MATCH(B2351,mat_ref,0)))</f>
        <v/>
      </c>
      <c r="I2351" s="66" t="str">
        <f>IF(J2351&lt;&gt;"OK","",E2351*(1+G2351)*H2351)</f>
        <v/>
      </c>
      <c r="J2351" s="69" t="str">
        <f>IF(AND(A2351="",B2351=""),"",IF(A2351="","Produit manquant",IF(COUNTIF(prod_ref,A2351)=0,"Produit inconnu",IF(B2351="","Matière manquante",IF(ISNA(MATCH(B2351,mat_ref,0)),"Matière inconnue",IF(INDEX(mat_check,MATCH(B2351,mat_ref,0))&lt;&gt;"OK","Matière à corriger",IF(OR(NOT(ISNUMBER(E2351)),N(E2351)&lt;=0),"Quantité invalide",IF(AND(F2351&lt;&gt;"",OR(NOT(ISNUMBER(F2351)),N(F2351)&lt;0,N(F2351)&gt;=1)),"Perte entre 0 et 99 %",IF(COUNTIFS(bom_prod,A2351,bom_mat,B2351)&gt;1,"Matière en double","OK")))))))))</f>
        <v/>
      </c>
      <c r="K2351" s="71" t="str">
        <f>IF(AND(fiche_sel&lt;&gt;"",A2351=fiche_sel),COUNTIF(A$6:A2351,fiche_sel),"")</f>
        <v/>
      </c>
    </row>
    <row r="2352">
      <c r="A2352" s="60" t="n"/>
      <c r="B2352" s="60" t="n"/>
      <c r="C2352" s="71" t="str">
        <f>IF(B2352="","",IFERROR(INDEX(mat_des,MATCH(B2352,mat_ref,0))&amp;"","Matière inconnue"))</f>
        <v/>
      </c>
      <c r="D2352" s="69" t="str">
        <f>IF(B2352="","",IFERROR(INDEX(mat_unit,MATCH(B2352,mat_ref,0))&amp;"",""))</f>
        <v/>
      </c>
      <c r="E2352" s="72" t="n"/>
      <c r="F2352" s="65" t="n"/>
      <c r="G2352" s="68" t="str">
        <f>IF(J2352&lt;&gt;"OK","",IF(F2352="",N(INDEX(mat_loss,MATCH(B2352,mat_ref,0))),F2352))</f>
        <v/>
      </c>
      <c r="H2352" s="66" t="str">
        <f>IF(J2352&lt;&gt;"OK","",INDEX(mat_price,MATCH(B2352,mat_ref,0)))</f>
        <v/>
      </c>
      <c r="I2352" s="66" t="str">
        <f>IF(J2352&lt;&gt;"OK","",E2352*(1+G2352)*H2352)</f>
        <v/>
      </c>
      <c r="J2352" s="69" t="str">
        <f>IF(AND(A2352="",B2352=""),"",IF(A2352="","Produit manquant",IF(COUNTIF(prod_ref,A2352)=0,"Produit inconnu",IF(B2352="","Matière manquante",IF(ISNA(MATCH(B2352,mat_ref,0)),"Matière inconnue",IF(INDEX(mat_check,MATCH(B2352,mat_ref,0))&lt;&gt;"OK","Matière à corriger",IF(OR(NOT(ISNUMBER(E2352)),N(E2352)&lt;=0),"Quantité invalide",IF(AND(F2352&lt;&gt;"",OR(NOT(ISNUMBER(F2352)),N(F2352)&lt;0,N(F2352)&gt;=1)),"Perte entre 0 et 99 %",IF(COUNTIFS(bom_prod,A2352,bom_mat,B2352)&gt;1,"Matière en double","OK")))))))))</f>
        <v/>
      </c>
      <c r="K2352" s="71" t="str">
        <f>IF(AND(fiche_sel&lt;&gt;"",A2352=fiche_sel),COUNTIF(A$6:A2352,fiche_sel),"")</f>
        <v/>
      </c>
    </row>
    <row r="2353">
      <c r="A2353" s="60" t="n"/>
      <c r="B2353" s="60" t="n"/>
      <c r="C2353" s="71" t="str">
        <f>IF(B2353="","",IFERROR(INDEX(mat_des,MATCH(B2353,mat_ref,0))&amp;"","Matière inconnue"))</f>
        <v/>
      </c>
      <c r="D2353" s="69" t="str">
        <f>IF(B2353="","",IFERROR(INDEX(mat_unit,MATCH(B2353,mat_ref,0))&amp;"",""))</f>
        <v/>
      </c>
      <c r="E2353" s="72" t="n"/>
      <c r="F2353" s="65" t="n"/>
      <c r="G2353" s="68" t="str">
        <f>IF(J2353&lt;&gt;"OK","",IF(F2353="",N(INDEX(mat_loss,MATCH(B2353,mat_ref,0))),F2353))</f>
        <v/>
      </c>
      <c r="H2353" s="66" t="str">
        <f>IF(J2353&lt;&gt;"OK","",INDEX(mat_price,MATCH(B2353,mat_ref,0)))</f>
        <v/>
      </c>
      <c r="I2353" s="66" t="str">
        <f>IF(J2353&lt;&gt;"OK","",E2353*(1+G2353)*H2353)</f>
        <v/>
      </c>
      <c r="J2353" s="69" t="str">
        <f>IF(AND(A2353="",B2353=""),"",IF(A2353="","Produit manquant",IF(COUNTIF(prod_ref,A2353)=0,"Produit inconnu",IF(B2353="","Matière manquante",IF(ISNA(MATCH(B2353,mat_ref,0)),"Matière inconnue",IF(INDEX(mat_check,MATCH(B2353,mat_ref,0))&lt;&gt;"OK","Matière à corriger",IF(OR(NOT(ISNUMBER(E2353)),N(E2353)&lt;=0),"Quantité invalide",IF(AND(F2353&lt;&gt;"",OR(NOT(ISNUMBER(F2353)),N(F2353)&lt;0,N(F2353)&gt;=1)),"Perte entre 0 et 99 %",IF(COUNTIFS(bom_prod,A2353,bom_mat,B2353)&gt;1,"Matière en double","OK")))))))))</f>
        <v/>
      </c>
      <c r="K2353" s="71" t="str">
        <f>IF(AND(fiche_sel&lt;&gt;"",A2353=fiche_sel),COUNTIF(A$6:A2353,fiche_sel),"")</f>
        <v/>
      </c>
    </row>
    <row r="2354">
      <c r="A2354" s="60" t="n"/>
      <c r="B2354" s="60" t="n"/>
      <c r="C2354" s="71" t="str">
        <f>IF(B2354="","",IFERROR(INDEX(mat_des,MATCH(B2354,mat_ref,0))&amp;"","Matière inconnue"))</f>
        <v/>
      </c>
      <c r="D2354" s="69" t="str">
        <f>IF(B2354="","",IFERROR(INDEX(mat_unit,MATCH(B2354,mat_ref,0))&amp;"",""))</f>
        <v/>
      </c>
      <c r="E2354" s="72" t="n"/>
      <c r="F2354" s="65" t="n"/>
      <c r="G2354" s="68" t="str">
        <f>IF(J2354&lt;&gt;"OK","",IF(F2354="",N(INDEX(mat_loss,MATCH(B2354,mat_ref,0))),F2354))</f>
        <v/>
      </c>
      <c r="H2354" s="66" t="str">
        <f>IF(J2354&lt;&gt;"OK","",INDEX(mat_price,MATCH(B2354,mat_ref,0)))</f>
        <v/>
      </c>
      <c r="I2354" s="66" t="str">
        <f>IF(J2354&lt;&gt;"OK","",E2354*(1+G2354)*H2354)</f>
        <v/>
      </c>
      <c r="J2354" s="69" t="str">
        <f>IF(AND(A2354="",B2354=""),"",IF(A2354="","Produit manquant",IF(COUNTIF(prod_ref,A2354)=0,"Produit inconnu",IF(B2354="","Matière manquante",IF(ISNA(MATCH(B2354,mat_ref,0)),"Matière inconnue",IF(INDEX(mat_check,MATCH(B2354,mat_ref,0))&lt;&gt;"OK","Matière à corriger",IF(OR(NOT(ISNUMBER(E2354)),N(E2354)&lt;=0),"Quantité invalide",IF(AND(F2354&lt;&gt;"",OR(NOT(ISNUMBER(F2354)),N(F2354)&lt;0,N(F2354)&gt;=1)),"Perte entre 0 et 99 %",IF(COUNTIFS(bom_prod,A2354,bom_mat,B2354)&gt;1,"Matière en double","OK")))))))))</f>
        <v/>
      </c>
      <c r="K2354" s="71" t="str">
        <f>IF(AND(fiche_sel&lt;&gt;"",A2354=fiche_sel),COUNTIF(A$6:A2354,fiche_sel),"")</f>
        <v/>
      </c>
    </row>
    <row r="2355">
      <c r="A2355" s="60" t="n"/>
      <c r="B2355" s="60" t="n"/>
      <c r="C2355" s="71" t="str">
        <f>IF(B2355="","",IFERROR(INDEX(mat_des,MATCH(B2355,mat_ref,0))&amp;"","Matière inconnue"))</f>
        <v/>
      </c>
      <c r="D2355" s="69" t="str">
        <f>IF(B2355="","",IFERROR(INDEX(mat_unit,MATCH(B2355,mat_ref,0))&amp;"",""))</f>
        <v/>
      </c>
      <c r="E2355" s="72" t="n"/>
      <c r="F2355" s="65" t="n"/>
      <c r="G2355" s="68" t="str">
        <f>IF(J2355&lt;&gt;"OK","",IF(F2355="",N(INDEX(mat_loss,MATCH(B2355,mat_ref,0))),F2355))</f>
        <v/>
      </c>
      <c r="H2355" s="66" t="str">
        <f>IF(J2355&lt;&gt;"OK","",INDEX(mat_price,MATCH(B2355,mat_ref,0)))</f>
        <v/>
      </c>
      <c r="I2355" s="66" t="str">
        <f>IF(J2355&lt;&gt;"OK","",E2355*(1+G2355)*H2355)</f>
        <v/>
      </c>
      <c r="J2355" s="69" t="str">
        <f>IF(AND(A2355="",B2355=""),"",IF(A2355="","Produit manquant",IF(COUNTIF(prod_ref,A2355)=0,"Produit inconnu",IF(B2355="","Matière manquante",IF(ISNA(MATCH(B2355,mat_ref,0)),"Matière inconnue",IF(INDEX(mat_check,MATCH(B2355,mat_ref,0))&lt;&gt;"OK","Matière à corriger",IF(OR(NOT(ISNUMBER(E2355)),N(E2355)&lt;=0),"Quantité invalide",IF(AND(F2355&lt;&gt;"",OR(NOT(ISNUMBER(F2355)),N(F2355)&lt;0,N(F2355)&gt;=1)),"Perte entre 0 et 99 %",IF(COUNTIFS(bom_prod,A2355,bom_mat,B2355)&gt;1,"Matière en double","OK")))))))))</f>
        <v/>
      </c>
      <c r="K2355" s="71" t="str">
        <f>IF(AND(fiche_sel&lt;&gt;"",A2355=fiche_sel),COUNTIF(A$6:A2355,fiche_sel),"")</f>
        <v/>
      </c>
    </row>
    <row r="2356">
      <c r="A2356" s="60" t="n"/>
      <c r="B2356" s="60" t="n"/>
      <c r="C2356" s="71" t="str">
        <f>IF(B2356="","",IFERROR(INDEX(mat_des,MATCH(B2356,mat_ref,0))&amp;"","Matière inconnue"))</f>
        <v/>
      </c>
      <c r="D2356" s="69" t="str">
        <f>IF(B2356="","",IFERROR(INDEX(mat_unit,MATCH(B2356,mat_ref,0))&amp;"",""))</f>
        <v/>
      </c>
      <c r="E2356" s="72" t="n"/>
      <c r="F2356" s="65" t="n"/>
      <c r="G2356" s="68" t="str">
        <f>IF(J2356&lt;&gt;"OK","",IF(F2356="",N(INDEX(mat_loss,MATCH(B2356,mat_ref,0))),F2356))</f>
        <v/>
      </c>
      <c r="H2356" s="66" t="str">
        <f>IF(J2356&lt;&gt;"OK","",INDEX(mat_price,MATCH(B2356,mat_ref,0)))</f>
        <v/>
      </c>
      <c r="I2356" s="66" t="str">
        <f>IF(J2356&lt;&gt;"OK","",E2356*(1+G2356)*H2356)</f>
        <v/>
      </c>
      <c r="J2356" s="69" t="str">
        <f>IF(AND(A2356="",B2356=""),"",IF(A2356="","Produit manquant",IF(COUNTIF(prod_ref,A2356)=0,"Produit inconnu",IF(B2356="","Matière manquante",IF(ISNA(MATCH(B2356,mat_ref,0)),"Matière inconnue",IF(INDEX(mat_check,MATCH(B2356,mat_ref,0))&lt;&gt;"OK","Matière à corriger",IF(OR(NOT(ISNUMBER(E2356)),N(E2356)&lt;=0),"Quantité invalide",IF(AND(F2356&lt;&gt;"",OR(NOT(ISNUMBER(F2356)),N(F2356)&lt;0,N(F2356)&gt;=1)),"Perte entre 0 et 99 %",IF(COUNTIFS(bom_prod,A2356,bom_mat,B2356)&gt;1,"Matière en double","OK")))))))))</f>
        <v/>
      </c>
      <c r="K2356" s="71" t="str">
        <f>IF(AND(fiche_sel&lt;&gt;"",A2356=fiche_sel),COUNTIF(A$6:A2356,fiche_sel),"")</f>
        <v/>
      </c>
    </row>
    <row r="2357">
      <c r="A2357" s="60" t="n"/>
      <c r="B2357" s="60" t="n"/>
      <c r="C2357" s="71" t="str">
        <f>IF(B2357="","",IFERROR(INDEX(mat_des,MATCH(B2357,mat_ref,0))&amp;"","Matière inconnue"))</f>
        <v/>
      </c>
      <c r="D2357" s="69" t="str">
        <f>IF(B2357="","",IFERROR(INDEX(mat_unit,MATCH(B2357,mat_ref,0))&amp;"",""))</f>
        <v/>
      </c>
      <c r="E2357" s="72" t="n"/>
      <c r="F2357" s="65" t="n"/>
      <c r="G2357" s="68" t="str">
        <f>IF(J2357&lt;&gt;"OK","",IF(F2357="",N(INDEX(mat_loss,MATCH(B2357,mat_ref,0))),F2357))</f>
        <v/>
      </c>
      <c r="H2357" s="66" t="str">
        <f>IF(J2357&lt;&gt;"OK","",INDEX(mat_price,MATCH(B2357,mat_ref,0)))</f>
        <v/>
      </c>
      <c r="I2357" s="66" t="str">
        <f>IF(J2357&lt;&gt;"OK","",E2357*(1+G2357)*H2357)</f>
        <v/>
      </c>
      <c r="J2357" s="69" t="str">
        <f>IF(AND(A2357="",B2357=""),"",IF(A2357="","Produit manquant",IF(COUNTIF(prod_ref,A2357)=0,"Produit inconnu",IF(B2357="","Matière manquante",IF(ISNA(MATCH(B2357,mat_ref,0)),"Matière inconnue",IF(INDEX(mat_check,MATCH(B2357,mat_ref,0))&lt;&gt;"OK","Matière à corriger",IF(OR(NOT(ISNUMBER(E2357)),N(E2357)&lt;=0),"Quantité invalide",IF(AND(F2357&lt;&gt;"",OR(NOT(ISNUMBER(F2357)),N(F2357)&lt;0,N(F2357)&gt;=1)),"Perte entre 0 et 99 %",IF(COUNTIFS(bom_prod,A2357,bom_mat,B2357)&gt;1,"Matière en double","OK")))))))))</f>
        <v/>
      </c>
      <c r="K2357" s="71" t="str">
        <f>IF(AND(fiche_sel&lt;&gt;"",A2357=fiche_sel),COUNTIF(A$6:A2357,fiche_sel),"")</f>
        <v/>
      </c>
    </row>
    <row r="2358">
      <c r="A2358" s="60" t="n"/>
      <c r="B2358" s="60" t="n"/>
      <c r="C2358" s="71" t="str">
        <f>IF(B2358="","",IFERROR(INDEX(mat_des,MATCH(B2358,mat_ref,0))&amp;"","Matière inconnue"))</f>
        <v/>
      </c>
      <c r="D2358" s="69" t="str">
        <f>IF(B2358="","",IFERROR(INDEX(mat_unit,MATCH(B2358,mat_ref,0))&amp;"",""))</f>
        <v/>
      </c>
      <c r="E2358" s="72" t="n"/>
      <c r="F2358" s="65" t="n"/>
      <c r="G2358" s="68" t="str">
        <f>IF(J2358&lt;&gt;"OK","",IF(F2358="",N(INDEX(mat_loss,MATCH(B2358,mat_ref,0))),F2358))</f>
        <v/>
      </c>
      <c r="H2358" s="66" t="str">
        <f>IF(J2358&lt;&gt;"OK","",INDEX(mat_price,MATCH(B2358,mat_ref,0)))</f>
        <v/>
      </c>
      <c r="I2358" s="66" t="str">
        <f>IF(J2358&lt;&gt;"OK","",E2358*(1+G2358)*H2358)</f>
        <v/>
      </c>
      <c r="J2358" s="69" t="str">
        <f>IF(AND(A2358="",B2358=""),"",IF(A2358="","Produit manquant",IF(COUNTIF(prod_ref,A2358)=0,"Produit inconnu",IF(B2358="","Matière manquante",IF(ISNA(MATCH(B2358,mat_ref,0)),"Matière inconnue",IF(INDEX(mat_check,MATCH(B2358,mat_ref,0))&lt;&gt;"OK","Matière à corriger",IF(OR(NOT(ISNUMBER(E2358)),N(E2358)&lt;=0),"Quantité invalide",IF(AND(F2358&lt;&gt;"",OR(NOT(ISNUMBER(F2358)),N(F2358)&lt;0,N(F2358)&gt;=1)),"Perte entre 0 et 99 %",IF(COUNTIFS(bom_prod,A2358,bom_mat,B2358)&gt;1,"Matière en double","OK")))))))))</f>
        <v/>
      </c>
      <c r="K2358" s="71" t="str">
        <f>IF(AND(fiche_sel&lt;&gt;"",A2358=fiche_sel),COUNTIF(A$6:A2358,fiche_sel),"")</f>
        <v/>
      </c>
    </row>
    <row r="2359">
      <c r="A2359" s="60" t="n"/>
      <c r="B2359" s="60" t="n"/>
      <c r="C2359" s="71" t="str">
        <f>IF(B2359="","",IFERROR(INDEX(mat_des,MATCH(B2359,mat_ref,0))&amp;"","Matière inconnue"))</f>
        <v/>
      </c>
      <c r="D2359" s="69" t="str">
        <f>IF(B2359="","",IFERROR(INDEX(mat_unit,MATCH(B2359,mat_ref,0))&amp;"",""))</f>
        <v/>
      </c>
      <c r="E2359" s="72" t="n"/>
      <c r="F2359" s="65" t="n"/>
      <c r="G2359" s="68" t="str">
        <f>IF(J2359&lt;&gt;"OK","",IF(F2359="",N(INDEX(mat_loss,MATCH(B2359,mat_ref,0))),F2359))</f>
        <v/>
      </c>
      <c r="H2359" s="66" t="str">
        <f>IF(J2359&lt;&gt;"OK","",INDEX(mat_price,MATCH(B2359,mat_ref,0)))</f>
        <v/>
      </c>
      <c r="I2359" s="66" t="str">
        <f>IF(J2359&lt;&gt;"OK","",E2359*(1+G2359)*H2359)</f>
        <v/>
      </c>
      <c r="J2359" s="69" t="str">
        <f>IF(AND(A2359="",B2359=""),"",IF(A2359="","Produit manquant",IF(COUNTIF(prod_ref,A2359)=0,"Produit inconnu",IF(B2359="","Matière manquante",IF(ISNA(MATCH(B2359,mat_ref,0)),"Matière inconnue",IF(INDEX(mat_check,MATCH(B2359,mat_ref,0))&lt;&gt;"OK","Matière à corriger",IF(OR(NOT(ISNUMBER(E2359)),N(E2359)&lt;=0),"Quantité invalide",IF(AND(F2359&lt;&gt;"",OR(NOT(ISNUMBER(F2359)),N(F2359)&lt;0,N(F2359)&gt;=1)),"Perte entre 0 et 99 %",IF(COUNTIFS(bom_prod,A2359,bom_mat,B2359)&gt;1,"Matière en double","OK")))))))))</f>
        <v/>
      </c>
      <c r="K2359" s="71" t="str">
        <f>IF(AND(fiche_sel&lt;&gt;"",A2359=fiche_sel),COUNTIF(A$6:A2359,fiche_sel),"")</f>
        <v/>
      </c>
    </row>
    <row r="2360">
      <c r="A2360" s="60" t="n"/>
      <c r="B2360" s="60" t="n"/>
      <c r="C2360" s="71" t="str">
        <f>IF(B2360="","",IFERROR(INDEX(mat_des,MATCH(B2360,mat_ref,0))&amp;"","Matière inconnue"))</f>
        <v/>
      </c>
      <c r="D2360" s="69" t="str">
        <f>IF(B2360="","",IFERROR(INDEX(mat_unit,MATCH(B2360,mat_ref,0))&amp;"",""))</f>
        <v/>
      </c>
      <c r="E2360" s="72" t="n"/>
      <c r="F2360" s="65" t="n"/>
      <c r="G2360" s="68" t="str">
        <f>IF(J2360&lt;&gt;"OK","",IF(F2360="",N(INDEX(mat_loss,MATCH(B2360,mat_ref,0))),F2360))</f>
        <v/>
      </c>
      <c r="H2360" s="66" t="str">
        <f>IF(J2360&lt;&gt;"OK","",INDEX(mat_price,MATCH(B2360,mat_ref,0)))</f>
        <v/>
      </c>
      <c r="I2360" s="66" t="str">
        <f>IF(J2360&lt;&gt;"OK","",E2360*(1+G2360)*H2360)</f>
        <v/>
      </c>
      <c r="J2360" s="69" t="str">
        <f>IF(AND(A2360="",B2360=""),"",IF(A2360="","Produit manquant",IF(COUNTIF(prod_ref,A2360)=0,"Produit inconnu",IF(B2360="","Matière manquante",IF(ISNA(MATCH(B2360,mat_ref,0)),"Matière inconnue",IF(INDEX(mat_check,MATCH(B2360,mat_ref,0))&lt;&gt;"OK","Matière à corriger",IF(OR(NOT(ISNUMBER(E2360)),N(E2360)&lt;=0),"Quantité invalide",IF(AND(F2360&lt;&gt;"",OR(NOT(ISNUMBER(F2360)),N(F2360)&lt;0,N(F2360)&gt;=1)),"Perte entre 0 et 99 %",IF(COUNTIFS(bom_prod,A2360,bom_mat,B2360)&gt;1,"Matière en double","OK")))))))))</f>
        <v/>
      </c>
      <c r="K2360" s="71" t="str">
        <f>IF(AND(fiche_sel&lt;&gt;"",A2360=fiche_sel),COUNTIF(A$6:A2360,fiche_sel),"")</f>
        <v/>
      </c>
    </row>
    <row r="2361">
      <c r="A2361" s="60" t="n"/>
      <c r="B2361" s="60" t="n"/>
      <c r="C2361" s="71" t="str">
        <f>IF(B2361="","",IFERROR(INDEX(mat_des,MATCH(B2361,mat_ref,0))&amp;"","Matière inconnue"))</f>
        <v/>
      </c>
      <c r="D2361" s="69" t="str">
        <f>IF(B2361="","",IFERROR(INDEX(mat_unit,MATCH(B2361,mat_ref,0))&amp;"",""))</f>
        <v/>
      </c>
      <c r="E2361" s="72" t="n"/>
      <c r="F2361" s="65" t="n"/>
      <c r="G2361" s="68" t="str">
        <f>IF(J2361&lt;&gt;"OK","",IF(F2361="",N(INDEX(mat_loss,MATCH(B2361,mat_ref,0))),F2361))</f>
        <v/>
      </c>
      <c r="H2361" s="66" t="str">
        <f>IF(J2361&lt;&gt;"OK","",INDEX(mat_price,MATCH(B2361,mat_ref,0)))</f>
        <v/>
      </c>
      <c r="I2361" s="66" t="str">
        <f>IF(J2361&lt;&gt;"OK","",E2361*(1+G2361)*H2361)</f>
        <v/>
      </c>
      <c r="J2361" s="69" t="str">
        <f>IF(AND(A2361="",B2361=""),"",IF(A2361="","Produit manquant",IF(COUNTIF(prod_ref,A2361)=0,"Produit inconnu",IF(B2361="","Matière manquante",IF(ISNA(MATCH(B2361,mat_ref,0)),"Matière inconnue",IF(INDEX(mat_check,MATCH(B2361,mat_ref,0))&lt;&gt;"OK","Matière à corriger",IF(OR(NOT(ISNUMBER(E2361)),N(E2361)&lt;=0),"Quantité invalide",IF(AND(F2361&lt;&gt;"",OR(NOT(ISNUMBER(F2361)),N(F2361)&lt;0,N(F2361)&gt;=1)),"Perte entre 0 et 99 %",IF(COUNTIFS(bom_prod,A2361,bom_mat,B2361)&gt;1,"Matière en double","OK")))))))))</f>
        <v/>
      </c>
      <c r="K2361" s="71" t="str">
        <f>IF(AND(fiche_sel&lt;&gt;"",A2361=fiche_sel),COUNTIF(A$6:A2361,fiche_sel),"")</f>
        <v/>
      </c>
    </row>
    <row r="2362">
      <c r="A2362" s="60" t="n"/>
      <c r="B2362" s="60" t="n"/>
      <c r="C2362" s="71" t="str">
        <f>IF(B2362="","",IFERROR(INDEX(mat_des,MATCH(B2362,mat_ref,0))&amp;"","Matière inconnue"))</f>
        <v/>
      </c>
      <c r="D2362" s="69" t="str">
        <f>IF(B2362="","",IFERROR(INDEX(mat_unit,MATCH(B2362,mat_ref,0))&amp;"",""))</f>
        <v/>
      </c>
      <c r="E2362" s="72" t="n"/>
      <c r="F2362" s="65" t="n"/>
      <c r="G2362" s="68" t="str">
        <f>IF(J2362&lt;&gt;"OK","",IF(F2362="",N(INDEX(mat_loss,MATCH(B2362,mat_ref,0))),F2362))</f>
        <v/>
      </c>
      <c r="H2362" s="66" t="str">
        <f>IF(J2362&lt;&gt;"OK","",INDEX(mat_price,MATCH(B2362,mat_ref,0)))</f>
        <v/>
      </c>
      <c r="I2362" s="66" t="str">
        <f>IF(J2362&lt;&gt;"OK","",E2362*(1+G2362)*H2362)</f>
        <v/>
      </c>
      <c r="J2362" s="69" t="str">
        <f>IF(AND(A2362="",B2362=""),"",IF(A2362="","Produit manquant",IF(COUNTIF(prod_ref,A2362)=0,"Produit inconnu",IF(B2362="","Matière manquante",IF(ISNA(MATCH(B2362,mat_ref,0)),"Matière inconnue",IF(INDEX(mat_check,MATCH(B2362,mat_ref,0))&lt;&gt;"OK","Matière à corriger",IF(OR(NOT(ISNUMBER(E2362)),N(E2362)&lt;=0),"Quantité invalide",IF(AND(F2362&lt;&gt;"",OR(NOT(ISNUMBER(F2362)),N(F2362)&lt;0,N(F2362)&gt;=1)),"Perte entre 0 et 99 %",IF(COUNTIFS(bom_prod,A2362,bom_mat,B2362)&gt;1,"Matière en double","OK")))))))))</f>
        <v/>
      </c>
      <c r="K2362" s="71" t="str">
        <f>IF(AND(fiche_sel&lt;&gt;"",A2362=fiche_sel),COUNTIF(A$6:A2362,fiche_sel),"")</f>
        <v/>
      </c>
    </row>
    <row r="2363">
      <c r="A2363" s="60" t="n"/>
      <c r="B2363" s="60" t="n"/>
      <c r="C2363" s="71" t="str">
        <f>IF(B2363="","",IFERROR(INDEX(mat_des,MATCH(B2363,mat_ref,0))&amp;"","Matière inconnue"))</f>
        <v/>
      </c>
      <c r="D2363" s="69" t="str">
        <f>IF(B2363="","",IFERROR(INDEX(mat_unit,MATCH(B2363,mat_ref,0))&amp;"",""))</f>
        <v/>
      </c>
      <c r="E2363" s="72" t="n"/>
      <c r="F2363" s="65" t="n"/>
      <c r="G2363" s="68" t="str">
        <f>IF(J2363&lt;&gt;"OK","",IF(F2363="",N(INDEX(mat_loss,MATCH(B2363,mat_ref,0))),F2363))</f>
        <v/>
      </c>
      <c r="H2363" s="66" t="str">
        <f>IF(J2363&lt;&gt;"OK","",INDEX(mat_price,MATCH(B2363,mat_ref,0)))</f>
        <v/>
      </c>
      <c r="I2363" s="66" t="str">
        <f>IF(J2363&lt;&gt;"OK","",E2363*(1+G2363)*H2363)</f>
        <v/>
      </c>
      <c r="J2363" s="69" t="str">
        <f>IF(AND(A2363="",B2363=""),"",IF(A2363="","Produit manquant",IF(COUNTIF(prod_ref,A2363)=0,"Produit inconnu",IF(B2363="","Matière manquante",IF(ISNA(MATCH(B2363,mat_ref,0)),"Matière inconnue",IF(INDEX(mat_check,MATCH(B2363,mat_ref,0))&lt;&gt;"OK","Matière à corriger",IF(OR(NOT(ISNUMBER(E2363)),N(E2363)&lt;=0),"Quantité invalide",IF(AND(F2363&lt;&gt;"",OR(NOT(ISNUMBER(F2363)),N(F2363)&lt;0,N(F2363)&gt;=1)),"Perte entre 0 et 99 %",IF(COUNTIFS(bom_prod,A2363,bom_mat,B2363)&gt;1,"Matière en double","OK")))))))))</f>
        <v/>
      </c>
      <c r="K2363" s="71" t="str">
        <f>IF(AND(fiche_sel&lt;&gt;"",A2363=fiche_sel),COUNTIF(A$6:A2363,fiche_sel),"")</f>
        <v/>
      </c>
    </row>
    <row r="2364">
      <c r="A2364" s="60" t="n"/>
      <c r="B2364" s="60" t="n"/>
      <c r="C2364" s="71" t="str">
        <f>IF(B2364="","",IFERROR(INDEX(mat_des,MATCH(B2364,mat_ref,0))&amp;"","Matière inconnue"))</f>
        <v/>
      </c>
      <c r="D2364" s="69" t="str">
        <f>IF(B2364="","",IFERROR(INDEX(mat_unit,MATCH(B2364,mat_ref,0))&amp;"",""))</f>
        <v/>
      </c>
      <c r="E2364" s="72" t="n"/>
      <c r="F2364" s="65" t="n"/>
      <c r="G2364" s="68" t="str">
        <f>IF(J2364&lt;&gt;"OK","",IF(F2364="",N(INDEX(mat_loss,MATCH(B2364,mat_ref,0))),F2364))</f>
        <v/>
      </c>
      <c r="H2364" s="66" t="str">
        <f>IF(J2364&lt;&gt;"OK","",INDEX(mat_price,MATCH(B2364,mat_ref,0)))</f>
        <v/>
      </c>
      <c r="I2364" s="66" t="str">
        <f>IF(J2364&lt;&gt;"OK","",E2364*(1+G2364)*H2364)</f>
        <v/>
      </c>
      <c r="J2364" s="69" t="str">
        <f>IF(AND(A2364="",B2364=""),"",IF(A2364="","Produit manquant",IF(COUNTIF(prod_ref,A2364)=0,"Produit inconnu",IF(B2364="","Matière manquante",IF(ISNA(MATCH(B2364,mat_ref,0)),"Matière inconnue",IF(INDEX(mat_check,MATCH(B2364,mat_ref,0))&lt;&gt;"OK","Matière à corriger",IF(OR(NOT(ISNUMBER(E2364)),N(E2364)&lt;=0),"Quantité invalide",IF(AND(F2364&lt;&gt;"",OR(NOT(ISNUMBER(F2364)),N(F2364)&lt;0,N(F2364)&gt;=1)),"Perte entre 0 et 99 %",IF(COUNTIFS(bom_prod,A2364,bom_mat,B2364)&gt;1,"Matière en double","OK")))))))))</f>
        <v/>
      </c>
      <c r="K2364" s="71" t="str">
        <f>IF(AND(fiche_sel&lt;&gt;"",A2364=fiche_sel),COUNTIF(A$6:A2364,fiche_sel),"")</f>
        <v/>
      </c>
    </row>
    <row r="2365">
      <c r="A2365" s="60" t="n"/>
      <c r="B2365" s="60" t="n"/>
      <c r="C2365" s="71" t="str">
        <f>IF(B2365="","",IFERROR(INDEX(mat_des,MATCH(B2365,mat_ref,0))&amp;"","Matière inconnue"))</f>
        <v/>
      </c>
      <c r="D2365" s="69" t="str">
        <f>IF(B2365="","",IFERROR(INDEX(mat_unit,MATCH(B2365,mat_ref,0))&amp;"",""))</f>
        <v/>
      </c>
      <c r="E2365" s="72" t="n"/>
      <c r="F2365" s="65" t="n"/>
      <c r="G2365" s="68" t="str">
        <f>IF(J2365&lt;&gt;"OK","",IF(F2365="",N(INDEX(mat_loss,MATCH(B2365,mat_ref,0))),F2365))</f>
        <v/>
      </c>
      <c r="H2365" s="66" t="str">
        <f>IF(J2365&lt;&gt;"OK","",INDEX(mat_price,MATCH(B2365,mat_ref,0)))</f>
        <v/>
      </c>
      <c r="I2365" s="66" t="str">
        <f>IF(J2365&lt;&gt;"OK","",E2365*(1+G2365)*H2365)</f>
        <v/>
      </c>
      <c r="J2365" s="69" t="str">
        <f>IF(AND(A2365="",B2365=""),"",IF(A2365="","Produit manquant",IF(COUNTIF(prod_ref,A2365)=0,"Produit inconnu",IF(B2365="","Matière manquante",IF(ISNA(MATCH(B2365,mat_ref,0)),"Matière inconnue",IF(INDEX(mat_check,MATCH(B2365,mat_ref,0))&lt;&gt;"OK","Matière à corriger",IF(OR(NOT(ISNUMBER(E2365)),N(E2365)&lt;=0),"Quantité invalide",IF(AND(F2365&lt;&gt;"",OR(NOT(ISNUMBER(F2365)),N(F2365)&lt;0,N(F2365)&gt;=1)),"Perte entre 0 et 99 %",IF(COUNTIFS(bom_prod,A2365,bom_mat,B2365)&gt;1,"Matière en double","OK")))))))))</f>
        <v/>
      </c>
      <c r="K2365" s="71" t="str">
        <f>IF(AND(fiche_sel&lt;&gt;"",A2365=fiche_sel),COUNTIF(A$6:A2365,fiche_sel),"")</f>
        <v/>
      </c>
    </row>
    <row r="2366">
      <c r="A2366" s="60" t="n"/>
      <c r="B2366" s="60" t="n"/>
      <c r="C2366" s="71" t="str">
        <f>IF(B2366="","",IFERROR(INDEX(mat_des,MATCH(B2366,mat_ref,0))&amp;"","Matière inconnue"))</f>
        <v/>
      </c>
      <c r="D2366" s="69" t="str">
        <f>IF(B2366="","",IFERROR(INDEX(mat_unit,MATCH(B2366,mat_ref,0))&amp;"",""))</f>
        <v/>
      </c>
      <c r="E2366" s="72" t="n"/>
      <c r="F2366" s="65" t="n"/>
      <c r="G2366" s="68" t="str">
        <f>IF(J2366&lt;&gt;"OK","",IF(F2366="",N(INDEX(mat_loss,MATCH(B2366,mat_ref,0))),F2366))</f>
        <v/>
      </c>
      <c r="H2366" s="66" t="str">
        <f>IF(J2366&lt;&gt;"OK","",INDEX(mat_price,MATCH(B2366,mat_ref,0)))</f>
        <v/>
      </c>
      <c r="I2366" s="66" t="str">
        <f>IF(J2366&lt;&gt;"OK","",E2366*(1+G2366)*H2366)</f>
        <v/>
      </c>
      <c r="J2366" s="69" t="str">
        <f>IF(AND(A2366="",B2366=""),"",IF(A2366="","Produit manquant",IF(COUNTIF(prod_ref,A2366)=0,"Produit inconnu",IF(B2366="","Matière manquante",IF(ISNA(MATCH(B2366,mat_ref,0)),"Matière inconnue",IF(INDEX(mat_check,MATCH(B2366,mat_ref,0))&lt;&gt;"OK","Matière à corriger",IF(OR(NOT(ISNUMBER(E2366)),N(E2366)&lt;=0),"Quantité invalide",IF(AND(F2366&lt;&gt;"",OR(NOT(ISNUMBER(F2366)),N(F2366)&lt;0,N(F2366)&gt;=1)),"Perte entre 0 et 99 %",IF(COUNTIFS(bom_prod,A2366,bom_mat,B2366)&gt;1,"Matière en double","OK")))))))))</f>
        <v/>
      </c>
      <c r="K2366" s="71" t="str">
        <f>IF(AND(fiche_sel&lt;&gt;"",A2366=fiche_sel),COUNTIF(A$6:A2366,fiche_sel),"")</f>
        <v/>
      </c>
    </row>
    <row r="2367">
      <c r="A2367" s="60" t="n"/>
      <c r="B2367" s="60" t="n"/>
      <c r="C2367" s="71" t="str">
        <f>IF(B2367="","",IFERROR(INDEX(mat_des,MATCH(B2367,mat_ref,0))&amp;"","Matière inconnue"))</f>
        <v/>
      </c>
      <c r="D2367" s="69" t="str">
        <f>IF(B2367="","",IFERROR(INDEX(mat_unit,MATCH(B2367,mat_ref,0))&amp;"",""))</f>
        <v/>
      </c>
      <c r="E2367" s="72" t="n"/>
      <c r="F2367" s="65" t="n"/>
      <c r="G2367" s="68" t="str">
        <f>IF(J2367&lt;&gt;"OK","",IF(F2367="",N(INDEX(mat_loss,MATCH(B2367,mat_ref,0))),F2367))</f>
        <v/>
      </c>
      <c r="H2367" s="66" t="str">
        <f>IF(J2367&lt;&gt;"OK","",INDEX(mat_price,MATCH(B2367,mat_ref,0)))</f>
        <v/>
      </c>
      <c r="I2367" s="66" t="str">
        <f>IF(J2367&lt;&gt;"OK","",E2367*(1+G2367)*H2367)</f>
        <v/>
      </c>
      <c r="J2367" s="69" t="str">
        <f>IF(AND(A2367="",B2367=""),"",IF(A2367="","Produit manquant",IF(COUNTIF(prod_ref,A2367)=0,"Produit inconnu",IF(B2367="","Matière manquante",IF(ISNA(MATCH(B2367,mat_ref,0)),"Matière inconnue",IF(INDEX(mat_check,MATCH(B2367,mat_ref,0))&lt;&gt;"OK","Matière à corriger",IF(OR(NOT(ISNUMBER(E2367)),N(E2367)&lt;=0),"Quantité invalide",IF(AND(F2367&lt;&gt;"",OR(NOT(ISNUMBER(F2367)),N(F2367)&lt;0,N(F2367)&gt;=1)),"Perte entre 0 et 99 %",IF(COUNTIFS(bom_prod,A2367,bom_mat,B2367)&gt;1,"Matière en double","OK")))))))))</f>
        <v/>
      </c>
      <c r="K2367" s="71" t="str">
        <f>IF(AND(fiche_sel&lt;&gt;"",A2367=fiche_sel),COUNTIF(A$6:A2367,fiche_sel),"")</f>
        <v/>
      </c>
    </row>
    <row r="2368">
      <c r="A2368" s="60" t="n"/>
      <c r="B2368" s="60" t="n"/>
      <c r="C2368" s="71" t="str">
        <f>IF(B2368="","",IFERROR(INDEX(mat_des,MATCH(B2368,mat_ref,0))&amp;"","Matière inconnue"))</f>
        <v/>
      </c>
      <c r="D2368" s="69" t="str">
        <f>IF(B2368="","",IFERROR(INDEX(mat_unit,MATCH(B2368,mat_ref,0))&amp;"",""))</f>
        <v/>
      </c>
      <c r="E2368" s="72" t="n"/>
      <c r="F2368" s="65" t="n"/>
      <c r="G2368" s="68" t="str">
        <f>IF(J2368&lt;&gt;"OK","",IF(F2368="",N(INDEX(mat_loss,MATCH(B2368,mat_ref,0))),F2368))</f>
        <v/>
      </c>
      <c r="H2368" s="66" t="str">
        <f>IF(J2368&lt;&gt;"OK","",INDEX(mat_price,MATCH(B2368,mat_ref,0)))</f>
        <v/>
      </c>
      <c r="I2368" s="66" t="str">
        <f>IF(J2368&lt;&gt;"OK","",E2368*(1+G2368)*H2368)</f>
        <v/>
      </c>
      <c r="J2368" s="69" t="str">
        <f>IF(AND(A2368="",B2368=""),"",IF(A2368="","Produit manquant",IF(COUNTIF(prod_ref,A2368)=0,"Produit inconnu",IF(B2368="","Matière manquante",IF(ISNA(MATCH(B2368,mat_ref,0)),"Matière inconnue",IF(INDEX(mat_check,MATCH(B2368,mat_ref,0))&lt;&gt;"OK","Matière à corriger",IF(OR(NOT(ISNUMBER(E2368)),N(E2368)&lt;=0),"Quantité invalide",IF(AND(F2368&lt;&gt;"",OR(NOT(ISNUMBER(F2368)),N(F2368)&lt;0,N(F2368)&gt;=1)),"Perte entre 0 et 99 %",IF(COUNTIFS(bom_prod,A2368,bom_mat,B2368)&gt;1,"Matière en double","OK")))))))))</f>
        <v/>
      </c>
      <c r="K2368" s="71" t="str">
        <f>IF(AND(fiche_sel&lt;&gt;"",A2368=fiche_sel),COUNTIF(A$6:A2368,fiche_sel),"")</f>
        <v/>
      </c>
    </row>
    <row r="2369">
      <c r="A2369" s="60" t="n"/>
      <c r="B2369" s="60" t="n"/>
      <c r="C2369" s="71" t="str">
        <f>IF(B2369="","",IFERROR(INDEX(mat_des,MATCH(B2369,mat_ref,0))&amp;"","Matière inconnue"))</f>
        <v/>
      </c>
      <c r="D2369" s="69" t="str">
        <f>IF(B2369="","",IFERROR(INDEX(mat_unit,MATCH(B2369,mat_ref,0))&amp;"",""))</f>
        <v/>
      </c>
      <c r="E2369" s="72" t="n"/>
      <c r="F2369" s="65" t="n"/>
      <c r="G2369" s="68" t="str">
        <f>IF(J2369&lt;&gt;"OK","",IF(F2369="",N(INDEX(mat_loss,MATCH(B2369,mat_ref,0))),F2369))</f>
        <v/>
      </c>
      <c r="H2369" s="66" t="str">
        <f>IF(J2369&lt;&gt;"OK","",INDEX(mat_price,MATCH(B2369,mat_ref,0)))</f>
        <v/>
      </c>
      <c r="I2369" s="66" t="str">
        <f>IF(J2369&lt;&gt;"OK","",E2369*(1+G2369)*H2369)</f>
        <v/>
      </c>
      <c r="J2369" s="69" t="str">
        <f>IF(AND(A2369="",B2369=""),"",IF(A2369="","Produit manquant",IF(COUNTIF(prod_ref,A2369)=0,"Produit inconnu",IF(B2369="","Matière manquante",IF(ISNA(MATCH(B2369,mat_ref,0)),"Matière inconnue",IF(INDEX(mat_check,MATCH(B2369,mat_ref,0))&lt;&gt;"OK","Matière à corriger",IF(OR(NOT(ISNUMBER(E2369)),N(E2369)&lt;=0),"Quantité invalide",IF(AND(F2369&lt;&gt;"",OR(NOT(ISNUMBER(F2369)),N(F2369)&lt;0,N(F2369)&gt;=1)),"Perte entre 0 et 99 %",IF(COUNTIFS(bom_prod,A2369,bom_mat,B2369)&gt;1,"Matière en double","OK")))))))))</f>
        <v/>
      </c>
      <c r="K2369" s="71" t="str">
        <f>IF(AND(fiche_sel&lt;&gt;"",A2369=fiche_sel),COUNTIF(A$6:A2369,fiche_sel),"")</f>
        <v/>
      </c>
    </row>
    <row r="2370">
      <c r="A2370" s="60" t="n"/>
      <c r="B2370" s="60" t="n"/>
      <c r="C2370" s="71" t="str">
        <f>IF(B2370="","",IFERROR(INDEX(mat_des,MATCH(B2370,mat_ref,0))&amp;"","Matière inconnue"))</f>
        <v/>
      </c>
      <c r="D2370" s="69" t="str">
        <f>IF(B2370="","",IFERROR(INDEX(mat_unit,MATCH(B2370,mat_ref,0))&amp;"",""))</f>
        <v/>
      </c>
      <c r="E2370" s="72" t="n"/>
      <c r="F2370" s="65" t="n"/>
      <c r="G2370" s="68" t="str">
        <f>IF(J2370&lt;&gt;"OK","",IF(F2370="",N(INDEX(mat_loss,MATCH(B2370,mat_ref,0))),F2370))</f>
        <v/>
      </c>
      <c r="H2370" s="66" t="str">
        <f>IF(J2370&lt;&gt;"OK","",INDEX(mat_price,MATCH(B2370,mat_ref,0)))</f>
        <v/>
      </c>
      <c r="I2370" s="66" t="str">
        <f>IF(J2370&lt;&gt;"OK","",E2370*(1+G2370)*H2370)</f>
        <v/>
      </c>
      <c r="J2370" s="69" t="str">
        <f>IF(AND(A2370="",B2370=""),"",IF(A2370="","Produit manquant",IF(COUNTIF(prod_ref,A2370)=0,"Produit inconnu",IF(B2370="","Matière manquante",IF(ISNA(MATCH(B2370,mat_ref,0)),"Matière inconnue",IF(INDEX(mat_check,MATCH(B2370,mat_ref,0))&lt;&gt;"OK","Matière à corriger",IF(OR(NOT(ISNUMBER(E2370)),N(E2370)&lt;=0),"Quantité invalide",IF(AND(F2370&lt;&gt;"",OR(NOT(ISNUMBER(F2370)),N(F2370)&lt;0,N(F2370)&gt;=1)),"Perte entre 0 et 99 %",IF(COUNTIFS(bom_prod,A2370,bom_mat,B2370)&gt;1,"Matière en double","OK")))))))))</f>
        <v/>
      </c>
      <c r="K2370" s="71" t="str">
        <f>IF(AND(fiche_sel&lt;&gt;"",A2370=fiche_sel),COUNTIF(A$6:A2370,fiche_sel),"")</f>
        <v/>
      </c>
    </row>
    <row r="2371">
      <c r="A2371" s="60" t="n"/>
      <c r="B2371" s="60" t="n"/>
      <c r="C2371" s="71" t="str">
        <f>IF(B2371="","",IFERROR(INDEX(mat_des,MATCH(B2371,mat_ref,0))&amp;"","Matière inconnue"))</f>
        <v/>
      </c>
      <c r="D2371" s="69" t="str">
        <f>IF(B2371="","",IFERROR(INDEX(mat_unit,MATCH(B2371,mat_ref,0))&amp;"",""))</f>
        <v/>
      </c>
      <c r="E2371" s="72" t="n"/>
      <c r="F2371" s="65" t="n"/>
      <c r="G2371" s="68" t="str">
        <f>IF(J2371&lt;&gt;"OK","",IF(F2371="",N(INDEX(mat_loss,MATCH(B2371,mat_ref,0))),F2371))</f>
        <v/>
      </c>
      <c r="H2371" s="66" t="str">
        <f>IF(J2371&lt;&gt;"OK","",INDEX(mat_price,MATCH(B2371,mat_ref,0)))</f>
        <v/>
      </c>
      <c r="I2371" s="66" t="str">
        <f>IF(J2371&lt;&gt;"OK","",E2371*(1+G2371)*H2371)</f>
        <v/>
      </c>
      <c r="J2371" s="69" t="str">
        <f>IF(AND(A2371="",B2371=""),"",IF(A2371="","Produit manquant",IF(COUNTIF(prod_ref,A2371)=0,"Produit inconnu",IF(B2371="","Matière manquante",IF(ISNA(MATCH(B2371,mat_ref,0)),"Matière inconnue",IF(INDEX(mat_check,MATCH(B2371,mat_ref,0))&lt;&gt;"OK","Matière à corriger",IF(OR(NOT(ISNUMBER(E2371)),N(E2371)&lt;=0),"Quantité invalide",IF(AND(F2371&lt;&gt;"",OR(NOT(ISNUMBER(F2371)),N(F2371)&lt;0,N(F2371)&gt;=1)),"Perte entre 0 et 99 %",IF(COUNTIFS(bom_prod,A2371,bom_mat,B2371)&gt;1,"Matière en double","OK")))))))))</f>
        <v/>
      </c>
      <c r="K2371" s="71" t="str">
        <f>IF(AND(fiche_sel&lt;&gt;"",A2371=fiche_sel),COUNTIF(A$6:A2371,fiche_sel),"")</f>
        <v/>
      </c>
    </row>
    <row r="2372">
      <c r="A2372" s="60" t="n"/>
      <c r="B2372" s="60" t="n"/>
      <c r="C2372" s="71" t="str">
        <f>IF(B2372="","",IFERROR(INDEX(mat_des,MATCH(B2372,mat_ref,0))&amp;"","Matière inconnue"))</f>
        <v/>
      </c>
      <c r="D2372" s="69" t="str">
        <f>IF(B2372="","",IFERROR(INDEX(mat_unit,MATCH(B2372,mat_ref,0))&amp;"",""))</f>
        <v/>
      </c>
      <c r="E2372" s="72" t="n"/>
      <c r="F2372" s="65" t="n"/>
      <c r="G2372" s="68" t="str">
        <f>IF(J2372&lt;&gt;"OK","",IF(F2372="",N(INDEX(mat_loss,MATCH(B2372,mat_ref,0))),F2372))</f>
        <v/>
      </c>
      <c r="H2372" s="66" t="str">
        <f>IF(J2372&lt;&gt;"OK","",INDEX(mat_price,MATCH(B2372,mat_ref,0)))</f>
        <v/>
      </c>
      <c r="I2372" s="66" t="str">
        <f>IF(J2372&lt;&gt;"OK","",E2372*(1+G2372)*H2372)</f>
        <v/>
      </c>
      <c r="J2372" s="69" t="str">
        <f>IF(AND(A2372="",B2372=""),"",IF(A2372="","Produit manquant",IF(COUNTIF(prod_ref,A2372)=0,"Produit inconnu",IF(B2372="","Matière manquante",IF(ISNA(MATCH(B2372,mat_ref,0)),"Matière inconnue",IF(INDEX(mat_check,MATCH(B2372,mat_ref,0))&lt;&gt;"OK","Matière à corriger",IF(OR(NOT(ISNUMBER(E2372)),N(E2372)&lt;=0),"Quantité invalide",IF(AND(F2372&lt;&gt;"",OR(NOT(ISNUMBER(F2372)),N(F2372)&lt;0,N(F2372)&gt;=1)),"Perte entre 0 et 99 %",IF(COUNTIFS(bom_prod,A2372,bom_mat,B2372)&gt;1,"Matière en double","OK")))))))))</f>
        <v/>
      </c>
      <c r="K2372" s="71" t="str">
        <f>IF(AND(fiche_sel&lt;&gt;"",A2372=fiche_sel),COUNTIF(A$6:A2372,fiche_sel),"")</f>
        <v/>
      </c>
    </row>
    <row r="2373">
      <c r="A2373" s="60" t="n"/>
      <c r="B2373" s="60" t="n"/>
      <c r="C2373" s="71" t="str">
        <f>IF(B2373="","",IFERROR(INDEX(mat_des,MATCH(B2373,mat_ref,0))&amp;"","Matière inconnue"))</f>
        <v/>
      </c>
      <c r="D2373" s="69" t="str">
        <f>IF(B2373="","",IFERROR(INDEX(mat_unit,MATCH(B2373,mat_ref,0))&amp;"",""))</f>
        <v/>
      </c>
      <c r="E2373" s="72" t="n"/>
      <c r="F2373" s="65" t="n"/>
      <c r="G2373" s="68" t="str">
        <f>IF(J2373&lt;&gt;"OK","",IF(F2373="",N(INDEX(mat_loss,MATCH(B2373,mat_ref,0))),F2373))</f>
        <v/>
      </c>
      <c r="H2373" s="66" t="str">
        <f>IF(J2373&lt;&gt;"OK","",INDEX(mat_price,MATCH(B2373,mat_ref,0)))</f>
        <v/>
      </c>
      <c r="I2373" s="66" t="str">
        <f>IF(J2373&lt;&gt;"OK","",E2373*(1+G2373)*H2373)</f>
        <v/>
      </c>
      <c r="J2373" s="69" t="str">
        <f>IF(AND(A2373="",B2373=""),"",IF(A2373="","Produit manquant",IF(COUNTIF(prod_ref,A2373)=0,"Produit inconnu",IF(B2373="","Matière manquante",IF(ISNA(MATCH(B2373,mat_ref,0)),"Matière inconnue",IF(INDEX(mat_check,MATCH(B2373,mat_ref,0))&lt;&gt;"OK","Matière à corriger",IF(OR(NOT(ISNUMBER(E2373)),N(E2373)&lt;=0),"Quantité invalide",IF(AND(F2373&lt;&gt;"",OR(NOT(ISNUMBER(F2373)),N(F2373)&lt;0,N(F2373)&gt;=1)),"Perte entre 0 et 99 %",IF(COUNTIFS(bom_prod,A2373,bom_mat,B2373)&gt;1,"Matière en double","OK")))))))))</f>
        <v/>
      </c>
      <c r="K2373" s="71" t="str">
        <f>IF(AND(fiche_sel&lt;&gt;"",A2373=fiche_sel),COUNTIF(A$6:A2373,fiche_sel),"")</f>
        <v/>
      </c>
    </row>
    <row r="2374">
      <c r="A2374" s="60" t="n"/>
      <c r="B2374" s="60" t="n"/>
      <c r="C2374" s="71" t="str">
        <f>IF(B2374="","",IFERROR(INDEX(mat_des,MATCH(B2374,mat_ref,0))&amp;"","Matière inconnue"))</f>
        <v/>
      </c>
      <c r="D2374" s="69" t="str">
        <f>IF(B2374="","",IFERROR(INDEX(mat_unit,MATCH(B2374,mat_ref,0))&amp;"",""))</f>
        <v/>
      </c>
      <c r="E2374" s="72" t="n"/>
      <c r="F2374" s="65" t="n"/>
      <c r="G2374" s="68" t="str">
        <f>IF(J2374&lt;&gt;"OK","",IF(F2374="",N(INDEX(mat_loss,MATCH(B2374,mat_ref,0))),F2374))</f>
        <v/>
      </c>
      <c r="H2374" s="66" t="str">
        <f>IF(J2374&lt;&gt;"OK","",INDEX(mat_price,MATCH(B2374,mat_ref,0)))</f>
        <v/>
      </c>
      <c r="I2374" s="66" t="str">
        <f>IF(J2374&lt;&gt;"OK","",E2374*(1+G2374)*H2374)</f>
        <v/>
      </c>
      <c r="J2374" s="69" t="str">
        <f>IF(AND(A2374="",B2374=""),"",IF(A2374="","Produit manquant",IF(COUNTIF(prod_ref,A2374)=0,"Produit inconnu",IF(B2374="","Matière manquante",IF(ISNA(MATCH(B2374,mat_ref,0)),"Matière inconnue",IF(INDEX(mat_check,MATCH(B2374,mat_ref,0))&lt;&gt;"OK","Matière à corriger",IF(OR(NOT(ISNUMBER(E2374)),N(E2374)&lt;=0),"Quantité invalide",IF(AND(F2374&lt;&gt;"",OR(NOT(ISNUMBER(F2374)),N(F2374)&lt;0,N(F2374)&gt;=1)),"Perte entre 0 et 99 %",IF(COUNTIFS(bom_prod,A2374,bom_mat,B2374)&gt;1,"Matière en double","OK")))))))))</f>
        <v/>
      </c>
      <c r="K2374" s="71" t="str">
        <f>IF(AND(fiche_sel&lt;&gt;"",A2374=fiche_sel),COUNTIF(A$6:A2374,fiche_sel),"")</f>
        <v/>
      </c>
    </row>
    <row r="2375">
      <c r="A2375" s="60" t="n"/>
      <c r="B2375" s="60" t="n"/>
      <c r="C2375" s="71" t="str">
        <f>IF(B2375="","",IFERROR(INDEX(mat_des,MATCH(B2375,mat_ref,0))&amp;"","Matière inconnue"))</f>
        <v/>
      </c>
      <c r="D2375" s="69" t="str">
        <f>IF(B2375="","",IFERROR(INDEX(mat_unit,MATCH(B2375,mat_ref,0))&amp;"",""))</f>
        <v/>
      </c>
      <c r="E2375" s="72" t="n"/>
      <c r="F2375" s="65" t="n"/>
      <c r="G2375" s="68" t="str">
        <f>IF(J2375&lt;&gt;"OK","",IF(F2375="",N(INDEX(mat_loss,MATCH(B2375,mat_ref,0))),F2375))</f>
        <v/>
      </c>
      <c r="H2375" s="66" t="str">
        <f>IF(J2375&lt;&gt;"OK","",INDEX(mat_price,MATCH(B2375,mat_ref,0)))</f>
        <v/>
      </c>
      <c r="I2375" s="66" t="str">
        <f>IF(J2375&lt;&gt;"OK","",E2375*(1+G2375)*H2375)</f>
        <v/>
      </c>
      <c r="J2375" s="69" t="str">
        <f>IF(AND(A2375="",B2375=""),"",IF(A2375="","Produit manquant",IF(COUNTIF(prod_ref,A2375)=0,"Produit inconnu",IF(B2375="","Matière manquante",IF(ISNA(MATCH(B2375,mat_ref,0)),"Matière inconnue",IF(INDEX(mat_check,MATCH(B2375,mat_ref,0))&lt;&gt;"OK","Matière à corriger",IF(OR(NOT(ISNUMBER(E2375)),N(E2375)&lt;=0),"Quantité invalide",IF(AND(F2375&lt;&gt;"",OR(NOT(ISNUMBER(F2375)),N(F2375)&lt;0,N(F2375)&gt;=1)),"Perte entre 0 et 99 %",IF(COUNTIFS(bom_prod,A2375,bom_mat,B2375)&gt;1,"Matière en double","OK")))))))))</f>
        <v/>
      </c>
      <c r="K2375" s="71" t="str">
        <f>IF(AND(fiche_sel&lt;&gt;"",A2375=fiche_sel),COUNTIF(A$6:A2375,fiche_sel),"")</f>
        <v/>
      </c>
    </row>
    <row r="2376">
      <c r="A2376" s="60" t="n"/>
      <c r="B2376" s="60" t="n"/>
      <c r="C2376" s="71" t="str">
        <f>IF(B2376="","",IFERROR(INDEX(mat_des,MATCH(B2376,mat_ref,0))&amp;"","Matière inconnue"))</f>
        <v/>
      </c>
      <c r="D2376" s="69" t="str">
        <f>IF(B2376="","",IFERROR(INDEX(mat_unit,MATCH(B2376,mat_ref,0))&amp;"",""))</f>
        <v/>
      </c>
      <c r="E2376" s="72" t="n"/>
      <c r="F2376" s="65" t="n"/>
      <c r="G2376" s="68" t="str">
        <f>IF(J2376&lt;&gt;"OK","",IF(F2376="",N(INDEX(mat_loss,MATCH(B2376,mat_ref,0))),F2376))</f>
        <v/>
      </c>
      <c r="H2376" s="66" t="str">
        <f>IF(J2376&lt;&gt;"OK","",INDEX(mat_price,MATCH(B2376,mat_ref,0)))</f>
        <v/>
      </c>
      <c r="I2376" s="66" t="str">
        <f>IF(J2376&lt;&gt;"OK","",E2376*(1+G2376)*H2376)</f>
        <v/>
      </c>
      <c r="J2376" s="69" t="str">
        <f>IF(AND(A2376="",B2376=""),"",IF(A2376="","Produit manquant",IF(COUNTIF(prod_ref,A2376)=0,"Produit inconnu",IF(B2376="","Matière manquante",IF(ISNA(MATCH(B2376,mat_ref,0)),"Matière inconnue",IF(INDEX(mat_check,MATCH(B2376,mat_ref,0))&lt;&gt;"OK","Matière à corriger",IF(OR(NOT(ISNUMBER(E2376)),N(E2376)&lt;=0),"Quantité invalide",IF(AND(F2376&lt;&gt;"",OR(NOT(ISNUMBER(F2376)),N(F2376)&lt;0,N(F2376)&gt;=1)),"Perte entre 0 et 99 %",IF(COUNTIFS(bom_prod,A2376,bom_mat,B2376)&gt;1,"Matière en double","OK")))))))))</f>
        <v/>
      </c>
      <c r="K2376" s="71" t="str">
        <f>IF(AND(fiche_sel&lt;&gt;"",A2376=fiche_sel),COUNTIF(A$6:A2376,fiche_sel),"")</f>
        <v/>
      </c>
    </row>
    <row r="2377">
      <c r="A2377" s="60" t="n"/>
      <c r="B2377" s="60" t="n"/>
      <c r="C2377" s="71" t="str">
        <f>IF(B2377="","",IFERROR(INDEX(mat_des,MATCH(B2377,mat_ref,0))&amp;"","Matière inconnue"))</f>
        <v/>
      </c>
      <c r="D2377" s="69" t="str">
        <f>IF(B2377="","",IFERROR(INDEX(mat_unit,MATCH(B2377,mat_ref,0))&amp;"",""))</f>
        <v/>
      </c>
      <c r="E2377" s="72" t="n"/>
      <c r="F2377" s="65" t="n"/>
      <c r="G2377" s="68" t="str">
        <f>IF(J2377&lt;&gt;"OK","",IF(F2377="",N(INDEX(mat_loss,MATCH(B2377,mat_ref,0))),F2377))</f>
        <v/>
      </c>
      <c r="H2377" s="66" t="str">
        <f>IF(J2377&lt;&gt;"OK","",INDEX(mat_price,MATCH(B2377,mat_ref,0)))</f>
        <v/>
      </c>
      <c r="I2377" s="66" t="str">
        <f>IF(J2377&lt;&gt;"OK","",E2377*(1+G2377)*H2377)</f>
        <v/>
      </c>
      <c r="J2377" s="69" t="str">
        <f>IF(AND(A2377="",B2377=""),"",IF(A2377="","Produit manquant",IF(COUNTIF(prod_ref,A2377)=0,"Produit inconnu",IF(B2377="","Matière manquante",IF(ISNA(MATCH(B2377,mat_ref,0)),"Matière inconnue",IF(INDEX(mat_check,MATCH(B2377,mat_ref,0))&lt;&gt;"OK","Matière à corriger",IF(OR(NOT(ISNUMBER(E2377)),N(E2377)&lt;=0),"Quantité invalide",IF(AND(F2377&lt;&gt;"",OR(NOT(ISNUMBER(F2377)),N(F2377)&lt;0,N(F2377)&gt;=1)),"Perte entre 0 et 99 %",IF(COUNTIFS(bom_prod,A2377,bom_mat,B2377)&gt;1,"Matière en double","OK")))))))))</f>
        <v/>
      </c>
      <c r="K2377" s="71" t="str">
        <f>IF(AND(fiche_sel&lt;&gt;"",A2377=fiche_sel),COUNTIF(A$6:A2377,fiche_sel),"")</f>
        <v/>
      </c>
    </row>
    <row r="2378">
      <c r="A2378" s="60" t="n"/>
      <c r="B2378" s="60" t="n"/>
      <c r="C2378" s="71" t="str">
        <f>IF(B2378="","",IFERROR(INDEX(mat_des,MATCH(B2378,mat_ref,0))&amp;"","Matière inconnue"))</f>
        <v/>
      </c>
      <c r="D2378" s="69" t="str">
        <f>IF(B2378="","",IFERROR(INDEX(mat_unit,MATCH(B2378,mat_ref,0))&amp;"",""))</f>
        <v/>
      </c>
      <c r="E2378" s="72" t="n"/>
      <c r="F2378" s="65" t="n"/>
      <c r="G2378" s="68" t="str">
        <f>IF(J2378&lt;&gt;"OK","",IF(F2378="",N(INDEX(mat_loss,MATCH(B2378,mat_ref,0))),F2378))</f>
        <v/>
      </c>
      <c r="H2378" s="66" t="str">
        <f>IF(J2378&lt;&gt;"OK","",INDEX(mat_price,MATCH(B2378,mat_ref,0)))</f>
        <v/>
      </c>
      <c r="I2378" s="66" t="str">
        <f>IF(J2378&lt;&gt;"OK","",E2378*(1+G2378)*H2378)</f>
        <v/>
      </c>
      <c r="J2378" s="69" t="str">
        <f>IF(AND(A2378="",B2378=""),"",IF(A2378="","Produit manquant",IF(COUNTIF(prod_ref,A2378)=0,"Produit inconnu",IF(B2378="","Matière manquante",IF(ISNA(MATCH(B2378,mat_ref,0)),"Matière inconnue",IF(INDEX(mat_check,MATCH(B2378,mat_ref,0))&lt;&gt;"OK","Matière à corriger",IF(OR(NOT(ISNUMBER(E2378)),N(E2378)&lt;=0),"Quantité invalide",IF(AND(F2378&lt;&gt;"",OR(NOT(ISNUMBER(F2378)),N(F2378)&lt;0,N(F2378)&gt;=1)),"Perte entre 0 et 99 %",IF(COUNTIFS(bom_prod,A2378,bom_mat,B2378)&gt;1,"Matière en double","OK")))))))))</f>
        <v/>
      </c>
      <c r="K2378" s="71" t="str">
        <f>IF(AND(fiche_sel&lt;&gt;"",A2378=fiche_sel),COUNTIF(A$6:A2378,fiche_sel),"")</f>
        <v/>
      </c>
    </row>
    <row r="2379">
      <c r="A2379" s="60" t="n"/>
      <c r="B2379" s="60" t="n"/>
      <c r="C2379" s="71" t="str">
        <f>IF(B2379="","",IFERROR(INDEX(mat_des,MATCH(B2379,mat_ref,0))&amp;"","Matière inconnue"))</f>
        <v/>
      </c>
      <c r="D2379" s="69" t="str">
        <f>IF(B2379="","",IFERROR(INDEX(mat_unit,MATCH(B2379,mat_ref,0))&amp;"",""))</f>
        <v/>
      </c>
      <c r="E2379" s="72" t="n"/>
      <c r="F2379" s="65" t="n"/>
      <c r="G2379" s="68" t="str">
        <f>IF(J2379&lt;&gt;"OK","",IF(F2379="",N(INDEX(mat_loss,MATCH(B2379,mat_ref,0))),F2379))</f>
        <v/>
      </c>
      <c r="H2379" s="66" t="str">
        <f>IF(J2379&lt;&gt;"OK","",INDEX(mat_price,MATCH(B2379,mat_ref,0)))</f>
        <v/>
      </c>
      <c r="I2379" s="66" t="str">
        <f>IF(J2379&lt;&gt;"OK","",E2379*(1+G2379)*H2379)</f>
        <v/>
      </c>
      <c r="J2379" s="69" t="str">
        <f>IF(AND(A2379="",B2379=""),"",IF(A2379="","Produit manquant",IF(COUNTIF(prod_ref,A2379)=0,"Produit inconnu",IF(B2379="","Matière manquante",IF(ISNA(MATCH(B2379,mat_ref,0)),"Matière inconnue",IF(INDEX(mat_check,MATCH(B2379,mat_ref,0))&lt;&gt;"OK","Matière à corriger",IF(OR(NOT(ISNUMBER(E2379)),N(E2379)&lt;=0),"Quantité invalide",IF(AND(F2379&lt;&gt;"",OR(NOT(ISNUMBER(F2379)),N(F2379)&lt;0,N(F2379)&gt;=1)),"Perte entre 0 et 99 %",IF(COUNTIFS(bom_prod,A2379,bom_mat,B2379)&gt;1,"Matière en double","OK")))))))))</f>
        <v/>
      </c>
      <c r="K2379" s="71" t="str">
        <f>IF(AND(fiche_sel&lt;&gt;"",A2379=fiche_sel),COUNTIF(A$6:A2379,fiche_sel),"")</f>
        <v/>
      </c>
    </row>
    <row r="2380">
      <c r="A2380" s="60" t="n"/>
      <c r="B2380" s="60" t="n"/>
      <c r="C2380" s="71" t="str">
        <f>IF(B2380="","",IFERROR(INDEX(mat_des,MATCH(B2380,mat_ref,0))&amp;"","Matière inconnue"))</f>
        <v/>
      </c>
      <c r="D2380" s="69" t="str">
        <f>IF(B2380="","",IFERROR(INDEX(mat_unit,MATCH(B2380,mat_ref,0))&amp;"",""))</f>
        <v/>
      </c>
      <c r="E2380" s="72" t="n"/>
      <c r="F2380" s="65" t="n"/>
      <c r="G2380" s="68" t="str">
        <f>IF(J2380&lt;&gt;"OK","",IF(F2380="",N(INDEX(mat_loss,MATCH(B2380,mat_ref,0))),F2380))</f>
        <v/>
      </c>
      <c r="H2380" s="66" t="str">
        <f>IF(J2380&lt;&gt;"OK","",INDEX(mat_price,MATCH(B2380,mat_ref,0)))</f>
        <v/>
      </c>
      <c r="I2380" s="66" t="str">
        <f>IF(J2380&lt;&gt;"OK","",E2380*(1+G2380)*H2380)</f>
        <v/>
      </c>
      <c r="J2380" s="69" t="str">
        <f>IF(AND(A2380="",B2380=""),"",IF(A2380="","Produit manquant",IF(COUNTIF(prod_ref,A2380)=0,"Produit inconnu",IF(B2380="","Matière manquante",IF(ISNA(MATCH(B2380,mat_ref,0)),"Matière inconnue",IF(INDEX(mat_check,MATCH(B2380,mat_ref,0))&lt;&gt;"OK","Matière à corriger",IF(OR(NOT(ISNUMBER(E2380)),N(E2380)&lt;=0),"Quantité invalide",IF(AND(F2380&lt;&gt;"",OR(NOT(ISNUMBER(F2380)),N(F2380)&lt;0,N(F2380)&gt;=1)),"Perte entre 0 et 99 %",IF(COUNTIFS(bom_prod,A2380,bom_mat,B2380)&gt;1,"Matière en double","OK")))))))))</f>
        <v/>
      </c>
      <c r="K2380" s="71" t="str">
        <f>IF(AND(fiche_sel&lt;&gt;"",A2380=fiche_sel),COUNTIF(A$6:A2380,fiche_sel),"")</f>
        <v/>
      </c>
    </row>
    <row r="2381">
      <c r="A2381" s="60" t="n"/>
      <c r="B2381" s="60" t="n"/>
      <c r="C2381" s="71" t="str">
        <f>IF(B2381="","",IFERROR(INDEX(mat_des,MATCH(B2381,mat_ref,0))&amp;"","Matière inconnue"))</f>
        <v/>
      </c>
      <c r="D2381" s="69" t="str">
        <f>IF(B2381="","",IFERROR(INDEX(mat_unit,MATCH(B2381,mat_ref,0))&amp;"",""))</f>
        <v/>
      </c>
      <c r="E2381" s="72" t="n"/>
      <c r="F2381" s="65" t="n"/>
      <c r="G2381" s="68" t="str">
        <f>IF(J2381&lt;&gt;"OK","",IF(F2381="",N(INDEX(mat_loss,MATCH(B2381,mat_ref,0))),F2381))</f>
        <v/>
      </c>
      <c r="H2381" s="66" t="str">
        <f>IF(J2381&lt;&gt;"OK","",INDEX(mat_price,MATCH(B2381,mat_ref,0)))</f>
        <v/>
      </c>
      <c r="I2381" s="66" t="str">
        <f>IF(J2381&lt;&gt;"OK","",E2381*(1+G2381)*H2381)</f>
        <v/>
      </c>
      <c r="J2381" s="69" t="str">
        <f>IF(AND(A2381="",B2381=""),"",IF(A2381="","Produit manquant",IF(COUNTIF(prod_ref,A2381)=0,"Produit inconnu",IF(B2381="","Matière manquante",IF(ISNA(MATCH(B2381,mat_ref,0)),"Matière inconnue",IF(INDEX(mat_check,MATCH(B2381,mat_ref,0))&lt;&gt;"OK","Matière à corriger",IF(OR(NOT(ISNUMBER(E2381)),N(E2381)&lt;=0),"Quantité invalide",IF(AND(F2381&lt;&gt;"",OR(NOT(ISNUMBER(F2381)),N(F2381)&lt;0,N(F2381)&gt;=1)),"Perte entre 0 et 99 %",IF(COUNTIFS(bom_prod,A2381,bom_mat,B2381)&gt;1,"Matière en double","OK")))))))))</f>
        <v/>
      </c>
      <c r="K2381" s="71" t="str">
        <f>IF(AND(fiche_sel&lt;&gt;"",A2381=fiche_sel),COUNTIF(A$6:A2381,fiche_sel),"")</f>
        <v/>
      </c>
    </row>
    <row r="2382">
      <c r="A2382" s="60" t="n"/>
      <c r="B2382" s="60" t="n"/>
      <c r="C2382" s="71" t="str">
        <f>IF(B2382="","",IFERROR(INDEX(mat_des,MATCH(B2382,mat_ref,0))&amp;"","Matière inconnue"))</f>
        <v/>
      </c>
      <c r="D2382" s="69" t="str">
        <f>IF(B2382="","",IFERROR(INDEX(mat_unit,MATCH(B2382,mat_ref,0))&amp;"",""))</f>
        <v/>
      </c>
      <c r="E2382" s="72" t="n"/>
      <c r="F2382" s="65" t="n"/>
      <c r="G2382" s="68" t="str">
        <f>IF(J2382&lt;&gt;"OK","",IF(F2382="",N(INDEX(mat_loss,MATCH(B2382,mat_ref,0))),F2382))</f>
        <v/>
      </c>
      <c r="H2382" s="66" t="str">
        <f>IF(J2382&lt;&gt;"OK","",INDEX(mat_price,MATCH(B2382,mat_ref,0)))</f>
        <v/>
      </c>
      <c r="I2382" s="66" t="str">
        <f>IF(J2382&lt;&gt;"OK","",E2382*(1+G2382)*H2382)</f>
        <v/>
      </c>
      <c r="J2382" s="69" t="str">
        <f>IF(AND(A2382="",B2382=""),"",IF(A2382="","Produit manquant",IF(COUNTIF(prod_ref,A2382)=0,"Produit inconnu",IF(B2382="","Matière manquante",IF(ISNA(MATCH(B2382,mat_ref,0)),"Matière inconnue",IF(INDEX(mat_check,MATCH(B2382,mat_ref,0))&lt;&gt;"OK","Matière à corriger",IF(OR(NOT(ISNUMBER(E2382)),N(E2382)&lt;=0),"Quantité invalide",IF(AND(F2382&lt;&gt;"",OR(NOT(ISNUMBER(F2382)),N(F2382)&lt;0,N(F2382)&gt;=1)),"Perte entre 0 et 99 %",IF(COUNTIFS(bom_prod,A2382,bom_mat,B2382)&gt;1,"Matière en double","OK")))))))))</f>
        <v/>
      </c>
      <c r="K2382" s="71" t="str">
        <f>IF(AND(fiche_sel&lt;&gt;"",A2382=fiche_sel),COUNTIF(A$6:A2382,fiche_sel),"")</f>
        <v/>
      </c>
    </row>
    <row r="2383">
      <c r="A2383" s="60" t="n"/>
      <c r="B2383" s="60" t="n"/>
      <c r="C2383" s="71" t="str">
        <f>IF(B2383="","",IFERROR(INDEX(mat_des,MATCH(B2383,mat_ref,0))&amp;"","Matière inconnue"))</f>
        <v/>
      </c>
      <c r="D2383" s="69" t="str">
        <f>IF(B2383="","",IFERROR(INDEX(mat_unit,MATCH(B2383,mat_ref,0))&amp;"",""))</f>
        <v/>
      </c>
      <c r="E2383" s="72" t="n"/>
      <c r="F2383" s="65" t="n"/>
      <c r="G2383" s="68" t="str">
        <f>IF(J2383&lt;&gt;"OK","",IF(F2383="",N(INDEX(mat_loss,MATCH(B2383,mat_ref,0))),F2383))</f>
        <v/>
      </c>
      <c r="H2383" s="66" t="str">
        <f>IF(J2383&lt;&gt;"OK","",INDEX(mat_price,MATCH(B2383,mat_ref,0)))</f>
        <v/>
      </c>
      <c r="I2383" s="66" t="str">
        <f>IF(J2383&lt;&gt;"OK","",E2383*(1+G2383)*H2383)</f>
        <v/>
      </c>
      <c r="J2383" s="69" t="str">
        <f>IF(AND(A2383="",B2383=""),"",IF(A2383="","Produit manquant",IF(COUNTIF(prod_ref,A2383)=0,"Produit inconnu",IF(B2383="","Matière manquante",IF(ISNA(MATCH(B2383,mat_ref,0)),"Matière inconnue",IF(INDEX(mat_check,MATCH(B2383,mat_ref,0))&lt;&gt;"OK","Matière à corriger",IF(OR(NOT(ISNUMBER(E2383)),N(E2383)&lt;=0),"Quantité invalide",IF(AND(F2383&lt;&gt;"",OR(NOT(ISNUMBER(F2383)),N(F2383)&lt;0,N(F2383)&gt;=1)),"Perte entre 0 et 99 %",IF(COUNTIFS(bom_prod,A2383,bom_mat,B2383)&gt;1,"Matière en double","OK")))))))))</f>
        <v/>
      </c>
      <c r="K2383" s="71" t="str">
        <f>IF(AND(fiche_sel&lt;&gt;"",A2383=fiche_sel),COUNTIF(A$6:A2383,fiche_sel),"")</f>
        <v/>
      </c>
    </row>
    <row r="2384">
      <c r="A2384" s="60" t="n"/>
      <c r="B2384" s="60" t="n"/>
      <c r="C2384" s="71" t="str">
        <f>IF(B2384="","",IFERROR(INDEX(mat_des,MATCH(B2384,mat_ref,0))&amp;"","Matière inconnue"))</f>
        <v/>
      </c>
      <c r="D2384" s="69" t="str">
        <f>IF(B2384="","",IFERROR(INDEX(mat_unit,MATCH(B2384,mat_ref,0))&amp;"",""))</f>
        <v/>
      </c>
      <c r="E2384" s="72" t="n"/>
      <c r="F2384" s="65" t="n"/>
      <c r="G2384" s="68" t="str">
        <f>IF(J2384&lt;&gt;"OK","",IF(F2384="",N(INDEX(mat_loss,MATCH(B2384,mat_ref,0))),F2384))</f>
        <v/>
      </c>
      <c r="H2384" s="66" t="str">
        <f>IF(J2384&lt;&gt;"OK","",INDEX(mat_price,MATCH(B2384,mat_ref,0)))</f>
        <v/>
      </c>
      <c r="I2384" s="66" t="str">
        <f>IF(J2384&lt;&gt;"OK","",E2384*(1+G2384)*H2384)</f>
        <v/>
      </c>
      <c r="J2384" s="69" t="str">
        <f>IF(AND(A2384="",B2384=""),"",IF(A2384="","Produit manquant",IF(COUNTIF(prod_ref,A2384)=0,"Produit inconnu",IF(B2384="","Matière manquante",IF(ISNA(MATCH(B2384,mat_ref,0)),"Matière inconnue",IF(INDEX(mat_check,MATCH(B2384,mat_ref,0))&lt;&gt;"OK","Matière à corriger",IF(OR(NOT(ISNUMBER(E2384)),N(E2384)&lt;=0),"Quantité invalide",IF(AND(F2384&lt;&gt;"",OR(NOT(ISNUMBER(F2384)),N(F2384)&lt;0,N(F2384)&gt;=1)),"Perte entre 0 et 99 %",IF(COUNTIFS(bom_prod,A2384,bom_mat,B2384)&gt;1,"Matière en double","OK")))))))))</f>
        <v/>
      </c>
      <c r="K2384" s="71" t="str">
        <f>IF(AND(fiche_sel&lt;&gt;"",A2384=fiche_sel),COUNTIF(A$6:A2384,fiche_sel),"")</f>
        <v/>
      </c>
    </row>
    <row r="2385">
      <c r="A2385" s="60" t="n"/>
      <c r="B2385" s="60" t="n"/>
      <c r="C2385" s="71" t="str">
        <f>IF(B2385="","",IFERROR(INDEX(mat_des,MATCH(B2385,mat_ref,0))&amp;"","Matière inconnue"))</f>
        <v/>
      </c>
      <c r="D2385" s="69" t="str">
        <f>IF(B2385="","",IFERROR(INDEX(mat_unit,MATCH(B2385,mat_ref,0))&amp;"",""))</f>
        <v/>
      </c>
      <c r="E2385" s="72" t="n"/>
      <c r="F2385" s="65" t="n"/>
      <c r="G2385" s="68" t="str">
        <f>IF(J2385&lt;&gt;"OK","",IF(F2385="",N(INDEX(mat_loss,MATCH(B2385,mat_ref,0))),F2385))</f>
        <v/>
      </c>
      <c r="H2385" s="66" t="str">
        <f>IF(J2385&lt;&gt;"OK","",INDEX(mat_price,MATCH(B2385,mat_ref,0)))</f>
        <v/>
      </c>
      <c r="I2385" s="66" t="str">
        <f>IF(J2385&lt;&gt;"OK","",E2385*(1+G2385)*H2385)</f>
        <v/>
      </c>
      <c r="J2385" s="69" t="str">
        <f>IF(AND(A2385="",B2385=""),"",IF(A2385="","Produit manquant",IF(COUNTIF(prod_ref,A2385)=0,"Produit inconnu",IF(B2385="","Matière manquante",IF(ISNA(MATCH(B2385,mat_ref,0)),"Matière inconnue",IF(INDEX(mat_check,MATCH(B2385,mat_ref,0))&lt;&gt;"OK","Matière à corriger",IF(OR(NOT(ISNUMBER(E2385)),N(E2385)&lt;=0),"Quantité invalide",IF(AND(F2385&lt;&gt;"",OR(NOT(ISNUMBER(F2385)),N(F2385)&lt;0,N(F2385)&gt;=1)),"Perte entre 0 et 99 %",IF(COUNTIFS(bom_prod,A2385,bom_mat,B2385)&gt;1,"Matière en double","OK")))))))))</f>
        <v/>
      </c>
      <c r="K2385" s="71" t="str">
        <f>IF(AND(fiche_sel&lt;&gt;"",A2385=fiche_sel),COUNTIF(A$6:A2385,fiche_sel),"")</f>
        <v/>
      </c>
    </row>
    <row r="2386">
      <c r="A2386" s="60" t="n"/>
      <c r="B2386" s="60" t="n"/>
      <c r="C2386" s="71" t="str">
        <f>IF(B2386="","",IFERROR(INDEX(mat_des,MATCH(B2386,mat_ref,0))&amp;"","Matière inconnue"))</f>
        <v/>
      </c>
      <c r="D2386" s="69" t="str">
        <f>IF(B2386="","",IFERROR(INDEX(mat_unit,MATCH(B2386,mat_ref,0))&amp;"",""))</f>
        <v/>
      </c>
      <c r="E2386" s="72" t="n"/>
      <c r="F2386" s="65" t="n"/>
      <c r="G2386" s="68" t="str">
        <f>IF(J2386&lt;&gt;"OK","",IF(F2386="",N(INDEX(mat_loss,MATCH(B2386,mat_ref,0))),F2386))</f>
        <v/>
      </c>
      <c r="H2386" s="66" t="str">
        <f>IF(J2386&lt;&gt;"OK","",INDEX(mat_price,MATCH(B2386,mat_ref,0)))</f>
        <v/>
      </c>
      <c r="I2386" s="66" t="str">
        <f>IF(J2386&lt;&gt;"OK","",E2386*(1+G2386)*H2386)</f>
        <v/>
      </c>
      <c r="J2386" s="69" t="str">
        <f>IF(AND(A2386="",B2386=""),"",IF(A2386="","Produit manquant",IF(COUNTIF(prod_ref,A2386)=0,"Produit inconnu",IF(B2386="","Matière manquante",IF(ISNA(MATCH(B2386,mat_ref,0)),"Matière inconnue",IF(INDEX(mat_check,MATCH(B2386,mat_ref,0))&lt;&gt;"OK","Matière à corriger",IF(OR(NOT(ISNUMBER(E2386)),N(E2386)&lt;=0),"Quantité invalide",IF(AND(F2386&lt;&gt;"",OR(NOT(ISNUMBER(F2386)),N(F2386)&lt;0,N(F2386)&gt;=1)),"Perte entre 0 et 99 %",IF(COUNTIFS(bom_prod,A2386,bom_mat,B2386)&gt;1,"Matière en double","OK")))))))))</f>
        <v/>
      </c>
      <c r="K2386" s="71" t="str">
        <f>IF(AND(fiche_sel&lt;&gt;"",A2386=fiche_sel),COUNTIF(A$6:A2386,fiche_sel),"")</f>
        <v/>
      </c>
    </row>
    <row r="2387">
      <c r="A2387" s="60" t="n"/>
      <c r="B2387" s="60" t="n"/>
      <c r="C2387" s="71" t="str">
        <f>IF(B2387="","",IFERROR(INDEX(mat_des,MATCH(B2387,mat_ref,0))&amp;"","Matière inconnue"))</f>
        <v/>
      </c>
      <c r="D2387" s="69" t="str">
        <f>IF(B2387="","",IFERROR(INDEX(mat_unit,MATCH(B2387,mat_ref,0))&amp;"",""))</f>
        <v/>
      </c>
      <c r="E2387" s="72" t="n"/>
      <c r="F2387" s="65" t="n"/>
      <c r="G2387" s="68" t="str">
        <f>IF(J2387&lt;&gt;"OK","",IF(F2387="",N(INDEX(mat_loss,MATCH(B2387,mat_ref,0))),F2387))</f>
        <v/>
      </c>
      <c r="H2387" s="66" t="str">
        <f>IF(J2387&lt;&gt;"OK","",INDEX(mat_price,MATCH(B2387,mat_ref,0)))</f>
        <v/>
      </c>
      <c r="I2387" s="66" t="str">
        <f>IF(J2387&lt;&gt;"OK","",E2387*(1+G2387)*H2387)</f>
        <v/>
      </c>
      <c r="J2387" s="69" t="str">
        <f>IF(AND(A2387="",B2387=""),"",IF(A2387="","Produit manquant",IF(COUNTIF(prod_ref,A2387)=0,"Produit inconnu",IF(B2387="","Matière manquante",IF(ISNA(MATCH(B2387,mat_ref,0)),"Matière inconnue",IF(INDEX(mat_check,MATCH(B2387,mat_ref,0))&lt;&gt;"OK","Matière à corriger",IF(OR(NOT(ISNUMBER(E2387)),N(E2387)&lt;=0),"Quantité invalide",IF(AND(F2387&lt;&gt;"",OR(NOT(ISNUMBER(F2387)),N(F2387)&lt;0,N(F2387)&gt;=1)),"Perte entre 0 et 99 %",IF(COUNTIFS(bom_prod,A2387,bom_mat,B2387)&gt;1,"Matière en double","OK")))))))))</f>
        <v/>
      </c>
      <c r="K2387" s="71" t="str">
        <f>IF(AND(fiche_sel&lt;&gt;"",A2387=fiche_sel),COUNTIF(A$6:A2387,fiche_sel),"")</f>
        <v/>
      </c>
    </row>
    <row r="2388">
      <c r="A2388" s="60" t="n"/>
      <c r="B2388" s="60" t="n"/>
      <c r="C2388" s="71" t="str">
        <f>IF(B2388="","",IFERROR(INDEX(mat_des,MATCH(B2388,mat_ref,0))&amp;"","Matière inconnue"))</f>
        <v/>
      </c>
      <c r="D2388" s="69" t="str">
        <f>IF(B2388="","",IFERROR(INDEX(mat_unit,MATCH(B2388,mat_ref,0))&amp;"",""))</f>
        <v/>
      </c>
      <c r="E2388" s="72" t="n"/>
      <c r="F2388" s="65" t="n"/>
      <c r="G2388" s="68" t="str">
        <f>IF(J2388&lt;&gt;"OK","",IF(F2388="",N(INDEX(mat_loss,MATCH(B2388,mat_ref,0))),F2388))</f>
        <v/>
      </c>
      <c r="H2388" s="66" t="str">
        <f>IF(J2388&lt;&gt;"OK","",INDEX(mat_price,MATCH(B2388,mat_ref,0)))</f>
        <v/>
      </c>
      <c r="I2388" s="66" t="str">
        <f>IF(J2388&lt;&gt;"OK","",E2388*(1+G2388)*H2388)</f>
        <v/>
      </c>
      <c r="J2388" s="69" t="str">
        <f>IF(AND(A2388="",B2388=""),"",IF(A2388="","Produit manquant",IF(COUNTIF(prod_ref,A2388)=0,"Produit inconnu",IF(B2388="","Matière manquante",IF(ISNA(MATCH(B2388,mat_ref,0)),"Matière inconnue",IF(INDEX(mat_check,MATCH(B2388,mat_ref,0))&lt;&gt;"OK","Matière à corriger",IF(OR(NOT(ISNUMBER(E2388)),N(E2388)&lt;=0),"Quantité invalide",IF(AND(F2388&lt;&gt;"",OR(NOT(ISNUMBER(F2388)),N(F2388)&lt;0,N(F2388)&gt;=1)),"Perte entre 0 et 99 %",IF(COUNTIFS(bom_prod,A2388,bom_mat,B2388)&gt;1,"Matière en double","OK")))))))))</f>
        <v/>
      </c>
      <c r="K2388" s="71" t="str">
        <f>IF(AND(fiche_sel&lt;&gt;"",A2388=fiche_sel),COUNTIF(A$6:A2388,fiche_sel),"")</f>
        <v/>
      </c>
    </row>
    <row r="2389">
      <c r="A2389" s="60" t="n"/>
      <c r="B2389" s="60" t="n"/>
      <c r="C2389" s="71" t="str">
        <f>IF(B2389="","",IFERROR(INDEX(mat_des,MATCH(B2389,mat_ref,0))&amp;"","Matière inconnue"))</f>
        <v/>
      </c>
      <c r="D2389" s="69" t="str">
        <f>IF(B2389="","",IFERROR(INDEX(mat_unit,MATCH(B2389,mat_ref,0))&amp;"",""))</f>
        <v/>
      </c>
      <c r="E2389" s="72" t="n"/>
      <c r="F2389" s="65" t="n"/>
      <c r="G2389" s="68" t="str">
        <f>IF(J2389&lt;&gt;"OK","",IF(F2389="",N(INDEX(mat_loss,MATCH(B2389,mat_ref,0))),F2389))</f>
        <v/>
      </c>
      <c r="H2389" s="66" t="str">
        <f>IF(J2389&lt;&gt;"OK","",INDEX(mat_price,MATCH(B2389,mat_ref,0)))</f>
        <v/>
      </c>
      <c r="I2389" s="66" t="str">
        <f>IF(J2389&lt;&gt;"OK","",E2389*(1+G2389)*H2389)</f>
        <v/>
      </c>
      <c r="J2389" s="69" t="str">
        <f>IF(AND(A2389="",B2389=""),"",IF(A2389="","Produit manquant",IF(COUNTIF(prod_ref,A2389)=0,"Produit inconnu",IF(B2389="","Matière manquante",IF(ISNA(MATCH(B2389,mat_ref,0)),"Matière inconnue",IF(INDEX(mat_check,MATCH(B2389,mat_ref,0))&lt;&gt;"OK","Matière à corriger",IF(OR(NOT(ISNUMBER(E2389)),N(E2389)&lt;=0),"Quantité invalide",IF(AND(F2389&lt;&gt;"",OR(NOT(ISNUMBER(F2389)),N(F2389)&lt;0,N(F2389)&gt;=1)),"Perte entre 0 et 99 %",IF(COUNTIFS(bom_prod,A2389,bom_mat,B2389)&gt;1,"Matière en double","OK")))))))))</f>
        <v/>
      </c>
      <c r="K2389" s="71" t="str">
        <f>IF(AND(fiche_sel&lt;&gt;"",A2389=fiche_sel),COUNTIF(A$6:A2389,fiche_sel),"")</f>
        <v/>
      </c>
    </row>
    <row r="2390">
      <c r="A2390" s="60" t="n"/>
      <c r="B2390" s="60" t="n"/>
      <c r="C2390" s="71" t="str">
        <f>IF(B2390="","",IFERROR(INDEX(mat_des,MATCH(B2390,mat_ref,0))&amp;"","Matière inconnue"))</f>
        <v/>
      </c>
      <c r="D2390" s="69" t="str">
        <f>IF(B2390="","",IFERROR(INDEX(mat_unit,MATCH(B2390,mat_ref,0))&amp;"",""))</f>
        <v/>
      </c>
      <c r="E2390" s="72" t="n"/>
      <c r="F2390" s="65" t="n"/>
      <c r="G2390" s="68" t="str">
        <f>IF(J2390&lt;&gt;"OK","",IF(F2390="",N(INDEX(mat_loss,MATCH(B2390,mat_ref,0))),F2390))</f>
        <v/>
      </c>
      <c r="H2390" s="66" t="str">
        <f>IF(J2390&lt;&gt;"OK","",INDEX(mat_price,MATCH(B2390,mat_ref,0)))</f>
        <v/>
      </c>
      <c r="I2390" s="66" t="str">
        <f>IF(J2390&lt;&gt;"OK","",E2390*(1+G2390)*H2390)</f>
        <v/>
      </c>
      <c r="J2390" s="69" t="str">
        <f>IF(AND(A2390="",B2390=""),"",IF(A2390="","Produit manquant",IF(COUNTIF(prod_ref,A2390)=0,"Produit inconnu",IF(B2390="","Matière manquante",IF(ISNA(MATCH(B2390,mat_ref,0)),"Matière inconnue",IF(INDEX(mat_check,MATCH(B2390,mat_ref,0))&lt;&gt;"OK","Matière à corriger",IF(OR(NOT(ISNUMBER(E2390)),N(E2390)&lt;=0),"Quantité invalide",IF(AND(F2390&lt;&gt;"",OR(NOT(ISNUMBER(F2390)),N(F2390)&lt;0,N(F2390)&gt;=1)),"Perte entre 0 et 99 %",IF(COUNTIFS(bom_prod,A2390,bom_mat,B2390)&gt;1,"Matière en double","OK")))))))))</f>
        <v/>
      </c>
      <c r="K2390" s="71" t="str">
        <f>IF(AND(fiche_sel&lt;&gt;"",A2390=fiche_sel),COUNTIF(A$6:A2390,fiche_sel),"")</f>
        <v/>
      </c>
    </row>
    <row r="2391">
      <c r="A2391" s="60" t="n"/>
      <c r="B2391" s="60" t="n"/>
      <c r="C2391" s="71" t="str">
        <f>IF(B2391="","",IFERROR(INDEX(mat_des,MATCH(B2391,mat_ref,0))&amp;"","Matière inconnue"))</f>
        <v/>
      </c>
      <c r="D2391" s="69" t="str">
        <f>IF(B2391="","",IFERROR(INDEX(mat_unit,MATCH(B2391,mat_ref,0))&amp;"",""))</f>
        <v/>
      </c>
      <c r="E2391" s="72" t="n"/>
      <c r="F2391" s="65" t="n"/>
      <c r="G2391" s="68" t="str">
        <f>IF(J2391&lt;&gt;"OK","",IF(F2391="",N(INDEX(mat_loss,MATCH(B2391,mat_ref,0))),F2391))</f>
        <v/>
      </c>
      <c r="H2391" s="66" t="str">
        <f>IF(J2391&lt;&gt;"OK","",INDEX(mat_price,MATCH(B2391,mat_ref,0)))</f>
        <v/>
      </c>
      <c r="I2391" s="66" t="str">
        <f>IF(J2391&lt;&gt;"OK","",E2391*(1+G2391)*H2391)</f>
        <v/>
      </c>
      <c r="J2391" s="69" t="str">
        <f>IF(AND(A2391="",B2391=""),"",IF(A2391="","Produit manquant",IF(COUNTIF(prod_ref,A2391)=0,"Produit inconnu",IF(B2391="","Matière manquante",IF(ISNA(MATCH(B2391,mat_ref,0)),"Matière inconnue",IF(INDEX(mat_check,MATCH(B2391,mat_ref,0))&lt;&gt;"OK","Matière à corriger",IF(OR(NOT(ISNUMBER(E2391)),N(E2391)&lt;=0),"Quantité invalide",IF(AND(F2391&lt;&gt;"",OR(NOT(ISNUMBER(F2391)),N(F2391)&lt;0,N(F2391)&gt;=1)),"Perte entre 0 et 99 %",IF(COUNTIFS(bom_prod,A2391,bom_mat,B2391)&gt;1,"Matière en double","OK")))))))))</f>
        <v/>
      </c>
      <c r="K2391" s="71" t="str">
        <f>IF(AND(fiche_sel&lt;&gt;"",A2391=fiche_sel),COUNTIF(A$6:A2391,fiche_sel),"")</f>
        <v/>
      </c>
    </row>
    <row r="2392">
      <c r="A2392" s="60" t="n"/>
      <c r="B2392" s="60" t="n"/>
      <c r="C2392" s="71" t="str">
        <f>IF(B2392="","",IFERROR(INDEX(mat_des,MATCH(B2392,mat_ref,0))&amp;"","Matière inconnue"))</f>
        <v/>
      </c>
      <c r="D2392" s="69" t="str">
        <f>IF(B2392="","",IFERROR(INDEX(mat_unit,MATCH(B2392,mat_ref,0))&amp;"",""))</f>
        <v/>
      </c>
      <c r="E2392" s="72" t="n"/>
      <c r="F2392" s="65" t="n"/>
      <c r="G2392" s="68" t="str">
        <f>IF(J2392&lt;&gt;"OK","",IF(F2392="",N(INDEX(mat_loss,MATCH(B2392,mat_ref,0))),F2392))</f>
        <v/>
      </c>
      <c r="H2392" s="66" t="str">
        <f>IF(J2392&lt;&gt;"OK","",INDEX(mat_price,MATCH(B2392,mat_ref,0)))</f>
        <v/>
      </c>
      <c r="I2392" s="66" t="str">
        <f>IF(J2392&lt;&gt;"OK","",E2392*(1+G2392)*H2392)</f>
        <v/>
      </c>
      <c r="J2392" s="69" t="str">
        <f>IF(AND(A2392="",B2392=""),"",IF(A2392="","Produit manquant",IF(COUNTIF(prod_ref,A2392)=0,"Produit inconnu",IF(B2392="","Matière manquante",IF(ISNA(MATCH(B2392,mat_ref,0)),"Matière inconnue",IF(INDEX(mat_check,MATCH(B2392,mat_ref,0))&lt;&gt;"OK","Matière à corriger",IF(OR(NOT(ISNUMBER(E2392)),N(E2392)&lt;=0),"Quantité invalide",IF(AND(F2392&lt;&gt;"",OR(NOT(ISNUMBER(F2392)),N(F2392)&lt;0,N(F2392)&gt;=1)),"Perte entre 0 et 99 %",IF(COUNTIFS(bom_prod,A2392,bom_mat,B2392)&gt;1,"Matière en double","OK")))))))))</f>
        <v/>
      </c>
      <c r="K2392" s="71" t="str">
        <f>IF(AND(fiche_sel&lt;&gt;"",A2392=fiche_sel),COUNTIF(A$6:A2392,fiche_sel),"")</f>
        <v/>
      </c>
    </row>
    <row r="2393">
      <c r="A2393" s="60" t="n"/>
      <c r="B2393" s="60" t="n"/>
      <c r="C2393" s="71" t="str">
        <f>IF(B2393="","",IFERROR(INDEX(mat_des,MATCH(B2393,mat_ref,0))&amp;"","Matière inconnue"))</f>
        <v/>
      </c>
      <c r="D2393" s="69" t="str">
        <f>IF(B2393="","",IFERROR(INDEX(mat_unit,MATCH(B2393,mat_ref,0))&amp;"",""))</f>
        <v/>
      </c>
      <c r="E2393" s="72" t="n"/>
      <c r="F2393" s="65" t="n"/>
      <c r="G2393" s="68" t="str">
        <f>IF(J2393&lt;&gt;"OK","",IF(F2393="",N(INDEX(mat_loss,MATCH(B2393,mat_ref,0))),F2393))</f>
        <v/>
      </c>
      <c r="H2393" s="66" t="str">
        <f>IF(J2393&lt;&gt;"OK","",INDEX(mat_price,MATCH(B2393,mat_ref,0)))</f>
        <v/>
      </c>
      <c r="I2393" s="66" t="str">
        <f>IF(J2393&lt;&gt;"OK","",E2393*(1+G2393)*H2393)</f>
        <v/>
      </c>
      <c r="J2393" s="69" t="str">
        <f>IF(AND(A2393="",B2393=""),"",IF(A2393="","Produit manquant",IF(COUNTIF(prod_ref,A2393)=0,"Produit inconnu",IF(B2393="","Matière manquante",IF(ISNA(MATCH(B2393,mat_ref,0)),"Matière inconnue",IF(INDEX(mat_check,MATCH(B2393,mat_ref,0))&lt;&gt;"OK","Matière à corriger",IF(OR(NOT(ISNUMBER(E2393)),N(E2393)&lt;=0),"Quantité invalide",IF(AND(F2393&lt;&gt;"",OR(NOT(ISNUMBER(F2393)),N(F2393)&lt;0,N(F2393)&gt;=1)),"Perte entre 0 et 99 %",IF(COUNTIFS(bom_prod,A2393,bom_mat,B2393)&gt;1,"Matière en double","OK")))))))))</f>
        <v/>
      </c>
      <c r="K2393" s="71" t="str">
        <f>IF(AND(fiche_sel&lt;&gt;"",A2393=fiche_sel),COUNTIF(A$6:A2393,fiche_sel),"")</f>
        <v/>
      </c>
    </row>
    <row r="2394">
      <c r="A2394" s="60" t="n"/>
      <c r="B2394" s="60" t="n"/>
      <c r="C2394" s="71" t="str">
        <f>IF(B2394="","",IFERROR(INDEX(mat_des,MATCH(B2394,mat_ref,0))&amp;"","Matière inconnue"))</f>
        <v/>
      </c>
      <c r="D2394" s="69" t="str">
        <f>IF(B2394="","",IFERROR(INDEX(mat_unit,MATCH(B2394,mat_ref,0))&amp;"",""))</f>
        <v/>
      </c>
      <c r="E2394" s="72" t="n"/>
      <c r="F2394" s="65" t="n"/>
      <c r="G2394" s="68" t="str">
        <f>IF(J2394&lt;&gt;"OK","",IF(F2394="",N(INDEX(mat_loss,MATCH(B2394,mat_ref,0))),F2394))</f>
        <v/>
      </c>
      <c r="H2394" s="66" t="str">
        <f>IF(J2394&lt;&gt;"OK","",INDEX(mat_price,MATCH(B2394,mat_ref,0)))</f>
        <v/>
      </c>
      <c r="I2394" s="66" t="str">
        <f>IF(J2394&lt;&gt;"OK","",E2394*(1+G2394)*H2394)</f>
        <v/>
      </c>
      <c r="J2394" s="69" t="str">
        <f>IF(AND(A2394="",B2394=""),"",IF(A2394="","Produit manquant",IF(COUNTIF(prod_ref,A2394)=0,"Produit inconnu",IF(B2394="","Matière manquante",IF(ISNA(MATCH(B2394,mat_ref,0)),"Matière inconnue",IF(INDEX(mat_check,MATCH(B2394,mat_ref,0))&lt;&gt;"OK","Matière à corriger",IF(OR(NOT(ISNUMBER(E2394)),N(E2394)&lt;=0),"Quantité invalide",IF(AND(F2394&lt;&gt;"",OR(NOT(ISNUMBER(F2394)),N(F2394)&lt;0,N(F2394)&gt;=1)),"Perte entre 0 et 99 %",IF(COUNTIFS(bom_prod,A2394,bom_mat,B2394)&gt;1,"Matière en double","OK")))))))))</f>
        <v/>
      </c>
      <c r="K2394" s="71" t="str">
        <f>IF(AND(fiche_sel&lt;&gt;"",A2394=fiche_sel),COUNTIF(A$6:A2394,fiche_sel),"")</f>
        <v/>
      </c>
    </row>
    <row r="2395">
      <c r="A2395" s="60" t="n"/>
      <c r="B2395" s="60" t="n"/>
      <c r="C2395" s="71" t="str">
        <f>IF(B2395="","",IFERROR(INDEX(mat_des,MATCH(B2395,mat_ref,0))&amp;"","Matière inconnue"))</f>
        <v/>
      </c>
      <c r="D2395" s="69" t="str">
        <f>IF(B2395="","",IFERROR(INDEX(mat_unit,MATCH(B2395,mat_ref,0))&amp;"",""))</f>
        <v/>
      </c>
      <c r="E2395" s="72" t="n"/>
      <c r="F2395" s="65" t="n"/>
      <c r="G2395" s="68" t="str">
        <f>IF(J2395&lt;&gt;"OK","",IF(F2395="",N(INDEX(mat_loss,MATCH(B2395,mat_ref,0))),F2395))</f>
        <v/>
      </c>
      <c r="H2395" s="66" t="str">
        <f>IF(J2395&lt;&gt;"OK","",INDEX(mat_price,MATCH(B2395,mat_ref,0)))</f>
        <v/>
      </c>
      <c r="I2395" s="66" t="str">
        <f>IF(J2395&lt;&gt;"OK","",E2395*(1+G2395)*H2395)</f>
        <v/>
      </c>
      <c r="J2395" s="69" t="str">
        <f>IF(AND(A2395="",B2395=""),"",IF(A2395="","Produit manquant",IF(COUNTIF(prod_ref,A2395)=0,"Produit inconnu",IF(B2395="","Matière manquante",IF(ISNA(MATCH(B2395,mat_ref,0)),"Matière inconnue",IF(INDEX(mat_check,MATCH(B2395,mat_ref,0))&lt;&gt;"OK","Matière à corriger",IF(OR(NOT(ISNUMBER(E2395)),N(E2395)&lt;=0),"Quantité invalide",IF(AND(F2395&lt;&gt;"",OR(NOT(ISNUMBER(F2395)),N(F2395)&lt;0,N(F2395)&gt;=1)),"Perte entre 0 et 99 %",IF(COUNTIFS(bom_prod,A2395,bom_mat,B2395)&gt;1,"Matière en double","OK")))))))))</f>
        <v/>
      </c>
      <c r="K2395" s="71" t="str">
        <f>IF(AND(fiche_sel&lt;&gt;"",A2395=fiche_sel),COUNTIF(A$6:A2395,fiche_sel),"")</f>
        <v/>
      </c>
    </row>
    <row r="2396">
      <c r="A2396" s="60" t="n"/>
      <c r="B2396" s="60" t="n"/>
      <c r="C2396" s="71" t="str">
        <f>IF(B2396="","",IFERROR(INDEX(mat_des,MATCH(B2396,mat_ref,0))&amp;"","Matière inconnue"))</f>
        <v/>
      </c>
      <c r="D2396" s="69" t="str">
        <f>IF(B2396="","",IFERROR(INDEX(mat_unit,MATCH(B2396,mat_ref,0))&amp;"",""))</f>
        <v/>
      </c>
      <c r="E2396" s="72" t="n"/>
      <c r="F2396" s="65" t="n"/>
      <c r="G2396" s="68" t="str">
        <f>IF(J2396&lt;&gt;"OK","",IF(F2396="",N(INDEX(mat_loss,MATCH(B2396,mat_ref,0))),F2396))</f>
        <v/>
      </c>
      <c r="H2396" s="66" t="str">
        <f>IF(J2396&lt;&gt;"OK","",INDEX(mat_price,MATCH(B2396,mat_ref,0)))</f>
        <v/>
      </c>
      <c r="I2396" s="66" t="str">
        <f>IF(J2396&lt;&gt;"OK","",E2396*(1+G2396)*H2396)</f>
        <v/>
      </c>
      <c r="J2396" s="69" t="str">
        <f>IF(AND(A2396="",B2396=""),"",IF(A2396="","Produit manquant",IF(COUNTIF(prod_ref,A2396)=0,"Produit inconnu",IF(B2396="","Matière manquante",IF(ISNA(MATCH(B2396,mat_ref,0)),"Matière inconnue",IF(INDEX(mat_check,MATCH(B2396,mat_ref,0))&lt;&gt;"OK","Matière à corriger",IF(OR(NOT(ISNUMBER(E2396)),N(E2396)&lt;=0),"Quantité invalide",IF(AND(F2396&lt;&gt;"",OR(NOT(ISNUMBER(F2396)),N(F2396)&lt;0,N(F2396)&gt;=1)),"Perte entre 0 et 99 %",IF(COUNTIFS(bom_prod,A2396,bom_mat,B2396)&gt;1,"Matière en double","OK")))))))))</f>
        <v/>
      </c>
      <c r="K2396" s="71" t="str">
        <f>IF(AND(fiche_sel&lt;&gt;"",A2396=fiche_sel),COUNTIF(A$6:A2396,fiche_sel),"")</f>
        <v/>
      </c>
    </row>
    <row r="2397">
      <c r="A2397" s="60" t="n"/>
      <c r="B2397" s="60" t="n"/>
      <c r="C2397" s="71" t="str">
        <f>IF(B2397="","",IFERROR(INDEX(mat_des,MATCH(B2397,mat_ref,0))&amp;"","Matière inconnue"))</f>
        <v/>
      </c>
      <c r="D2397" s="69" t="str">
        <f>IF(B2397="","",IFERROR(INDEX(mat_unit,MATCH(B2397,mat_ref,0))&amp;"",""))</f>
        <v/>
      </c>
      <c r="E2397" s="72" t="n"/>
      <c r="F2397" s="65" t="n"/>
      <c r="G2397" s="68" t="str">
        <f>IF(J2397&lt;&gt;"OK","",IF(F2397="",N(INDEX(mat_loss,MATCH(B2397,mat_ref,0))),F2397))</f>
        <v/>
      </c>
      <c r="H2397" s="66" t="str">
        <f>IF(J2397&lt;&gt;"OK","",INDEX(mat_price,MATCH(B2397,mat_ref,0)))</f>
        <v/>
      </c>
      <c r="I2397" s="66" t="str">
        <f>IF(J2397&lt;&gt;"OK","",E2397*(1+G2397)*H2397)</f>
        <v/>
      </c>
      <c r="J2397" s="69" t="str">
        <f>IF(AND(A2397="",B2397=""),"",IF(A2397="","Produit manquant",IF(COUNTIF(prod_ref,A2397)=0,"Produit inconnu",IF(B2397="","Matière manquante",IF(ISNA(MATCH(B2397,mat_ref,0)),"Matière inconnue",IF(INDEX(mat_check,MATCH(B2397,mat_ref,0))&lt;&gt;"OK","Matière à corriger",IF(OR(NOT(ISNUMBER(E2397)),N(E2397)&lt;=0),"Quantité invalide",IF(AND(F2397&lt;&gt;"",OR(NOT(ISNUMBER(F2397)),N(F2397)&lt;0,N(F2397)&gt;=1)),"Perte entre 0 et 99 %",IF(COUNTIFS(bom_prod,A2397,bom_mat,B2397)&gt;1,"Matière en double","OK")))))))))</f>
        <v/>
      </c>
      <c r="K2397" s="71" t="str">
        <f>IF(AND(fiche_sel&lt;&gt;"",A2397=fiche_sel),COUNTIF(A$6:A2397,fiche_sel),"")</f>
        <v/>
      </c>
    </row>
    <row r="2398">
      <c r="A2398" s="60" t="n"/>
      <c r="B2398" s="60" t="n"/>
      <c r="C2398" s="71" t="str">
        <f>IF(B2398="","",IFERROR(INDEX(mat_des,MATCH(B2398,mat_ref,0))&amp;"","Matière inconnue"))</f>
        <v/>
      </c>
      <c r="D2398" s="69" t="str">
        <f>IF(B2398="","",IFERROR(INDEX(mat_unit,MATCH(B2398,mat_ref,0))&amp;"",""))</f>
        <v/>
      </c>
      <c r="E2398" s="72" t="n"/>
      <c r="F2398" s="65" t="n"/>
      <c r="G2398" s="68" t="str">
        <f>IF(J2398&lt;&gt;"OK","",IF(F2398="",N(INDEX(mat_loss,MATCH(B2398,mat_ref,0))),F2398))</f>
        <v/>
      </c>
      <c r="H2398" s="66" t="str">
        <f>IF(J2398&lt;&gt;"OK","",INDEX(mat_price,MATCH(B2398,mat_ref,0)))</f>
        <v/>
      </c>
      <c r="I2398" s="66" t="str">
        <f>IF(J2398&lt;&gt;"OK","",E2398*(1+G2398)*H2398)</f>
        <v/>
      </c>
      <c r="J2398" s="69" t="str">
        <f>IF(AND(A2398="",B2398=""),"",IF(A2398="","Produit manquant",IF(COUNTIF(prod_ref,A2398)=0,"Produit inconnu",IF(B2398="","Matière manquante",IF(ISNA(MATCH(B2398,mat_ref,0)),"Matière inconnue",IF(INDEX(mat_check,MATCH(B2398,mat_ref,0))&lt;&gt;"OK","Matière à corriger",IF(OR(NOT(ISNUMBER(E2398)),N(E2398)&lt;=0),"Quantité invalide",IF(AND(F2398&lt;&gt;"",OR(NOT(ISNUMBER(F2398)),N(F2398)&lt;0,N(F2398)&gt;=1)),"Perte entre 0 et 99 %",IF(COUNTIFS(bom_prod,A2398,bom_mat,B2398)&gt;1,"Matière en double","OK")))))))))</f>
        <v/>
      </c>
      <c r="K2398" s="71" t="str">
        <f>IF(AND(fiche_sel&lt;&gt;"",A2398=fiche_sel),COUNTIF(A$6:A2398,fiche_sel),"")</f>
        <v/>
      </c>
    </row>
    <row r="2399">
      <c r="A2399" s="60" t="n"/>
      <c r="B2399" s="60" t="n"/>
      <c r="C2399" s="71" t="str">
        <f>IF(B2399="","",IFERROR(INDEX(mat_des,MATCH(B2399,mat_ref,0))&amp;"","Matière inconnue"))</f>
        <v/>
      </c>
      <c r="D2399" s="69" t="str">
        <f>IF(B2399="","",IFERROR(INDEX(mat_unit,MATCH(B2399,mat_ref,0))&amp;"",""))</f>
        <v/>
      </c>
      <c r="E2399" s="72" t="n"/>
      <c r="F2399" s="65" t="n"/>
      <c r="G2399" s="68" t="str">
        <f>IF(J2399&lt;&gt;"OK","",IF(F2399="",N(INDEX(mat_loss,MATCH(B2399,mat_ref,0))),F2399))</f>
        <v/>
      </c>
      <c r="H2399" s="66" t="str">
        <f>IF(J2399&lt;&gt;"OK","",INDEX(mat_price,MATCH(B2399,mat_ref,0)))</f>
        <v/>
      </c>
      <c r="I2399" s="66" t="str">
        <f>IF(J2399&lt;&gt;"OK","",E2399*(1+G2399)*H2399)</f>
        <v/>
      </c>
      <c r="J2399" s="69" t="str">
        <f>IF(AND(A2399="",B2399=""),"",IF(A2399="","Produit manquant",IF(COUNTIF(prod_ref,A2399)=0,"Produit inconnu",IF(B2399="","Matière manquante",IF(ISNA(MATCH(B2399,mat_ref,0)),"Matière inconnue",IF(INDEX(mat_check,MATCH(B2399,mat_ref,0))&lt;&gt;"OK","Matière à corriger",IF(OR(NOT(ISNUMBER(E2399)),N(E2399)&lt;=0),"Quantité invalide",IF(AND(F2399&lt;&gt;"",OR(NOT(ISNUMBER(F2399)),N(F2399)&lt;0,N(F2399)&gt;=1)),"Perte entre 0 et 99 %",IF(COUNTIFS(bom_prod,A2399,bom_mat,B2399)&gt;1,"Matière en double","OK")))))))))</f>
        <v/>
      </c>
      <c r="K2399" s="71" t="str">
        <f>IF(AND(fiche_sel&lt;&gt;"",A2399=fiche_sel),COUNTIF(A$6:A2399,fiche_sel),"")</f>
        <v/>
      </c>
    </row>
    <row r="2400">
      <c r="A2400" s="60" t="n"/>
      <c r="B2400" s="60" t="n"/>
      <c r="C2400" s="71" t="str">
        <f>IF(B2400="","",IFERROR(INDEX(mat_des,MATCH(B2400,mat_ref,0))&amp;"","Matière inconnue"))</f>
        <v/>
      </c>
      <c r="D2400" s="69" t="str">
        <f>IF(B2400="","",IFERROR(INDEX(mat_unit,MATCH(B2400,mat_ref,0))&amp;"",""))</f>
        <v/>
      </c>
      <c r="E2400" s="72" t="n"/>
      <c r="F2400" s="65" t="n"/>
      <c r="G2400" s="68" t="str">
        <f>IF(J2400&lt;&gt;"OK","",IF(F2400="",N(INDEX(mat_loss,MATCH(B2400,mat_ref,0))),F2400))</f>
        <v/>
      </c>
      <c r="H2400" s="66" t="str">
        <f>IF(J2400&lt;&gt;"OK","",INDEX(mat_price,MATCH(B2400,mat_ref,0)))</f>
        <v/>
      </c>
      <c r="I2400" s="66" t="str">
        <f>IF(J2400&lt;&gt;"OK","",E2400*(1+G2400)*H2400)</f>
        <v/>
      </c>
      <c r="J2400" s="69" t="str">
        <f>IF(AND(A2400="",B2400=""),"",IF(A2400="","Produit manquant",IF(COUNTIF(prod_ref,A2400)=0,"Produit inconnu",IF(B2400="","Matière manquante",IF(ISNA(MATCH(B2400,mat_ref,0)),"Matière inconnue",IF(INDEX(mat_check,MATCH(B2400,mat_ref,0))&lt;&gt;"OK","Matière à corriger",IF(OR(NOT(ISNUMBER(E2400)),N(E2400)&lt;=0),"Quantité invalide",IF(AND(F2400&lt;&gt;"",OR(NOT(ISNUMBER(F2400)),N(F2400)&lt;0,N(F2400)&gt;=1)),"Perte entre 0 et 99 %",IF(COUNTIFS(bom_prod,A2400,bom_mat,B2400)&gt;1,"Matière en double","OK")))))))))</f>
        <v/>
      </c>
      <c r="K2400" s="71" t="str">
        <f>IF(AND(fiche_sel&lt;&gt;"",A2400=fiche_sel),COUNTIF(A$6:A2400,fiche_sel),"")</f>
        <v/>
      </c>
    </row>
    <row r="2401">
      <c r="A2401" s="60" t="n"/>
      <c r="B2401" s="60" t="n"/>
      <c r="C2401" s="71" t="str">
        <f>IF(B2401="","",IFERROR(INDEX(mat_des,MATCH(B2401,mat_ref,0))&amp;"","Matière inconnue"))</f>
        <v/>
      </c>
      <c r="D2401" s="69" t="str">
        <f>IF(B2401="","",IFERROR(INDEX(mat_unit,MATCH(B2401,mat_ref,0))&amp;"",""))</f>
        <v/>
      </c>
      <c r="E2401" s="72" t="n"/>
      <c r="F2401" s="65" t="n"/>
      <c r="G2401" s="68" t="str">
        <f>IF(J2401&lt;&gt;"OK","",IF(F2401="",N(INDEX(mat_loss,MATCH(B2401,mat_ref,0))),F2401))</f>
        <v/>
      </c>
      <c r="H2401" s="66" t="str">
        <f>IF(J2401&lt;&gt;"OK","",INDEX(mat_price,MATCH(B2401,mat_ref,0)))</f>
        <v/>
      </c>
      <c r="I2401" s="66" t="str">
        <f>IF(J2401&lt;&gt;"OK","",E2401*(1+G2401)*H2401)</f>
        <v/>
      </c>
      <c r="J2401" s="69" t="str">
        <f>IF(AND(A2401="",B2401=""),"",IF(A2401="","Produit manquant",IF(COUNTIF(prod_ref,A2401)=0,"Produit inconnu",IF(B2401="","Matière manquante",IF(ISNA(MATCH(B2401,mat_ref,0)),"Matière inconnue",IF(INDEX(mat_check,MATCH(B2401,mat_ref,0))&lt;&gt;"OK","Matière à corriger",IF(OR(NOT(ISNUMBER(E2401)),N(E2401)&lt;=0),"Quantité invalide",IF(AND(F2401&lt;&gt;"",OR(NOT(ISNUMBER(F2401)),N(F2401)&lt;0,N(F2401)&gt;=1)),"Perte entre 0 et 99 %",IF(COUNTIFS(bom_prod,A2401,bom_mat,B2401)&gt;1,"Matière en double","OK")))))))))</f>
        <v/>
      </c>
      <c r="K2401" s="71" t="str">
        <f>IF(AND(fiche_sel&lt;&gt;"",A2401=fiche_sel),COUNTIF(A$6:A2401,fiche_sel),"")</f>
        <v/>
      </c>
    </row>
    <row r="2402">
      <c r="A2402" s="60" t="n"/>
      <c r="B2402" s="60" t="n"/>
      <c r="C2402" s="71" t="str">
        <f>IF(B2402="","",IFERROR(INDEX(mat_des,MATCH(B2402,mat_ref,0))&amp;"","Matière inconnue"))</f>
        <v/>
      </c>
      <c r="D2402" s="69" t="str">
        <f>IF(B2402="","",IFERROR(INDEX(mat_unit,MATCH(B2402,mat_ref,0))&amp;"",""))</f>
        <v/>
      </c>
      <c r="E2402" s="72" t="n"/>
      <c r="F2402" s="65" t="n"/>
      <c r="G2402" s="68" t="str">
        <f>IF(J2402&lt;&gt;"OK","",IF(F2402="",N(INDEX(mat_loss,MATCH(B2402,mat_ref,0))),F2402))</f>
        <v/>
      </c>
      <c r="H2402" s="66" t="str">
        <f>IF(J2402&lt;&gt;"OK","",INDEX(mat_price,MATCH(B2402,mat_ref,0)))</f>
        <v/>
      </c>
      <c r="I2402" s="66" t="str">
        <f>IF(J2402&lt;&gt;"OK","",E2402*(1+G2402)*H2402)</f>
        <v/>
      </c>
      <c r="J2402" s="69" t="str">
        <f>IF(AND(A2402="",B2402=""),"",IF(A2402="","Produit manquant",IF(COUNTIF(prod_ref,A2402)=0,"Produit inconnu",IF(B2402="","Matière manquante",IF(ISNA(MATCH(B2402,mat_ref,0)),"Matière inconnue",IF(INDEX(mat_check,MATCH(B2402,mat_ref,0))&lt;&gt;"OK","Matière à corriger",IF(OR(NOT(ISNUMBER(E2402)),N(E2402)&lt;=0),"Quantité invalide",IF(AND(F2402&lt;&gt;"",OR(NOT(ISNUMBER(F2402)),N(F2402)&lt;0,N(F2402)&gt;=1)),"Perte entre 0 et 99 %",IF(COUNTIFS(bom_prod,A2402,bom_mat,B2402)&gt;1,"Matière en double","OK")))))))))</f>
        <v/>
      </c>
      <c r="K2402" s="71" t="str">
        <f>IF(AND(fiche_sel&lt;&gt;"",A2402=fiche_sel),COUNTIF(A$6:A2402,fiche_sel),"")</f>
        <v/>
      </c>
    </row>
    <row r="2403">
      <c r="A2403" s="60" t="n"/>
      <c r="B2403" s="60" t="n"/>
      <c r="C2403" s="71" t="str">
        <f>IF(B2403="","",IFERROR(INDEX(mat_des,MATCH(B2403,mat_ref,0))&amp;"","Matière inconnue"))</f>
        <v/>
      </c>
      <c r="D2403" s="69" t="str">
        <f>IF(B2403="","",IFERROR(INDEX(mat_unit,MATCH(B2403,mat_ref,0))&amp;"",""))</f>
        <v/>
      </c>
      <c r="E2403" s="72" t="n"/>
      <c r="F2403" s="65" t="n"/>
      <c r="G2403" s="68" t="str">
        <f>IF(J2403&lt;&gt;"OK","",IF(F2403="",N(INDEX(mat_loss,MATCH(B2403,mat_ref,0))),F2403))</f>
        <v/>
      </c>
      <c r="H2403" s="66" t="str">
        <f>IF(J2403&lt;&gt;"OK","",INDEX(mat_price,MATCH(B2403,mat_ref,0)))</f>
        <v/>
      </c>
      <c r="I2403" s="66" t="str">
        <f>IF(J2403&lt;&gt;"OK","",E2403*(1+G2403)*H2403)</f>
        <v/>
      </c>
      <c r="J2403" s="69" t="str">
        <f>IF(AND(A2403="",B2403=""),"",IF(A2403="","Produit manquant",IF(COUNTIF(prod_ref,A2403)=0,"Produit inconnu",IF(B2403="","Matière manquante",IF(ISNA(MATCH(B2403,mat_ref,0)),"Matière inconnue",IF(INDEX(mat_check,MATCH(B2403,mat_ref,0))&lt;&gt;"OK","Matière à corriger",IF(OR(NOT(ISNUMBER(E2403)),N(E2403)&lt;=0),"Quantité invalide",IF(AND(F2403&lt;&gt;"",OR(NOT(ISNUMBER(F2403)),N(F2403)&lt;0,N(F2403)&gt;=1)),"Perte entre 0 et 99 %",IF(COUNTIFS(bom_prod,A2403,bom_mat,B2403)&gt;1,"Matière en double","OK")))))))))</f>
        <v/>
      </c>
      <c r="K2403" s="71" t="str">
        <f>IF(AND(fiche_sel&lt;&gt;"",A2403=fiche_sel),COUNTIF(A$6:A2403,fiche_sel),"")</f>
        <v/>
      </c>
    </row>
    <row r="2404">
      <c r="A2404" s="60" t="n"/>
      <c r="B2404" s="60" t="n"/>
      <c r="C2404" s="71" t="str">
        <f>IF(B2404="","",IFERROR(INDEX(mat_des,MATCH(B2404,mat_ref,0))&amp;"","Matière inconnue"))</f>
        <v/>
      </c>
      <c r="D2404" s="69" t="str">
        <f>IF(B2404="","",IFERROR(INDEX(mat_unit,MATCH(B2404,mat_ref,0))&amp;"",""))</f>
        <v/>
      </c>
      <c r="E2404" s="72" t="n"/>
      <c r="F2404" s="65" t="n"/>
      <c r="G2404" s="68" t="str">
        <f>IF(J2404&lt;&gt;"OK","",IF(F2404="",N(INDEX(mat_loss,MATCH(B2404,mat_ref,0))),F2404))</f>
        <v/>
      </c>
      <c r="H2404" s="66" t="str">
        <f>IF(J2404&lt;&gt;"OK","",INDEX(mat_price,MATCH(B2404,mat_ref,0)))</f>
        <v/>
      </c>
      <c r="I2404" s="66" t="str">
        <f>IF(J2404&lt;&gt;"OK","",E2404*(1+G2404)*H2404)</f>
        <v/>
      </c>
      <c r="J2404" s="69" t="str">
        <f>IF(AND(A2404="",B2404=""),"",IF(A2404="","Produit manquant",IF(COUNTIF(prod_ref,A2404)=0,"Produit inconnu",IF(B2404="","Matière manquante",IF(ISNA(MATCH(B2404,mat_ref,0)),"Matière inconnue",IF(INDEX(mat_check,MATCH(B2404,mat_ref,0))&lt;&gt;"OK","Matière à corriger",IF(OR(NOT(ISNUMBER(E2404)),N(E2404)&lt;=0),"Quantité invalide",IF(AND(F2404&lt;&gt;"",OR(NOT(ISNUMBER(F2404)),N(F2404)&lt;0,N(F2404)&gt;=1)),"Perte entre 0 et 99 %",IF(COUNTIFS(bom_prod,A2404,bom_mat,B2404)&gt;1,"Matière en double","OK")))))))))</f>
        <v/>
      </c>
      <c r="K2404" s="71" t="str">
        <f>IF(AND(fiche_sel&lt;&gt;"",A2404=fiche_sel),COUNTIF(A$6:A2404,fiche_sel),"")</f>
        <v/>
      </c>
    </row>
    <row r="2405">
      <c r="A2405" s="60" t="n"/>
      <c r="B2405" s="60" t="n"/>
      <c r="C2405" s="71" t="str">
        <f>IF(B2405="","",IFERROR(INDEX(mat_des,MATCH(B2405,mat_ref,0))&amp;"","Matière inconnue"))</f>
        <v/>
      </c>
      <c r="D2405" s="69" t="str">
        <f>IF(B2405="","",IFERROR(INDEX(mat_unit,MATCH(B2405,mat_ref,0))&amp;"",""))</f>
        <v/>
      </c>
      <c r="E2405" s="72" t="n"/>
      <c r="F2405" s="65" t="n"/>
      <c r="G2405" s="68" t="str">
        <f>IF(J2405&lt;&gt;"OK","",IF(F2405="",N(INDEX(mat_loss,MATCH(B2405,mat_ref,0))),F2405))</f>
        <v/>
      </c>
      <c r="H2405" s="66" t="str">
        <f>IF(J2405&lt;&gt;"OK","",INDEX(mat_price,MATCH(B2405,mat_ref,0)))</f>
        <v/>
      </c>
      <c r="I2405" s="66" t="str">
        <f>IF(J2405&lt;&gt;"OK","",E2405*(1+G2405)*H2405)</f>
        <v/>
      </c>
      <c r="J2405" s="69" t="str">
        <f>IF(AND(A2405="",B2405=""),"",IF(A2405="","Produit manquant",IF(COUNTIF(prod_ref,A2405)=0,"Produit inconnu",IF(B2405="","Matière manquante",IF(ISNA(MATCH(B2405,mat_ref,0)),"Matière inconnue",IF(INDEX(mat_check,MATCH(B2405,mat_ref,0))&lt;&gt;"OK","Matière à corriger",IF(OR(NOT(ISNUMBER(E2405)),N(E2405)&lt;=0),"Quantité invalide",IF(AND(F2405&lt;&gt;"",OR(NOT(ISNUMBER(F2405)),N(F2405)&lt;0,N(F2405)&gt;=1)),"Perte entre 0 et 99 %",IF(COUNTIFS(bom_prod,A2405,bom_mat,B2405)&gt;1,"Matière en double","OK")))))))))</f>
        <v/>
      </c>
      <c r="K2405" s="71" t="str">
        <f>IF(AND(fiche_sel&lt;&gt;"",A2405=fiche_sel),COUNTIF(A$6:A2405,fiche_sel),"")</f>
        <v/>
      </c>
    </row>
    <row r="2406">
      <c r="A2406" s="60" t="n"/>
      <c r="B2406" s="60" t="n"/>
      <c r="C2406" s="71" t="str">
        <f>IF(B2406="","",IFERROR(INDEX(mat_des,MATCH(B2406,mat_ref,0))&amp;"","Matière inconnue"))</f>
        <v/>
      </c>
      <c r="D2406" s="69" t="str">
        <f>IF(B2406="","",IFERROR(INDEX(mat_unit,MATCH(B2406,mat_ref,0))&amp;"",""))</f>
        <v/>
      </c>
      <c r="E2406" s="72" t="n"/>
      <c r="F2406" s="65" t="n"/>
      <c r="G2406" s="68" t="str">
        <f>IF(J2406&lt;&gt;"OK","",IF(F2406="",N(INDEX(mat_loss,MATCH(B2406,mat_ref,0))),F2406))</f>
        <v/>
      </c>
      <c r="H2406" s="66" t="str">
        <f>IF(J2406&lt;&gt;"OK","",INDEX(mat_price,MATCH(B2406,mat_ref,0)))</f>
        <v/>
      </c>
      <c r="I2406" s="66" t="str">
        <f>IF(J2406&lt;&gt;"OK","",E2406*(1+G2406)*H2406)</f>
        <v/>
      </c>
      <c r="J2406" s="69" t="str">
        <f>IF(AND(A2406="",B2406=""),"",IF(A2406="","Produit manquant",IF(COUNTIF(prod_ref,A2406)=0,"Produit inconnu",IF(B2406="","Matière manquante",IF(ISNA(MATCH(B2406,mat_ref,0)),"Matière inconnue",IF(INDEX(mat_check,MATCH(B2406,mat_ref,0))&lt;&gt;"OK","Matière à corriger",IF(OR(NOT(ISNUMBER(E2406)),N(E2406)&lt;=0),"Quantité invalide",IF(AND(F2406&lt;&gt;"",OR(NOT(ISNUMBER(F2406)),N(F2406)&lt;0,N(F2406)&gt;=1)),"Perte entre 0 et 99 %",IF(COUNTIFS(bom_prod,A2406,bom_mat,B2406)&gt;1,"Matière en double","OK")))))))))</f>
        <v/>
      </c>
      <c r="K2406" s="71" t="str">
        <f>IF(AND(fiche_sel&lt;&gt;"",A2406=fiche_sel),COUNTIF(A$6:A2406,fiche_sel),"")</f>
        <v/>
      </c>
    </row>
    <row r="2407">
      <c r="A2407" s="60" t="n"/>
      <c r="B2407" s="60" t="n"/>
      <c r="C2407" s="71" t="str">
        <f>IF(B2407="","",IFERROR(INDEX(mat_des,MATCH(B2407,mat_ref,0))&amp;"","Matière inconnue"))</f>
        <v/>
      </c>
      <c r="D2407" s="69" t="str">
        <f>IF(B2407="","",IFERROR(INDEX(mat_unit,MATCH(B2407,mat_ref,0))&amp;"",""))</f>
        <v/>
      </c>
      <c r="E2407" s="72" t="n"/>
      <c r="F2407" s="65" t="n"/>
      <c r="G2407" s="68" t="str">
        <f>IF(J2407&lt;&gt;"OK","",IF(F2407="",N(INDEX(mat_loss,MATCH(B2407,mat_ref,0))),F2407))</f>
        <v/>
      </c>
      <c r="H2407" s="66" t="str">
        <f>IF(J2407&lt;&gt;"OK","",INDEX(mat_price,MATCH(B2407,mat_ref,0)))</f>
        <v/>
      </c>
      <c r="I2407" s="66" t="str">
        <f>IF(J2407&lt;&gt;"OK","",E2407*(1+G2407)*H2407)</f>
        <v/>
      </c>
      <c r="J2407" s="69" t="str">
        <f>IF(AND(A2407="",B2407=""),"",IF(A2407="","Produit manquant",IF(COUNTIF(prod_ref,A2407)=0,"Produit inconnu",IF(B2407="","Matière manquante",IF(ISNA(MATCH(B2407,mat_ref,0)),"Matière inconnue",IF(INDEX(mat_check,MATCH(B2407,mat_ref,0))&lt;&gt;"OK","Matière à corriger",IF(OR(NOT(ISNUMBER(E2407)),N(E2407)&lt;=0),"Quantité invalide",IF(AND(F2407&lt;&gt;"",OR(NOT(ISNUMBER(F2407)),N(F2407)&lt;0,N(F2407)&gt;=1)),"Perte entre 0 et 99 %",IF(COUNTIFS(bom_prod,A2407,bom_mat,B2407)&gt;1,"Matière en double","OK")))))))))</f>
        <v/>
      </c>
      <c r="K2407" s="71" t="str">
        <f>IF(AND(fiche_sel&lt;&gt;"",A2407=fiche_sel),COUNTIF(A$6:A2407,fiche_sel),"")</f>
        <v/>
      </c>
    </row>
    <row r="2408">
      <c r="A2408" s="60" t="n"/>
      <c r="B2408" s="60" t="n"/>
      <c r="C2408" s="71" t="str">
        <f>IF(B2408="","",IFERROR(INDEX(mat_des,MATCH(B2408,mat_ref,0))&amp;"","Matière inconnue"))</f>
        <v/>
      </c>
      <c r="D2408" s="69" t="str">
        <f>IF(B2408="","",IFERROR(INDEX(mat_unit,MATCH(B2408,mat_ref,0))&amp;"",""))</f>
        <v/>
      </c>
      <c r="E2408" s="72" t="n"/>
      <c r="F2408" s="65" t="n"/>
      <c r="G2408" s="68" t="str">
        <f>IF(J2408&lt;&gt;"OK","",IF(F2408="",N(INDEX(mat_loss,MATCH(B2408,mat_ref,0))),F2408))</f>
        <v/>
      </c>
      <c r="H2408" s="66" t="str">
        <f>IF(J2408&lt;&gt;"OK","",INDEX(mat_price,MATCH(B2408,mat_ref,0)))</f>
        <v/>
      </c>
      <c r="I2408" s="66" t="str">
        <f>IF(J2408&lt;&gt;"OK","",E2408*(1+G2408)*H2408)</f>
        <v/>
      </c>
      <c r="J2408" s="69" t="str">
        <f>IF(AND(A2408="",B2408=""),"",IF(A2408="","Produit manquant",IF(COUNTIF(prod_ref,A2408)=0,"Produit inconnu",IF(B2408="","Matière manquante",IF(ISNA(MATCH(B2408,mat_ref,0)),"Matière inconnue",IF(INDEX(mat_check,MATCH(B2408,mat_ref,0))&lt;&gt;"OK","Matière à corriger",IF(OR(NOT(ISNUMBER(E2408)),N(E2408)&lt;=0),"Quantité invalide",IF(AND(F2408&lt;&gt;"",OR(NOT(ISNUMBER(F2408)),N(F2408)&lt;0,N(F2408)&gt;=1)),"Perte entre 0 et 99 %",IF(COUNTIFS(bom_prod,A2408,bom_mat,B2408)&gt;1,"Matière en double","OK")))))))))</f>
        <v/>
      </c>
      <c r="K2408" s="71" t="str">
        <f>IF(AND(fiche_sel&lt;&gt;"",A2408=fiche_sel),COUNTIF(A$6:A2408,fiche_sel),"")</f>
        <v/>
      </c>
    </row>
    <row r="2409">
      <c r="A2409" s="60" t="n"/>
      <c r="B2409" s="60" t="n"/>
      <c r="C2409" s="71" t="str">
        <f>IF(B2409="","",IFERROR(INDEX(mat_des,MATCH(B2409,mat_ref,0))&amp;"","Matière inconnue"))</f>
        <v/>
      </c>
      <c r="D2409" s="69" t="str">
        <f>IF(B2409="","",IFERROR(INDEX(mat_unit,MATCH(B2409,mat_ref,0))&amp;"",""))</f>
        <v/>
      </c>
      <c r="E2409" s="72" t="n"/>
      <c r="F2409" s="65" t="n"/>
      <c r="G2409" s="68" t="str">
        <f>IF(J2409&lt;&gt;"OK","",IF(F2409="",N(INDEX(mat_loss,MATCH(B2409,mat_ref,0))),F2409))</f>
        <v/>
      </c>
      <c r="H2409" s="66" t="str">
        <f>IF(J2409&lt;&gt;"OK","",INDEX(mat_price,MATCH(B2409,mat_ref,0)))</f>
        <v/>
      </c>
      <c r="I2409" s="66" t="str">
        <f>IF(J2409&lt;&gt;"OK","",E2409*(1+G2409)*H2409)</f>
        <v/>
      </c>
      <c r="J2409" s="69" t="str">
        <f>IF(AND(A2409="",B2409=""),"",IF(A2409="","Produit manquant",IF(COUNTIF(prod_ref,A2409)=0,"Produit inconnu",IF(B2409="","Matière manquante",IF(ISNA(MATCH(B2409,mat_ref,0)),"Matière inconnue",IF(INDEX(mat_check,MATCH(B2409,mat_ref,0))&lt;&gt;"OK","Matière à corriger",IF(OR(NOT(ISNUMBER(E2409)),N(E2409)&lt;=0),"Quantité invalide",IF(AND(F2409&lt;&gt;"",OR(NOT(ISNUMBER(F2409)),N(F2409)&lt;0,N(F2409)&gt;=1)),"Perte entre 0 et 99 %",IF(COUNTIFS(bom_prod,A2409,bom_mat,B2409)&gt;1,"Matière en double","OK")))))))))</f>
        <v/>
      </c>
      <c r="K2409" s="71" t="str">
        <f>IF(AND(fiche_sel&lt;&gt;"",A2409=fiche_sel),COUNTIF(A$6:A2409,fiche_sel),"")</f>
        <v/>
      </c>
    </row>
    <row r="2410">
      <c r="A2410" s="60" t="n"/>
      <c r="B2410" s="60" t="n"/>
      <c r="C2410" s="71" t="str">
        <f>IF(B2410="","",IFERROR(INDEX(mat_des,MATCH(B2410,mat_ref,0))&amp;"","Matière inconnue"))</f>
        <v/>
      </c>
      <c r="D2410" s="69" t="str">
        <f>IF(B2410="","",IFERROR(INDEX(mat_unit,MATCH(B2410,mat_ref,0))&amp;"",""))</f>
        <v/>
      </c>
      <c r="E2410" s="72" t="n"/>
      <c r="F2410" s="65" t="n"/>
      <c r="G2410" s="68" t="str">
        <f>IF(J2410&lt;&gt;"OK","",IF(F2410="",N(INDEX(mat_loss,MATCH(B2410,mat_ref,0))),F2410))</f>
        <v/>
      </c>
      <c r="H2410" s="66" t="str">
        <f>IF(J2410&lt;&gt;"OK","",INDEX(mat_price,MATCH(B2410,mat_ref,0)))</f>
        <v/>
      </c>
      <c r="I2410" s="66" t="str">
        <f>IF(J2410&lt;&gt;"OK","",E2410*(1+G2410)*H2410)</f>
        <v/>
      </c>
      <c r="J2410" s="69" t="str">
        <f>IF(AND(A2410="",B2410=""),"",IF(A2410="","Produit manquant",IF(COUNTIF(prod_ref,A2410)=0,"Produit inconnu",IF(B2410="","Matière manquante",IF(ISNA(MATCH(B2410,mat_ref,0)),"Matière inconnue",IF(INDEX(mat_check,MATCH(B2410,mat_ref,0))&lt;&gt;"OK","Matière à corriger",IF(OR(NOT(ISNUMBER(E2410)),N(E2410)&lt;=0),"Quantité invalide",IF(AND(F2410&lt;&gt;"",OR(NOT(ISNUMBER(F2410)),N(F2410)&lt;0,N(F2410)&gt;=1)),"Perte entre 0 et 99 %",IF(COUNTIFS(bom_prod,A2410,bom_mat,B2410)&gt;1,"Matière en double","OK")))))))))</f>
        <v/>
      </c>
      <c r="K2410" s="71" t="str">
        <f>IF(AND(fiche_sel&lt;&gt;"",A2410=fiche_sel),COUNTIF(A$6:A2410,fiche_sel),"")</f>
        <v/>
      </c>
    </row>
    <row r="2411">
      <c r="A2411" s="60" t="n"/>
      <c r="B2411" s="60" t="n"/>
      <c r="C2411" s="71" t="str">
        <f>IF(B2411="","",IFERROR(INDEX(mat_des,MATCH(B2411,mat_ref,0))&amp;"","Matière inconnue"))</f>
        <v/>
      </c>
      <c r="D2411" s="69" t="str">
        <f>IF(B2411="","",IFERROR(INDEX(mat_unit,MATCH(B2411,mat_ref,0))&amp;"",""))</f>
        <v/>
      </c>
      <c r="E2411" s="72" t="n"/>
      <c r="F2411" s="65" t="n"/>
      <c r="G2411" s="68" t="str">
        <f>IF(J2411&lt;&gt;"OK","",IF(F2411="",N(INDEX(mat_loss,MATCH(B2411,mat_ref,0))),F2411))</f>
        <v/>
      </c>
      <c r="H2411" s="66" t="str">
        <f>IF(J2411&lt;&gt;"OK","",INDEX(mat_price,MATCH(B2411,mat_ref,0)))</f>
        <v/>
      </c>
      <c r="I2411" s="66" t="str">
        <f>IF(J2411&lt;&gt;"OK","",E2411*(1+G2411)*H2411)</f>
        <v/>
      </c>
      <c r="J2411" s="69" t="str">
        <f>IF(AND(A2411="",B2411=""),"",IF(A2411="","Produit manquant",IF(COUNTIF(prod_ref,A2411)=0,"Produit inconnu",IF(B2411="","Matière manquante",IF(ISNA(MATCH(B2411,mat_ref,0)),"Matière inconnue",IF(INDEX(mat_check,MATCH(B2411,mat_ref,0))&lt;&gt;"OK","Matière à corriger",IF(OR(NOT(ISNUMBER(E2411)),N(E2411)&lt;=0),"Quantité invalide",IF(AND(F2411&lt;&gt;"",OR(NOT(ISNUMBER(F2411)),N(F2411)&lt;0,N(F2411)&gt;=1)),"Perte entre 0 et 99 %",IF(COUNTIFS(bom_prod,A2411,bom_mat,B2411)&gt;1,"Matière en double","OK")))))))))</f>
        <v/>
      </c>
      <c r="K2411" s="71" t="str">
        <f>IF(AND(fiche_sel&lt;&gt;"",A2411=fiche_sel),COUNTIF(A$6:A2411,fiche_sel),"")</f>
        <v/>
      </c>
    </row>
    <row r="2412">
      <c r="A2412" s="60" t="n"/>
      <c r="B2412" s="60" t="n"/>
      <c r="C2412" s="71" t="str">
        <f>IF(B2412="","",IFERROR(INDEX(mat_des,MATCH(B2412,mat_ref,0))&amp;"","Matière inconnue"))</f>
        <v/>
      </c>
      <c r="D2412" s="69" t="str">
        <f>IF(B2412="","",IFERROR(INDEX(mat_unit,MATCH(B2412,mat_ref,0))&amp;"",""))</f>
        <v/>
      </c>
      <c r="E2412" s="72" t="n"/>
      <c r="F2412" s="65" t="n"/>
      <c r="G2412" s="68" t="str">
        <f>IF(J2412&lt;&gt;"OK","",IF(F2412="",N(INDEX(mat_loss,MATCH(B2412,mat_ref,0))),F2412))</f>
        <v/>
      </c>
      <c r="H2412" s="66" t="str">
        <f>IF(J2412&lt;&gt;"OK","",INDEX(mat_price,MATCH(B2412,mat_ref,0)))</f>
        <v/>
      </c>
      <c r="I2412" s="66" t="str">
        <f>IF(J2412&lt;&gt;"OK","",E2412*(1+G2412)*H2412)</f>
        <v/>
      </c>
      <c r="J2412" s="69" t="str">
        <f>IF(AND(A2412="",B2412=""),"",IF(A2412="","Produit manquant",IF(COUNTIF(prod_ref,A2412)=0,"Produit inconnu",IF(B2412="","Matière manquante",IF(ISNA(MATCH(B2412,mat_ref,0)),"Matière inconnue",IF(INDEX(mat_check,MATCH(B2412,mat_ref,0))&lt;&gt;"OK","Matière à corriger",IF(OR(NOT(ISNUMBER(E2412)),N(E2412)&lt;=0),"Quantité invalide",IF(AND(F2412&lt;&gt;"",OR(NOT(ISNUMBER(F2412)),N(F2412)&lt;0,N(F2412)&gt;=1)),"Perte entre 0 et 99 %",IF(COUNTIFS(bom_prod,A2412,bom_mat,B2412)&gt;1,"Matière en double","OK")))))))))</f>
        <v/>
      </c>
      <c r="K2412" s="71" t="str">
        <f>IF(AND(fiche_sel&lt;&gt;"",A2412=fiche_sel),COUNTIF(A$6:A2412,fiche_sel),"")</f>
        <v/>
      </c>
    </row>
    <row r="2413">
      <c r="A2413" s="60" t="n"/>
      <c r="B2413" s="60" t="n"/>
      <c r="C2413" s="71" t="str">
        <f>IF(B2413="","",IFERROR(INDEX(mat_des,MATCH(B2413,mat_ref,0))&amp;"","Matière inconnue"))</f>
        <v/>
      </c>
      <c r="D2413" s="69" t="str">
        <f>IF(B2413="","",IFERROR(INDEX(mat_unit,MATCH(B2413,mat_ref,0))&amp;"",""))</f>
        <v/>
      </c>
      <c r="E2413" s="72" t="n"/>
      <c r="F2413" s="65" t="n"/>
      <c r="G2413" s="68" t="str">
        <f>IF(J2413&lt;&gt;"OK","",IF(F2413="",N(INDEX(mat_loss,MATCH(B2413,mat_ref,0))),F2413))</f>
        <v/>
      </c>
      <c r="H2413" s="66" t="str">
        <f>IF(J2413&lt;&gt;"OK","",INDEX(mat_price,MATCH(B2413,mat_ref,0)))</f>
        <v/>
      </c>
      <c r="I2413" s="66" t="str">
        <f>IF(J2413&lt;&gt;"OK","",E2413*(1+G2413)*H2413)</f>
        <v/>
      </c>
      <c r="J2413" s="69" t="str">
        <f>IF(AND(A2413="",B2413=""),"",IF(A2413="","Produit manquant",IF(COUNTIF(prod_ref,A2413)=0,"Produit inconnu",IF(B2413="","Matière manquante",IF(ISNA(MATCH(B2413,mat_ref,0)),"Matière inconnue",IF(INDEX(mat_check,MATCH(B2413,mat_ref,0))&lt;&gt;"OK","Matière à corriger",IF(OR(NOT(ISNUMBER(E2413)),N(E2413)&lt;=0),"Quantité invalide",IF(AND(F2413&lt;&gt;"",OR(NOT(ISNUMBER(F2413)),N(F2413)&lt;0,N(F2413)&gt;=1)),"Perte entre 0 et 99 %",IF(COUNTIFS(bom_prod,A2413,bom_mat,B2413)&gt;1,"Matière en double","OK")))))))))</f>
        <v/>
      </c>
      <c r="K2413" s="71" t="str">
        <f>IF(AND(fiche_sel&lt;&gt;"",A2413=fiche_sel),COUNTIF(A$6:A2413,fiche_sel),"")</f>
        <v/>
      </c>
    </row>
    <row r="2414">
      <c r="A2414" s="60" t="n"/>
      <c r="B2414" s="60" t="n"/>
      <c r="C2414" s="71" t="str">
        <f>IF(B2414="","",IFERROR(INDEX(mat_des,MATCH(B2414,mat_ref,0))&amp;"","Matière inconnue"))</f>
        <v/>
      </c>
      <c r="D2414" s="69" t="str">
        <f>IF(B2414="","",IFERROR(INDEX(mat_unit,MATCH(B2414,mat_ref,0))&amp;"",""))</f>
        <v/>
      </c>
      <c r="E2414" s="72" t="n"/>
      <c r="F2414" s="65" t="n"/>
      <c r="G2414" s="68" t="str">
        <f>IF(J2414&lt;&gt;"OK","",IF(F2414="",N(INDEX(mat_loss,MATCH(B2414,mat_ref,0))),F2414))</f>
        <v/>
      </c>
      <c r="H2414" s="66" t="str">
        <f>IF(J2414&lt;&gt;"OK","",INDEX(mat_price,MATCH(B2414,mat_ref,0)))</f>
        <v/>
      </c>
      <c r="I2414" s="66" t="str">
        <f>IF(J2414&lt;&gt;"OK","",E2414*(1+G2414)*H2414)</f>
        <v/>
      </c>
      <c r="J2414" s="69" t="str">
        <f>IF(AND(A2414="",B2414=""),"",IF(A2414="","Produit manquant",IF(COUNTIF(prod_ref,A2414)=0,"Produit inconnu",IF(B2414="","Matière manquante",IF(ISNA(MATCH(B2414,mat_ref,0)),"Matière inconnue",IF(INDEX(mat_check,MATCH(B2414,mat_ref,0))&lt;&gt;"OK","Matière à corriger",IF(OR(NOT(ISNUMBER(E2414)),N(E2414)&lt;=0),"Quantité invalide",IF(AND(F2414&lt;&gt;"",OR(NOT(ISNUMBER(F2414)),N(F2414)&lt;0,N(F2414)&gt;=1)),"Perte entre 0 et 99 %",IF(COUNTIFS(bom_prod,A2414,bom_mat,B2414)&gt;1,"Matière en double","OK")))))))))</f>
        <v/>
      </c>
      <c r="K2414" s="71" t="str">
        <f>IF(AND(fiche_sel&lt;&gt;"",A2414=fiche_sel),COUNTIF(A$6:A2414,fiche_sel),"")</f>
        <v/>
      </c>
    </row>
    <row r="2415">
      <c r="A2415" s="60" t="n"/>
      <c r="B2415" s="60" t="n"/>
      <c r="C2415" s="71" t="str">
        <f>IF(B2415="","",IFERROR(INDEX(mat_des,MATCH(B2415,mat_ref,0))&amp;"","Matière inconnue"))</f>
        <v/>
      </c>
      <c r="D2415" s="69" t="str">
        <f>IF(B2415="","",IFERROR(INDEX(mat_unit,MATCH(B2415,mat_ref,0))&amp;"",""))</f>
        <v/>
      </c>
      <c r="E2415" s="72" t="n"/>
      <c r="F2415" s="65" t="n"/>
      <c r="G2415" s="68" t="str">
        <f>IF(J2415&lt;&gt;"OK","",IF(F2415="",N(INDEX(mat_loss,MATCH(B2415,mat_ref,0))),F2415))</f>
        <v/>
      </c>
      <c r="H2415" s="66" t="str">
        <f>IF(J2415&lt;&gt;"OK","",INDEX(mat_price,MATCH(B2415,mat_ref,0)))</f>
        <v/>
      </c>
      <c r="I2415" s="66" t="str">
        <f>IF(J2415&lt;&gt;"OK","",E2415*(1+G2415)*H2415)</f>
        <v/>
      </c>
      <c r="J2415" s="69" t="str">
        <f>IF(AND(A2415="",B2415=""),"",IF(A2415="","Produit manquant",IF(COUNTIF(prod_ref,A2415)=0,"Produit inconnu",IF(B2415="","Matière manquante",IF(ISNA(MATCH(B2415,mat_ref,0)),"Matière inconnue",IF(INDEX(mat_check,MATCH(B2415,mat_ref,0))&lt;&gt;"OK","Matière à corriger",IF(OR(NOT(ISNUMBER(E2415)),N(E2415)&lt;=0),"Quantité invalide",IF(AND(F2415&lt;&gt;"",OR(NOT(ISNUMBER(F2415)),N(F2415)&lt;0,N(F2415)&gt;=1)),"Perte entre 0 et 99 %",IF(COUNTIFS(bom_prod,A2415,bom_mat,B2415)&gt;1,"Matière en double","OK")))))))))</f>
        <v/>
      </c>
      <c r="K2415" s="71" t="str">
        <f>IF(AND(fiche_sel&lt;&gt;"",A2415=fiche_sel),COUNTIF(A$6:A2415,fiche_sel),"")</f>
        <v/>
      </c>
    </row>
    <row r="2416">
      <c r="A2416" s="60" t="n"/>
      <c r="B2416" s="60" t="n"/>
      <c r="C2416" s="71" t="str">
        <f>IF(B2416="","",IFERROR(INDEX(mat_des,MATCH(B2416,mat_ref,0))&amp;"","Matière inconnue"))</f>
        <v/>
      </c>
      <c r="D2416" s="69" t="str">
        <f>IF(B2416="","",IFERROR(INDEX(mat_unit,MATCH(B2416,mat_ref,0))&amp;"",""))</f>
        <v/>
      </c>
      <c r="E2416" s="72" t="n"/>
      <c r="F2416" s="65" t="n"/>
      <c r="G2416" s="68" t="str">
        <f>IF(J2416&lt;&gt;"OK","",IF(F2416="",N(INDEX(mat_loss,MATCH(B2416,mat_ref,0))),F2416))</f>
        <v/>
      </c>
      <c r="H2416" s="66" t="str">
        <f>IF(J2416&lt;&gt;"OK","",INDEX(mat_price,MATCH(B2416,mat_ref,0)))</f>
        <v/>
      </c>
      <c r="I2416" s="66" t="str">
        <f>IF(J2416&lt;&gt;"OK","",E2416*(1+G2416)*H2416)</f>
        <v/>
      </c>
      <c r="J2416" s="69" t="str">
        <f>IF(AND(A2416="",B2416=""),"",IF(A2416="","Produit manquant",IF(COUNTIF(prod_ref,A2416)=0,"Produit inconnu",IF(B2416="","Matière manquante",IF(ISNA(MATCH(B2416,mat_ref,0)),"Matière inconnue",IF(INDEX(mat_check,MATCH(B2416,mat_ref,0))&lt;&gt;"OK","Matière à corriger",IF(OR(NOT(ISNUMBER(E2416)),N(E2416)&lt;=0),"Quantité invalide",IF(AND(F2416&lt;&gt;"",OR(NOT(ISNUMBER(F2416)),N(F2416)&lt;0,N(F2416)&gt;=1)),"Perte entre 0 et 99 %",IF(COUNTIFS(bom_prod,A2416,bom_mat,B2416)&gt;1,"Matière en double","OK")))))))))</f>
        <v/>
      </c>
      <c r="K2416" s="71" t="str">
        <f>IF(AND(fiche_sel&lt;&gt;"",A2416=fiche_sel),COUNTIF(A$6:A2416,fiche_sel),"")</f>
        <v/>
      </c>
    </row>
    <row r="2417">
      <c r="A2417" s="60" t="n"/>
      <c r="B2417" s="60" t="n"/>
      <c r="C2417" s="71" t="str">
        <f>IF(B2417="","",IFERROR(INDEX(mat_des,MATCH(B2417,mat_ref,0))&amp;"","Matière inconnue"))</f>
        <v/>
      </c>
      <c r="D2417" s="69" t="str">
        <f>IF(B2417="","",IFERROR(INDEX(mat_unit,MATCH(B2417,mat_ref,0))&amp;"",""))</f>
        <v/>
      </c>
      <c r="E2417" s="72" t="n"/>
      <c r="F2417" s="65" t="n"/>
      <c r="G2417" s="68" t="str">
        <f>IF(J2417&lt;&gt;"OK","",IF(F2417="",N(INDEX(mat_loss,MATCH(B2417,mat_ref,0))),F2417))</f>
        <v/>
      </c>
      <c r="H2417" s="66" t="str">
        <f>IF(J2417&lt;&gt;"OK","",INDEX(mat_price,MATCH(B2417,mat_ref,0)))</f>
        <v/>
      </c>
      <c r="I2417" s="66" t="str">
        <f>IF(J2417&lt;&gt;"OK","",E2417*(1+G2417)*H2417)</f>
        <v/>
      </c>
      <c r="J2417" s="69" t="str">
        <f>IF(AND(A2417="",B2417=""),"",IF(A2417="","Produit manquant",IF(COUNTIF(prod_ref,A2417)=0,"Produit inconnu",IF(B2417="","Matière manquante",IF(ISNA(MATCH(B2417,mat_ref,0)),"Matière inconnue",IF(INDEX(mat_check,MATCH(B2417,mat_ref,0))&lt;&gt;"OK","Matière à corriger",IF(OR(NOT(ISNUMBER(E2417)),N(E2417)&lt;=0),"Quantité invalide",IF(AND(F2417&lt;&gt;"",OR(NOT(ISNUMBER(F2417)),N(F2417)&lt;0,N(F2417)&gt;=1)),"Perte entre 0 et 99 %",IF(COUNTIFS(bom_prod,A2417,bom_mat,B2417)&gt;1,"Matière en double","OK")))))))))</f>
        <v/>
      </c>
      <c r="K2417" s="71" t="str">
        <f>IF(AND(fiche_sel&lt;&gt;"",A2417=fiche_sel),COUNTIF(A$6:A2417,fiche_sel),"")</f>
        <v/>
      </c>
    </row>
    <row r="2418">
      <c r="A2418" s="60" t="n"/>
      <c r="B2418" s="60" t="n"/>
      <c r="C2418" s="71" t="str">
        <f>IF(B2418="","",IFERROR(INDEX(mat_des,MATCH(B2418,mat_ref,0))&amp;"","Matière inconnue"))</f>
        <v/>
      </c>
      <c r="D2418" s="69" t="str">
        <f>IF(B2418="","",IFERROR(INDEX(mat_unit,MATCH(B2418,mat_ref,0))&amp;"",""))</f>
        <v/>
      </c>
      <c r="E2418" s="72" t="n"/>
      <c r="F2418" s="65" t="n"/>
      <c r="G2418" s="68" t="str">
        <f>IF(J2418&lt;&gt;"OK","",IF(F2418="",N(INDEX(mat_loss,MATCH(B2418,mat_ref,0))),F2418))</f>
        <v/>
      </c>
      <c r="H2418" s="66" t="str">
        <f>IF(J2418&lt;&gt;"OK","",INDEX(mat_price,MATCH(B2418,mat_ref,0)))</f>
        <v/>
      </c>
      <c r="I2418" s="66" t="str">
        <f>IF(J2418&lt;&gt;"OK","",E2418*(1+G2418)*H2418)</f>
        <v/>
      </c>
      <c r="J2418" s="69" t="str">
        <f>IF(AND(A2418="",B2418=""),"",IF(A2418="","Produit manquant",IF(COUNTIF(prod_ref,A2418)=0,"Produit inconnu",IF(B2418="","Matière manquante",IF(ISNA(MATCH(B2418,mat_ref,0)),"Matière inconnue",IF(INDEX(mat_check,MATCH(B2418,mat_ref,0))&lt;&gt;"OK","Matière à corriger",IF(OR(NOT(ISNUMBER(E2418)),N(E2418)&lt;=0),"Quantité invalide",IF(AND(F2418&lt;&gt;"",OR(NOT(ISNUMBER(F2418)),N(F2418)&lt;0,N(F2418)&gt;=1)),"Perte entre 0 et 99 %",IF(COUNTIFS(bom_prod,A2418,bom_mat,B2418)&gt;1,"Matière en double","OK")))))))))</f>
        <v/>
      </c>
      <c r="K2418" s="71" t="str">
        <f>IF(AND(fiche_sel&lt;&gt;"",A2418=fiche_sel),COUNTIF(A$6:A2418,fiche_sel),"")</f>
        <v/>
      </c>
    </row>
    <row r="2419">
      <c r="A2419" s="60" t="n"/>
      <c r="B2419" s="60" t="n"/>
      <c r="C2419" s="71" t="str">
        <f>IF(B2419="","",IFERROR(INDEX(mat_des,MATCH(B2419,mat_ref,0))&amp;"","Matière inconnue"))</f>
        <v/>
      </c>
      <c r="D2419" s="69" t="str">
        <f>IF(B2419="","",IFERROR(INDEX(mat_unit,MATCH(B2419,mat_ref,0))&amp;"",""))</f>
        <v/>
      </c>
      <c r="E2419" s="72" t="n"/>
      <c r="F2419" s="65" t="n"/>
      <c r="G2419" s="68" t="str">
        <f>IF(J2419&lt;&gt;"OK","",IF(F2419="",N(INDEX(mat_loss,MATCH(B2419,mat_ref,0))),F2419))</f>
        <v/>
      </c>
      <c r="H2419" s="66" t="str">
        <f>IF(J2419&lt;&gt;"OK","",INDEX(mat_price,MATCH(B2419,mat_ref,0)))</f>
        <v/>
      </c>
      <c r="I2419" s="66" t="str">
        <f>IF(J2419&lt;&gt;"OK","",E2419*(1+G2419)*H2419)</f>
        <v/>
      </c>
      <c r="J2419" s="69" t="str">
        <f>IF(AND(A2419="",B2419=""),"",IF(A2419="","Produit manquant",IF(COUNTIF(prod_ref,A2419)=0,"Produit inconnu",IF(B2419="","Matière manquante",IF(ISNA(MATCH(B2419,mat_ref,0)),"Matière inconnue",IF(INDEX(mat_check,MATCH(B2419,mat_ref,0))&lt;&gt;"OK","Matière à corriger",IF(OR(NOT(ISNUMBER(E2419)),N(E2419)&lt;=0),"Quantité invalide",IF(AND(F2419&lt;&gt;"",OR(NOT(ISNUMBER(F2419)),N(F2419)&lt;0,N(F2419)&gt;=1)),"Perte entre 0 et 99 %",IF(COUNTIFS(bom_prod,A2419,bom_mat,B2419)&gt;1,"Matière en double","OK")))))))))</f>
        <v/>
      </c>
      <c r="K2419" s="71" t="str">
        <f>IF(AND(fiche_sel&lt;&gt;"",A2419=fiche_sel),COUNTIF(A$6:A2419,fiche_sel),"")</f>
        <v/>
      </c>
    </row>
    <row r="2420">
      <c r="A2420" s="60" t="n"/>
      <c r="B2420" s="60" t="n"/>
      <c r="C2420" s="71" t="str">
        <f>IF(B2420="","",IFERROR(INDEX(mat_des,MATCH(B2420,mat_ref,0))&amp;"","Matière inconnue"))</f>
        <v/>
      </c>
      <c r="D2420" s="69" t="str">
        <f>IF(B2420="","",IFERROR(INDEX(mat_unit,MATCH(B2420,mat_ref,0))&amp;"",""))</f>
        <v/>
      </c>
      <c r="E2420" s="72" t="n"/>
      <c r="F2420" s="65" t="n"/>
      <c r="G2420" s="68" t="str">
        <f>IF(J2420&lt;&gt;"OK","",IF(F2420="",N(INDEX(mat_loss,MATCH(B2420,mat_ref,0))),F2420))</f>
        <v/>
      </c>
      <c r="H2420" s="66" t="str">
        <f>IF(J2420&lt;&gt;"OK","",INDEX(mat_price,MATCH(B2420,mat_ref,0)))</f>
        <v/>
      </c>
      <c r="I2420" s="66" t="str">
        <f>IF(J2420&lt;&gt;"OK","",E2420*(1+G2420)*H2420)</f>
        <v/>
      </c>
      <c r="J2420" s="69" t="str">
        <f>IF(AND(A2420="",B2420=""),"",IF(A2420="","Produit manquant",IF(COUNTIF(prod_ref,A2420)=0,"Produit inconnu",IF(B2420="","Matière manquante",IF(ISNA(MATCH(B2420,mat_ref,0)),"Matière inconnue",IF(INDEX(mat_check,MATCH(B2420,mat_ref,0))&lt;&gt;"OK","Matière à corriger",IF(OR(NOT(ISNUMBER(E2420)),N(E2420)&lt;=0),"Quantité invalide",IF(AND(F2420&lt;&gt;"",OR(NOT(ISNUMBER(F2420)),N(F2420)&lt;0,N(F2420)&gt;=1)),"Perte entre 0 et 99 %",IF(COUNTIFS(bom_prod,A2420,bom_mat,B2420)&gt;1,"Matière en double","OK")))))))))</f>
        <v/>
      </c>
      <c r="K2420" s="71" t="str">
        <f>IF(AND(fiche_sel&lt;&gt;"",A2420=fiche_sel),COUNTIF(A$6:A2420,fiche_sel),"")</f>
        <v/>
      </c>
    </row>
    <row r="2421">
      <c r="A2421" s="60" t="n"/>
      <c r="B2421" s="60" t="n"/>
      <c r="C2421" s="71" t="str">
        <f>IF(B2421="","",IFERROR(INDEX(mat_des,MATCH(B2421,mat_ref,0))&amp;"","Matière inconnue"))</f>
        <v/>
      </c>
      <c r="D2421" s="69" t="str">
        <f>IF(B2421="","",IFERROR(INDEX(mat_unit,MATCH(B2421,mat_ref,0))&amp;"",""))</f>
        <v/>
      </c>
      <c r="E2421" s="72" t="n"/>
      <c r="F2421" s="65" t="n"/>
      <c r="G2421" s="68" t="str">
        <f>IF(J2421&lt;&gt;"OK","",IF(F2421="",N(INDEX(mat_loss,MATCH(B2421,mat_ref,0))),F2421))</f>
        <v/>
      </c>
      <c r="H2421" s="66" t="str">
        <f>IF(J2421&lt;&gt;"OK","",INDEX(mat_price,MATCH(B2421,mat_ref,0)))</f>
        <v/>
      </c>
      <c r="I2421" s="66" t="str">
        <f>IF(J2421&lt;&gt;"OK","",E2421*(1+G2421)*H2421)</f>
        <v/>
      </c>
      <c r="J2421" s="69" t="str">
        <f>IF(AND(A2421="",B2421=""),"",IF(A2421="","Produit manquant",IF(COUNTIF(prod_ref,A2421)=0,"Produit inconnu",IF(B2421="","Matière manquante",IF(ISNA(MATCH(B2421,mat_ref,0)),"Matière inconnue",IF(INDEX(mat_check,MATCH(B2421,mat_ref,0))&lt;&gt;"OK","Matière à corriger",IF(OR(NOT(ISNUMBER(E2421)),N(E2421)&lt;=0),"Quantité invalide",IF(AND(F2421&lt;&gt;"",OR(NOT(ISNUMBER(F2421)),N(F2421)&lt;0,N(F2421)&gt;=1)),"Perte entre 0 et 99 %",IF(COUNTIFS(bom_prod,A2421,bom_mat,B2421)&gt;1,"Matière en double","OK")))))))))</f>
        <v/>
      </c>
      <c r="K2421" s="71" t="str">
        <f>IF(AND(fiche_sel&lt;&gt;"",A2421=fiche_sel),COUNTIF(A$6:A2421,fiche_sel),"")</f>
        <v/>
      </c>
    </row>
    <row r="2422">
      <c r="A2422" s="60" t="n"/>
      <c r="B2422" s="60" t="n"/>
      <c r="C2422" s="71" t="str">
        <f>IF(B2422="","",IFERROR(INDEX(mat_des,MATCH(B2422,mat_ref,0))&amp;"","Matière inconnue"))</f>
        <v/>
      </c>
      <c r="D2422" s="69" t="str">
        <f>IF(B2422="","",IFERROR(INDEX(mat_unit,MATCH(B2422,mat_ref,0))&amp;"",""))</f>
        <v/>
      </c>
      <c r="E2422" s="72" t="n"/>
      <c r="F2422" s="65" t="n"/>
      <c r="G2422" s="68" t="str">
        <f>IF(J2422&lt;&gt;"OK","",IF(F2422="",N(INDEX(mat_loss,MATCH(B2422,mat_ref,0))),F2422))</f>
        <v/>
      </c>
      <c r="H2422" s="66" t="str">
        <f>IF(J2422&lt;&gt;"OK","",INDEX(mat_price,MATCH(B2422,mat_ref,0)))</f>
        <v/>
      </c>
      <c r="I2422" s="66" t="str">
        <f>IF(J2422&lt;&gt;"OK","",E2422*(1+G2422)*H2422)</f>
        <v/>
      </c>
      <c r="J2422" s="69" t="str">
        <f>IF(AND(A2422="",B2422=""),"",IF(A2422="","Produit manquant",IF(COUNTIF(prod_ref,A2422)=0,"Produit inconnu",IF(B2422="","Matière manquante",IF(ISNA(MATCH(B2422,mat_ref,0)),"Matière inconnue",IF(INDEX(mat_check,MATCH(B2422,mat_ref,0))&lt;&gt;"OK","Matière à corriger",IF(OR(NOT(ISNUMBER(E2422)),N(E2422)&lt;=0),"Quantité invalide",IF(AND(F2422&lt;&gt;"",OR(NOT(ISNUMBER(F2422)),N(F2422)&lt;0,N(F2422)&gt;=1)),"Perte entre 0 et 99 %",IF(COUNTIFS(bom_prod,A2422,bom_mat,B2422)&gt;1,"Matière en double","OK")))))))))</f>
        <v/>
      </c>
      <c r="K2422" s="71" t="str">
        <f>IF(AND(fiche_sel&lt;&gt;"",A2422=fiche_sel),COUNTIF(A$6:A2422,fiche_sel),"")</f>
        <v/>
      </c>
    </row>
    <row r="2423">
      <c r="A2423" s="60" t="n"/>
      <c r="B2423" s="60" t="n"/>
      <c r="C2423" s="71" t="str">
        <f>IF(B2423="","",IFERROR(INDEX(mat_des,MATCH(B2423,mat_ref,0))&amp;"","Matière inconnue"))</f>
        <v/>
      </c>
      <c r="D2423" s="69" t="str">
        <f>IF(B2423="","",IFERROR(INDEX(mat_unit,MATCH(B2423,mat_ref,0))&amp;"",""))</f>
        <v/>
      </c>
      <c r="E2423" s="72" t="n"/>
      <c r="F2423" s="65" t="n"/>
      <c r="G2423" s="68" t="str">
        <f>IF(J2423&lt;&gt;"OK","",IF(F2423="",N(INDEX(mat_loss,MATCH(B2423,mat_ref,0))),F2423))</f>
        <v/>
      </c>
      <c r="H2423" s="66" t="str">
        <f>IF(J2423&lt;&gt;"OK","",INDEX(mat_price,MATCH(B2423,mat_ref,0)))</f>
        <v/>
      </c>
      <c r="I2423" s="66" t="str">
        <f>IF(J2423&lt;&gt;"OK","",E2423*(1+G2423)*H2423)</f>
        <v/>
      </c>
      <c r="J2423" s="69" t="str">
        <f>IF(AND(A2423="",B2423=""),"",IF(A2423="","Produit manquant",IF(COUNTIF(prod_ref,A2423)=0,"Produit inconnu",IF(B2423="","Matière manquante",IF(ISNA(MATCH(B2423,mat_ref,0)),"Matière inconnue",IF(INDEX(mat_check,MATCH(B2423,mat_ref,0))&lt;&gt;"OK","Matière à corriger",IF(OR(NOT(ISNUMBER(E2423)),N(E2423)&lt;=0),"Quantité invalide",IF(AND(F2423&lt;&gt;"",OR(NOT(ISNUMBER(F2423)),N(F2423)&lt;0,N(F2423)&gt;=1)),"Perte entre 0 et 99 %",IF(COUNTIFS(bom_prod,A2423,bom_mat,B2423)&gt;1,"Matière en double","OK")))))))))</f>
        <v/>
      </c>
      <c r="K2423" s="71" t="str">
        <f>IF(AND(fiche_sel&lt;&gt;"",A2423=fiche_sel),COUNTIF(A$6:A2423,fiche_sel),"")</f>
        <v/>
      </c>
    </row>
    <row r="2424">
      <c r="A2424" s="60" t="n"/>
      <c r="B2424" s="60" t="n"/>
      <c r="C2424" s="71" t="str">
        <f>IF(B2424="","",IFERROR(INDEX(mat_des,MATCH(B2424,mat_ref,0))&amp;"","Matière inconnue"))</f>
        <v/>
      </c>
      <c r="D2424" s="69" t="str">
        <f>IF(B2424="","",IFERROR(INDEX(mat_unit,MATCH(B2424,mat_ref,0))&amp;"",""))</f>
        <v/>
      </c>
      <c r="E2424" s="72" t="n"/>
      <c r="F2424" s="65" t="n"/>
      <c r="G2424" s="68" t="str">
        <f>IF(J2424&lt;&gt;"OK","",IF(F2424="",N(INDEX(mat_loss,MATCH(B2424,mat_ref,0))),F2424))</f>
        <v/>
      </c>
      <c r="H2424" s="66" t="str">
        <f>IF(J2424&lt;&gt;"OK","",INDEX(mat_price,MATCH(B2424,mat_ref,0)))</f>
        <v/>
      </c>
      <c r="I2424" s="66" t="str">
        <f>IF(J2424&lt;&gt;"OK","",E2424*(1+G2424)*H2424)</f>
        <v/>
      </c>
      <c r="J2424" s="69" t="str">
        <f>IF(AND(A2424="",B2424=""),"",IF(A2424="","Produit manquant",IF(COUNTIF(prod_ref,A2424)=0,"Produit inconnu",IF(B2424="","Matière manquante",IF(ISNA(MATCH(B2424,mat_ref,0)),"Matière inconnue",IF(INDEX(mat_check,MATCH(B2424,mat_ref,0))&lt;&gt;"OK","Matière à corriger",IF(OR(NOT(ISNUMBER(E2424)),N(E2424)&lt;=0),"Quantité invalide",IF(AND(F2424&lt;&gt;"",OR(NOT(ISNUMBER(F2424)),N(F2424)&lt;0,N(F2424)&gt;=1)),"Perte entre 0 et 99 %",IF(COUNTIFS(bom_prod,A2424,bom_mat,B2424)&gt;1,"Matière en double","OK")))))))))</f>
        <v/>
      </c>
      <c r="K2424" s="71" t="str">
        <f>IF(AND(fiche_sel&lt;&gt;"",A2424=fiche_sel),COUNTIF(A$6:A2424,fiche_sel),"")</f>
        <v/>
      </c>
    </row>
    <row r="2425">
      <c r="A2425" s="60" t="n"/>
      <c r="B2425" s="60" t="n"/>
      <c r="C2425" s="71" t="str">
        <f>IF(B2425="","",IFERROR(INDEX(mat_des,MATCH(B2425,mat_ref,0))&amp;"","Matière inconnue"))</f>
        <v/>
      </c>
      <c r="D2425" s="69" t="str">
        <f>IF(B2425="","",IFERROR(INDEX(mat_unit,MATCH(B2425,mat_ref,0))&amp;"",""))</f>
        <v/>
      </c>
      <c r="E2425" s="72" t="n"/>
      <c r="F2425" s="65" t="n"/>
      <c r="G2425" s="68" t="str">
        <f>IF(J2425&lt;&gt;"OK","",IF(F2425="",N(INDEX(mat_loss,MATCH(B2425,mat_ref,0))),F2425))</f>
        <v/>
      </c>
      <c r="H2425" s="66" t="str">
        <f>IF(J2425&lt;&gt;"OK","",INDEX(mat_price,MATCH(B2425,mat_ref,0)))</f>
        <v/>
      </c>
      <c r="I2425" s="66" t="str">
        <f>IF(J2425&lt;&gt;"OK","",E2425*(1+G2425)*H2425)</f>
        <v/>
      </c>
      <c r="J2425" s="69" t="str">
        <f>IF(AND(A2425="",B2425=""),"",IF(A2425="","Produit manquant",IF(COUNTIF(prod_ref,A2425)=0,"Produit inconnu",IF(B2425="","Matière manquante",IF(ISNA(MATCH(B2425,mat_ref,0)),"Matière inconnue",IF(INDEX(mat_check,MATCH(B2425,mat_ref,0))&lt;&gt;"OK","Matière à corriger",IF(OR(NOT(ISNUMBER(E2425)),N(E2425)&lt;=0),"Quantité invalide",IF(AND(F2425&lt;&gt;"",OR(NOT(ISNUMBER(F2425)),N(F2425)&lt;0,N(F2425)&gt;=1)),"Perte entre 0 et 99 %",IF(COUNTIFS(bom_prod,A2425,bom_mat,B2425)&gt;1,"Matière en double","OK")))))))))</f>
        <v/>
      </c>
      <c r="K2425" s="71" t="str">
        <f>IF(AND(fiche_sel&lt;&gt;"",A2425=fiche_sel),COUNTIF(A$6:A2425,fiche_sel),"")</f>
        <v/>
      </c>
    </row>
    <row r="2426">
      <c r="A2426" s="60" t="n"/>
      <c r="B2426" s="60" t="n"/>
      <c r="C2426" s="71" t="str">
        <f>IF(B2426="","",IFERROR(INDEX(mat_des,MATCH(B2426,mat_ref,0))&amp;"","Matière inconnue"))</f>
        <v/>
      </c>
      <c r="D2426" s="69" t="str">
        <f>IF(B2426="","",IFERROR(INDEX(mat_unit,MATCH(B2426,mat_ref,0))&amp;"",""))</f>
        <v/>
      </c>
      <c r="E2426" s="72" t="n"/>
      <c r="F2426" s="65" t="n"/>
      <c r="G2426" s="68" t="str">
        <f>IF(J2426&lt;&gt;"OK","",IF(F2426="",N(INDEX(mat_loss,MATCH(B2426,mat_ref,0))),F2426))</f>
        <v/>
      </c>
      <c r="H2426" s="66" t="str">
        <f>IF(J2426&lt;&gt;"OK","",INDEX(mat_price,MATCH(B2426,mat_ref,0)))</f>
        <v/>
      </c>
      <c r="I2426" s="66" t="str">
        <f>IF(J2426&lt;&gt;"OK","",E2426*(1+G2426)*H2426)</f>
        <v/>
      </c>
      <c r="J2426" s="69" t="str">
        <f>IF(AND(A2426="",B2426=""),"",IF(A2426="","Produit manquant",IF(COUNTIF(prod_ref,A2426)=0,"Produit inconnu",IF(B2426="","Matière manquante",IF(ISNA(MATCH(B2426,mat_ref,0)),"Matière inconnue",IF(INDEX(mat_check,MATCH(B2426,mat_ref,0))&lt;&gt;"OK","Matière à corriger",IF(OR(NOT(ISNUMBER(E2426)),N(E2426)&lt;=0),"Quantité invalide",IF(AND(F2426&lt;&gt;"",OR(NOT(ISNUMBER(F2426)),N(F2426)&lt;0,N(F2426)&gt;=1)),"Perte entre 0 et 99 %",IF(COUNTIFS(bom_prod,A2426,bom_mat,B2426)&gt;1,"Matière en double","OK")))))))))</f>
        <v/>
      </c>
      <c r="K2426" s="71" t="str">
        <f>IF(AND(fiche_sel&lt;&gt;"",A2426=fiche_sel),COUNTIF(A$6:A2426,fiche_sel),"")</f>
        <v/>
      </c>
    </row>
    <row r="2427">
      <c r="A2427" s="60" t="n"/>
      <c r="B2427" s="60" t="n"/>
      <c r="C2427" s="71" t="str">
        <f>IF(B2427="","",IFERROR(INDEX(mat_des,MATCH(B2427,mat_ref,0))&amp;"","Matière inconnue"))</f>
        <v/>
      </c>
      <c r="D2427" s="69" t="str">
        <f>IF(B2427="","",IFERROR(INDEX(mat_unit,MATCH(B2427,mat_ref,0))&amp;"",""))</f>
        <v/>
      </c>
      <c r="E2427" s="72" t="n"/>
      <c r="F2427" s="65" t="n"/>
      <c r="G2427" s="68" t="str">
        <f>IF(J2427&lt;&gt;"OK","",IF(F2427="",N(INDEX(mat_loss,MATCH(B2427,mat_ref,0))),F2427))</f>
        <v/>
      </c>
      <c r="H2427" s="66" t="str">
        <f>IF(J2427&lt;&gt;"OK","",INDEX(mat_price,MATCH(B2427,mat_ref,0)))</f>
        <v/>
      </c>
      <c r="I2427" s="66" t="str">
        <f>IF(J2427&lt;&gt;"OK","",E2427*(1+G2427)*H2427)</f>
        <v/>
      </c>
      <c r="J2427" s="69" t="str">
        <f>IF(AND(A2427="",B2427=""),"",IF(A2427="","Produit manquant",IF(COUNTIF(prod_ref,A2427)=0,"Produit inconnu",IF(B2427="","Matière manquante",IF(ISNA(MATCH(B2427,mat_ref,0)),"Matière inconnue",IF(INDEX(mat_check,MATCH(B2427,mat_ref,0))&lt;&gt;"OK","Matière à corriger",IF(OR(NOT(ISNUMBER(E2427)),N(E2427)&lt;=0),"Quantité invalide",IF(AND(F2427&lt;&gt;"",OR(NOT(ISNUMBER(F2427)),N(F2427)&lt;0,N(F2427)&gt;=1)),"Perte entre 0 et 99 %",IF(COUNTIFS(bom_prod,A2427,bom_mat,B2427)&gt;1,"Matière en double","OK")))))))))</f>
        <v/>
      </c>
      <c r="K2427" s="71" t="str">
        <f>IF(AND(fiche_sel&lt;&gt;"",A2427=fiche_sel),COUNTIF(A$6:A2427,fiche_sel),"")</f>
        <v/>
      </c>
    </row>
    <row r="2428">
      <c r="A2428" s="60" t="n"/>
      <c r="B2428" s="60" t="n"/>
      <c r="C2428" s="71" t="str">
        <f>IF(B2428="","",IFERROR(INDEX(mat_des,MATCH(B2428,mat_ref,0))&amp;"","Matière inconnue"))</f>
        <v/>
      </c>
      <c r="D2428" s="69" t="str">
        <f>IF(B2428="","",IFERROR(INDEX(mat_unit,MATCH(B2428,mat_ref,0))&amp;"",""))</f>
        <v/>
      </c>
      <c r="E2428" s="72" t="n"/>
      <c r="F2428" s="65" t="n"/>
      <c r="G2428" s="68" t="str">
        <f>IF(J2428&lt;&gt;"OK","",IF(F2428="",N(INDEX(mat_loss,MATCH(B2428,mat_ref,0))),F2428))</f>
        <v/>
      </c>
      <c r="H2428" s="66" t="str">
        <f>IF(J2428&lt;&gt;"OK","",INDEX(mat_price,MATCH(B2428,mat_ref,0)))</f>
        <v/>
      </c>
      <c r="I2428" s="66" t="str">
        <f>IF(J2428&lt;&gt;"OK","",E2428*(1+G2428)*H2428)</f>
        <v/>
      </c>
      <c r="J2428" s="69" t="str">
        <f>IF(AND(A2428="",B2428=""),"",IF(A2428="","Produit manquant",IF(COUNTIF(prod_ref,A2428)=0,"Produit inconnu",IF(B2428="","Matière manquante",IF(ISNA(MATCH(B2428,mat_ref,0)),"Matière inconnue",IF(INDEX(mat_check,MATCH(B2428,mat_ref,0))&lt;&gt;"OK","Matière à corriger",IF(OR(NOT(ISNUMBER(E2428)),N(E2428)&lt;=0),"Quantité invalide",IF(AND(F2428&lt;&gt;"",OR(NOT(ISNUMBER(F2428)),N(F2428)&lt;0,N(F2428)&gt;=1)),"Perte entre 0 et 99 %",IF(COUNTIFS(bom_prod,A2428,bom_mat,B2428)&gt;1,"Matière en double","OK")))))))))</f>
        <v/>
      </c>
      <c r="K2428" s="71" t="str">
        <f>IF(AND(fiche_sel&lt;&gt;"",A2428=fiche_sel),COUNTIF(A$6:A2428,fiche_sel),"")</f>
        <v/>
      </c>
    </row>
    <row r="2429">
      <c r="A2429" s="60" t="n"/>
      <c r="B2429" s="60" t="n"/>
      <c r="C2429" s="71" t="str">
        <f>IF(B2429="","",IFERROR(INDEX(mat_des,MATCH(B2429,mat_ref,0))&amp;"","Matière inconnue"))</f>
        <v/>
      </c>
      <c r="D2429" s="69" t="str">
        <f>IF(B2429="","",IFERROR(INDEX(mat_unit,MATCH(B2429,mat_ref,0))&amp;"",""))</f>
        <v/>
      </c>
      <c r="E2429" s="72" t="n"/>
      <c r="F2429" s="65" t="n"/>
      <c r="G2429" s="68" t="str">
        <f>IF(J2429&lt;&gt;"OK","",IF(F2429="",N(INDEX(mat_loss,MATCH(B2429,mat_ref,0))),F2429))</f>
        <v/>
      </c>
      <c r="H2429" s="66" t="str">
        <f>IF(J2429&lt;&gt;"OK","",INDEX(mat_price,MATCH(B2429,mat_ref,0)))</f>
        <v/>
      </c>
      <c r="I2429" s="66" t="str">
        <f>IF(J2429&lt;&gt;"OK","",E2429*(1+G2429)*H2429)</f>
        <v/>
      </c>
      <c r="J2429" s="69" t="str">
        <f>IF(AND(A2429="",B2429=""),"",IF(A2429="","Produit manquant",IF(COUNTIF(prod_ref,A2429)=0,"Produit inconnu",IF(B2429="","Matière manquante",IF(ISNA(MATCH(B2429,mat_ref,0)),"Matière inconnue",IF(INDEX(mat_check,MATCH(B2429,mat_ref,0))&lt;&gt;"OK","Matière à corriger",IF(OR(NOT(ISNUMBER(E2429)),N(E2429)&lt;=0),"Quantité invalide",IF(AND(F2429&lt;&gt;"",OR(NOT(ISNUMBER(F2429)),N(F2429)&lt;0,N(F2429)&gt;=1)),"Perte entre 0 et 99 %",IF(COUNTIFS(bom_prod,A2429,bom_mat,B2429)&gt;1,"Matière en double","OK")))))))))</f>
        <v/>
      </c>
      <c r="K2429" s="71" t="str">
        <f>IF(AND(fiche_sel&lt;&gt;"",A2429=fiche_sel),COUNTIF(A$6:A2429,fiche_sel),"")</f>
        <v/>
      </c>
    </row>
    <row r="2430">
      <c r="A2430" s="60" t="n"/>
      <c r="B2430" s="60" t="n"/>
      <c r="C2430" s="71" t="str">
        <f>IF(B2430="","",IFERROR(INDEX(mat_des,MATCH(B2430,mat_ref,0))&amp;"","Matière inconnue"))</f>
        <v/>
      </c>
      <c r="D2430" s="69" t="str">
        <f>IF(B2430="","",IFERROR(INDEX(mat_unit,MATCH(B2430,mat_ref,0))&amp;"",""))</f>
        <v/>
      </c>
      <c r="E2430" s="72" t="n"/>
      <c r="F2430" s="65" t="n"/>
      <c r="G2430" s="68" t="str">
        <f>IF(J2430&lt;&gt;"OK","",IF(F2430="",N(INDEX(mat_loss,MATCH(B2430,mat_ref,0))),F2430))</f>
        <v/>
      </c>
      <c r="H2430" s="66" t="str">
        <f>IF(J2430&lt;&gt;"OK","",INDEX(mat_price,MATCH(B2430,mat_ref,0)))</f>
        <v/>
      </c>
      <c r="I2430" s="66" t="str">
        <f>IF(J2430&lt;&gt;"OK","",E2430*(1+G2430)*H2430)</f>
        <v/>
      </c>
      <c r="J2430" s="69" t="str">
        <f>IF(AND(A2430="",B2430=""),"",IF(A2430="","Produit manquant",IF(COUNTIF(prod_ref,A2430)=0,"Produit inconnu",IF(B2430="","Matière manquante",IF(ISNA(MATCH(B2430,mat_ref,0)),"Matière inconnue",IF(INDEX(mat_check,MATCH(B2430,mat_ref,0))&lt;&gt;"OK","Matière à corriger",IF(OR(NOT(ISNUMBER(E2430)),N(E2430)&lt;=0),"Quantité invalide",IF(AND(F2430&lt;&gt;"",OR(NOT(ISNUMBER(F2430)),N(F2430)&lt;0,N(F2430)&gt;=1)),"Perte entre 0 et 99 %",IF(COUNTIFS(bom_prod,A2430,bom_mat,B2430)&gt;1,"Matière en double","OK")))))))))</f>
        <v/>
      </c>
      <c r="K2430" s="71" t="str">
        <f>IF(AND(fiche_sel&lt;&gt;"",A2430=fiche_sel),COUNTIF(A$6:A2430,fiche_sel),"")</f>
        <v/>
      </c>
    </row>
    <row r="2431">
      <c r="A2431" s="60" t="n"/>
      <c r="B2431" s="60" t="n"/>
      <c r="C2431" s="71" t="str">
        <f>IF(B2431="","",IFERROR(INDEX(mat_des,MATCH(B2431,mat_ref,0))&amp;"","Matière inconnue"))</f>
        <v/>
      </c>
      <c r="D2431" s="69" t="str">
        <f>IF(B2431="","",IFERROR(INDEX(mat_unit,MATCH(B2431,mat_ref,0))&amp;"",""))</f>
        <v/>
      </c>
      <c r="E2431" s="72" t="n"/>
      <c r="F2431" s="65" t="n"/>
      <c r="G2431" s="68" t="str">
        <f>IF(J2431&lt;&gt;"OK","",IF(F2431="",N(INDEX(mat_loss,MATCH(B2431,mat_ref,0))),F2431))</f>
        <v/>
      </c>
      <c r="H2431" s="66" t="str">
        <f>IF(J2431&lt;&gt;"OK","",INDEX(mat_price,MATCH(B2431,mat_ref,0)))</f>
        <v/>
      </c>
      <c r="I2431" s="66" t="str">
        <f>IF(J2431&lt;&gt;"OK","",E2431*(1+G2431)*H2431)</f>
        <v/>
      </c>
      <c r="J2431" s="69" t="str">
        <f>IF(AND(A2431="",B2431=""),"",IF(A2431="","Produit manquant",IF(COUNTIF(prod_ref,A2431)=0,"Produit inconnu",IF(B2431="","Matière manquante",IF(ISNA(MATCH(B2431,mat_ref,0)),"Matière inconnue",IF(INDEX(mat_check,MATCH(B2431,mat_ref,0))&lt;&gt;"OK","Matière à corriger",IF(OR(NOT(ISNUMBER(E2431)),N(E2431)&lt;=0),"Quantité invalide",IF(AND(F2431&lt;&gt;"",OR(NOT(ISNUMBER(F2431)),N(F2431)&lt;0,N(F2431)&gt;=1)),"Perte entre 0 et 99 %",IF(COUNTIFS(bom_prod,A2431,bom_mat,B2431)&gt;1,"Matière en double","OK")))))))))</f>
        <v/>
      </c>
      <c r="K2431" s="71" t="str">
        <f>IF(AND(fiche_sel&lt;&gt;"",A2431=fiche_sel),COUNTIF(A$6:A2431,fiche_sel),"")</f>
        <v/>
      </c>
    </row>
    <row r="2432">
      <c r="A2432" s="60" t="n"/>
      <c r="B2432" s="60" t="n"/>
      <c r="C2432" s="71" t="str">
        <f>IF(B2432="","",IFERROR(INDEX(mat_des,MATCH(B2432,mat_ref,0))&amp;"","Matière inconnue"))</f>
        <v/>
      </c>
      <c r="D2432" s="69" t="str">
        <f>IF(B2432="","",IFERROR(INDEX(mat_unit,MATCH(B2432,mat_ref,0))&amp;"",""))</f>
        <v/>
      </c>
      <c r="E2432" s="72" t="n"/>
      <c r="F2432" s="65" t="n"/>
      <c r="G2432" s="68" t="str">
        <f>IF(J2432&lt;&gt;"OK","",IF(F2432="",N(INDEX(mat_loss,MATCH(B2432,mat_ref,0))),F2432))</f>
        <v/>
      </c>
      <c r="H2432" s="66" t="str">
        <f>IF(J2432&lt;&gt;"OK","",INDEX(mat_price,MATCH(B2432,mat_ref,0)))</f>
        <v/>
      </c>
      <c r="I2432" s="66" t="str">
        <f>IF(J2432&lt;&gt;"OK","",E2432*(1+G2432)*H2432)</f>
        <v/>
      </c>
      <c r="J2432" s="69" t="str">
        <f>IF(AND(A2432="",B2432=""),"",IF(A2432="","Produit manquant",IF(COUNTIF(prod_ref,A2432)=0,"Produit inconnu",IF(B2432="","Matière manquante",IF(ISNA(MATCH(B2432,mat_ref,0)),"Matière inconnue",IF(INDEX(mat_check,MATCH(B2432,mat_ref,0))&lt;&gt;"OK","Matière à corriger",IF(OR(NOT(ISNUMBER(E2432)),N(E2432)&lt;=0),"Quantité invalide",IF(AND(F2432&lt;&gt;"",OR(NOT(ISNUMBER(F2432)),N(F2432)&lt;0,N(F2432)&gt;=1)),"Perte entre 0 et 99 %",IF(COUNTIFS(bom_prod,A2432,bom_mat,B2432)&gt;1,"Matière en double","OK")))))))))</f>
        <v/>
      </c>
      <c r="K2432" s="71" t="str">
        <f>IF(AND(fiche_sel&lt;&gt;"",A2432=fiche_sel),COUNTIF(A$6:A2432,fiche_sel),"")</f>
        <v/>
      </c>
    </row>
    <row r="2433">
      <c r="A2433" s="60" t="n"/>
      <c r="B2433" s="60" t="n"/>
      <c r="C2433" s="71" t="str">
        <f>IF(B2433="","",IFERROR(INDEX(mat_des,MATCH(B2433,mat_ref,0))&amp;"","Matière inconnue"))</f>
        <v/>
      </c>
      <c r="D2433" s="69" t="str">
        <f>IF(B2433="","",IFERROR(INDEX(mat_unit,MATCH(B2433,mat_ref,0))&amp;"",""))</f>
        <v/>
      </c>
      <c r="E2433" s="72" t="n"/>
      <c r="F2433" s="65" t="n"/>
      <c r="G2433" s="68" t="str">
        <f>IF(J2433&lt;&gt;"OK","",IF(F2433="",N(INDEX(mat_loss,MATCH(B2433,mat_ref,0))),F2433))</f>
        <v/>
      </c>
      <c r="H2433" s="66" t="str">
        <f>IF(J2433&lt;&gt;"OK","",INDEX(mat_price,MATCH(B2433,mat_ref,0)))</f>
        <v/>
      </c>
      <c r="I2433" s="66" t="str">
        <f>IF(J2433&lt;&gt;"OK","",E2433*(1+G2433)*H2433)</f>
        <v/>
      </c>
      <c r="J2433" s="69" t="str">
        <f>IF(AND(A2433="",B2433=""),"",IF(A2433="","Produit manquant",IF(COUNTIF(prod_ref,A2433)=0,"Produit inconnu",IF(B2433="","Matière manquante",IF(ISNA(MATCH(B2433,mat_ref,0)),"Matière inconnue",IF(INDEX(mat_check,MATCH(B2433,mat_ref,0))&lt;&gt;"OK","Matière à corriger",IF(OR(NOT(ISNUMBER(E2433)),N(E2433)&lt;=0),"Quantité invalide",IF(AND(F2433&lt;&gt;"",OR(NOT(ISNUMBER(F2433)),N(F2433)&lt;0,N(F2433)&gt;=1)),"Perte entre 0 et 99 %",IF(COUNTIFS(bom_prod,A2433,bom_mat,B2433)&gt;1,"Matière en double","OK")))))))))</f>
        <v/>
      </c>
      <c r="K2433" s="71" t="str">
        <f>IF(AND(fiche_sel&lt;&gt;"",A2433=fiche_sel),COUNTIF(A$6:A2433,fiche_sel),"")</f>
        <v/>
      </c>
    </row>
    <row r="2434">
      <c r="A2434" s="60" t="n"/>
      <c r="B2434" s="60" t="n"/>
      <c r="C2434" s="71" t="str">
        <f>IF(B2434="","",IFERROR(INDEX(mat_des,MATCH(B2434,mat_ref,0))&amp;"","Matière inconnue"))</f>
        <v/>
      </c>
      <c r="D2434" s="69" t="str">
        <f>IF(B2434="","",IFERROR(INDEX(mat_unit,MATCH(B2434,mat_ref,0))&amp;"",""))</f>
        <v/>
      </c>
      <c r="E2434" s="72" t="n"/>
      <c r="F2434" s="65" t="n"/>
      <c r="G2434" s="68" t="str">
        <f>IF(J2434&lt;&gt;"OK","",IF(F2434="",N(INDEX(mat_loss,MATCH(B2434,mat_ref,0))),F2434))</f>
        <v/>
      </c>
      <c r="H2434" s="66" t="str">
        <f>IF(J2434&lt;&gt;"OK","",INDEX(mat_price,MATCH(B2434,mat_ref,0)))</f>
        <v/>
      </c>
      <c r="I2434" s="66" t="str">
        <f>IF(J2434&lt;&gt;"OK","",E2434*(1+G2434)*H2434)</f>
        <v/>
      </c>
      <c r="J2434" s="69" t="str">
        <f>IF(AND(A2434="",B2434=""),"",IF(A2434="","Produit manquant",IF(COUNTIF(prod_ref,A2434)=0,"Produit inconnu",IF(B2434="","Matière manquante",IF(ISNA(MATCH(B2434,mat_ref,0)),"Matière inconnue",IF(INDEX(mat_check,MATCH(B2434,mat_ref,0))&lt;&gt;"OK","Matière à corriger",IF(OR(NOT(ISNUMBER(E2434)),N(E2434)&lt;=0),"Quantité invalide",IF(AND(F2434&lt;&gt;"",OR(NOT(ISNUMBER(F2434)),N(F2434)&lt;0,N(F2434)&gt;=1)),"Perte entre 0 et 99 %",IF(COUNTIFS(bom_prod,A2434,bom_mat,B2434)&gt;1,"Matière en double","OK")))))))))</f>
        <v/>
      </c>
      <c r="K2434" s="71" t="str">
        <f>IF(AND(fiche_sel&lt;&gt;"",A2434=fiche_sel),COUNTIF(A$6:A2434,fiche_sel),"")</f>
        <v/>
      </c>
    </row>
    <row r="2435">
      <c r="A2435" s="60" t="n"/>
      <c r="B2435" s="60" t="n"/>
      <c r="C2435" s="71" t="str">
        <f>IF(B2435="","",IFERROR(INDEX(mat_des,MATCH(B2435,mat_ref,0))&amp;"","Matière inconnue"))</f>
        <v/>
      </c>
      <c r="D2435" s="69" t="str">
        <f>IF(B2435="","",IFERROR(INDEX(mat_unit,MATCH(B2435,mat_ref,0))&amp;"",""))</f>
        <v/>
      </c>
      <c r="E2435" s="72" t="n"/>
      <c r="F2435" s="65" t="n"/>
      <c r="G2435" s="68" t="str">
        <f>IF(J2435&lt;&gt;"OK","",IF(F2435="",N(INDEX(mat_loss,MATCH(B2435,mat_ref,0))),F2435))</f>
        <v/>
      </c>
      <c r="H2435" s="66" t="str">
        <f>IF(J2435&lt;&gt;"OK","",INDEX(mat_price,MATCH(B2435,mat_ref,0)))</f>
        <v/>
      </c>
      <c r="I2435" s="66" t="str">
        <f>IF(J2435&lt;&gt;"OK","",E2435*(1+G2435)*H2435)</f>
        <v/>
      </c>
      <c r="J2435" s="69" t="str">
        <f>IF(AND(A2435="",B2435=""),"",IF(A2435="","Produit manquant",IF(COUNTIF(prod_ref,A2435)=0,"Produit inconnu",IF(B2435="","Matière manquante",IF(ISNA(MATCH(B2435,mat_ref,0)),"Matière inconnue",IF(INDEX(mat_check,MATCH(B2435,mat_ref,0))&lt;&gt;"OK","Matière à corriger",IF(OR(NOT(ISNUMBER(E2435)),N(E2435)&lt;=0),"Quantité invalide",IF(AND(F2435&lt;&gt;"",OR(NOT(ISNUMBER(F2435)),N(F2435)&lt;0,N(F2435)&gt;=1)),"Perte entre 0 et 99 %",IF(COUNTIFS(bom_prod,A2435,bom_mat,B2435)&gt;1,"Matière en double","OK")))))))))</f>
        <v/>
      </c>
      <c r="K2435" s="71" t="str">
        <f>IF(AND(fiche_sel&lt;&gt;"",A2435=fiche_sel),COUNTIF(A$6:A2435,fiche_sel),"")</f>
        <v/>
      </c>
    </row>
    <row r="2436">
      <c r="A2436" s="60" t="n"/>
      <c r="B2436" s="60" t="n"/>
      <c r="C2436" s="71" t="str">
        <f>IF(B2436="","",IFERROR(INDEX(mat_des,MATCH(B2436,mat_ref,0))&amp;"","Matière inconnue"))</f>
        <v/>
      </c>
      <c r="D2436" s="69" t="str">
        <f>IF(B2436="","",IFERROR(INDEX(mat_unit,MATCH(B2436,mat_ref,0))&amp;"",""))</f>
        <v/>
      </c>
      <c r="E2436" s="72" t="n"/>
      <c r="F2436" s="65" t="n"/>
      <c r="G2436" s="68" t="str">
        <f>IF(J2436&lt;&gt;"OK","",IF(F2436="",N(INDEX(mat_loss,MATCH(B2436,mat_ref,0))),F2436))</f>
        <v/>
      </c>
      <c r="H2436" s="66" t="str">
        <f>IF(J2436&lt;&gt;"OK","",INDEX(mat_price,MATCH(B2436,mat_ref,0)))</f>
        <v/>
      </c>
      <c r="I2436" s="66" t="str">
        <f>IF(J2436&lt;&gt;"OK","",E2436*(1+G2436)*H2436)</f>
        <v/>
      </c>
      <c r="J2436" s="69" t="str">
        <f>IF(AND(A2436="",B2436=""),"",IF(A2436="","Produit manquant",IF(COUNTIF(prod_ref,A2436)=0,"Produit inconnu",IF(B2436="","Matière manquante",IF(ISNA(MATCH(B2436,mat_ref,0)),"Matière inconnue",IF(INDEX(mat_check,MATCH(B2436,mat_ref,0))&lt;&gt;"OK","Matière à corriger",IF(OR(NOT(ISNUMBER(E2436)),N(E2436)&lt;=0),"Quantité invalide",IF(AND(F2436&lt;&gt;"",OR(NOT(ISNUMBER(F2436)),N(F2436)&lt;0,N(F2436)&gt;=1)),"Perte entre 0 et 99 %",IF(COUNTIFS(bom_prod,A2436,bom_mat,B2436)&gt;1,"Matière en double","OK")))))))))</f>
        <v/>
      </c>
      <c r="K2436" s="71" t="str">
        <f>IF(AND(fiche_sel&lt;&gt;"",A2436=fiche_sel),COUNTIF(A$6:A2436,fiche_sel),"")</f>
        <v/>
      </c>
    </row>
    <row r="2437">
      <c r="A2437" s="60" t="n"/>
      <c r="B2437" s="60" t="n"/>
      <c r="C2437" s="71" t="str">
        <f>IF(B2437="","",IFERROR(INDEX(mat_des,MATCH(B2437,mat_ref,0))&amp;"","Matière inconnue"))</f>
        <v/>
      </c>
      <c r="D2437" s="69" t="str">
        <f>IF(B2437="","",IFERROR(INDEX(mat_unit,MATCH(B2437,mat_ref,0))&amp;"",""))</f>
        <v/>
      </c>
      <c r="E2437" s="72" t="n"/>
      <c r="F2437" s="65" t="n"/>
      <c r="G2437" s="68" t="str">
        <f>IF(J2437&lt;&gt;"OK","",IF(F2437="",N(INDEX(mat_loss,MATCH(B2437,mat_ref,0))),F2437))</f>
        <v/>
      </c>
      <c r="H2437" s="66" t="str">
        <f>IF(J2437&lt;&gt;"OK","",INDEX(mat_price,MATCH(B2437,mat_ref,0)))</f>
        <v/>
      </c>
      <c r="I2437" s="66" t="str">
        <f>IF(J2437&lt;&gt;"OK","",E2437*(1+G2437)*H2437)</f>
        <v/>
      </c>
      <c r="J2437" s="69" t="str">
        <f>IF(AND(A2437="",B2437=""),"",IF(A2437="","Produit manquant",IF(COUNTIF(prod_ref,A2437)=0,"Produit inconnu",IF(B2437="","Matière manquante",IF(ISNA(MATCH(B2437,mat_ref,0)),"Matière inconnue",IF(INDEX(mat_check,MATCH(B2437,mat_ref,0))&lt;&gt;"OK","Matière à corriger",IF(OR(NOT(ISNUMBER(E2437)),N(E2437)&lt;=0),"Quantité invalide",IF(AND(F2437&lt;&gt;"",OR(NOT(ISNUMBER(F2437)),N(F2437)&lt;0,N(F2437)&gt;=1)),"Perte entre 0 et 99 %",IF(COUNTIFS(bom_prod,A2437,bom_mat,B2437)&gt;1,"Matière en double","OK")))))))))</f>
        <v/>
      </c>
      <c r="K2437" s="71" t="str">
        <f>IF(AND(fiche_sel&lt;&gt;"",A2437=fiche_sel),COUNTIF(A$6:A2437,fiche_sel),"")</f>
        <v/>
      </c>
    </row>
    <row r="2438">
      <c r="A2438" s="60" t="n"/>
      <c r="B2438" s="60" t="n"/>
      <c r="C2438" s="71" t="str">
        <f>IF(B2438="","",IFERROR(INDEX(mat_des,MATCH(B2438,mat_ref,0))&amp;"","Matière inconnue"))</f>
        <v/>
      </c>
      <c r="D2438" s="69" t="str">
        <f>IF(B2438="","",IFERROR(INDEX(mat_unit,MATCH(B2438,mat_ref,0))&amp;"",""))</f>
        <v/>
      </c>
      <c r="E2438" s="72" t="n"/>
      <c r="F2438" s="65" t="n"/>
      <c r="G2438" s="68" t="str">
        <f>IF(J2438&lt;&gt;"OK","",IF(F2438="",N(INDEX(mat_loss,MATCH(B2438,mat_ref,0))),F2438))</f>
        <v/>
      </c>
      <c r="H2438" s="66" t="str">
        <f>IF(J2438&lt;&gt;"OK","",INDEX(mat_price,MATCH(B2438,mat_ref,0)))</f>
        <v/>
      </c>
      <c r="I2438" s="66" t="str">
        <f>IF(J2438&lt;&gt;"OK","",E2438*(1+G2438)*H2438)</f>
        <v/>
      </c>
      <c r="J2438" s="69" t="str">
        <f>IF(AND(A2438="",B2438=""),"",IF(A2438="","Produit manquant",IF(COUNTIF(prod_ref,A2438)=0,"Produit inconnu",IF(B2438="","Matière manquante",IF(ISNA(MATCH(B2438,mat_ref,0)),"Matière inconnue",IF(INDEX(mat_check,MATCH(B2438,mat_ref,0))&lt;&gt;"OK","Matière à corriger",IF(OR(NOT(ISNUMBER(E2438)),N(E2438)&lt;=0),"Quantité invalide",IF(AND(F2438&lt;&gt;"",OR(NOT(ISNUMBER(F2438)),N(F2438)&lt;0,N(F2438)&gt;=1)),"Perte entre 0 et 99 %",IF(COUNTIFS(bom_prod,A2438,bom_mat,B2438)&gt;1,"Matière en double","OK")))))))))</f>
        <v/>
      </c>
      <c r="K2438" s="71" t="str">
        <f>IF(AND(fiche_sel&lt;&gt;"",A2438=fiche_sel),COUNTIF(A$6:A2438,fiche_sel),"")</f>
        <v/>
      </c>
    </row>
    <row r="2439">
      <c r="A2439" s="60" t="n"/>
      <c r="B2439" s="60" t="n"/>
      <c r="C2439" s="71" t="str">
        <f>IF(B2439="","",IFERROR(INDEX(mat_des,MATCH(B2439,mat_ref,0))&amp;"","Matière inconnue"))</f>
        <v/>
      </c>
      <c r="D2439" s="69" t="str">
        <f>IF(B2439="","",IFERROR(INDEX(mat_unit,MATCH(B2439,mat_ref,0))&amp;"",""))</f>
        <v/>
      </c>
      <c r="E2439" s="72" t="n"/>
      <c r="F2439" s="65" t="n"/>
      <c r="G2439" s="68" t="str">
        <f>IF(J2439&lt;&gt;"OK","",IF(F2439="",N(INDEX(mat_loss,MATCH(B2439,mat_ref,0))),F2439))</f>
        <v/>
      </c>
      <c r="H2439" s="66" t="str">
        <f>IF(J2439&lt;&gt;"OK","",INDEX(mat_price,MATCH(B2439,mat_ref,0)))</f>
        <v/>
      </c>
      <c r="I2439" s="66" t="str">
        <f>IF(J2439&lt;&gt;"OK","",E2439*(1+G2439)*H2439)</f>
        <v/>
      </c>
      <c r="J2439" s="69" t="str">
        <f>IF(AND(A2439="",B2439=""),"",IF(A2439="","Produit manquant",IF(COUNTIF(prod_ref,A2439)=0,"Produit inconnu",IF(B2439="","Matière manquante",IF(ISNA(MATCH(B2439,mat_ref,0)),"Matière inconnue",IF(INDEX(mat_check,MATCH(B2439,mat_ref,0))&lt;&gt;"OK","Matière à corriger",IF(OR(NOT(ISNUMBER(E2439)),N(E2439)&lt;=0),"Quantité invalide",IF(AND(F2439&lt;&gt;"",OR(NOT(ISNUMBER(F2439)),N(F2439)&lt;0,N(F2439)&gt;=1)),"Perte entre 0 et 99 %",IF(COUNTIFS(bom_prod,A2439,bom_mat,B2439)&gt;1,"Matière en double","OK")))))))))</f>
        <v/>
      </c>
      <c r="K2439" s="71" t="str">
        <f>IF(AND(fiche_sel&lt;&gt;"",A2439=fiche_sel),COUNTIF(A$6:A2439,fiche_sel),"")</f>
        <v/>
      </c>
    </row>
    <row r="2440">
      <c r="A2440" s="60" t="n"/>
      <c r="B2440" s="60" t="n"/>
      <c r="C2440" s="71" t="str">
        <f>IF(B2440="","",IFERROR(INDEX(mat_des,MATCH(B2440,mat_ref,0))&amp;"","Matière inconnue"))</f>
        <v/>
      </c>
      <c r="D2440" s="69" t="str">
        <f>IF(B2440="","",IFERROR(INDEX(mat_unit,MATCH(B2440,mat_ref,0))&amp;"",""))</f>
        <v/>
      </c>
      <c r="E2440" s="72" t="n"/>
      <c r="F2440" s="65" t="n"/>
      <c r="G2440" s="68" t="str">
        <f>IF(J2440&lt;&gt;"OK","",IF(F2440="",N(INDEX(mat_loss,MATCH(B2440,mat_ref,0))),F2440))</f>
        <v/>
      </c>
      <c r="H2440" s="66" t="str">
        <f>IF(J2440&lt;&gt;"OK","",INDEX(mat_price,MATCH(B2440,mat_ref,0)))</f>
        <v/>
      </c>
      <c r="I2440" s="66" t="str">
        <f>IF(J2440&lt;&gt;"OK","",E2440*(1+G2440)*H2440)</f>
        <v/>
      </c>
      <c r="J2440" s="69" t="str">
        <f>IF(AND(A2440="",B2440=""),"",IF(A2440="","Produit manquant",IF(COUNTIF(prod_ref,A2440)=0,"Produit inconnu",IF(B2440="","Matière manquante",IF(ISNA(MATCH(B2440,mat_ref,0)),"Matière inconnue",IF(INDEX(mat_check,MATCH(B2440,mat_ref,0))&lt;&gt;"OK","Matière à corriger",IF(OR(NOT(ISNUMBER(E2440)),N(E2440)&lt;=0),"Quantité invalide",IF(AND(F2440&lt;&gt;"",OR(NOT(ISNUMBER(F2440)),N(F2440)&lt;0,N(F2440)&gt;=1)),"Perte entre 0 et 99 %",IF(COUNTIFS(bom_prod,A2440,bom_mat,B2440)&gt;1,"Matière en double","OK")))))))))</f>
        <v/>
      </c>
      <c r="K2440" s="71" t="str">
        <f>IF(AND(fiche_sel&lt;&gt;"",A2440=fiche_sel),COUNTIF(A$6:A2440,fiche_sel),"")</f>
        <v/>
      </c>
    </row>
    <row r="2441">
      <c r="A2441" s="60" t="n"/>
      <c r="B2441" s="60" t="n"/>
      <c r="C2441" s="71" t="str">
        <f>IF(B2441="","",IFERROR(INDEX(mat_des,MATCH(B2441,mat_ref,0))&amp;"","Matière inconnue"))</f>
        <v/>
      </c>
      <c r="D2441" s="69" t="str">
        <f>IF(B2441="","",IFERROR(INDEX(mat_unit,MATCH(B2441,mat_ref,0))&amp;"",""))</f>
        <v/>
      </c>
      <c r="E2441" s="72" t="n"/>
      <c r="F2441" s="65" t="n"/>
      <c r="G2441" s="68" t="str">
        <f>IF(J2441&lt;&gt;"OK","",IF(F2441="",N(INDEX(mat_loss,MATCH(B2441,mat_ref,0))),F2441))</f>
        <v/>
      </c>
      <c r="H2441" s="66" t="str">
        <f>IF(J2441&lt;&gt;"OK","",INDEX(mat_price,MATCH(B2441,mat_ref,0)))</f>
        <v/>
      </c>
      <c r="I2441" s="66" t="str">
        <f>IF(J2441&lt;&gt;"OK","",E2441*(1+G2441)*H2441)</f>
        <v/>
      </c>
      <c r="J2441" s="69" t="str">
        <f>IF(AND(A2441="",B2441=""),"",IF(A2441="","Produit manquant",IF(COUNTIF(prod_ref,A2441)=0,"Produit inconnu",IF(B2441="","Matière manquante",IF(ISNA(MATCH(B2441,mat_ref,0)),"Matière inconnue",IF(INDEX(mat_check,MATCH(B2441,mat_ref,0))&lt;&gt;"OK","Matière à corriger",IF(OR(NOT(ISNUMBER(E2441)),N(E2441)&lt;=0),"Quantité invalide",IF(AND(F2441&lt;&gt;"",OR(NOT(ISNUMBER(F2441)),N(F2441)&lt;0,N(F2441)&gt;=1)),"Perte entre 0 et 99 %",IF(COUNTIFS(bom_prod,A2441,bom_mat,B2441)&gt;1,"Matière en double","OK")))))))))</f>
        <v/>
      </c>
      <c r="K2441" s="71" t="str">
        <f>IF(AND(fiche_sel&lt;&gt;"",A2441=fiche_sel),COUNTIF(A$6:A2441,fiche_sel),"")</f>
        <v/>
      </c>
    </row>
    <row r="2442">
      <c r="A2442" s="60" t="n"/>
      <c r="B2442" s="60" t="n"/>
      <c r="C2442" s="71" t="str">
        <f>IF(B2442="","",IFERROR(INDEX(mat_des,MATCH(B2442,mat_ref,0))&amp;"","Matière inconnue"))</f>
        <v/>
      </c>
      <c r="D2442" s="69" t="str">
        <f>IF(B2442="","",IFERROR(INDEX(mat_unit,MATCH(B2442,mat_ref,0))&amp;"",""))</f>
        <v/>
      </c>
      <c r="E2442" s="72" t="n"/>
      <c r="F2442" s="65" t="n"/>
      <c r="G2442" s="68" t="str">
        <f>IF(J2442&lt;&gt;"OK","",IF(F2442="",N(INDEX(mat_loss,MATCH(B2442,mat_ref,0))),F2442))</f>
        <v/>
      </c>
      <c r="H2442" s="66" t="str">
        <f>IF(J2442&lt;&gt;"OK","",INDEX(mat_price,MATCH(B2442,mat_ref,0)))</f>
        <v/>
      </c>
      <c r="I2442" s="66" t="str">
        <f>IF(J2442&lt;&gt;"OK","",E2442*(1+G2442)*H2442)</f>
        <v/>
      </c>
      <c r="J2442" s="69" t="str">
        <f>IF(AND(A2442="",B2442=""),"",IF(A2442="","Produit manquant",IF(COUNTIF(prod_ref,A2442)=0,"Produit inconnu",IF(B2442="","Matière manquante",IF(ISNA(MATCH(B2442,mat_ref,0)),"Matière inconnue",IF(INDEX(mat_check,MATCH(B2442,mat_ref,0))&lt;&gt;"OK","Matière à corriger",IF(OR(NOT(ISNUMBER(E2442)),N(E2442)&lt;=0),"Quantité invalide",IF(AND(F2442&lt;&gt;"",OR(NOT(ISNUMBER(F2442)),N(F2442)&lt;0,N(F2442)&gt;=1)),"Perte entre 0 et 99 %",IF(COUNTIFS(bom_prod,A2442,bom_mat,B2442)&gt;1,"Matière en double","OK")))))))))</f>
        <v/>
      </c>
      <c r="K2442" s="71" t="str">
        <f>IF(AND(fiche_sel&lt;&gt;"",A2442=fiche_sel),COUNTIF(A$6:A2442,fiche_sel),"")</f>
        <v/>
      </c>
    </row>
    <row r="2443">
      <c r="A2443" s="60" t="n"/>
      <c r="B2443" s="60" t="n"/>
      <c r="C2443" s="71" t="str">
        <f>IF(B2443="","",IFERROR(INDEX(mat_des,MATCH(B2443,mat_ref,0))&amp;"","Matière inconnue"))</f>
        <v/>
      </c>
      <c r="D2443" s="69" t="str">
        <f>IF(B2443="","",IFERROR(INDEX(mat_unit,MATCH(B2443,mat_ref,0))&amp;"",""))</f>
        <v/>
      </c>
      <c r="E2443" s="72" t="n"/>
      <c r="F2443" s="65" t="n"/>
      <c r="G2443" s="68" t="str">
        <f>IF(J2443&lt;&gt;"OK","",IF(F2443="",N(INDEX(mat_loss,MATCH(B2443,mat_ref,0))),F2443))</f>
        <v/>
      </c>
      <c r="H2443" s="66" t="str">
        <f>IF(J2443&lt;&gt;"OK","",INDEX(mat_price,MATCH(B2443,mat_ref,0)))</f>
        <v/>
      </c>
      <c r="I2443" s="66" t="str">
        <f>IF(J2443&lt;&gt;"OK","",E2443*(1+G2443)*H2443)</f>
        <v/>
      </c>
      <c r="J2443" s="69" t="str">
        <f>IF(AND(A2443="",B2443=""),"",IF(A2443="","Produit manquant",IF(COUNTIF(prod_ref,A2443)=0,"Produit inconnu",IF(B2443="","Matière manquante",IF(ISNA(MATCH(B2443,mat_ref,0)),"Matière inconnue",IF(INDEX(mat_check,MATCH(B2443,mat_ref,0))&lt;&gt;"OK","Matière à corriger",IF(OR(NOT(ISNUMBER(E2443)),N(E2443)&lt;=0),"Quantité invalide",IF(AND(F2443&lt;&gt;"",OR(NOT(ISNUMBER(F2443)),N(F2443)&lt;0,N(F2443)&gt;=1)),"Perte entre 0 et 99 %",IF(COUNTIFS(bom_prod,A2443,bom_mat,B2443)&gt;1,"Matière en double","OK")))))))))</f>
        <v/>
      </c>
      <c r="K2443" s="71" t="str">
        <f>IF(AND(fiche_sel&lt;&gt;"",A2443=fiche_sel),COUNTIF(A$6:A2443,fiche_sel),"")</f>
        <v/>
      </c>
    </row>
    <row r="2444">
      <c r="A2444" s="60" t="n"/>
      <c r="B2444" s="60" t="n"/>
      <c r="C2444" s="71" t="str">
        <f>IF(B2444="","",IFERROR(INDEX(mat_des,MATCH(B2444,mat_ref,0))&amp;"","Matière inconnue"))</f>
        <v/>
      </c>
      <c r="D2444" s="69" t="str">
        <f>IF(B2444="","",IFERROR(INDEX(mat_unit,MATCH(B2444,mat_ref,0))&amp;"",""))</f>
        <v/>
      </c>
      <c r="E2444" s="72" t="n"/>
      <c r="F2444" s="65" t="n"/>
      <c r="G2444" s="68" t="str">
        <f>IF(J2444&lt;&gt;"OK","",IF(F2444="",N(INDEX(mat_loss,MATCH(B2444,mat_ref,0))),F2444))</f>
        <v/>
      </c>
      <c r="H2444" s="66" t="str">
        <f>IF(J2444&lt;&gt;"OK","",INDEX(mat_price,MATCH(B2444,mat_ref,0)))</f>
        <v/>
      </c>
      <c r="I2444" s="66" t="str">
        <f>IF(J2444&lt;&gt;"OK","",E2444*(1+G2444)*H2444)</f>
        <v/>
      </c>
      <c r="J2444" s="69" t="str">
        <f>IF(AND(A2444="",B2444=""),"",IF(A2444="","Produit manquant",IF(COUNTIF(prod_ref,A2444)=0,"Produit inconnu",IF(B2444="","Matière manquante",IF(ISNA(MATCH(B2444,mat_ref,0)),"Matière inconnue",IF(INDEX(mat_check,MATCH(B2444,mat_ref,0))&lt;&gt;"OK","Matière à corriger",IF(OR(NOT(ISNUMBER(E2444)),N(E2444)&lt;=0),"Quantité invalide",IF(AND(F2444&lt;&gt;"",OR(NOT(ISNUMBER(F2444)),N(F2444)&lt;0,N(F2444)&gt;=1)),"Perte entre 0 et 99 %",IF(COUNTIFS(bom_prod,A2444,bom_mat,B2444)&gt;1,"Matière en double","OK")))))))))</f>
        <v/>
      </c>
      <c r="K2444" s="71" t="str">
        <f>IF(AND(fiche_sel&lt;&gt;"",A2444=fiche_sel),COUNTIF(A$6:A2444,fiche_sel),"")</f>
        <v/>
      </c>
    </row>
    <row r="2445">
      <c r="A2445" s="60" t="n"/>
      <c r="B2445" s="60" t="n"/>
      <c r="C2445" s="71" t="str">
        <f>IF(B2445="","",IFERROR(INDEX(mat_des,MATCH(B2445,mat_ref,0))&amp;"","Matière inconnue"))</f>
        <v/>
      </c>
      <c r="D2445" s="69" t="str">
        <f>IF(B2445="","",IFERROR(INDEX(mat_unit,MATCH(B2445,mat_ref,0))&amp;"",""))</f>
        <v/>
      </c>
      <c r="E2445" s="72" t="n"/>
      <c r="F2445" s="65" t="n"/>
      <c r="G2445" s="68" t="str">
        <f>IF(J2445&lt;&gt;"OK","",IF(F2445="",N(INDEX(mat_loss,MATCH(B2445,mat_ref,0))),F2445))</f>
        <v/>
      </c>
      <c r="H2445" s="66" t="str">
        <f>IF(J2445&lt;&gt;"OK","",INDEX(mat_price,MATCH(B2445,mat_ref,0)))</f>
        <v/>
      </c>
      <c r="I2445" s="66" t="str">
        <f>IF(J2445&lt;&gt;"OK","",E2445*(1+G2445)*H2445)</f>
        <v/>
      </c>
      <c r="J2445" s="69" t="str">
        <f>IF(AND(A2445="",B2445=""),"",IF(A2445="","Produit manquant",IF(COUNTIF(prod_ref,A2445)=0,"Produit inconnu",IF(B2445="","Matière manquante",IF(ISNA(MATCH(B2445,mat_ref,0)),"Matière inconnue",IF(INDEX(mat_check,MATCH(B2445,mat_ref,0))&lt;&gt;"OK","Matière à corriger",IF(OR(NOT(ISNUMBER(E2445)),N(E2445)&lt;=0),"Quantité invalide",IF(AND(F2445&lt;&gt;"",OR(NOT(ISNUMBER(F2445)),N(F2445)&lt;0,N(F2445)&gt;=1)),"Perte entre 0 et 99 %",IF(COUNTIFS(bom_prod,A2445,bom_mat,B2445)&gt;1,"Matière en double","OK")))))))))</f>
        <v/>
      </c>
      <c r="K2445" s="71" t="str">
        <f>IF(AND(fiche_sel&lt;&gt;"",A2445=fiche_sel),COUNTIF(A$6:A2445,fiche_sel),"")</f>
        <v/>
      </c>
    </row>
    <row r="2446">
      <c r="A2446" s="60" t="n"/>
      <c r="B2446" s="60" t="n"/>
      <c r="C2446" s="71" t="str">
        <f>IF(B2446="","",IFERROR(INDEX(mat_des,MATCH(B2446,mat_ref,0))&amp;"","Matière inconnue"))</f>
        <v/>
      </c>
      <c r="D2446" s="69" t="str">
        <f>IF(B2446="","",IFERROR(INDEX(mat_unit,MATCH(B2446,mat_ref,0))&amp;"",""))</f>
        <v/>
      </c>
      <c r="E2446" s="72" t="n"/>
      <c r="F2446" s="65" t="n"/>
      <c r="G2446" s="68" t="str">
        <f>IF(J2446&lt;&gt;"OK","",IF(F2446="",N(INDEX(mat_loss,MATCH(B2446,mat_ref,0))),F2446))</f>
        <v/>
      </c>
      <c r="H2446" s="66" t="str">
        <f>IF(J2446&lt;&gt;"OK","",INDEX(mat_price,MATCH(B2446,mat_ref,0)))</f>
        <v/>
      </c>
      <c r="I2446" s="66" t="str">
        <f>IF(J2446&lt;&gt;"OK","",E2446*(1+G2446)*H2446)</f>
        <v/>
      </c>
      <c r="J2446" s="69" t="str">
        <f>IF(AND(A2446="",B2446=""),"",IF(A2446="","Produit manquant",IF(COUNTIF(prod_ref,A2446)=0,"Produit inconnu",IF(B2446="","Matière manquante",IF(ISNA(MATCH(B2446,mat_ref,0)),"Matière inconnue",IF(INDEX(mat_check,MATCH(B2446,mat_ref,0))&lt;&gt;"OK","Matière à corriger",IF(OR(NOT(ISNUMBER(E2446)),N(E2446)&lt;=0),"Quantité invalide",IF(AND(F2446&lt;&gt;"",OR(NOT(ISNUMBER(F2446)),N(F2446)&lt;0,N(F2446)&gt;=1)),"Perte entre 0 et 99 %",IF(COUNTIFS(bom_prod,A2446,bom_mat,B2446)&gt;1,"Matière en double","OK")))))))))</f>
        <v/>
      </c>
      <c r="K2446" s="71" t="str">
        <f>IF(AND(fiche_sel&lt;&gt;"",A2446=fiche_sel),COUNTIF(A$6:A2446,fiche_sel),"")</f>
        <v/>
      </c>
    </row>
    <row r="2447">
      <c r="A2447" s="60" t="n"/>
      <c r="B2447" s="60" t="n"/>
      <c r="C2447" s="71" t="str">
        <f>IF(B2447="","",IFERROR(INDEX(mat_des,MATCH(B2447,mat_ref,0))&amp;"","Matière inconnue"))</f>
        <v/>
      </c>
      <c r="D2447" s="69" t="str">
        <f>IF(B2447="","",IFERROR(INDEX(mat_unit,MATCH(B2447,mat_ref,0))&amp;"",""))</f>
        <v/>
      </c>
      <c r="E2447" s="72" t="n"/>
      <c r="F2447" s="65" t="n"/>
      <c r="G2447" s="68" t="str">
        <f>IF(J2447&lt;&gt;"OK","",IF(F2447="",N(INDEX(mat_loss,MATCH(B2447,mat_ref,0))),F2447))</f>
        <v/>
      </c>
      <c r="H2447" s="66" t="str">
        <f>IF(J2447&lt;&gt;"OK","",INDEX(mat_price,MATCH(B2447,mat_ref,0)))</f>
        <v/>
      </c>
      <c r="I2447" s="66" t="str">
        <f>IF(J2447&lt;&gt;"OK","",E2447*(1+G2447)*H2447)</f>
        <v/>
      </c>
      <c r="J2447" s="69" t="str">
        <f>IF(AND(A2447="",B2447=""),"",IF(A2447="","Produit manquant",IF(COUNTIF(prod_ref,A2447)=0,"Produit inconnu",IF(B2447="","Matière manquante",IF(ISNA(MATCH(B2447,mat_ref,0)),"Matière inconnue",IF(INDEX(mat_check,MATCH(B2447,mat_ref,0))&lt;&gt;"OK","Matière à corriger",IF(OR(NOT(ISNUMBER(E2447)),N(E2447)&lt;=0),"Quantité invalide",IF(AND(F2447&lt;&gt;"",OR(NOT(ISNUMBER(F2447)),N(F2447)&lt;0,N(F2447)&gt;=1)),"Perte entre 0 et 99 %",IF(COUNTIFS(bom_prod,A2447,bom_mat,B2447)&gt;1,"Matière en double","OK")))))))))</f>
        <v/>
      </c>
      <c r="K2447" s="71" t="str">
        <f>IF(AND(fiche_sel&lt;&gt;"",A2447=fiche_sel),COUNTIF(A$6:A2447,fiche_sel),"")</f>
        <v/>
      </c>
    </row>
    <row r="2448">
      <c r="A2448" s="60" t="n"/>
      <c r="B2448" s="60" t="n"/>
      <c r="C2448" s="71" t="str">
        <f>IF(B2448="","",IFERROR(INDEX(mat_des,MATCH(B2448,mat_ref,0))&amp;"","Matière inconnue"))</f>
        <v/>
      </c>
      <c r="D2448" s="69" t="str">
        <f>IF(B2448="","",IFERROR(INDEX(mat_unit,MATCH(B2448,mat_ref,0))&amp;"",""))</f>
        <v/>
      </c>
      <c r="E2448" s="72" t="n"/>
      <c r="F2448" s="65" t="n"/>
      <c r="G2448" s="68" t="str">
        <f>IF(J2448&lt;&gt;"OK","",IF(F2448="",N(INDEX(mat_loss,MATCH(B2448,mat_ref,0))),F2448))</f>
        <v/>
      </c>
      <c r="H2448" s="66" t="str">
        <f>IF(J2448&lt;&gt;"OK","",INDEX(mat_price,MATCH(B2448,mat_ref,0)))</f>
        <v/>
      </c>
      <c r="I2448" s="66" t="str">
        <f>IF(J2448&lt;&gt;"OK","",E2448*(1+G2448)*H2448)</f>
        <v/>
      </c>
      <c r="J2448" s="69" t="str">
        <f>IF(AND(A2448="",B2448=""),"",IF(A2448="","Produit manquant",IF(COUNTIF(prod_ref,A2448)=0,"Produit inconnu",IF(B2448="","Matière manquante",IF(ISNA(MATCH(B2448,mat_ref,0)),"Matière inconnue",IF(INDEX(mat_check,MATCH(B2448,mat_ref,0))&lt;&gt;"OK","Matière à corriger",IF(OR(NOT(ISNUMBER(E2448)),N(E2448)&lt;=0),"Quantité invalide",IF(AND(F2448&lt;&gt;"",OR(NOT(ISNUMBER(F2448)),N(F2448)&lt;0,N(F2448)&gt;=1)),"Perte entre 0 et 99 %",IF(COUNTIFS(bom_prod,A2448,bom_mat,B2448)&gt;1,"Matière en double","OK")))))))))</f>
        <v/>
      </c>
      <c r="K2448" s="71" t="str">
        <f>IF(AND(fiche_sel&lt;&gt;"",A2448=fiche_sel),COUNTIF(A$6:A2448,fiche_sel),"")</f>
        <v/>
      </c>
    </row>
    <row r="2449">
      <c r="A2449" s="60" t="n"/>
      <c r="B2449" s="60" t="n"/>
      <c r="C2449" s="71" t="str">
        <f>IF(B2449="","",IFERROR(INDEX(mat_des,MATCH(B2449,mat_ref,0))&amp;"","Matière inconnue"))</f>
        <v/>
      </c>
      <c r="D2449" s="69" t="str">
        <f>IF(B2449="","",IFERROR(INDEX(mat_unit,MATCH(B2449,mat_ref,0))&amp;"",""))</f>
        <v/>
      </c>
      <c r="E2449" s="72" t="n"/>
      <c r="F2449" s="65" t="n"/>
      <c r="G2449" s="68" t="str">
        <f>IF(J2449&lt;&gt;"OK","",IF(F2449="",N(INDEX(mat_loss,MATCH(B2449,mat_ref,0))),F2449))</f>
        <v/>
      </c>
      <c r="H2449" s="66" t="str">
        <f>IF(J2449&lt;&gt;"OK","",INDEX(mat_price,MATCH(B2449,mat_ref,0)))</f>
        <v/>
      </c>
      <c r="I2449" s="66" t="str">
        <f>IF(J2449&lt;&gt;"OK","",E2449*(1+G2449)*H2449)</f>
        <v/>
      </c>
      <c r="J2449" s="69" t="str">
        <f>IF(AND(A2449="",B2449=""),"",IF(A2449="","Produit manquant",IF(COUNTIF(prod_ref,A2449)=0,"Produit inconnu",IF(B2449="","Matière manquante",IF(ISNA(MATCH(B2449,mat_ref,0)),"Matière inconnue",IF(INDEX(mat_check,MATCH(B2449,mat_ref,0))&lt;&gt;"OK","Matière à corriger",IF(OR(NOT(ISNUMBER(E2449)),N(E2449)&lt;=0),"Quantité invalide",IF(AND(F2449&lt;&gt;"",OR(NOT(ISNUMBER(F2449)),N(F2449)&lt;0,N(F2449)&gt;=1)),"Perte entre 0 et 99 %",IF(COUNTIFS(bom_prod,A2449,bom_mat,B2449)&gt;1,"Matière en double","OK")))))))))</f>
        <v/>
      </c>
      <c r="K2449" s="71" t="str">
        <f>IF(AND(fiche_sel&lt;&gt;"",A2449=fiche_sel),COUNTIF(A$6:A2449,fiche_sel),"")</f>
        <v/>
      </c>
    </row>
    <row r="2450">
      <c r="A2450" s="60" t="n"/>
      <c r="B2450" s="60" t="n"/>
      <c r="C2450" s="71" t="str">
        <f>IF(B2450="","",IFERROR(INDEX(mat_des,MATCH(B2450,mat_ref,0))&amp;"","Matière inconnue"))</f>
        <v/>
      </c>
      <c r="D2450" s="69" t="str">
        <f>IF(B2450="","",IFERROR(INDEX(mat_unit,MATCH(B2450,mat_ref,0))&amp;"",""))</f>
        <v/>
      </c>
      <c r="E2450" s="72" t="n"/>
      <c r="F2450" s="65" t="n"/>
      <c r="G2450" s="68" t="str">
        <f>IF(J2450&lt;&gt;"OK","",IF(F2450="",N(INDEX(mat_loss,MATCH(B2450,mat_ref,0))),F2450))</f>
        <v/>
      </c>
      <c r="H2450" s="66" t="str">
        <f>IF(J2450&lt;&gt;"OK","",INDEX(mat_price,MATCH(B2450,mat_ref,0)))</f>
        <v/>
      </c>
      <c r="I2450" s="66" t="str">
        <f>IF(J2450&lt;&gt;"OK","",E2450*(1+G2450)*H2450)</f>
        <v/>
      </c>
      <c r="J2450" s="69" t="str">
        <f>IF(AND(A2450="",B2450=""),"",IF(A2450="","Produit manquant",IF(COUNTIF(prod_ref,A2450)=0,"Produit inconnu",IF(B2450="","Matière manquante",IF(ISNA(MATCH(B2450,mat_ref,0)),"Matière inconnue",IF(INDEX(mat_check,MATCH(B2450,mat_ref,0))&lt;&gt;"OK","Matière à corriger",IF(OR(NOT(ISNUMBER(E2450)),N(E2450)&lt;=0),"Quantité invalide",IF(AND(F2450&lt;&gt;"",OR(NOT(ISNUMBER(F2450)),N(F2450)&lt;0,N(F2450)&gt;=1)),"Perte entre 0 et 99 %",IF(COUNTIFS(bom_prod,A2450,bom_mat,B2450)&gt;1,"Matière en double","OK")))))))))</f>
        <v/>
      </c>
      <c r="K2450" s="71" t="str">
        <f>IF(AND(fiche_sel&lt;&gt;"",A2450=fiche_sel),COUNTIF(A$6:A2450,fiche_sel),"")</f>
        <v/>
      </c>
    </row>
    <row r="2451">
      <c r="A2451" s="60" t="n"/>
      <c r="B2451" s="60" t="n"/>
      <c r="C2451" s="71" t="str">
        <f>IF(B2451="","",IFERROR(INDEX(mat_des,MATCH(B2451,mat_ref,0))&amp;"","Matière inconnue"))</f>
        <v/>
      </c>
      <c r="D2451" s="69" t="str">
        <f>IF(B2451="","",IFERROR(INDEX(mat_unit,MATCH(B2451,mat_ref,0))&amp;"",""))</f>
        <v/>
      </c>
      <c r="E2451" s="72" t="n"/>
      <c r="F2451" s="65" t="n"/>
      <c r="G2451" s="68" t="str">
        <f>IF(J2451&lt;&gt;"OK","",IF(F2451="",N(INDEX(mat_loss,MATCH(B2451,mat_ref,0))),F2451))</f>
        <v/>
      </c>
      <c r="H2451" s="66" t="str">
        <f>IF(J2451&lt;&gt;"OK","",INDEX(mat_price,MATCH(B2451,mat_ref,0)))</f>
        <v/>
      </c>
      <c r="I2451" s="66" t="str">
        <f>IF(J2451&lt;&gt;"OK","",E2451*(1+G2451)*H2451)</f>
        <v/>
      </c>
      <c r="J2451" s="69" t="str">
        <f>IF(AND(A2451="",B2451=""),"",IF(A2451="","Produit manquant",IF(COUNTIF(prod_ref,A2451)=0,"Produit inconnu",IF(B2451="","Matière manquante",IF(ISNA(MATCH(B2451,mat_ref,0)),"Matière inconnue",IF(INDEX(mat_check,MATCH(B2451,mat_ref,0))&lt;&gt;"OK","Matière à corriger",IF(OR(NOT(ISNUMBER(E2451)),N(E2451)&lt;=0),"Quantité invalide",IF(AND(F2451&lt;&gt;"",OR(NOT(ISNUMBER(F2451)),N(F2451)&lt;0,N(F2451)&gt;=1)),"Perte entre 0 et 99 %",IF(COUNTIFS(bom_prod,A2451,bom_mat,B2451)&gt;1,"Matière en double","OK")))))))))</f>
        <v/>
      </c>
      <c r="K2451" s="71" t="str">
        <f>IF(AND(fiche_sel&lt;&gt;"",A2451=fiche_sel),COUNTIF(A$6:A2451,fiche_sel),"")</f>
        <v/>
      </c>
    </row>
    <row r="2452">
      <c r="A2452" s="60" t="n"/>
      <c r="B2452" s="60" t="n"/>
      <c r="C2452" s="71" t="str">
        <f>IF(B2452="","",IFERROR(INDEX(mat_des,MATCH(B2452,mat_ref,0))&amp;"","Matière inconnue"))</f>
        <v/>
      </c>
      <c r="D2452" s="69" t="str">
        <f>IF(B2452="","",IFERROR(INDEX(mat_unit,MATCH(B2452,mat_ref,0))&amp;"",""))</f>
        <v/>
      </c>
      <c r="E2452" s="72" t="n"/>
      <c r="F2452" s="65" t="n"/>
      <c r="G2452" s="68" t="str">
        <f>IF(J2452&lt;&gt;"OK","",IF(F2452="",N(INDEX(mat_loss,MATCH(B2452,mat_ref,0))),F2452))</f>
        <v/>
      </c>
      <c r="H2452" s="66" t="str">
        <f>IF(J2452&lt;&gt;"OK","",INDEX(mat_price,MATCH(B2452,mat_ref,0)))</f>
        <v/>
      </c>
      <c r="I2452" s="66" t="str">
        <f>IF(J2452&lt;&gt;"OK","",E2452*(1+G2452)*H2452)</f>
        <v/>
      </c>
      <c r="J2452" s="69" t="str">
        <f>IF(AND(A2452="",B2452=""),"",IF(A2452="","Produit manquant",IF(COUNTIF(prod_ref,A2452)=0,"Produit inconnu",IF(B2452="","Matière manquante",IF(ISNA(MATCH(B2452,mat_ref,0)),"Matière inconnue",IF(INDEX(mat_check,MATCH(B2452,mat_ref,0))&lt;&gt;"OK","Matière à corriger",IF(OR(NOT(ISNUMBER(E2452)),N(E2452)&lt;=0),"Quantité invalide",IF(AND(F2452&lt;&gt;"",OR(NOT(ISNUMBER(F2452)),N(F2452)&lt;0,N(F2452)&gt;=1)),"Perte entre 0 et 99 %",IF(COUNTIFS(bom_prod,A2452,bom_mat,B2452)&gt;1,"Matière en double","OK")))))))))</f>
        <v/>
      </c>
      <c r="K2452" s="71" t="str">
        <f>IF(AND(fiche_sel&lt;&gt;"",A2452=fiche_sel),COUNTIF(A$6:A2452,fiche_sel),"")</f>
        <v/>
      </c>
    </row>
    <row r="2453">
      <c r="A2453" s="60" t="n"/>
      <c r="B2453" s="60" t="n"/>
      <c r="C2453" s="71" t="str">
        <f>IF(B2453="","",IFERROR(INDEX(mat_des,MATCH(B2453,mat_ref,0))&amp;"","Matière inconnue"))</f>
        <v/>
      </c>
      <c r="D2453" s="69" t="str">
        <f>IF(B2453="","",IFERROR(INDEX(mat_unit,MATCH(B2453,mat_ref,0))&amp;"",""))</f>
        <v/>
      </c>
      <c r="E2453" s="72" t="n"/>
      <c r="F2453" s="65" t="n"/>
      <c r="G2453" s="68" t="str">
        <f>IF(J2453&lt;&gt;"OK","",IF(F2453="",N(INDEX(mat_loss,MATCH(B2453,mat_ref,0))),F2453))</f>
        <v/>
      </c>
      <c r="H2453" s="66" t="str">
        <f>IF(J2453&lt;&gt;"OK","",INDEX(mat_price,MATCH(B2453,mat_ref,0)))</f>
        <v/>
      </c>
      <c r="I2453" s="66" t="str">
        <f>IF(J2453&lt;&gt;"OK","",E2453*(1+G2453)*H2453)</f>
        <v/>
      </c>
      <c r="J2453" s="69" t="str">
        <f>IF(AND(A2453="",B2453=""),"",IF(A2453="","Produit manquant",IF(COUNTIF(prod_ref,A2453)=0,"Produit inconnu",IF(B2453="","Matière manquante",IF(ISNA(MATCH(B2453,mat_ref,0)),"Matière inconnue",IF(INDEX(mat_check,MATCH(B2453,mat_ref,0))&lt;&gt;"OK","Matière à corriger",IF(OR(NOT(ISNUMBER(E2453)),N(E2453)&lt;=0),"Quantité invalide",IF(AND(F2453&lt;&gt;"",OR(NOT(ISNUMBER(F2453)),N(F2453)&lt;0,N(F2453)&gt;=1)),"Perte entre 0 et 99 %",IF(COUNTIFS(bom_prod,A2453,bom_mat,B2453)&gt;1,"Matière en double","OK")))))))))</f>
        <v/>
      </c>
      <c r="K2453" s="71" t="str">
        <f>IF(AND(fiche_sel&lt;&gt;"",A2453=fiche_sel),COUNTIF(A$6:A2453,fiche_sel),"")</f>
        <v/>
      </c>
    </row>
    <row r="2454">
      <c r="A2454" s="60" t="n"/>
      <c r="B2454" s="60" t="n"/>
      <c r="C2454" s="71" t="str">
        <f>IF(B2454="","",IFERROR(INDEX(mat_des,MATCH(B2454,mat_ref,0))&amp;"","Matière inconnue"))</f>
        <v/>
      </c>
      <c r="D2454" s="69" t="str">
        <f>IF(B2454="","",IFERROR(INDEX(mat_unit,MATCH(B2454,mat_ref,0))&amp;"",""))</f>
        <v/>
      </c>
      <c r="E2454" s="72" t="n"/>
      <c r="F2454" s="65" t="n"/>
      <c r="G2454" s="68" t="str">
        <f>IF(J2454&lt;&gt;"OK","",IF(F2454="",N(INDEX(mat_loss,MATCH(B2454,mat_ref,0))),F2454))</f>
        <v/>
      </c>
      <c r="H2454" s="66" t="str">
        <f>IF(J2454&lt;&gt;"OK","",INDEX(mat_price,MATCH(B2454,mat_ref,0)))</f>
        <v/>
      </c>
      <c r="I2454" s="66" t="str">
        <f>IF(J2454&lt;&gt;"OK","",E2454*(1+G2454)*H2454)</f>
        <v/>
      </c>
      <c r="J2454" s="69" t="str">
        <f>IF(AND(A2454="",B2454=""),"",IF(A2454="","Produit manquant",IF(COUNTIF(prod_ref,A2454)=0,"Produit inconnu",IF(B2454="","Matière manquante",IF(ISNA(MATCH(B2454,mat_ref,0)),"Matière inconnue",IF(INDEX(mat_check,MATCH(B2454,mat_ref,0))&lt;&gt;"OK","Matière à corriger",IF(OR(NOT(ISNUMBER(E2454)),N(E2454)&lt;=0),"Quantité invalide",IF(AND(F2454&lt;&gt;"",OR(NOT(ISNUMBER(F2454)),N(F2454)&lt;0,N(F2454)&gt;=1)),"Perte entre 0 et 99 %",IF(COUNTIFS(bom_prod,A2454,bom_mat,B2454)&gt;1,"Matière en double","OK")))))))))</f>
        <v/>
      </c>
      <c r="K2454" s="71" t="str">
        <f>IF(AND(fiche_sel&lt;&gt;"",A2454=fiche_sel),COUNTIF(A$6:A2454,fiche_sel),"")</f>
        <v/>
      </c>
    </row>
    <row r="2455">
      <c r="A2455" s="60" t="n"/>
      <c r="B2455" s="60" t="n"/>
      <c r="C2455" s="71" t="str">
        <f>IF(B2455="","",IFERROR(INDEX(mat_des,MATCH(B2455,mat_ref,0))&amp;"","Matière inconnue"))</f>
        <v/>
      </c>
      <c r="D2455" s="69" t="str">
        <f>IF(B2455="","",IFERROR(INDEX(mat_unit,MATCH(B2455,mat_ref,0))&amp;"",""))</f>
        <v/>
      </c>
      <c r="E2455" s="72" t="n"/>
      <c r="F2455" s="65" t="n"/>
      <c r="G2455" s="68" t="str">
        <f>IF(J2455&lt;&gt;"OK","",IF(F2455="",N(INDEX(mat_loss,MATCH(B2455,mat_ref,0))),F2455))</f>
        <v/>
      </c>
      <c r="H2455" s="66" t="str">
        <f>IF(J2455&lt;&gt;"OK","",INDEX(mat_price,MATCH(B2455,mat_ref,0)))</f>
        <v/>
      </c>
      <c r="I2455" s="66" t="str">
        <f>IF(J2455&lt;&gt;"OK","",E2455*(1+G2455)*H2455)</f>
        <v/>
      </c>
      <c r="J2455" s="69" t="str">
        <f>IF(AND(A2455="",B2455=""),"",IF(A2455="","Produit manquant",IF(COUNTIF(prod_ref,A2455)=0,"Produit inconnu",IF(B2455="","Matière manquante",IF(ISNA(MATCH(B2455,mat_ref,0)),"Matière inconnue",IF(INDEX(mat_check,MATCH(B2455,mat_ref,0))&lt;&gt;"OK","Matière à corriger",IF(OR(NOT(ISNUMBER(E2455)),N(E2455)&lt;=0),"Quantité invalide",IF(AND(F2455&lt;&gt;"",OR(NOT(ISNUMBER(F2455)),N(F2455)&lt;0,N(F2455)&gt;=1)),"Perte entre 0 et 99 %",IF(COUNTIFS(bom_prod,A2455,bom_mat,B2455)&gt;1,"Matière en double","OK")))))))))</f>
        <v/>
      </c>
      <c r="K2455" s="71" t="str">
        <f>IF(AND(fiche_sel&lt;&gt;"",A2455=fiche_sel),COUNTIF(A$6:A2455,fiche_sel),"")</f>
        <v/>
      </c>
    </row>
    <row r="2456">
      <c r="A2456" s="60" t="n"/>
      <c r="B2456" s="60" t="n"/>
      <c r="C2456" s="71" t="str">
        <f>IF(B2456="","",IFERROR(INDEX(mat_des,MATCH(B2456,mat_ref,0))&amp;"","Matière inconnue"))</f>
        <v/>
      </c>
      <c r="D2456" s="69" t="str">
        <f>IF(B2456="","",IFERROR(INDEX(mat_unit,MATCH(B2456,mat_ref,0))&amp;"",""))</f>
        <v/>
      </c>
      <c r="E2456" s="72" t="n"/>
      <c r="F2456" s="65" t="n"/>
      <c r="G2456" s="68" t="str">
        <f>IF(J2456&lt;&gt;"OK","",IF(F2456="",N(INDEX(mat_loss,MATCH(B2456,mat_ref,0))),F2456))</f>
        <v/>
      </c>
      <c r="H2456" s="66" t="str">
        <f>IF(J2456&lt;&gt;"OK","",INDEX(mat_price,MATCH(B2456,mat_ref,0)))</f>
        <v/>
      </c>
      <c r="I2456" s="66" t="str">
        <f>IF(J2456&lt;&gt;"OK","",E2456*(1+G2456)*H2456)</f>
        <v/>
      </c>
      <c r="J2456" s="69" t="str">
        <f>IF(AND(A2456="",B2456=""),"",IF(A2456="","Produit manquant",IF(COUNTIF(prod_ref,A2456)=0,"Produit inconnu",IF(B2456="","Matière manquante",IF(ISNA(MATCH(B2456,mat_ref,0)),"Matière inconnue",IF(INDEX(mat_check,MATCH(B2456,mat_ref,0))&lt;&gt;"OK","Matière à corriger",IF(OR(NOT(ISNUMBER(E2456)),N(E2456)&lt;=0),"Quantité invalide",IF(AND(F2456&lt;&gt;"",OR(NOT(ISNUMBER(F2456)),N(F2456)&lt;0,N(F2456)&gt;=1)),"Perte entre 0 et 99 %",IF(COUNTIFS(bom_prod,A2456,bom_mat,B2456)&gt;1,"Matière en double","OK")))))))))</f>
        <v/>
      </c>
      <c r="K2456" s="71" t="str">
        <f>IF(AND(fiche_sel&lt;&gt;"",A2456=fiche_sel),COUNTIF(A$6:A2456,fiche_sel),"")</f>
        <v/>
      </c>
    </row>
    <row r="2457">
      <c r="A2457" s="60" t="n"/>
      <c r="B2457" s="60" t="n"/>
      <c r="C2457" s="71" t="str">
        <f>IF(B2457="","",IFERROR(INDEX(mat_des,MATCH(B2457,mat_ref,0))&amp;"","Matière inconnue"))</f>
        <v/>
      </c>
      <c r="D2457" s="69" t="str">
        <f>IF(B2457="","",IFERROR(INDEX(mat_unit,MATCH(B2457,mat_ref,0))&amp;"",""))</f>
        <v/>
      </c>
      <c r="E2457" s="72" t="n"/>
      <c r="F2457" s="65" t="n"/>
      <c r="G2457" s="68" t="str">
        <f>IF(J2457&lt;&gt;"OK","",IF(F2457="",N(INDEX(mat_loss,MATCH(B2457,mat_ref,0))),F2457))</f>
        <v/>
      </c>
      <c r="H2457" s="66" t="str">
        <f>IF(J2457&lt;&gt;"OK","",INDEX(mat_price,MATCH(B2457,mat_ref,0)))</f>
        <v/>
      </c>
      <c r="I2457" s="66" t="str">
        <f>IF(J2457&lt;&gt;"OK","",E2457*(1+G2457)*H2457)</f>
        <v/>
      </c>
      <c r="J2457" s="69" t="str">
        <f>IF(AND(A2457="",B2457=""),"",IF(A2457="","Produit manquant",IF(COUNTIF(prod_ref,A2457)=0,"Produit inconnu",IF(B2457="","Matière manquante",IF(ISNA(MATCH(B2457,mat_ref,0)),"Matière inconnue",IF(INDEX(mat_check,MATCH(B2457,mat_ref,0))&lt;&gt;"OK","Matière à corriger",IF(OR(NOT(ISNUMBER(E2457)),N(E2457)&lt;=0),"Quantité invalide",IF(AND(F2457&lt;&gt;"",OR(NOT(ISNUMBER(F2457)),N(F2457)&lt;0,N(F2457)&gt;=1)),"Perte entre 0 et 99 %",IF(COUNTIFS(bom_prod,A2457,bom_mat,B2457)&gt;1,"Matière en double","OK")))))))))</f>
        <v/>
      </c>
      <c r="K2457" s="71" t="str">
        <f>IF(AND(fiche_sel&lt;&gt;"",A2457=fiche_sel),COUNTIF(A$6:A2457,fiche_sel),"")</f>
        <v/>
      </c>
    </row>
    <row r="2458">
      <c r="A2458" s="60" t="n"/>
      <c r="B2458" s="60" t="n"/>
      <c r="C2458" s="71" t="str">
        <f>IF(B2458="","",IFERROR(INDEX(mat_des,MATCH(B2458,mat_ref,0))&amp;"","Matière inconnue"))</f>
        <v/>
      </c>
      <c r="D2458" s="69" t="str">
        <f>IF(B2458="","",IFERROR(INDEX(mat_unit,MATCH(B2458,mat_ref,0))&amp;"",""))</f>
        <v/>
      </c>
      <c r="E2458" s="72" t="n"/>
      <c r="F2458" s="65" t="n"/>
      <c r="G2458" s="68" t="str">
        <f>IF(J2458&lt;&gt;"OK","",IF(F2458="",N(INDEX(mat_loss,MATCH(B2458,mat_ref,0))),F2458))</f>
        <v/>
      </c>
      <c r="H2458" s="66" t="str">
        <f>IF(J2458&lt;&gt;"OK","",INDEX(mat_price,MATCH(B2458,mat_ref,0)))</f>
        <v/>
      </c>
      <c r="I2458" s="66" t="str">
        <f>IF(J2458&lt;&gt;"OK","",E2458*(1+G2458)*H2458)</f>
        <v/>
      </c>
      <c r="J2458" s="69" t="str">
        <f>IF(AND(A2458="",B2458=""),"",IF(A2458="","Produit manquant",IF(COUNTIF(prod_ref,A2458)=0,"Produit inconnu",IF(B2458="","Matière manquante",IF(ISNA(MATCH(B2458,mat_ref,0)),"Matière inconnue",IF(INDEX(mat_check,MATCH(B2458,mat_ref,0))&lt;&gt;"OK","Matière à corriger",IF(OR(NOT(ISNUMBER(E2458)),N(E2458)&lt;=0),"Quantité invalide",IF(AND(F2458&lt;&gt;"",OR(NOT(ISNUMBER(F2458)),N(F2458)&lt;0,N(F2458)&gt;=1)),"Perte entre 0 et 99 %",IF(COUNTIFS(bom_prod,A2458,bom_mat,B2458)&gt;1,"Matière en double","OK")))))))))</f>
        <v/>
      </c>
      <c r="K2458" s="71" t="str">
        <f>IF(AND(fiche_sel&lt;&gt;"",A2458=fiche_sel),COUNTIF(A$6:A2458,fiche_sel),"")</f>
        <v/>
      </c>
    </row>
    <row r="2459">
      <c r="A2459" s="60" t="n"/>
      <c r="B2459" s="60" t="n"/>
      <c r="C2459" s="71" t="str">
        <f>IF(B2459="","",IFERROR(INDEX(mat_des,MATCH(B2459,mat_ref,0))&amp;"","Matière inconnue"))</f>
        <v/>
      </c>
      <c r="D2459" s="69" t="str">
        <f>IF(B2459="","",IFERROR(INDEX(mat_unit,MATCH(B2459,mat_ref,0))&amp;"",""))</f>
        <v/>
      </c>
      <c r="E2459" s="72" t="n"/>
      <c r="F2459" s="65" t="n"/>
      <c r="G2459" s="68" t="str">
        <f>IF(J2459&lt;&gt;"OK","",IF(F2459="",N(INDEX(mat_loss,MATCH(B2459,mat_ref,0))),F2459))</f>
        <v/>
      </c>
      <c r="H2459" s="66" t="str">
        <f>IF(J2459&lt;&gt;"OK","",INDEX(mat_price,MATCH(B2459,mat_ref,0)))</f>
        <v/>
      </c>
      <c r="I2459" s="66" t="str">
        <f>IF(J2459&lt;&gt;"OK","",E2459*(1+G2459)*H2459)</f>
        <v/>
      </c>
      <c r="J2459" s="69" t="str">
        <f>IF(AND(A2459="",B2459=""),"",IF(A2459="","Produit manquant",IF(COUNTIF(prod_ref,A2459)=0,"Produit inconnu",IF(B2459="","Matière manquante",IF(ISNA(MATCH(B2459,mat_ref,0)),"Matière inconnue",IF(INDEX(mat_check,MATCH(B2459,mat_ref,0))&lt;&gt;"OK","Matière à corriger",IF(OR(NOT(ISNUMBER(E2459)),N(E2459)&lt;=0),"Quantité invalide",IF(AND(F2459&lt;&gt;"",OR(NOT(ISNUMBER(F2459)),N(F2459)&lt;0,N(F2459)&gt;=1)),"Perte entre 0 et 99 %",IF(COUNTIFS(bom_prod,A2459,bom_mat,B2459)&gt;1,"Matière en double","OK")))))))))</f>
        <v/>
      </c>
      <c r="K2459" s="71" t="str">
        <f>IF(AND(fiche_sel&lt;&gt;"",A2459=fiche_sel),COUNTIF(A$6:A2459,fiche_sel),"")</f>
        <v/>
      </c>
    </row>
    <row r="2460">
      <c r="A2460" s="60" t="n"/>
      <c r="B2460" s="60" t="n"/>
      <c r="C2460" s="71" t="str">
        <f>IF(B2460="","",IFERROR(INDEX(mat_des,MATCH(B2460,mat_ref,0))&amp;"","Matière inconnue"))</f>
        <v/>
      </c>
      <c r="D2460" s="69" t="str">
        <f>IF(B2460="","",IFERROR(INDEX(mat_unit,MATCH(B2460,mat_ref,0))&amp;"",""))</f>
        <v/>
      </c>
      <c r="E2460" s="72" t="n"/>
      <c r="F2460" s="65" t="n"/>
      <c r="G2460" s="68" t="str">
        <f>IF(J2460&lt;&gt;"OK","",IF(F2460="",N(INDEX(mat_loss,MATCH(B2460,mat_ref,0))),F2460))</f>
        <v/>
      </c>
      <c r="H2460" s="66" t="str">
        <f>IF(J2460&lt;&gt;"OK","",INDEX(mat_price,MATCH(B2460,mat_ref,0)))</f>
        <v/>
      </c>
      <c r="I2460" s="66" t="str">
        <f>IF(J2460&lt;&gt;"OK","",E2460*(1+G2460)*H2460)</f>
        <v/>
      </c>
      <c r="J2460" s="69" t="str">
        <f>IF(AND(A2460="",B2460=""),"",IF(A2460="","Produit manquant",IF(COUNTIF(prod_ref,A2460)=0,"Produit inconnu",IF(B2460="","Matière manquante",IF(ISNA(MATCH(B2460,mat_ref,0)),"Matière inconnue",IF(INDEX(mat_check,MATCH(B2460,mat_ref,0))&lt;&gt;"OK","Matière à corriger",IF(OR(NOT(ISNUMBER(E2460)),N(E2460)&lt;=0),"Quantité invalide",IF(AND(F2460&lt;&gt;"",OR(NOT(ISNUMBER(F2460)),N(F2460)&lt;0,N(F2460)&gt;=1)),"Perte entre 0 et 99 %",IF(COUNTIFS(bom_prod,A2460,bom_mat,B2460)&gt;1,"Matière en double","OK")))))))))</f>
        <v/>
      </c>
      <c r="K2460" s="71" t="str">
        <f>IF(AND(fiche_sel&lt;&gt;"",A2460=fiche_sel),COUNTIF(A$6:A2460,fiche_sel),"")</f>
        <v/>
      </c>
    </row>
    <row r="2461">
      <c r="A2461" s="60" t="n"/>
      <c r="B2461" s="60" t="n"/>
      <c r="C2461" s="71" t="str">
        <f>IF(B2461="","",IFERROR(INDEX(mat_des,MATCH(B2461,mat_ref,0))&amp;"","Matière inconnue"))</f>
        <v/>
      </c>
      <c r="D2461" s="69" t="str">
        <f>IF(B2461="","",IFERROR(INDEX(mat_unit,MATCH(B2461,mat_ref,0))&amp;"",""))</f>
        <v/>
      </c>
      <c r="E2461" s="72" t="n"/>
      <c r="F2461" s="65" t="n"/>
      <c r="G2461" s="68" t="str">
        <f>IF(J2461&lt;&gt;"OK","",IF(F2461="",N(INDEX(mat_loss,MATCH(B2461,mat_ref,0))),F2461))</f>
        <v/>
      </c>
      <c r="H2461" s="66" t="str">
        <f>IF(J2461&lt;&gt;"OK","",INDEX(mat_price,MATCH(B2461,mat_ref,0)))</f>
        <v/>
      </c>
      <c r="I2461" s="66" t="str">
        <f>IF(J2461&lt;&gt;"OK","",E2461*(1+G2461)*H2461)</f>
        <v/>
      </c>
      <c r="J2461" s="69" t="str">
        <f>IF(AND(A2461="",B2461=""),"",IF(A2461="","Produit manquant",IF(COUNTIF(prod_ref,A2461)=0,"Produit inconnu",IF(B2461="","Matière manquante",IF(ISNA(MATCH(B2461,mat_ref,0)),"Matière inconnue",IF(INDEX(mat_check,MATCH(B2461,mat_ref,0))&lt;&gt;"OK","Matière à corriger",IF(OR(NOT(ISNUMBER(E2461)),N(E2461)&lt;=0),"Quantité invalide",IF(AND(F2461&lt;&gt;"",OR(NOT(ISNUMBER(F2461)),N(F2461)&lt;0,N(F2461)&gt;=1)),"Perte entre 0 et 99 %",IF(COUNTIFS(bom_prod,A2461,bom_mat,B2461)&gt;1,"Matière en double","OK")))))))))</f>
        <v/>
      </c>
      <c r="K2461" s="71" t="str">
        <f>IF(AND(fiche_sel&lt;&gt;"",A2461=fiche_sel),COUNTIF(A$6:A2461,fiche_sel),"")</f>
        <v/>
      </c>
    </row>
    <row r="2462">
      <c r="A2462" s="60" t="n"/>
      <c r="B2462" s="60" t="n"/>
      <c r="C2462" s="71" t="str">
        <f>IF(B2462="","",IFERROR(INDEX(mat_des,MATCH(B2462,mat_ref,0))&amp;"","Matière inconnue"))</f>
        <v/>
      </c>
      <c r="D2462" s="69" t="str">
        <f>IF(B2462="","",IFERROR(INDEX(mat_unit,MATCH(B2462,mat_ref,0))&amp;"",""))</f>
        <v/>
      </c>
      <c r="E2462" s="72" t="n"/>
      <c r="F2462" s="65" t="n"/>
      <c r="G2462" s="68" t="str">
        <f>IF(J2462&lt;&gt;"OK","",IF(F2462="",N(INDEX(mat_loss,MATCH(B2462,mat_ref,0))),F2462))</f>
        <v/>
      </c>
      <c r="H2462" s="66" t="str">
        <f>IF(J2462&lt;&gt;"OK","",INDEX(mat_price,MATCH(B2462,mat_ref,0)))</f>
        <v/>
      </c>
      <c r="I2462" s="66" t="str">
        <f>IF(J2462&lt;&gt;"OK","",E2462*(1+G2462)*H2462)</f>
        <v/>
      </c>
      <c r="J2462" s="69" t="str">
        <f>IF(AND(A2462="",B2462=""),"",IF(A2462="","Produit manquant",IF(COUNTIF(prod_ref,A2462)=0,"Produit inconnu",IF(B2462="","Matière manquante",IF(ISNA(MATCH(B2462,mat_ref,0)),"Matière inconnue",IF(INDEX(mat_check,MATCH(B2462,mat_ref,0))&lt;&gt;"OK","Matière à corriger",IF(OR(NOT(ISNUMBER(E2462)),N(E2462)&lt;=0),"Quantité invalide",IF(AND(F2462&lt;&gt;"",OR(NOT(ISNUMBER(F2462)),N(F2462)&lt;0,N(F2462)&gt;=1)),"Perte entre 0 et 99 %",IF(COUNTIFS(bom_prod,A2462,bom_mat,B2462)&gt;1,"Matière en double","OK")))))))))</f>
        <v/>
      </c>
      <c r="K2462" s="71" t="str">
        <f>IF(AND(fiche_sel&lt;&gt;"",A2462=fiche_sel),COUNTIF(A$6:A2462,fiche_sel),"")</f>
        <v/>
      </c>
    </row>
    <row r="2463">
      <c r="A2463" s="60" t="n"/>
      <c r="B2463" s="60" t="n"/>
      <c r="C2463" s="71" t="str">
        <f>IF(B2463="","",IFERROR(INDEX(mat_des,MATCH(B2463,mat_ref,0))&amp;"","Matière inconnue"))</f>
        <v/>
      </c>
      <c r="D2463" s="69" t="str">
        <f>IF(B2463="","",IFERROR(INDEX(mat_unit,MATCH(B2463,mat_ref,0))&amp;"",""))</f>
        <v/>
      </c>
      <c r="E2463" s="72" t="n"/>
      <c r="F2463" s="65" t="n"/>
      <c r="G2463" s="68" t="str">
        <f>IF(J2463&lt;&gt;"OK","",IF(F2463="",N(INDEX(mat_loss,MATCH(B2463,mat_ref,0))),F2463))</f>
        <v/>
      </c>
      <c r="H2463" s="66" t="str">
        <f>IF(J2463&lt;&gt;"OK","",INDEX(mat_price,MATCH(B2463,mat_ref,0)))</f>
        <v/>
      </c>
      <c r="I2463" s="66" t="str">
        <f>IF(J2463&lt;&gt;"OK","",E2463*(1+G2463)*H2463)</f>
        <v/>
      </c>
      <c r="J2463" s="69" t="str">
        <f>IF(AND(A2463="",B2463=""),"",IF(A2463="","Produit manquant",IF(COUNTIF(prod_ref,A2463)=0,"Produit inconnu",IF(B2463="","Matière manquante",IF(ISNA(MATCH(B2463,mat_ref,0)),"Matière inconnue",IF(INDEX(mat_check,MATCH(B2463,mat_ref,0))&lt;&gt;"OK","Matière à corriger",IF(OR(NOT(ISNUMBER(E2463)),N(E2463)&lt;=0),"Quantité invalide",IF(AND(F2463&lt;&gt;"",OR(NOT(ISNUMBER(F2463)),N(F2463)&lt;0,N(F2463)&gt;=1)),"Perte entre 0 et 99 %",IF(COUNTIFS(bom_prod,A2463,bom_mat,B2463)&gt;1,"Matière en double","OK")))))))))</f>
        <v/>
      </c>
      <c r="K2463" s="71" t="str">
        <f>IF(AND(fiche_sel&lt;&gt;"",A2463=fiche_sel),COUNTIF(A$6:A2463,fiche_sel),"")</f>
        <v/>
      </c>
    </row>
    <row r="2464">
      <c r="A2464" s="60" t="n"/>
      <c r="B2464" s="60" t="n"/>
      <c r="C2464" s="71" t="str">
        <f>IF(B2464="","",IFERROR(INDEX(mat_des,MATCH(B2464,mat_ref,0))&amp;"","Matière inconnue"))</f>
        <v/>
      </c>
      <c r="D2464" s="69" t="str">
        <f>IF(B2464="","",IFERROR(INDEX(mat_unit,MATCH(B2464,mat_ref,0))&amp;"",""))</f>
        <v/>
      </c>
      <c r="E2464" s="72" t="n"/>
      <c r="F2464" s="65" t="n"/>
      <c r="G2464" s="68" t="str">
        <f>IF(J2464&lt;&gt;"OK","",IF(F2464="",N(INDEX(mat_loss,MATCH(B2464,mat_ref,0))),F2464))</f>
        <v/>
      </c>
      <c r="H2464" s="66" t="str">
        <f>IF(J2464&lt;&gt;"OK","",INDEX(mat_price,MATCH(B2464,mat_ref,0)))</f>
        <v/>
      </c>
      <c r="I2464" s="66" t="str">
        <f>IF(J2464&lt;&gt;"OK","",E2464*(1+G2464)*H2464)</f>
        <v/>
      </c>
      <c r="J2464" s="69" t="str">
        <f>IF(AND(A2464="",B2464=""),"",IF(A2464="","Produit manquant",IF(COUNTIF(prod_ref,A2464)=0,"Produit inconnu",IF(B2464="","Matière manquante",IF(ISNA(MATCH(B2464,mat_ref,0)),"Matière inconnue",IF(INDEX(mat_check,MATCH(B2464,mat_ref,0))&lt;&gt;"OK","Matière à corriger",IF(OR(NOT(ISNUMBER(E2464)),N(E2464)&lt;=0),"Quantité invalide",IF(AND(F2464&lt;&gt;"",OR(NOT(ISNUMBER(F2464)),N(F2464)&lt;0,N(F2464)&gt;=1)),"Perte entre 0 et 99 %",IF(COUNTIFS(bom_prod,A2464,bom_mat,B2464)&gt;1,"Matière en double","OK")))))))))</f>
        <v/>
      </c>
      <c r="K2464" s="71" t="str">
        <f>IF(AND(fiche_sel&lt;&gt;"",A2464=fiche_sel),COUNTIF(A$6:A2464,fiche_sel),"")</f>
        <v/>
      </c>
    </row>
    <row r="2465">
      <c r="A2465" s="60" t="n"/>
      <c r="B2465" s="60" t="n"/>
      <c r="C2465" s="71" t="str">
        <f>IF(B2465="","",IFERROR(INDEX(mat_des,MATCH(B2465,mat_ref,0))&amp;"","Matière inconnue"))</f>
        <v/>
      </c>
      <c r="D2465" s="69" t="str">
        <f>IF(B2465="","",IFERROR(INDEX(mat_unit,MATCH(B2465,mat_ref,0))&amp;"",""))</f>
        <v/>
      </c>
      <c r="E2465" s="72" t="n"/>
      <c r="F2465" s="65" t="n"/>
      <c r="G2465" s="68" t="str">
        <f>IF(J2465&lt;&gt;"OK","",IF(F2465="",N(INDEX(mat_loss,MATCH(B2465,mat_ref,0))),F2465))</f>
        <v/>
      </c>
      <c r="H2465" s="66" t="str">
        <f>IF(J2465&lt;&gt;"OK","",INDEX(mat_price,MATCH(B2465,mat_ref,0)))</f>
        <v/>
      </c>
      <c r="I2465" s="66" t="str">
        <f>IF(J2465&lt;&gt;"OK","",E2465*(1+G2465)*H2465)</f>
        <v/>
      </c>
      <c r="J2465" s="69" t="str">
        <f>IF(AND(A2465="",B2465=""),"",IF(A2465="","Produit manquant",IF(COUNTIF(prod_ref,A2465)=0,"Produit inconnu",IF(B2465="","Matière manquante",IF(ISNA(MATCH(B2465,mat_ref,0)),"Matière inconnue",IF(INDEX(mat_check,MATCH(B2465,mat_ref,0))&lt;&gt;"OK","Matière à corriger",IF(OR(NOT(ISNUMBER(E2465)),N(E2465)&lt;=0),"Quantité invalide",IF(AND(F2465&lt;&gt;"",OR(NOT(ISNUMBER(F2465)),N(F2465)&lt;0,N(F2465)&gt;=1)),"Perte entre 0 et 99 %",IF(COUNTIFS(bom_prod,A2465,bom_mat,B2465)&gt;1,"Matière en double","OK")))))))))</f>
        <v/>
      </c>
      <c r="K2465" s="71" t="str">
        <f>IF(AND(fiche_sel&lt;&gt;"",A2465=fiche_sel),COUNTIF(A$6:A2465,fiche_sel),"")</f>
        <v/>
      </c>
    </row>
    <row r="2466">
      <c r="A2466" s="60" t="n"/>
      <c r="B2466" s="60" t="n"/>
      <c r="C2466" s="71" t="str">
        <f>IF(B2466="","",IFERROR(INDEX(mat_des,MATCH(B2466,mat_ref,0))&amp;"","Matière inconnue"))</f>
        <v/>
      </c>
      <c r="D2466" s="69" t="str">
        <f>IF(B2466="","",IFERROR(INDEX(mat_unit,MATCH(B2466,mat_ref,0))&amp;"",""))</f>
        <v/>
      </c>
      <c r="E2466" s="72" t="n"/>
      <c r="F2466" s="65" t="n"/>
      <c r="G2466" s="68" t="str">
        <f>IF(J2466&lt;&gt;"OK","",IF(F2466="",N(INDEX(mat_loss,MATCH(B2466,mat_ref,0))),F2466))</f>
        <v/>
      </c>
      <c r="H2466" s="66" t="str">
        <f>IF(J2466&lt;&gt;"OK","",INDEX(mat_price,MATCH(B2466,mat_ref,0)))</f>
        <v/>
      </c>
      <c r="I2466" s="66" t="str">
        <f>IF(J2466&lt;&gt;"OK","",E2466*(1+G2466)*H2466)</f>
        <v/>
      </c>
      <c r="J2466" s="69" t="str">
        <f>IF(AND(A2466="",B2466=""),"",IF(A2466="","Produit manquant",IF(COUNTIF(prod_ref,A2466)=0,"Produit inconnu",IF(B2466="","Matière manquante",IF(ISNA(MATCH(B2466,mat_ref,0)),"Matière inconnue",IF(INDEX(mat_check,MATCH(B2466,mat_ref,0))&lt;&gt;"OK","Matière à corriger",IF(OR(NOT(ISNUMBER(E2466)),N(E2466)&lt;=0),"Quantité invalide",IF(AND(F2466&lt;&gt;"",OR(NOT(ISNUMBER(F2466)),N(F2466)&lt;0,N(F2466)&gt;=1)),"Perte entre 0 et 99 %",IF(COUNTIFS(bom_prod,A2466,bom_mat,B2466)&gt;1,"Matière en double","OK")))))))))</f>
        <v/>
      </c>
      <c r="K2466" s="71" t="str">
        <f>IF(AND(fiche_sel&lt;&gt;"",A2466=fiche_sel),COUNTIF(A$6:A2466,fiche_sel),"")</f>
        <v/>
      </c>
    </row>
    <row r="2467">
      <c r="A2467" s="60" t="n"/>
      <c r="B2467" s="60" t="n"/>
      <c r="C2467" s="71" t="str">
        <f>IF(B2467="","",IFERROR(INDEX(mat_des,MATCH(B2467,mat_ref,0))&amp;"","Matière inconnue"))</f>
        <v/>
      </c>
      <c r="D2467" s="69" t="str">
        <f>IF(B2467="","",IFERROR(INDEX(mat_unit,MATCH(B2467,mat_ref,0))&amp;"",""))</f>
        <v/>
      </c>
      <c r="E2467" s="72" t="n"/>
      <c r="F2467" s="65" t="n"/>
      <c r="G2467" s="68" t="str">
        <f>IF(J2467&lt;&gt;"OK","",IF(F2467="",N(INDEX(mat_loss,MATCH(B2467,mat_ref,0))),F2467))</f>
        <v/>
      </c>
      <c r="H2467" s="66" t="str">
        <f>IF(J2467&lt;&gt;"OK","",INDEX(mat_price,MATCH(B2467,mat_ref,0)))</f>
        <v/>
      </c>
      <c r="I2467" s="66" t="str">
        <f>IF(J2467&lt;&gt;"OK","",E2467*(1+G2467)*H2467)</f>
        <v/>
      </c>
      <c r="J2467" s="69" t="str">
        <f>IF(AND(A2467="",B2467=""),"",IF(A2467="","Produit manquant",IF(COUNTIF(prod_ref,A2467)=0,"Produit inconnu",IF(B2467="","Matière manquante",IF(ISNA(MATCH(B2467,mat_ref,0)),"Matière inconnue",IF(INDEX(mat_check,MATCH(B2467,mat_ref,0))&lt;&gt;"OK","Matière à corriger",IF(OR(NOT(ISNUMBER(E2467)),N(E2467)&lt;=0),"Quantité invalide",IF(AND(F2467&lt;&gt;"",OR(NOT(ISNUMBER(F2467)),N(F2467)&lt;0,N(F2467)&gt;=1)),"Perte entre 0 et 99 %",IF(COUNTIFS(bom_prod,A2467,bom_mat,B2467)&gt;1,"Matière en double","OK")))))))))</f>
        <v/>
      </c>
      <c r="K2467" s="71" t="str">
        <f>IF(AND(fiche_sel&lt;&gt;"",A2467=fiche_sel),COUNTIF(A$6:A2467,fiche_sel),"")</f>
        <v/>
      </c>
    </row>
    <row r="2468">
      <c r="A2468" s="60" t="n"/>
      <c r="B2468" s="60" t="n"/>
      <c r="C2468" s="71" t="str">
        <f>IF(B2468="","",IFERROR(INDEX(mat_des,MATCH(B2468,mat_ref,0))&amp;"","Matière inconnue"))</f>
        <v/>
      </c>
      <c r="D2468" s="69" t="str">
        <f>IF(B2468="","",IFERROR(INDEX(mat_unit,MATCH(B2468,mat_ref,0))&amp;"",""))</f>
        <v/>
      </c>
      <c r="E2468" s="72" t="n"/>
      <c r="F2468" s="65" t="n"/>
      <c r="G2468" s="68" t="str">
        <f>IF(J2468&lt;&gt;"OK","",IF(F2468="",N(INDEX(mat_loss,MATCH(B2468,mat_ref,0))),F2468))</f>
        <v/>
      </c>
      <c r="H2468" s="66" t="str">
        <f>IF(J2468&lt;&gt;"OK","",INDEX(mat_price,MATCH(B2468,mat_ref,0)))</f>
        <v/>
      </c>
      <c r="I2468" s="66" t="str">
        <f>IF(J2468&lt;&gt;"OK","",E2468*(1+G2468)*H2468)</f>
        <v/>
      </c>
      <c r="J2468" s="69" t="str">
        <f>IF(AND(A2468="",B2468=""),"",IF(A2468="","Produit manquant",IF(COUNTIF(prod_ref,A2468)=0,"Produit inconnu",IF(B2468="","Matière manquante",IF(ISNA(MATCH(B2468,mat_ref,0)),"Matière inconnue",IF(INDEX(mat_check,MATCH(B2468,mat_ref,0))&lt;&gt;"OK","Matière à corriger",IF(OR(NOT(ISNUMBER(E2468)),N(E2468)&lt;=0),"Quantité invalide",IF(AND(F2468&lt;&gt;"",OR(NOT(ISNUMBER(F2468)),N(F2468)&lt;0,N(F2468)&gt;=1)),"Perte entre 0 et 99 %",IF(COUNTIFS(bom_prod,A2468,bom_mat,B2468)&gt;1,"Matière en double","OK")))))))))</f>
        <v/>
      </c>
      <c r="K2468" s="71" t="str">
        <f>IF(AND(fiche_sel&lt;&gt;"",A2468=fiche_sel),COUNTIF(A$6:A2468,fiche_sel),"")</f>
        <v/>
      </c>
    </row>
    <row r="2469">
      <c r="A2469" s="60" t="n"/>
      <c r="B2469" s="60" t="n"/>
      <c r="C2469" s="71" t="str">
        <f>IF(B2469="","",IFERROR(INDEX(mat_des,MATCH(B2469,mat_ref,0))&amp;"","Matière inconnue"))</f>
        <v/>
      </c>
      <c r="D2469" s="69" t="str">
        <f>IF(B2469="","",IFERROR(INDEX(mat_unit,MATCH(B2469,mat_ref,0))&amp;"",""))</f>
        <v/>
      </c>
      <c r="E2469" s="72" t="n"/>
      <c r="F2469" s="65" t="n"/>
      <c r="G2469" s="68" t="str">
        <f>IF(J2469&lt;&gt;"OK","",IF(F2469="",N(INDEX(mat_loss,MATCH(B2469,mat_ref,0))),F2469))</f>
        <v/>
      </c>
      <c r="H2469" s="66" t="str">
        <f>IF(J2469&lt;&gt;"OK","",INDEX(mat_price,MATCH(B2469,mat_ref,0)))</f>
        <v/>
      </c>
      <c r="I2469" s="66" t="str">
        <f>IF(J2469&lt;&gt;"OK","",E2469*(1+G2469)*H2469)</f>
        <v/>
      </c>
      <c r="J2469" s="69" t="str">
        <f>IF(AND(A2469="",B2469=""),"",IF(A2469="","Produit manquant",IF(COUNTIF(prod_ref,A2469)=0,"Produit inconnu",IF(B2469="","Matière manquante",IF(ISNA(MATCH(B2469,mat_ref,0)),"Matière inconnue",IF(INDEX(mat_check,MATCH(B2469,mat_ref,0))&lt;&gt;"OK","Matière à corriger",IF(OR(NOT(ISNUMBER(E2469)),N(E2469)&lt;=0),"Quantité invalide",IF(AND(F2469&lt;&gt;"",OR(NOT(ISNUMBER(F2469)),N(F2469)&lt;0,N(F2469)&gt;=1)),"Perte entre 0 et 99 %",IF(COUNTIFS(bom_prod,A2469,bom_mat,B2469)&gt;1,"Matière en double","OK")))))))))</f>
        <v/>
      </c>
      <c r="K2469" s="71" t="str">
        <f>IF(AND(fiche_sel&lt;&gt;"",A2469=fiche_sel),COUNTIF(A$6:A2469,fiche_sel),"")</f>
        <v/>
      </c>
    </row>
    <row r="2470">
      <c r="A2470" s="60" t="n"/>
      <c r="B2470" s="60" t="n"/>
      <c r="C2470" s="71" t="str">
        <f>IF(B2470="","",IFERROR(INDEX(mat_des,MATCH(B2470,mat_ref,0))&amp;"","Matière inconnue"))</f>
        <v/>
      </c>
      <c r="D2470" s="69" t="str">
        <f>IF(B2470="","",IFERROR(INDEX(mat_unit,MATCH(B2470,mat_ref,0))&amp;"",""))</f>
        <v/>
      </c>
      <c r="E2470" s="72" t="n"/>
      <c r="F2470" s="65" t="n"/>
      <c r="G2470" s="68" t="str">
        <f>IF(J2470&lt;&gt;"OK","",IF(F2470="",N(INDEX(mat_loss,MATCH(B2470,mat_ref,0))),F2470))</f>
        <v/>
      </c>
      <c r="H2470" s="66" t="str">
        <f>IF(J2470&lt;&gt;"OK","",INDEX(mat_price,MATCH(B2470,mat_ref,0)))</f>
        <v/>
      </c>
      <c r="I2470" s="66" t="str">
        <f>IF(J2470&lt;&gt;"OK","",E2470*(1+G2470)*H2470)</f>
        <v/>
      </c>
      <c r="J2470" s="69" t="str">
        <f>IF(AND(A2470="",B2470=""),"",IF(A2470="","Produit manquant",IF(COUNTIF(prod_ref,A2470)=0,"Produit inconnu",IF(B2470="","Matière manquante",IF(ISNA(MATCH(B2470,mat_ref,0)),"Matière inconnue",IF(INDEX(mat_check,MATCH(B2470,mat_ref,0))&lt;&gt;"OK","Matière à corriger",IF(OR(NOT(ISNUMBER(E2470)),N(E2470)&lt;=0),"Quantité invalide",IF(AND(F2470&lt;&gt;"",OR(NOT(ISNUMBER(F2470)),N(F2470)&lt;0,N(F2470)&gt;=1)),"Perte entre 0 et 99 %",IF(COUNTIFS(bom_prod,A2470,bom_mat,B2470)&gt;1,"Matière en double","OK")))))))))</f>
        <v/>
      </c>
      <c r="K2470" s="71" t="str">
        <f>IF(AND(fiche_sel&lt;&gt;"",A2470=fiche_sel),COUNTIF(A$6:A2470,fiche_sel),"")</f>
        <v/>
      </c>
    </row>
    <row r="2471">
      <c r="A2471" s="60" t="n"/>
      <c r="B2471" s="60" t="n"/>
      <c r="C2471" s="71" t="str">
        <f>IF(B2471="","",IFERROR(INDEX(mat_des,MATCH(B2471,mat_ref,0))&amp;"","Matière inconnue"))</f>
        <v/>
      </c>
      <c r="D2471" s="69" t="str">
        <f>IF(B2471="","",IFERROR(INDEX(mat_unit,MATCH(B2471,mat_ref,0))&amp;"",""))</f>
        <v/>
      </c>
      <c r="E2471" s="72" t="n"/>
      <c r="F2471" s="65" t="n"/>
      <c r="G2471" s="68" t="str">
        <f>IF(J2471&lt;&gt;"OK","",IF(F2471="",N(INDEX(mat_loss,MATCH(B2471,mat_ref,0))),F2471))</f>
        <v/>
      </c>
      <c r="H2471" s="66" t="str">
        <f>IF(J2471&lt;&gt;"OK","",INDEX(mat_price,MATCH(B2471,mat_ref,0)))</f>
        <v/>
      </c>
      <c r="I2471" s="66" t="str">
        <f>IF(J2471&lt;&gt;"OK","",E2471*(1+G2471)*H2471)</f>
        <v/>
      </c>
      <c r="J2471" s="69" t="str">
        <f>IF(AND(A2471="",B2471=""),"",IF(A2471="","Produit manquant",IF(COUNTIF(prod_ref,A2471)=0,"Produit inconnu",IF(B2471="","Matière manquante",IF(ISNA(MATCH(B2471,mat_ref,0)),"Matière inconnue",IF(INDEX(mat_check,MATCH(B2471,mat_ref,0))&lt;&gt;"OK","Matière à corriger",IF(OR(NOT(ISNUMBER(E2471)),N(E2471)&lt;=0),"Quantité invalide",IF(AND(F2471&lt;&gt;"",OR(NOT(ISNUMBER(F2471)),N(F2471)&lt;0,N(F2471)&gt;=1)),"Perte entre 0 et 99 %",IF(COUNTIFS(bom_prod,A2471,bom_mat,B2471)&gt;1,"Matière en double","OK")))))))))</f>
        <v/>
      </c>
      <c r="K2471" s="71" t="str">
        <f>IF(AND(fiche_sel&lt;&gt;"",A2471=fiche_sel),COUNTIF(A$6:A2471,fiche_sel),"")</f>
        <v/>
      </c>
    </row>
    <row r="2472">
      <c r="A2472" s="60" t="n"/>
      <c r="B2472" s="60" t="n"/>
      <c r="C2472" s="71" t="str">
        <f>IF(B2472="","",IFERROR(INDEX(mat_des,MATCH(B2472,mat_ref,0))&amp;"","Matière inconnue"))</f>
        <v/>
      </c>
      <c r="D2472" s="69" t="str">
        <f>IF(B2472="","",IFERROR(INDEX(mat_unit,MATCH(B2472,mat_ref,0))&amp;"",""))</f>
        <v/>
      </c>
      <c r="E2472" s="72" t="n"/>
      <c r="F2472" s="65" t="n"/>
      <c r="G2472" s="68" t="str">
        <f>IF(J2472&lt;&gt;"OK","",IF(F2472="",N(INDEX(mat_loss,MATCH(B2472,mat_ref,0))),F2472))</f>
        <v/>
      </c>
      <c r="H2472" s="66" t="str">
        <f>IF(J2472&lt;&gt;"OK","",INDEX(mat_price,MATCH(B2472,mat_ref,0)))</f>
        <v/>
      </c>
      <c r="I2472" s="66" t="str">
        <f>IF(J2472&lt;&gt;"OK","",E2472*(1+G2472)*H2472)</f>
        <v/>
      </c>
      <c r="J2472" s="69" t="str">
        <f>IF(AND(A2472="",B2472=""),"",IF(A2472="","Produit manquant",IF(COUNTIF(prod_ref,A2472)=0,"Produit inconnu",IF(B2472="","Matière manquante",IF(ISNA(MATCH(B2472,mat_ref,0)),"Matière inconnue",IF(INDEX(mat_check,MATCH(B2472,mat_ref,0))&lt;&gt;"OK","Matière à corriger",IF(OR(NOT(ISNUMBER(E2472)),N(E2472)&lt;=0),"Quantité invalide",IF(AND(F2472&lt;&gt;"",OR(NOT(ISNUMBER(F2472)),N(F2472)&lt;0,N(F2472)&gt;=1)),"Perte entre 0 et 99 %",IF(COUNTIFS(bom_prod,A2472,bom_mat,B2472)&gt;1,"Matière en double","OK")))))))))</f>
        <v/>
      </c>
      <c r="K2472" s="71" t="str">
        <f>IF(AND(fiche_sel&lt;&gt;"",A2472=fiche_sel),COUNTIF(A$6:A2472,fiche_sel),"")</f>
        <v/>
      </c>
    </row>
    <row r="2473">
      <c r="A2473" s="60" t="n"/>
      <c r="B2473" s="60" t="n"/>
      <c r="C2473" s="71" t="str">
        <f>IF(B2473="","",IFERROR(INDEX(mat_des,MATCH(B2473,mat_ref,0))&amp;"","Matière inconnue"))</f>
        <v/>
      </c>
      <c r="D2473" s="69" t="str">
        <f>IF(B2473="","",IFERROR(INDEX(mat_unit,MATCH(B2473,mat_ref,0))&amp;"",""))</f>
        <v/>
      </c>
      <c r="E2473" s="72" t="n"/>
      <c r="F2473" s="65" t="n"/>
      <c r="G2473" s="68" t="str">
        <f>IF(J2473&lt;&gt;"OK","",IF(F2473="",N(INDEX(mat_loss,MATCH(B2473,mat_ref,0))),F2473))</f>
        <v/>
      </c>
      <c r="H2473" s="66" t="str">
        <f>IF(J2473&lt;&gt;"OK","",INDEX(mat_price,MATCH(B2473,mat_ref,0)))</f>
        <v/>
      </c>
      <c r="I2473" s="66" t="str">
        <f>IF(J2473&lt;&gt;"OK","",E2473*(1+G2473)*H2473)</f>
        <v/>
      </c>
      <c r="J2473" s="69" t="str">
        <f>IF(AND(A2473="",B2473=""),"",IF(A2473="","Produit manquant",IF(COUNTIF(prod_ref,A2473)=0,"Produit inconnu",IF(B2473="","Matière manquante",IF(ISNA(MATCH(B2473,mat_ref,0)),"Matière inconnue",IF(INDEX(mat_check,MATCH(B2473,mat_ref,0))&lt;&gt;"OK","Matière à corriger",IF(OR(NOT(ISNUMBER(E2473)),N(E2473)&lt;=0),"Quantité invalide",IF(AND(F2473&lt;&gt;"",OR(NOT(ISNUMBER(F2473)),N(F2473)&lt;0,N(F2473)&gt;=1)),"Perte entre 0 et 99 %",IF(COUNTIFS(bom_prod,A2473,bom_mat,B2473)&gt;1,"Matière en double","OK")))))))))</f>
        <v/>
      </c>
      <c r="K2473" s="71" t="str">
        <f>IF(AND(fiche_sel&lt;&gt;"",A2473=fiche_sel),COUNTIF(A$6:A2473,fiche_sel),"")</f>
        <v/>
      </c>
    </row>
    <row r="2474">
      <c r="A2474" s="60" t="n"/>
      <c r="B2474" s="60" t="n"/>
      <c r="C2474" s="71" t="str">
        <f>IF(B2474="","",IFERROR(INDEX(mat_des,MATCH(B2474,mat_ref,0))&amp;"","Matière inconnue"))</f>
        <v/>
      </c>
      <c r="D2474" s="69" t="str">
        <f>IF(B2474="","",IFERROR(INDEX(mat_unit,MATCH(B2474,mat_ref,0))&amp;"",""))</f>
        <v/>
      </c>
      <c r="E2474" s="72" t="n"/>
      <c r="F2474" s="65" t="n"/>
      <c r="G2474" s="68" t="str">
        <f>IF(J2474&lt;&gt;"OK","",IF(F2474="",N(INDEX(mat_loss,MATCH(B2474,mat_ref,0))),F2474))</f>
        <v/>
      </c>
      <c r="H2474" s="66" t="str">
        <f>IF(J2474&lt;&gt;"OK","",INDEX(mat_price,MATCH(B2474,mat_ref,0)))</f>
        <v/>
      </c>
      <c r="I2474" s="66" t="str">
        <f>IF(J2474&lt;&gt;"OK","",E2474*(1+G2474)*H2474)</f>
        <v/>
      </c>
      <c r="J2474" s="69" t="str">
        <f>IF(AND(A2474="",B2474=""),"",IF(A2474="","Produit manquant",IF(COUNTIF(prod_ref,A2474)=0,"Produit inconnu",IF(B2474="","Matière manquante",IF(ISNA(MATCH(B2474,mat_ref,0)),"Matière inconnue",IF(INDEX(mat_check,MATCH(B2474,mat_ref,0))&lt;&gt;"OK","Matière à corriger",IF(OR(NOT(ISNUMBER(E2474)),N(E2474)&lt;=0),"Quantité invalide",IF(AND(F2474&lt;&gt;"",OR(NOT(ISNUMBER(F2474)),N(F2474)&lt;0,N(F2474)&gt;=1)),"Perte entre 0 et 99 %",IF(COUNTIFS(bom_prod,A2474,bom_mat,B2474)&gt;1,"Matière en double","OK")))))))))</f>
        <v/>
      </c>
      <c r="K2474" s="71" t="str">
        <f>IF(AND(fiche_sel&lt;&gt;"",A2474=fiche_sel),COUNTIF(A$6:A2474,fiche_sel),"")</f>
        <v/>
      </c>
    </row>
    <row r="2475">
      <c r="A2475" s="60" t="n"/>
      <c r="B2475" s="60" t="n"/>
      <c r="C2475" s="71" t="str">
        <f>IF(B2475="","",IFERROR(INDEX(mat_des,MATCH(B2475,mat_ref,0))&amp;"","Matière inconnue"))</f>
        <v/>
      </c>
      <c r="D2475" s="69" t="str">
        <f>IF(B2475="","",IFERROR(INDEX(mat_unit,MATCH(B2475,mat_ref,0))&amp;"",""))</f>
        <v/>
      </c>
      <c r="E2475" s="72" t="n"/>
      <c r="F2475" s="65" t="n"/>
      <c r="G2475" s="68" t="str">
        <f>IF(J2475&lt;&gt;"OK","",IF(F2475="",N(INDEX(mat_loss,MATCH(B2475,mat_ref,0))),F2475))</f>
        <v/>
      </c>
      <c r="H2475" s="66" t="str">
        <f>IF(J2475&lt;&gt;"OK","",INDEX(mat_price,MATCH(B2475,mat_ref,0)))</f>
        <v/>
      </c>
      <c r="I2475" s="66" t="str">
        <f>IF(J2475&lt;&gt;"OK","",E2475*(1+G2475)*H2475)</f>
        <v/>
      </c>
      <c r="J2475" s="69" t="str">
        <f>IF(AND(A2475="",B2475=""),"",IF(A2475="","Produit manquant",IF(COUNTIF(prod_ref,A2475)=0,"Produit inconnu",IF(B2475="","Matière manquante",IF(ISNA(MATCH(B2475,mat_ref,0)),"Matière inconnue",IF(INDEX(mat_check,MATCH(B2475,mat_ref,0))&lt;&gt;"OK","Matière à corriger",IF(OR(NOT(ISNUMBER(E2475)),N(E2475)&lt;=0),"Quantité invalide",IF(AND(F2475&lt;&gt;"",OR(NOT(ISNUMBER(F2475)),N(F2475)&lt;0,N(F2475)&gt;=1)),"Perte entre 0 et 99 %",IF(COUNTIFS(bom_prod,A2475,bom_mat,B2475)&gt;1,"Matière en double","OK")))))))))</f>
        <v/>
      </c>
      <c r="K2475" s="71" t="str">
        <f>IF(AND(fiche_sel&lt;&gt;"",A2475=fiche_sel),COUNTIF(A$6:A2475,fiche_sel),"")</f>
        <v/>
      </c>
    </row>
    <row r="2476">
      <c r="A2476" s="60" t="n"/>
      <c r="B2476" s="60" t="n"/>
      <c r="C2476" s="71" t="str">
        <f>IF(B2476="","",IFERROR(INDEX(mat_des,MATCH(B2476,mat_ref,0))&amp;"","Matière inconnue"))</f>
        <v/>
      </c>
      <c r="D2476" s="69" t="str">
        <f>IF(B2476="","",IFERROR(INDEX(mat_unit,MATCH(B2476,mat_ref,0))&amp;"",""))</f>
        <v/>
      </c>
      <c r="E2476" s="72" t="n"/>
      <c r="F2476" s="65" t="n"/>
      <c r="G2476" s="68" t="str">
        <f>IF(J2476&lt;&gt;"OK","",IF(F2476="",N(INDEX(mat_loss,MATCH(B2476,mat_ref,0))),F2476))</f>
        <v/>
      </c>
      <c r="H2476" s="66" t="str">
        <f>IF(J2476&lt;&gt;"OK","",INDEX(mat_price,MATCH(B2476,mat_ref,0)))</f>
        <v/>
      </c>
      <c r="I2476" s="66" t="str">
        <f>IF(J2476&lt;&gt;"OK","",E2476*(1+G2476)*H2476)</f>
        <v/>
      </c>
      <c r="J2476" s="69" t="str">
        <f>IF(AND(A2476="",B2476=""),"",IF(A2476="","Produit manquant",IF(COUNTIF(prod_ref,A2476)=0,"Produit inconnu",IF(B2476="","Matière manquante",IF(ISNA(MATCH(B2476,mat_ref,0)),"Matière inconnue",IF(INDEX(mat_check,MATCH(B2476,mat_ref,0))&lt;&gt;"OK","Matière à corriger",IF(OR(NOT(ISNUMBER(E2476)),N(E2476)&lt;=0),"Quantité invalide",IF(AND(F2476&lt;&gt;"",OR(NOT(ISNUMBER(F2476)),N(F2476)&lt;0,N(F2476)&gt;=1)),"Perte entre 0 et 99 %",IF(COUNTIFS(bom_prod,A2476,bom_mat,B2476)&gt;1,"Matière en double","OK")))))))))</f>
        <v/>
      </c>
      <c r="K2476" s="71" t="str">
        <f>IF(AND(fiche_sel&lt;&gt;"",A2476=fiche_sel),COUNTIF(A$6:A2476,fiche_sel),"")</f>
        <v/>
      </c>
    </row>
    <row r="2477">
      <c r="A2477" s="60" t="n"/>
      <c r="B2477" s="60" t="n"/>
      <c r="C2477" s="71" t="str">
        <f>IF(B2477="","",IFERROR(INDEX(mat_des,MATCH(B2477,mat_ref,0))&amp;"","Matière inconnue"))</f>
        <v/>
      </c>
      <c r="D2477" s="69" t="str">
        <f>IF(B2477="","",IFERROR(INDEX(mat_unit,MATCH(B2477,mat_ref,0))&amp;"",""))</f>
        <v/>
      </c>
      <c r="E2477" s="72" t="n"/>
      <c r="F2477" s="65" t="n"/>
      <c r="G2477" s="68" t="str">
        <f>IF(J2477&lt;&gt;"OK","",IF(F2477="",N(INDEX(mat_loss,MATCH(B2477,mat_ref,0))),F2477))</f>
        <v/>
      </c>
      <c r="H2477" s="66" t="str">
        <f>IF(J2477&lt;&gt;"OK","",INDEX(mat_price,MATCH(B2477,mat_ref,0)))</f>
        <v/>
      </c>
      <c r="I2477" s="66" t="str">
        <f>IF(J2477&lt;&gt;"OK","",E2477*(1+G2477)*H2477)</f>
        <v/>
      </c>
      <c r="J2477" s="69" t="str">
        <f>IF(AND(A2477="",B2477=""),"",IF(A2477="","Produit manquant",IF(COUNTIF(prod_ref,A2477)=0,"Produit inconnu",IF(B2477="","Matière manquante",IF(ISNA(MATCH(B2477,mat_ref,0)),"Matière inconnue",IF(INDEX(mat_check,MATCH(B2477,mat_ref,0))&lt;&gt;"OK","Matière à corriger",IF(OR(NOT(ISNUMBER(E2477)),N(E2477)&lt;=0),"Quantité invalide",IF(AND(F2477&lt;&gt;"",OR(NOT(ISNUMBER(F2477)),N(F2477)&lt;0,N(F2477)&gt;=1)),"Perte entre 0 et 99 %",IF(COUNTIFS(bom_prod,A2477,bom_mat,B2477)&gt;1,"Matière en double","OK")))))))))</f>
        <v/>
      </c>
      <c r="K2477" s="71" t="str">
        <f>IF(AND(fiche_sel&lt;&gt;"",A2477=fiche_sel),COUNTIF(A$6:A2477,fiche_sel),"")</f>
        <v/>
      </c>
    </row>
    <row r="2478">
      <c r="A2478" s="60" t="n"/>
      <c r="B2478" s="60" t="n"/>
      <c r="C2478" s="71" t="str">
        <f>IF(B2478="","",IFERROR(INDEX(mat_des,MATCH(B2478,mat_ref,0))&amp;"","Matière inconnue"))</f>
        <v/>
      </c>
      <c r="D2478" s="69" t="str">
        <f>IF(B2478="","",IFERROR(INDEX(mat_unit,MATCH(B2478,mat_ref,0))&amp;"",""))</f>
        <v/>
      </c>
      <c r="E2478" s="72" t="n"/>
      <c r="F2478" s="65" t="n"/>
      <c r="G2478" s="68" t="str">
        <f>IF(J2478&lt;&gt;"OK","",IF(F2478="",N(INDEX(mat_loss,MATCH(B2478,mat_ref,0))),F2478))</f>
        <v/>
      </c>
      <c r="H2478" s="66" t="str">
        <f>IF(J2478&lt;&gt;"OK","",INDEX(mat_price,MATCH(B2478,mat_ref,0)))</f>
        <v/>
      </c>
      <c r="I2478" s="66" t="str">
        <f>IF(J2478&lt;&gt;"OK","",E2478*(1+G2478)*H2478)</f>
        <v/>
      </c>
      <c r="J2478" s="69" t="str">
        <f>IF(AND(A2478="",B2478=""),"",IF(A2478="","Produit manquant",IF(COUNTIF(prod_ref,A2478)=0,"Produit inconnu",IF(B2478="","Matière manquante",IF(ISNA(MATCH(B2478,mat_ref,0)),"Matière inconnue",IF(INDEX(mat_check,MATCH(B2478,mat_ref,0))&lt;&gt;"OK","Matière à corriger",IF(OR(NOT(ISNUMBER(E2478)),N(E2478)&lt;=0),"Quantité invalide",IF(AND(F2478&lt;&gt;"",OR(NOT(ISNUMBER(F2478)),N(F2478)&lt;0,N(F2478)&gt;=1)),"Perte entre 0 et 99 %",IF(COUNTIFS(bom_prod,A2478,bom_mat,B2478)&gt;1,"Matière en double","OK")))))))))</f>
        <v/>
      </c>
      <c r="K2478" s="71" t="str">
        <f>IF(AND(fiche_sel&lt;&gt;"",A2478=fiche_sel),COUNTIF(A$6:A2478,fiche_sel),"")</f>
        <v/>
      </c>
    </row>
    <row r="2479">
      <c r="A2479" s="60" t="n"/>
      <c r="B2479" s="60" t="n"/>
      <c r="C2479" s="71" t="str">
        <f>IF(B2479="","",IFERROR(INDEX(mat_des,MATCH(B2479,mat_ref,0))&amp;"","Matière inconnue"))</f>
        <v/>
      </c>
      <c r="D2479" s="69" t="str">
        <f>IF(B2479="","",IFERROR(INDEX(mat_unit,MATCH(B2479,mat_ref,0))&amp;"",""))</f>
        <v/>
      </c>
      <c r="E2479" s="72" t="n"/>
      <c r="F2479" s="65" t="n"/>
      <c r="G2479" s="68" t="str">
        <f>IF(J2479&lt;&gt;"OK","",IF(F2479="",N(INDEX(mat_loss,MATCH(B2479,mat_ref,0))),F2479))</f>
        <v/>
      </c>
      <c r="H2479" s="66" t="str">
        <f>IF(J2479&lt;&gt;"OK","",INDEX(mat_price,MATCH(B2479,mat_ref,0)))</f>
        <v/>
      </c>
      <c r="I2479" s="66" t="str">
        <f>IF(J2479&lt;&gt;"OK","",E2479*(1+G2479)*H2479)</f>
        <v/>
      </c>
      <c r="J2479" s="69" t="str">
        <f>IF(AND(A2479="",B2479=""),"",IF(A2479="","Produit manquant",IF(COUNTIF(prod_ref,A2479)=0,"Produit inconnu",IF(B2479="","Matière manquante",IF(ISNA(MATCH(B2479,mat_ref,0)),"Matière inconnue",IF(INDEX(mat_check,MATCH(B2479,mat_ref,0))&lt;&gt;"OK","Matière à corriger",IF(OR(NOT(ISNUMBER(E2479)),N(E2479)&lt;=0),"Quantité invalide",IF(AND(F2479&lt;&gt;"",OR(NOT(ISNUMBER(F2479)),N(F2479)&lt;0,N(F2479)&gt;=1)),"Perte entre 0 et 99 %",IF(COUNTIFS(bom_prod,A2479,bom_mat,B2479)&gt;1,"Matière en double","OK")))))))))</f>
        <v/>
      </c>
      <c r="K2479" s="71" t="str">
        <f>IF(AND(fiche_sel&lt;&gt;"",A2479=fiche_sel),COUNTIF(A$6:A2479,fiche_sel),"")</f>
        <v/>
      </c>
    </row>
    <row r="2480">
      <c r="A2480" s="60" t="n"/>
      <c r="B2480" s="60" t="n"/>
      <c r="C2480" s="71" t="str">
        <f>IF(B2480="","",IFERROR(INDEX(mat_des,MATCH(B2480,mat_ref,0))&amp;"","Matière inconnue"))</f>
        <v/>
      </c>
      <c r="D2480" s="69" t="str">
        <f>IF(B2480="","",IFERROR(INDEX(mat_unit,MATCH(B2480,mat_ref,0))&amp;"",""))</f>
        <v/>
      </c>
      <c r="E2480" s="72" t="n"/>
      <c r="F2480" s="65" t="n"/>
      <c r="G2480" s="68" t="str">
        <f>IF(J2480&lt;&gt;"OK","",IF(F2480="",N(INDEX(mat_loss,MATCH(B2480,mat_ref,0))),F2480))</f>
        <v/>
      </c>
      <c r="H2480" s="66" t="str">
        <f>IF(J2480&lt;&gt;"OK","",INDEX(mat_price,MATCH(B2480,mat_ref,0)))</f>
        <v/>
      </c>
      <c r="I2480" s="66" t="str">
        <f>IF(J2480&lt;&gt;"OK","",E2480*(1+G2480)*H2480)</f>
        <v/>
      </c>
      <c r="J2480" s="69" t="str">
        <f>IF(AND(A2480="",B2480=""),"",IF(A2480="","Produit manquant",IF(COUNTIF(prod_ref,A2480)=0,"Produit inconnu",IF(B2480="","Matière manquante",IF(ISNA(MATCH(B2480,mat_ref,0)),"Matière inconnue",IF(INDEX(mat_check,MATCH(B2480,mat_ref,0))&lt;&gt;"OK","Matière à corriger",IF(OR(NOT(ISNUMBER(E2480)),N(E2480)&lt;=0),"Quantité invalide",IF(AND(F2480&lt;&gt;"",OR(NOT(ISNUMBER(F2480)),N(F2480)&lt;0,N(F2480)&gt;=1)),"Perte entre 0 et 99 %",IF(COUNTIFS(bom_prod,A2480,bom_mat,B2480)&gt;1,"Matière en double","OK")))))))))</f>
        <v/>
      </c>
      <c r="K2480" s="71" t="str">
        <f>IF(AND(fiche_sel&lt;&gt;"",A2480=fiche_sel),COUNTIF(A$6:A2480,fiche_sel),"")</f>
        <v/>
      </c>
    </row>
    <row r="2481">
      <c r="A2481" s="60" t="n"/>
      <c r="B2481" s="60" t="n"/>
      <c r="C2481" s="71" t="str">
        <f>IF(B2481="","",IFERROR(INDEX(mat_des,MATCH(B2481,mat_ref,0))&amp;"","Matière inconnue"))</f>
        <v/>
      </c>
      <c r="D2481" s="69" t="str">
        <f>IF(B2481="","",IFERROR(INDEX(mat_unit,MATCH(B2481,mat_ref,0))&amp;"",""))</f>
        <v/>
      </c>
      <c r="E2481" s="72" t="n"/>
      <c r="F2481" s="65" t="n"/>
      <c r="G2481" s="68" t="str">
        <f>IF(J2481&lt;&gt;"OK","",IF(F2481="",N(INDEX(mat_loss,MATCH(B2481,mat_ref,0))),F2481))</f>
        <v/>
      </c>
      <c r="H2481" s="66" t="str">
        <f>IF(J2481&lt;&gt;"OK","",INDEX(mat_price,MATCH(B2481,mat_ref,0)))</f>
        <v/>
      </c>
      <c r="I2481" s="66" t="str">
        <f>IF(J2481&lt;&gt;"OK","",E2481*(1+G2481)*H2481)</f>
        <v/>
      </c>
      <c r="J2481" s="69" t="str">
        <f>IF(AND(A2481="",B2481=""),"",IF(A2481="","Produit manquant",IF(COUNTIF(prod_ref,A2481)=0,"Produit inconnu",IF(B2481="","Matière manquante",IF(ISNA(MATCH(B2481,mat_ref,0)),"Matière inconnue",IF(INDEX(mat_check,MATCH(B2481,mat_ref,0))&lt;&gt;"OK","Matière à corriger",IF(OR(NOT(ISNUMBER(E2481)),N(E2481)&lt;=0),"Quantité invalide",IF(AND(F2481&lt;&gt;"",OR(NOT(ISNUMBER(F2481)),N(F2481)&lt;0,N(F2481)&gt;=1)),"Perte entre 0 et 99 %",IF(COUNTIFS(bom_prod,A2481,bom_mat,B2481)&gt;1,"Matière en double","OK")))))))))</f>
        <v/>
      </c>
      <c r="K2481" s="71" t="str">
        <f>IF(AND(fiche_sel&lt;&gt;"",A2481=fiche_sel),COUNTIF(A$6:A2481,fiche_sel),"")</f>
        <v/>
      </c>
    </row>
    <row r="2482">
      <c r="A2482" s="60" t="n"/>
      <c r="B2482" s="60" t="n"/>
      <c r="C2482" s="71" t="str">
        <f>IF(B2482="","",IFERROR(INDEX(mat_des,MATCH(B2482,mat_ref,0))&amp;"","Matière inconnue"))</f>
        <v/>
      </c>
      <c r="D2482" s="69" t="str">
        <f>IF(B2482="","",IFERROR(INDEX(mat_unit,MATCH(B2482,mat_ref,0))&amp;"",""))</f>
        <v/>
      </c>
      <c r="E2482" s="72" t="n"/>
      <c r="F2482" s="65" t="n"/>
      <c r="G2482" s="68" t="str">
        <f>IF(J2482&lt;&gt;"OK","",IF(F2482="",N(INDEX(mat_loss,MATCH(B2482,mat_ref,0))),F2482))</f>
        <v/>
      </c>
      <c r="H2482" s="66" t="str">
        <f>IF(J2482&lt;&gt;"OK","",INDEX(mat_price,MATCH(B2482,mat_ref,0)))</f>
        <v/>
      </c>
      <c r="I2482" s="66" t="str">
        <f>IF(J2482&lt;&gt;"OK","",E2482*(1+G2482)*H2482)</f>
        <v/>
      </c>
      <c r="J2482" s="69" t="str">
        <f>IF(AND(A2482="",B2482=""),"",IF(A2482="","Produit manquant",IF(COUNTIF(prod_ref,A2482)=0,"Produit inconnu",IF(B2482="","Matière manquante",IF(ISNA(MATCH(B2482,mat_ref,0)),"Matière inconnue",IF(INDEX(mat_check,MATCH(B2482,mat_ref,0))&lt;&gt;"OK","Matière à corriger",IF(OR(NOT(ISNUMBER(E2482)),N(E2482)&lt;=0),"Quantité invalide",IF(AND(F2482&lt;&gt;"",OR(NOT(ISNUMBER(F2482)),N(F2482)&lt;0,N(F2482)&gt;=1)),"Perte entre 0 et 99 %",IF(COUNTIFS(bom_prod,A2482,bom_mat,B2482)&gt;1,"Matière en double","OK")))))))))</f>
        <v/>
      </c>
      <c r="K2482" s="71" t="str">
        <f>IF(AND(fiche_sel&lt;&gt;"",A2482=fiche_sel),COUNTIF(A$6:A2482,fiche_sel),"")</f>
        <v/>
      </c>
    </row>
    <row r="2483">
      <c r="A2483" s="60" t="n"/>
      <c r="B2483" s="60" t="n"/>
      <c r="C2483" s="71" t="str">
        <f>IF(B2483="","",IFERROR(INDEX(mat_des,MATCH(B2483,mat_ref,0))&amp;"","Matière inconnue"))</f>
        <v/>
      </c>
      <c r="D2483" s="69" t="str">
        <f>IF(B2483="","",IFERROR(INDEX(mat_unit,MATCH(B2483,mat_ref,0))&amp;"",""))</f>
        <v/>
      </c>
      <c r="E2483" s="72" t="n"/>
      <c r="F2483" s="65" t="n"/>
      <c r="G2483" s="68" t="str">
        <f>IF(J2483&lt;&gt;"OK","",IF(F2483="",N(INDEX(mat_loss,MATCH(B2483,mat_ref,0))),F2483))</f>
        <v/>
      </c>
      <c r="H2483" s="66" t="str">
        <f>IF(J2483&lt;&gt;"OK","",INDEX(mat_price,MATCH(B2483,mat_ref,0)))</f>
        <v/>
      </c>
      <c r="I2483" s="66" t="str">
        <f>IF(J2483&lt;&gt;"OK","",E2483*(1+G2483)*H2483)</f>
        <v/>
      </c>
      <c r="J2483" s="69" t="str">
        <f>IF(AND(A2483="",B2483=""),"",IF(A2483="","Produit manquant",IF(COUNTIF(prod_ref,A2483)=0,"Produit inconnu",IF(B2483="","Matière manquante",IF(ISNA(MATCH(B2483,mat_ref,0)),"Matière inconnue",IF(INDEX(mat_check,MATCH(B2483,mat_ref,0))&lt;&gt;"OK","Matière à corriger",IF(OR(NOT(ISNUMBER(E2483)),N(E2483)&lt;=0),"Quantité invalide",IF(AND(F2483&lt;&gt;"",OR(NOT(ISNUMBER(F2483)),N(F2483)&lt;0,N(F2483)&gt;=1)),"Perte entre 0 et 99 %",IF(COUNTIFS(bom_prod,A2483,bom_mat,B2483)&gt;1,"Matière en double","OK")))))))))</f>
        <v/>
      </c>
      <c r="K2483" s="71" t="str">
        <f>IF(AND(fiche_sel&lt;&gt;"",A2483=fiche_sel),COUNTIF(A$6:A2483,fiche_sel),"")</f>
        <v/>
      </c>
    </row>
    <row r="2484">
      <c r="A2484" s="60" t="n"/>
      <c r="B2484" s="60" t="n"/>
      <c r="C2484" s="71" t="str">
        <f>IF(B2484="","",IFERROR(INDEX(mat_des,MATCH(B2484,mat_ref,0))&amp;"","Matière inconnue"))</f>
        <v/>
      </c>
      <c r="D2484" s="69" t="str">
        <f>IF(B2484="","",IFERROR(INDEX(mat_unit,MATCH(B2484,mat_ref,0))&amp;"",""))</f>
        <v/>
      </c>
      <c r="E2484" s="72" t="n"/>
      <c r="F2484" s="65" t="n"/>
      <c r="G2484" s="68" t="str">
        <f>IF(J2484&lt;&gt;"OK","",IF(F2484="",N(INDEX(mat_loss,MATCH(B2484,mat_ref,0))),F2484))</f>
        <v/>
      </c>
      <c r="H2484" s="66" t="str">
        <f>IF(J2484&lt;&gt;"OK","",INDEX(mat_price,MATCH(B2484,mat_ref,0)))</f>
        <v/>
      </c>
      <c r="I2484" s="66" t="str">
        <f>IF(J2484&lt;&gt;"OK","",E2484*(1+G2484)*H2484)</f>
        <v/>
      </c>
      <c r="J2484" s="69" t="str">
        <f>IF(AND(A2484="",B2484=""),"",IF(A2484="","Produit manquant",IF(COUNTIF(prod_ref,A2484)=0,"Produit inconnu",IF(B2484="","Matière manquante",IF(ISNA(MATCH(B2484,mat_ref,0)),"Matière inconnue",IF(INDEX(mat_check,MATCH(B2484,mat_ref,0))&lt;&gt;"OK","Matière à corriger",IF(OR(NOT(ISNUMBER(E2484)),N(E2484)&lt;=0),"Quantité invalide",IF(AND(F2484&lt;&gt;"",OR(NOT(ISNUMBER(F2484)),N(F2484)&lt;0,N(F2484)&gt;=1)),"Perte entre 0 et 99 %",IF(COUNTIFS(bom_prod,A2484,bom_mat,B2484)&gt;1,"Matière en double","OK")))))))))</f>
        <v/>
      </c>
      <c r="K2484" s="71" t="str">
        <f>IF(AND(fiche_sel&lt;&gt;"",A2484=fiche_sel),COUNTIF(A$6:A2484,fiche_sel),"")</f>
        <v/>
      </c>
    </row>
    <row r="2485">
      <c r="A2485" s="60" t="n"/>
      <c r="B2485" s="60" t="n"/>
      <c r="C2485" s="71" t="str">
        <f>IF(B2485="","",IFERROR(INDEX(mat_des,MATCH(B2485,mat_ref,0))&amp;"","Matière inconnue"))</f>
        <v/>
      </c>
      <c r="D2485" s="69" t="str">
        <f>IF(B2485="","",IFERROR(INDEX(mat_unit,MATCH(B2485,mat_ref,0))&amp;"",""))</f>
        <v/>
      </c>
      <c r="E2485" s="72" t="n"/>
      <c r="F2485" s="65" t="n"/>
      <c r="G2485" s="68" t="str">
        <f>IF(J2485&lt;&gt;"OK","",IF(F2485="",N(INDEX(mat_loss,MATCH(B2485,mat_ref,0))),F2485))</f>
        <v/>
      </c>
      <c r="H2485" s="66" t="str">
        <f>IF(J2485&lt;&gt;"OK","",INDEX(mat_price,MATCH(B2485,mat_ref,0)))</f>
        <v/>
      </c>
      <c r="I2485" s="66" t="str">
        <f>IF(J2485&lt;&gt;"OK","",E2485*(1+G2485)*H2485)</f>
        <v/>
      </c>
      <c r="J2485" s="69" t="str">
        <f>IF(AND(A2485="",B2485=""),"",IF(A2485="","Produit manquant",IF(COUNTIF(prod_ref,A2485)=0,"Produit inconnu",IF(B2485="","Matière manquante",IF(ISNA(MATCH(B2485,mat_ref,0)),"Matière inconnue",IF(INDEX(mat_check,MATCH(B2485,mat_ref,0))&lt;&gt;"OK","Matière à corriger",IF(OR(NOT(ISNUMBER(E2485)),N(E2485)&lt;=0),"Quantité invalide",IF(AND(F2485&lt;&gt;"",OR(NOT(ISNUMBER(F2485)),N(F2485)&lt;0,N(F2485)&gt;=1)),"Perte entre 0 et 99 %",IF(COUNTIFS(bom_prod,A2485,bom_mat,B2485)&gt;1,"Matière en double","OK")))))))))</f>
        <v/>
      </c>
      <c r="K2485" s="71" t="str">
        <f>IF(AND(fiche_sel&lt;&gt;"",A2485=fiche_sel),COUNTIF(A$6:A2485,fiche_sel),"")</f>
        <v/>
      </c>
    </row>
    <row r="2486">
      <c r="A2486" s="60" t="n"/>
      <c r="B2486" s="60" t="n"/>
      <c r="C2486" s="71" t="str">
        <f>IF(B2486="","",IFERROR(INDEX(mat_des,MATCH(B2486,mat_ref,0))&amp;"","Matière inconnue"))</f>
        <v/>
      </c>
      <c r="D2486" s="69" t="str">
        <f>IF(B2486="","",IFERROR(INDEX(mat_unit,MATCH(B2486,mat_ref,0))&amp;"",""))</f>
        <v/>
      </c>
      <c r="E2486" s="72" t="n"/>
      <c r="F2486" s="65" t="n"/>
      <c r="G2486" s="68" t="str">
        <f>IF(J2486&lt;&gt;"OK","",IF(F2486="",N(INDEX(mat_loss,MATCH(B2486,mat_ref,0))),F2486))</f>
        <v/>
      </c>
      <c r="H2486" s="66" t="str">
        <f>IF(J2486&lt;&gt;"OK","",INDEX(mat_price,MATCH(B2486,mat_ref,0)))</f>
        <v/>
      </c>
      <c r="I2486" s="66" t="str">
        <f>IF(J2486&lt;&gt;"OK","",E2486*(1+G2486)*H2486)</f>
        <v/>
      </c>
      <c r="J2486" s="69" t="str">
        <f>IF(AND(A2486="",B2486=""),"",IF(A2486="","Produit manquant",IF(COUNTIF(prod_ref,A2486)=0,"Produit inconnu",IF(B2486="","Matière manquante",IF(ISNA(MATCH(B2486,mat_ref,0)),"Matière inconnue",IF(INDEX(mat_check,MATCH(B2486,mat_ref,0))&lt;&gt;"OK","Matière à corriger",IF(OR(NOT(ISNUMBER(E2486)),N(E2486)&lt;=0),"Quantité invalide",IF(AND(F2486&lt;&gt;"",OR(NOT(ISNUMBER(F2486)),N(F2486)&lt;0,N(F2486)&gt;=1)),"Perte entre 0 et 99 %",IF(COUNTIFS(bom_prod,A2486,bom_mat,B2486)&gt;1,"Matière en double","OK")))))))))</f>
        <v/>
      </c>
      <c r="K2486" s="71" t="str">
        <f>IF(AND(fiche_sel&lt;&gt;"",A2486=fiche_sel),COUNTIF(A$6:A2486,fiche_sel),"")</f>
        <v/>
      </c>
    </row>
    <row r="2487">
      <c r="A2487" s="60" t="n"/>
      <c r="B2487" s="60" t="n"/>
      <c r="C2487" s="71" t="str">
        <f>IF(B2487="","",IFERROR(INDEX(mat_des,MATCH(B2487,mat_ref,0))&amp;"","Matière inconnue"))</f>
        <v/>
      </c>
      <c r="D2487" s="69" t="str">
        <f>IF(B2487="","",IFERROR(INDEX(mat_unit,MATCH(B2487,mat_ref,0))&amp;"",""))</f>
        <v/>
      </c>
      <c r="E2487" s="72" t="n"/>
      <c r="F2487" s="65" t="n"/>
      <c r="G2487" s="68" t="str">
        <f>IF(J2487&lt;&gt;"OK","",IF(F2487="",N(INDEX(mat_loss,MATCH(B2487,mat_ref,0))),F2487))</f>
        <v/>
      </c>
      <c r="H2487" s="66" t="str">
        <f>IF(J2487&lt;&gt;"OK","",INDEX(mat_price,MATCH(B2487,mat_ref,0)))</f>
        <v/>
      </c>
      <c r="I2487" s="66" t="str">
        <f>IF(J2487&lt;&gt;"OK","",E2487*(1+G2487)*H2487)</f>
        <v/>
      </c>
      <c r="J2487" s="69" t="str">
        <f>IF(AND(A2487="",B2487=""),"",IF(A2487="","Produit manquant",IF(COUNTIF(prod_ref,A2487)=0,"Produit inconnu",IF(B2487="","Matière manquante",IF(ISNA(MATCH(B2487,mat_ref,0)),"Matière inconnue",IF(INDEX(mat_check,MATCH(B2487,mat_ref,0))&lt;&gt;"OK","Matière à corriger",IF(OR(NOT(ISNUMBER(E2487)),N(E2487)&lt;=0),"Quantité invalide",IF(AND(F2487&lt;&gt;"",OR(NOT(ISNUMBER(F2487)),N(F2487)&lt;0,N(F2487)&gt;=1)),"Perte entre 0 et 99 %",IF(COUNTIFS(bom_prod,A2487,bom_mat,B2487)&gt;1,"Matière en double","OK")))))))))</f>
        <v/>
      </c>
      <c r="K2487" s="71" t="str">
        <f>IF(AND(fiche_sel&lt;&gt;"",A2487=fiche_sel),COUNTIF(A$6:A2487,fiche_sel),"")</f>
        <v/>
      </c>
    </row>
    <row r="2488">
      <c r="A2488" s="60" t="n"/>
      <c r="B2488" s="60" t="n"/>
      <c r="C2488" s="71" t="str">
        <f>IF(B2488="","",IFERROR(INDEX(mat_des,MATCH(B2488,mat_ref,0))&amp;"","Matière inconnue"))</f>
        <v/>
      </c>
      <c r="D2488" s="69" t="str">
        <f>IF(B2488="","",IFERROR(INDEX(mat_unit,MATCH(B2488,mat_ref,0))&amp;"",""))</f>
        <v/>
      </c>
      <c r="E2488" s="72" t="n"/>
      <c r="F2488" s="65" t="n"/>
      <c r="G2488" s="68" t="str">
        <f>IF(J2488&lt;&gt;"OK","",IF(F2488="",N(INDEX(mat_loss,MATCH(B2488,mat_ref,0))),F2488))</f>
        <v/>
      </c>
      <c r="H2488" s="66" t="str">
        <f>IF(J2488&lt;&gt;"OK","",INDEX(mat_price,MATCH(B2488,mat_ref,0)))</f>
        <v/>
      </c>
      <c r="I2488" s="66" t="str">
        <f>IF(J2488&lt;&gt;"OK","",E2488*(1+G2488)*H2488)</f>
        <v/>
      </c>
      <c r="J2488" s="69" t="str">
        <f>IF(AND(A2488="",B2488=""),"",IF(A2488="","Produit manquant",IF(COUNTIF(prod_ref,A2488)=0,"Produit inconnu",IF(B2488="","Matière manquante",IF(ISNA(MATCH(B2488,mat_ref,0)),"Matière inconnue",IF(INDEX(mat_check,MATCH(B2488,mat_ref,0))&lt;&gt;"OK","Matière à corriger",IF(OR(NOT(ISNUMBER(E2488)),N(E2488)&lt;=0),"Quantité invalide",IF(AND(F2488&lt;&gt;"",OR(NOT(ISNUMBER(F2488)),N(F2488)&lt;0,N(F2488)&gt;=1)),"Perte entre 0 et 99 %",IF(COUNTIFS(bom_prod,A2488,bom_mat,B2488)&gt;1,"Matière en double","OK")))))))))</f>
        <v/>
      </c>
      <c r="K2488" s="71" t="str">
        <f>IF(AND(fiche_sel&lt;&gt;"",A2488=fiche_sel),COUNTIF(A$6:A2488,fiche_sel),"")</f>
        <v/>
      </c>
    </row>
    <row r="2489">
      <c r="A2489" s="60" t="n"/>
      <c r="B2489" s="60" t="n"/>
      <c r="C2489" s="71" t="str">
        <f>IF(B2489="","",IFERROR(INDEX(mat_des,MATCH(B2489,mat_ref,0))&amp;"","Matière inconnue"))</f>
        <v/>
      </c>
      <c r="D2489" s="69" t="str">
        <f>IF(B2489="","",IFERROR(INDEX(mat_unit,MATCH(B2489,mat_ref,0))&amp;"",""))</f>
        <v/>
      </c>
      <c r="E2489" s="72" t="n"/>
      <c r="F2489" s="65" t="n"/>
      <c r="G2489" s="68" t="str">
        <f>IF(J2489&lt;&gt;"OK","",IF(F2489="",N(INDEX(mat_loss,MATCH(B2489,mat_ref,0))),F2489))</f>
        <v/>
      </c>
      <c r="H2489" s="66" t="str">
        <f>IF(J2489&lt;&gt;"OK","",INDEX(mat_price,MATCH(B2489,mat_ref,0)))</f>
        <v/>
      </c>
      <c r="I2489" s="66" t="str">
        <f>IF(J2489&lt;&gt;"OK","",E2489*(1+G2489)*H2489)</f>
        <v/>
      </c>
      <c r="J2489" s="69" t="str">
        <f>IF(AND(A2489="",B2489=""),"",IF(A2489="","Produit manquant",IF(COUNTIF(prod_ref,A2489)=0,"Produit inconnu",IF(B2489="","Matière manquante",IF(ISNA(MATCH(B2489,mat_ref,0)),"Matière inconnue",IF(INDEX(mat_check,MATCH(B2489,mat_ref,0))&lt;&gt;"OK","Matière à corriger",IF(OR(NOT(ISNUMBER(E2489)),N(E2489)&lt;=0),"Quantité invalide",IF(AND(F2489&lt;&gt;"",OR(NOT(ISNUMBER(F2489)),N(F2489)&lt;0,N(F2489)&gt;=1)),"Perte entre 0 et 99 %",IF(COUNTIFS(bom_prod,A2489,bom_mat,B2489)&gt;1,"Matière en double","OK")))))))))</f>
        <v/>
      </c>
      <c r="K2489" s="71" t="str">
        <f>IF(AND(fiche_sel&lt;&gt;"",A2489=fiche_sel),COUNTIF(A$6:A2489,fiche_sel),"")</f>
        <v/>
      </c>
    </row>
    <row r="2490">
      <c r="A2490" s="60" t="n"/>
      <c r="B2490" s="60" t="n"/>
      <c r="C2490" s="71" t="str">
        <f>IF(B2490="","",IFERROR(INDEX(mat_des,MATCH(B2490,mat_ref,0))&amp;"","Matière inconnue"))</f>
        <v/>
      </c>
      <c r="D2490" s="69" t="str">
        <f>IF(B2490="","",IFERROR(INDEX(mat_unit,MATCH(B2490,mat_ref,0))&amp;"",""))</f>
        <v/>
      </c>
      <c r="E2490" s="72" t="n"/>
      <c r="F2490" s="65" t="n"/>
      <c r="G2490" s="68" t="str">
        <f>IF(J2490&lt;&gt;"OK","",IF(F2490="",N(INDEX(mat_loss,MATCH(B2490,mat_ref,0))),F2490))</f>
        <v/>
      </c>
      <c r="H2490" s="66" t="str">
        <f>IF(J2490&lt;&gt;"OK","",INDEX(mat_price,MATCH(B2490,mat_ref,0)))</f>
        <v/>
      </c>
      <c r="I2490" s="66" t="str">
        <f>IF(J2490&lt;&gt;"OK","",E2490*(1+G2490)*H2490)</f>
        <v/>
      </c>
      <c r="J2490" s="69" t="str">
        <f>IF(AND(A2490="",B2490=""),"",IF(A2490="","Produit manquant",IF(COUNTIF(prod_ref,A2490)=0,"Produit inconnu",IF(B2490="","Matière manquante",IF(ISNA(MATCH(B2490,mat_ref,0)),"Matière inconnue",IF(INDEX(mat_check,MATCH(B2490,mat_ref,0))&lt;&gt;"OK","Matière à corriger",IF(OR(NOT(ISNUMBER(E2490)),N(E2490)&lt;=0),"Quantité invalide",IF(AND(F2490&lt;&gt;"",OR(NOT(ISNUMBER(F2490)),N(F2490)&lt;0,N(F2490)&gt;=1)),"Perte entre 0 et 99 %",IF(COUNTIFS(bom_prod,A2490,bom_mat,B2490)&gt;1,"Matière en double","OK")))))))))</f>
        <v/>
      </c>
      <c r="K2490" s="71" t="str">
        <f>IF(AND(fiche_sel&lt;&gt;"",A2490=fiche_sel),COUNTIF(A$6:A2490,fiche_sel),"")</f>
        <v/>
      </c>
    </row>
    <row r="2491">
      <c r="A2491" s="60" t="n"/>
      <c r="B2491" s="60" t="n"/>
      <c r="C2491" s="71" t="str">
        <f>IF(B2491="","",IFERROR(INDEX(mat_des,MATCH(B2491,mat_ref,0))&amp;"","Matière inconnue"))</f>
        <v/>
      </c>
      <c r="D2491" s="69" t="str">
        <f>IF(B2491="","",IFERROR(INDEX(mat_unit,MATCH(B2491,mat_ref,0))&amp;"",""))</f>
        <v/>
      </c>
      <c r="E2491" s="72" t="n"/>
      <c r="F2491" s="65" t="n"/>
      <c r="G2491" s="68" t="str">
        <f>IF(J2491&lt;&gt;"OK","",IF(F2491="",N(INDEX(mat_loss,MATCH(B2491,mat_ref,0))),F2491))</f>
        <v/>
      </c>
      <c r="H2491" s="66" t="str">
        <f>IF(J2491&lt;&gt;"OK","",INDEX(mat_price,MATCH(B2491,mat_ref,0)))</f>
        <v/>
      </c>
      <c r="I2491" s="66" t="str">
        <f>IF(J2491&lt;&gt;"OK","",E2491*(1+G2491)*H2491)</f>
        <v/>
      </c>
      <c r="J2491" s="69" t="str">
        <f>IF(AND(A2491="",B2491=""),"",IF(A2491="","Produit manquant",IF(COUNTIF(prod_ref,A2491)=0,"Produit inconnu",IF(B2491="","Matière manquante",IF(ISNA(MATCH(B2491,mat_ref,0)),"Matière inconnue",IF(INDEX(mat_check,MATCH(B2491,mat_ref,0))&lt;&gt;"OK","Matière à corriger",IF(OR(NOT(ISNUMBER(E2491)),N(E2491)&lt;=0),"Quantité invalide",IF(AND(F2491&lt;&gt;"",OR(NOT(ISNUMBER(F2491)),N(F2491)&lt;0,N(F2491)&gt;=1)),"Perte entre 0 et 99 %",IF(COUNTIFS(bom_prod,A2491,bom_mat,B2491)&gt;1,"Matière en double","OK")))))))))</f>
        <v/>
      </c>
      <c r="K2491" s="71" t="str">
        <f>IF(AND(fiche_sel&lt;&gt;"",A2491=fiche_sel),COUNTIF(A$6:A2491,fiche_sel),"")</f>
        <v/>
      </c>
    </row>
    <row r="2492">
      <c r="A2492" s="60" t="n"/>
      <c r="B2492" s="60" t="n"/>
      <c r="C2492" s="71" t="str">
        <f>IF(B2492="","",IFERROR(INDEX(mat_des,MATCH(B2492,mat_ref,0))&amp;"","Matière inconnue"))</f>
        <v/>
      </c>
      <c r="D2492" s="69" t="str">
        <f>IF(B2492="","",IFERROR(INDEX(mat_unit,MATCH(B2492,mat_ref,0))&amp;"",""))</f>
        <v/>
      </c>
      <c r="E2492" s="72" t="n"/>
      <c r="F2492" s="65" t="n"/>
      <c r="G2492" s="68" t="str">
        <f>IF(J2492&lt;&gt;"OK","",IF(F2492="",N(INDEX(mat_loss,MATCH(B2492,mat_ref,0))),F2492))</f>
        <v/>
      </c>
      <c r="H2492" s="66" t="str">
        <f>IF(J2492&lt;&gt;"OK","",INDEX(mat_price,MATCH(B2492,mat_ref,0)))</f>
        <v/>
      </c>
      <c r="I2492" s="66" t="str">
        <f>IF(J2492&lt;&gt;"OK","",E2492*(1+G2492)*H2492)</f>
        <v/>
      </c>
      <c r="J2492" s="69" t="str">
        <f>IF(AND(A2492="",B2492=""),"",IF(A2492="","Produit manquant",IF(COUNTIF(prod_ref,A2492)=0,"Produit inconnu",IF(B2492="","Matière manquante",IF(ISNA(MATCH(B2492,mat_ref,0)),"Matière inconnue",IF(INDEX(mat_check,MATCH(B2492,mat_ref,0))&lt;&gt;"OK","Matière à corriger",IF(OR(NOT(ISNUMBER(E2492)),N(E2492)&lt;=0),"Quantité invalide",IF(AND(F2492&lt;&gt;"",OR(NOT(ISNUMBER(F2492)),N(F2492)&lt;0,N(F2492)&gt;=1)),"Perte entre 0 et 99 %",IF(COUNTIFS(bom_prod,A2492,bom_mat,B2492)&gt;1,"Matière en double","OK")))))))))</f>
        <v/>
      </c>
      <c r="K2492" s="71" t="str">
        <f>IF(AND(fiche_sel&lt;&gt;"",A2492=fiche_sel),COUNTIF(A$6:A2492,fiche_sel),"")</f>
        <v/>
      </c>
    </row>
    <row r="2493">
      <c r="A2493" s="60" t="n"/>
      <c r="B2493" s="60" t="n"/>
      <c r="C2493" s="71" t="str">
        <f>IF(B2493="","",IFERROR(INDEX(mat_des,MATCH(B2493,mat_ref,0))&amp;"","Matière inconnue"))</f>
        <v/>
      </c>
      <c r="D2493" s="69" t="str">
        <f>IF(B2493="","",IFERROR(INDEX(mat_unit,MATCH(B2493,mat_ref,0))&amp;"",""))</f>
        <v/>
      </c>
      <c r="E2493" s="72" t="n"/>
      <c r="F2493" s="65" t="n"/>
      <c r="G2493" s="68" t="str">
        <f>IF(J2493&lt;&gt;"OK","",IF(F2493="",N(INDEX(mat_loss,MATCH(B2493,mat_ref,0))),F2493))</f>
        <v/>
      </c>
      <c r="H2493" s="66" t="str">
        <f>IF(J2493&lt;&gt;"OK","",INDEX(mat_price,MATCH(B2493,mat_ref,0)))</f>
        <v/>
      </c>
      <c r="I2493" s="66" t="str">
        <f>IF(J2493&lt;&gt;"OK","",E2493*(1+G2493)*H2493)</f>
        <v/>
      </c>
      <c r="J2493" s="69" t="str">
        <f>IF(AND(A2493="",B2493=""),"",IF(A2493="","Produit manquant",IF(COUNTIF(prod_ref,A2493)=0,"Produit inconnu",IF(B2493="","Matière manquante",IF(ISNA(MATCH(B2493,mat_ref,0)),"Matière inconnue",IF(INDEX(mat_check,MATCH(B2493,mat_ref,0))&lt;&gt;"OK","Matière à corriger",IF(OR(NOT(ISNUMBER(E2493)),N(E2493)&lt;=0),"Quantité invalide",IF(AND(F2493&lt;&gt;"",OR(NOT(ISNUMBER(F2493)),N(F2493)&lt;0,N(F2493)&gt;=1)),"Perte entre 0 et 99 %",IF(COUNTIFS(bom_prod,A2493,bom_mat,B2493)&gt;1,"Matière en double","OK")))))))))</f>
        <v/>
      </c>
      <c r="K2493" s="71" t="str">
        <f>IF(AND(fiche_sel&lt;&gt;"",A2493=fiche_sel),COUNTIF(A$6:A2493,fiche_sel),"")</f>
        <v/>
      </c>
    </row>
    <row r="2494">
      <c r="A2494" s="60" t="n"/>
      <c r="B2494" s="60" t="n"/>
      <c r="C2494" s="71" t="str">
        <f>IF(B2494="","",IFERROR(INDEX(mat_des,MATCH(B2494,mat_ref,0))&amp;"","Matière inconnue"))</f>
        <v/>
      </c>
      <c r="D2494" s="69" t="str">
        <f>IF(B2494="","",IFERROR(INDEX(mat_unit,MATCH(B2494,mat_ref,0))&amp;"",""))</f>
        <v/>
      </c>
      <c r="E2494" s="72" t="n"/>
      <c r="F2494" s="65" t="n"/>
      <c r="G2494" s="68" t="str">
        <f>IF(J2494&lt;&gt;"OK","",IF(F2494="",N(INDEX(mat_loss,MATCH(B2494,mat_ref,0))),F2494))</f>
        <v/>
      </c>
      <c r="H2494" s="66" t="str">
        <f>IF(J2494&lt;&gt;"OK","",INDEX(mat_price,MATCH(B2494,mat_ref,0)))</f>
        <v/>
      </c>
      <c r="I2494" s="66" t="str">
        <f>IF(J2494&lt;&gt;"OK","",E2494*(1+G2494)*H2494)</f>
        <v/>
      </c>
      <c r="J2494" s="69" t="str">
        <f>IF(AND(A2494="",B2494=""),"",IF(A2494="","Produit manquant",IF(COUNTIF(prod_ref,A2494)=0,"Produit inconnu",IF(B2494="","Matière manquante",IF(ISNA(MATCH(B2494,mat_ref,0)),"Matière inconnue",IF(INDEX(mat_check,MATCH(B2494,mat_ref,0))&lt;&gt;"OK","Matière à corriger",IF(OR(NOT(ISNUMBER(E2494)),N(E2494)&lt;=0),"Quantité invalide",IF(AND(F2494&lt;&gt;"",OR(NOT(ISNUMBER(F2494)),N(F2494)&lt;0,N(F2494)&gt;=1)),"Perte entre 0 et 99 %",IF(COUNTIFS(bom_prod,A2494,bom_mat,B2494)&gt;1,"Matière en double","OK")))))))))</f>
        <v/>
      </c>
      <c r="K2494" s="71" t="str">
        <f>IF(AND(fiche_sel&lt;&gt;"",A2494=fiche_sel),COUNTIF(A$6:A2494,fiche_sel),"")</f>
        <v/>
      </c>
    </row>
    <row r="2495">
      <c r="A2495" s="60" t="n"/>
      <c r="B2495" s="60" t="n"/>
      <c r="C2495" s="71" t="str">
        <f>IF(B2495="","",IFERROR(INDEX(mat_des,MATCH(B2495,mat_ref,0))&amp;"","Matière inconnue"))</f>
        <v/>
      </c>
      <c r="D2495" s="69" t="str">
        <f>IF(B2495="","",IFERROR(INDEX(mat_unit,MATCH(B2495,mat_ref,0))&amp;"",""))</f>
        <v/>
      </c>
      <c r="E2495" s="72" t="n"/>
      <c r="F2495" s="65" t="n"/>
      <c r="G2495" s="68" t="str">
        <f>IF(J2495&lt;&gt;"OK","",IF(F2495="",N(INDEX(mat_loss,MATCH(B2495,mat_ref,0))),F2495))</f>
        <v/>
      </c>
      <c r="H2495" s="66" t="str">
        <f>IF(J2495&lt;&gt;"OK","",INDEX(mat_price,MATCH(B2495,mat_ref,0)))</f>
        <v/>
      </c>
      <c r="I2495" s="66" t="str">
        <f>IF(J2495&lt;&gt;"OK","",E2495*(1+G2495)*H2495)</f>
        <v/>
      </c>
      <c r="J2495" s="69" t="str">
        <f>IF(AND(A2495="",B2495=""),"",IF(A2495="","Produit manquant",IF(COUNTIF(prod_ref,A2495)=0,"Produit inconnu",IF(B2495="","Matière manquante",IF(ISNA(MATCH(B2495,mat_ref,0)),"Matière inconnue",IF(INDEX(mat_check,MATCH(B2495,mat_ref,0))&lt;&gt;"OK","Matière à corriger",IF(OR(NOT(ISNUMBER(E2495)),N(E2495)&lt;=0),"Quantité invalide",IF(AND(F2495&lt;&gt;"",OR(NOT(ISNUMBER(F2495)),N(F2495)&lt;0,N(F2495)&gt;=1)),"Perte entre 0 et 99 %",IF(COUNTIFS(bom_prod,A2495,bom_mat,B2495)&gt;1,"Matière en double","OK")))))))))</f>
        <v/>
      </c>
      <c r="K2495" s="71" t="str">
        <f>IF(AND(fiche_sel&lt;&gt;"",A2495=fiche_sel),COUNTIF(A$6:A2495,fiche_sel),"")</f>
        <v/>
      </c>
    </row>
    <row r="2496">
      <c r="A2496" s="60" t="n"/>
      <c r="B2496" s="60" t="n"/>
      <c r="C2496" s="71" t="str">
        <f>IF(B2496="","",IFERROR(INDEX(mat_des,MATCH(B2496,mat_ref,0))&amp;"","Matière inconnue"))</f>
        <v/>
      </c>
      <c r="D2496" s="69" t="str">
        <f>IF(B2496="","",IFERROR(INDEX(mat_unit,MATCH(B2496,mat_ref,0))&amp;"",""))</f>
        <v/>
      </c>
      <c r="E2496" s="72" t="n"/>
      <c r="F2496" s="65" t="n"/>
      <c r="G2496" s="68" t="str">
        <f>IF(J2496&lt;&gt;"OK","",IF(F2496="",N(INDEX(mat_loss,MATCH(B2496,mat_ref,0))),F2496))</f>
        <v/>
      </c>
      <c r="H2496" s="66" t="str">
        <f>IF(J2496&lt;&gt;"OK","",INDEX(mat_price,MATCH(B2496,mat_ref,0)))</f>
        <v/>
      </c>
      <c r="I2496" s="66" t="str">
        <f>IF(J2496&lt;&gt;"OK","",E2496*(1+G2496)*H2496)</f>
        <v/>
      </c>
      <c r="J2496" s="69" t="str">
        <f>IF(AND(A2496="",B2496=""),"",IF(A2496="","Produit manquant",IF(COUNTIF(prod_ref,A2496)=0,"Produit inconnu",IF(B2496="","Matière manquante",IF(ISNA(MATCH(B2496,mat_ref,0)),"Matière inconnue",IF(INDEX(mat_check,MATCH(B2496,mat_ref,0))&lt;&gt;"OK","Matière à corriger",IF(OR(NOT(ISNUMBER(E2496)),N(E2496)&lt;=0),"Quantité invalide",IF(AND(F2496&lt;&gt;"",OR(NOT(ISNUMBER(F2496)),N(F2496)&lt;0,N(F2496)&gt;=1)),"Perte entre 0 et 99 %",IF(COUNTIFS(bom_prod,A2496,bom_mat,B2496)&gt;1,"Matière en double","OK")))))))))</f>
        <v/>
      </c>
      <c r="K2496" s="71" t="str">
        <f>IF(AND(fiche_sel&lt;&gt;"",A2496=fiche_sel),COUNTIF(A$6:A2496,fiche_sel),"")</f>
        <v/>
      </c>
    </row>
    <row r="2497">
      <c r="A2497" s="60" t="n"/>
      <c r="B2497" s="60" t="n"/>
      <c r="C2497" s="71" t="str">
        <f>IF(B2497="","",IFERROR(INDEX(mat_des,MATCH(B2497,mat_ref,0))&amp;"","Matière inconnue"))</f>
        <v/>
      </c>
      <c r="D2497" s="69" t="str">
        <f>IF(B2497="","",IFERROR(INDEX(mat_unit,MATCH(B2497,mat_ref,0))&amp;"",""))</f>
        <v/>
      </c>
      <c r="E2497" s="72" t="n"/>
      <c r="F2497" s="65" t="n"/>
      <c r="G2497" s="68" t="str">
        <f>IF(J2497&lt;&gt;"OK","",IF(F2497="",N(INDEX(mat_loss,MATCH(B2497,mat_ref,0))),F2497))</f>
        <v/>
      </c>
      <c r="H2497" s="66" t="str">
        <f>IF(J2497&lt;&gt;"OK","",INDEX(mat_price,MATCH(B2497,mat_ref,0)))</f>
        <v/>
      </c>
      <c r="I2497" s="66" t="str">
        <f>IF(J2497&lt;&gt;"OK","",E2497*(1+G2497)*H2497)</f>
        <v/>
      </c>
      <c r="J2497" s="69" t="str">
        <f>IF(AND(A2497="",B2497=""),"",IF(A2497="","Produit manquant",IF(COUNTIF(prod_ref,A2497)=0,"Produit inconnu",IF(B2497="","Matière manquante",IF(ISNA(MATCH(B2497,mat_ref,0)),"Matière inconnue",IF(INDEX(mat_check,MATCH(B2497,mat_ref,0))&lt;&gt;"OK","Matière à corriger",IF(OR(NOT(ISNUMBER(E2497)),N(E2497)&lt;=0),"Quantité invalide",IF(AND(F2497&lt;&gt;"",OR(NOT(ISNUMBER(F2497)),N(F2497)&lt;0,N(F2497)&gt;=1)),"Perte entre 0 et 99 %",IF(COUNTIFS(bom_prod,A2497,bom_mat,B2497)&gt;1,"Matière en double","OK")))))))))</f>
        <v/>
      </c>
      <c r="K2497" s="71" t="str">
        <f>IF(AND(fiche_sel&lt;&gt;"",A2497=fiche_sel),COUNTIF(A$6:A2497,fiche_sel),"")</f>
        <v/>
      </c>
    </row>
    <row r="2498">
      <c r="A2498" s="60" t="n"/>
      <c r="B2498" s="60" t="n"/>
      <c r="C2498" s="71" t="str">
        <f>IF(B2498="","",IFERROR(INDEX(mat_des,MATCH(B2498,mat_ref,0))&amp;"","Matière inconnue"))</f>
        <v/>
      </c>
      <c r="D2498" s="69" t="str">
        <f>IF(B2498="","",IFERROR(INDEX(mat_unit,MATCH(B2498,mat_ref,0))&amp;"",""))</f>
        <v/>
      </c>
      <c r="E2498" s="72" t="n"/>
      <c r="F2498" s="65" t="n"/>
      <c r="G2498" s="68" t="str">
        <f>IF(J2498&lt;&gt;"OK","",IF(F2498="",N(INDEX(mat_loss,MATCH(B2498,mat_ref,0))),F2498))</f>
        <v/>
      </c>
      <c r="H2498" s="66" t="str">
        <f>IF(J2498&lt;&gt;"OK","",INDEX(mat_price,MATCH(B2498,mat_ref,0)))</f>
        <v/>
      </c>
      <c r="I2498" s="66" t="str">
        <f>IF(J2498&lt;&gt;"OK","",E2498*(1+G2498)*H2498)</f>
        <v/>
      </c>
      <c r="J2498" s="69" t="str">
        <f>IF(AND(A2498="",B2498=""),"",IF(A2498="","Produit manquant",IF(COUNTIF(prod_ref,A2498)=0,"Produit inconnu",IF(B2498="","Matière manquante",IF(ISNA(MATCH(B2498,mat_ref,0)),"Matière inconnue",IF(INDEX(mat_check,MATCH(B2498,mat_ref,0))&lt;&gt;"OK","Matière à corriger",IF(OR(NOT(ISNUMBER(E2498)),N(E2498)&lt;=0),"Quantité invalide",IF(AND(F2498&lt;&gt;"",OR(NOT(ISNUMBER(F2498)),N(F2498)&lt;0,N(F2498)&gt;=1)),"Perte entre 0 et 99 %",IF(COUNTIFS(bom_prod,A2498,bom_mat,B2498)&gt;1,"Matière en double","OK")))))))))</f>
        <v/>
      </c>
      <c r="K2498" s="71" t="str">
        <f>IF(AND(fiche_sel&lt;&gt;"",A2498=fiche_sel),COUNTIF(A$6:A2498,fiche_sel),"")</f>
        <v/>
      </c>
    </row>
    <row r="2499">
      <c r="A2499" s="60" t="n"/>
      <c r="B2499" s="60" t="n"/>
      <c r="C2499" s="71" t="str">
        <f>IF(B2499="","",IFERROR(INDEX(mat_des,MATCH(B2499,mat_ref,0))&amp;"","Matière inconnue"))</f>
        <v/>
      </c>
      <c r="D2499" s="69" t="str">
        <f>IF(B2499="","",IFERROR(INDEX(mat_unit,MATCH(B2499,mat_ref,0))&amp;"",""))</f>
        <v/>
      </c>
      <c r="E2499" s="72" t="n"/>
      <c r="F2499" s="65" t="n"/>
      <c r="G2499" s="68" t="str">
        <f>IF(J2499&lt;&gt;"OK","",IF(F2499="",N(INDEX(mat_loss,MATCH(B2499,mat_ref,0))),F2499))</f>
        <v/>
      </c>
      <c r="H2499" s="66" t="str">
        <f>IF(J2499&lt;&gt;"OK","",INDEX(mat_price,MATCH(B2499,mat_ref,0)))</f>
        <v/>
      </c>
      <c r="I2499" s="66" t="str">
        <f>IF(J2499&lt;&gt;"OK","",E2499*(1+G2499)*H2499)</f>
        <v/>
      </c>
      <c r="J2499" s="69" t="str">
        <f>IF(AND(A2499="",B2499=""),"",IF(A2499="","Produit manquant",IF(COUNTIF(prod_ref,A2499)=0,"Produit inconnu",IF(B2499="","Matière manquante",IF(ISNA(MATCH(B2499,mat_ref,0)),"Matière inconnue",IF(INDEX(mat_check,MATCH(B2499,mat_ref,0))&lt;&gt;"OK","Matière à corriger",IF(OR(NOT(ISNUMBER(E2499)),N(E2499)&lt;=0),"Quantité invalide",IF(AND(F2499&lt;&gt;"",OR(NOT(ISNUMBER(F2499)),N(F2499)&lt;0,N(F2499)&gt;=1)),"Perte entre 0 et 99 %",IF(COUNTIFS(bom_prod,A2499,bom_mat,B2499)&gt;1,"Matière en double","OK")))))))))</f>
        <v/>
      </c>
      <c r="K2499" s="71" t="str">
        <f>IF(AND(fiche_sel&lt;&gt;"",A2499=fiche_sel),COUNTIF(A$6:A2499,fiche_sel),"")</f>
        <v/>
      </c>
    </row>
    <row r="2500">
      <c r="A2500" s="60" t="n"/>
      <c r="B2500" s="60" t="n"/>
      <c r="C2500" s="71" t="str">
        <f>IF(B2500="","",IFERROR(INDEX(mat_des,MATCH(B2500,mat_ref,0))&amp;"","Matière inconnue"))</f>
        <v/>
      </c>
      <c r="D2500" s="69" t="str">
        <f>IF(B2500="","",IFERROR(INDEX(mat_unit,MATCH(B2500,mat_ref,0))&amp;"",""))</f>
        <v/>
      </c>
      <c r="E2500" s="72" t="n"/>
      <c r="F2500" s="65" t="n"/>
      <c r="G2500" s="68" t="str">
        <f>IF(J2500&lt;&gt;"OK","",IF(F2500="",N(INDEX(mat_loss,MATCH(B2500,mat_ref,0))),F2500))</f>
        <v/>
      </c>
      <c r="H2500" s="66" t="str">
        <f>IF(J2500&lt;&gt;"OK","",INDEX(mat_price,MATCH(B2500,mat_ref,0)))</f>
        <v/>
      </c>
      <c r="I2500" s="66" t="str">
        <f>IF(J2500&lt;&gt;"OK","",E2500*(1+G2500)*H2500)</f>
        <v/>
      </c>
      <c r="J2500" s="69" t="str">
        <f>IF(AND(A2500="",B2500=""),"",IF(A2500="","Produit manquant",IF(COUNTIF(prod_ref,A2500)=0,"Produit inconnu",IF(B2500="","Matière manquante",IF(ISNA(MATCH(B2500,mat_ref,0)),"Matière inconnue",IF(INDEX(mat_check,MATCH(B2500,mat_ref,0))&lt;&gt;"OK","Matière à corriger",IF(OR(NOT(ISNUMBER(E2500)),N(E2500)&lt;=0),"Quantité invalide",IF(AND(F2500&lt;&gt;"",OR(NOT(ISNUMBER(F2500)),N(F2500)&lt;0,N(F2500)&gt;=1)),"Perte entre 0 et 99 %",IF(COUNTIFS(bom_prod,A2500,bom_mat,B2500)&gt;1,"Matière en double","OK")))))))))</f>
        <v/>
      </c>
      <c r="K2500" s="71" t="str">
        <f>IF(AND(fiche_sel&lt;&gt;"",A2500=fiche_sel),COUNTIF(A$6:A2500,fiche_sel),"")</f>
        <v/>
      </c>
    </row>
    <row r="2501">
      <c r="A2501" s="60" t="n"/>
      <c r="B2501" s="60" t="n"/>
      <c r="C2501" s="71" t="str">
        <f>IF(B2501="","",IFERROR(INDEX(mat_des,MATCH(B2501,mat_ref,0))&amp;"","Matière inconnue"))</f>
        <v/>
      </c>
      <c r="D2501" s="69" t="str">
        <f>IF(B2501="","",IFERROR(INDEX(mat_unit,MATCH(B2501,mat_ref,0))&amp;"",""))</f>
        <v/>
      </c>
      <c r="E2501" s="72" t="n"/>
      <c r="F2501" s="65" t="n"/>
      <c r="G2501" s="68" t="str">
        <f>IF(J2501&lt;&gt;"OK","",IF(F2501="",N(INDEX(mat_loss,MATCH(B2501,mat_ref,0))),F2501))</f>
        <v/>
      </c>
      <c r="H2501" s="66" t="str">
        <f>IF(J2501&lt;&gt;"OK","",INDEX(mat_price,MATCH(B2501,mat_ref,0)))</f>
        <v/>
      </c>
      <c r="I2501" s="66" t="str">
        <f>IF(J2501&lt;&gt;"OK","",E2501*(1+G2501)*H2501)</f>
        <v/>
      </c>
      <c r="J2501" s="69" t="str">
        <f>IF(AND(A2501="",B2501=""),"",IF(A2501="","Produit manquant",IF(COUNTIF(prod_ref,A2501)=0,"Produit inconnu",IF(B2501="","Matière manquante",IF(ISNA(MATCH(B2501,mat_ref,0)),"Matière inconnue",IF(INDEX(mat_check,MATCH(B2501,mat_ref,0))&lt;&gt;"OK","Matière à corriger",IF(OR(NOT(ISNUMBER(E2501)),N(E2501)&lt;=0),"Quantité invalide",IF(AND(F2501&lt;&gt;"",OR(NOT(ISNUMBER(F2501)),N(F2501)&lt;0,N(F2501)&gt;=1)),"Perte entre 0 et 99 %",IF(COUNTIFS(bom_prod,A2501,bom_mat,B2501)&gt;1,"Matière en double","OK")))))))))</f>
        <v/>
      </c>
      <c r="K2501" s="71" t="str">
        <f>IF(AND(fiche_sel&lt;&gt;"",A2501=fiche_sel),COUNTIF(A$6:A2501,fiche_sel),"")</f>
        <v/>
      </c>
    </row>
    <row r="2502">
      <c r="A2502" s="60" t="n"/>
      <c r="B2502" s="60" t="n"/>
      <c r="C2502" s="71" t="str">
        <f>IF(B2502="","",IFERROR(INDEX(mat_des,MATCH(B2502,mat_ref,0))&amp;"","Matière inconnue"))</f>
        <v/>
      </c>
      <c r="D2502" s="69" t="str">
        <f>IF(B2502="","",IFERROR(INDEX(mat_unit,MATCH(B2502,mat_ref,0))&amp;"",""))</f>
        <v/>
      </c>
      <c r="E2502" s="72" t="n"/>
      <c r="F2502" s="65" t="n"/>
      <c r="G2502" s="68" t="str">
        <f>IF(J2502&lt;&gt;"OK","",IF(F2502="",N(INDEX(mat_loss,MATCH(B2502,mat_ref,0))),F2502))</f>
        <v/>
      </c>
      <c r="H2502" s="66" t="str">
        <f>IF(J2502&lt;&gt;"OK","",INDEX(mat_price,MATCH(B2502,mat_ref,0)))</f>
        <v/>
      </c>
      <c r="I2502" s="66" t="str">
        <f>IF(J2502&lt;&gt;"OK","",E2502*(1+G2502)*H2502)</f>
        <v/>
      </c>
      <c r="J2502" s="69" t="str">
        <f>IF(AND(A2502="",B2502=""),"",IF(A2502="","Produit manquant",IF(COUNTIF(prod_ref,A2502)=0,"Produit inconnu",IF(B2502="","Matière manquante",IF(ISNA(MATCH(B2502,mat_ref,0)),"Matière inconnue",IF(INDEX(mat_check,MATCH(B2502,mat_ref,0))&lt;&gt;"OK","Matière à corriger",IF(OR(NOT(ISNUMBER(E2502)),N(E2502)&lt;=0),"Quantité invalide",IF(AND(F2502&lt;&gt;"",OR(NOT(ISNUMBER(F2502)),N(F2502)&lt;0,N(F2502)&gt;=1)),"Perte entre 0 et 99 %",IF(COUNTIFS(bom_prod,A2502,bom_mat,B2502)&gt;1,"Matière en double","OK")))))))))</f>
        <v/>
      </c>
      <c r="K2502" s="71" t="str">
        <f>IF(AND(fiche_sel&lt;&gt;"",A2502=fiche_sel),COUNTIF(A$6:A2502,fiche_sel),"")</f>
        <v/>
      </c>
    </row>
    <row r="2503">
      <c r="A2503" s="60" t="n"/>
      <c r="B2503" s="60" t="n"/>
      <c r="C2503" s="71" t="str">
        <f>IF(B2503="","",IFERROR(INDEX(mat_des,MATCH(B2503,mat_ref,0))&amp;"","Matière inconnue"))</f>
        <v/>
      </c>
      <c r="D2503" s="69" t="str">
        <f>IF(B2503="","",IFERROR(INDEX(mat_unit,MATCH(B2503,mat_ref,0))&amp;"",""))</f>
        <v/>
      </c>
      <c r="E2503" s="72" t="n"/>
      <c r="F2503" s="65" t="n"/>
      <c r="G2503" s="68" t="str">
        <f>IF(J2503&lt;&gt;"OK","",IF(F2503="",N(INDEX(mat_loss,MATCH(B2503,mat_ref,0))),F2503))</f>
        <v/>
      </c>
      <c r="H2503" s="66" t="str">
        <f>IF(J2503&lt;&gt;"OK","",INDEX(mat_price,MATCH(B2503,mat_ref,0)))</f>
        <v/>
      </c>
      <c r="I2503" s="66" t="str">
        <f>IF(J2503&lt;&gt;"OK","",E2503*(1+G2503)*H2503)</f>
        <v/>
      </c>
      <c r="J2503" s="69" t="str">
        <f>IF(AND(A2503="",B2503=""),"",IF(A2503="","Produit manquant",IF(COUNTIF(prod_ref,A2503)=0,"Produit inconnu",IF(B2503="","Matière manquante",IF(ISNA(MATCH(B2503,mat_ref,0)),"Matière inconnue",IF(INDEX(mat_check,MATCH(B2503,mat_ref,0))&lt;&gt;"OK","Matière à corriger",IF(OR(NOT(ISNUMBER(E2503)),N(E2503)&lt;=0),"Quantité invalide",IF(AND(F2503&lt;&gt;"",OR(NOT(ISNUMBER(F2503)),N(F2503)&lt;0,N(F2503)&gt;=1)),"Perte entre 0 et 99 %",IF(COUNTIFS(bom_prod,A2503,bom_mat,B2503)&gt;1,"Matière en double","OK")))))))))</f>
        <v/>
      </c>
      <c r="K2503" s="71" t="str">
        <f>IF(AND(fiche_sel&lt;&gt;"",A2503=fiche_sel),COUNTIF(A$6:A2503,fiche_sel),"")</f>
        <v/>
      </c>
    </row>
    <row r="2504">
      <c r="A2504" s="60" t="n"/>
      <c r="B2504" s="60" t="n"/>
      <c r="C2504" s="71" t="str">
        <f>IF(B2504="","",IFERROR(INDEX(mat_des,MATCH(B2504,mat_ref,0))&amp;"","Matière inconnue"))</f>
        <v/>
      </c>
      <c r="D2504" s="69" t="str">
        <f>IF(B2504="","",IFERROR(INDEX(mat_unit,MATCH(B2504,mat_ref,0))&amp;"",""))</f>
        <v/>
      </c>
      <c r="E2504" s="72" t="n"/>
      <c r="F2504" s="65" t="n"/>
      <c r="G2504" s="68" t="str">
        <f>IF(J2504&lt;&gt;"OK","",IF(F2504="",N(INDEX(mat_loss,MATCH(B2504,mat_ref,0))),F2504))</f>
        <v/>
      </c>
      <c r="H2504" s="66" t="str">
        <f>IF(J2504&lt;&gt;"OK","",INDEX(mat_price,MATCH(B2504,mat_ref,0)))</f>
        <v/>
      </c>
      <c r="I2504" s="66" t="str">
        <f>IF(J2504&lt;&gt;"OK","",E2504*(1+G2504)*H2504)</f>
        <v/>
      </c>
      <c r="J2504" s="69" t="str">
        <f>IF(AND(A2504="",B2504=""),"",IF(A2504="","Produit manquant",IF(COUNTIF(prod_ref,A2504)=0,"Produit inconnu",IF(B2504="","Matière manquante",IF(ISNA(MATCH(B2504,mat_ref,0)),"Matière inconnue",IF(INDEX(mat_check,MATCH(B2504,mat_ref,0))&lt;&gt;"OK","Matière à corriger",IF(OR(NOT(ISNUMBER(E2504)),N(E2504)&lt;=0),"Quantité invalide",IF(AND(F2504&lt;&gt;"",OR(NOT(ISNUMBER(F2504)),N(F2504)&lt;0,N(F2504)&gt;=1)),"Perte entre 0 et 99 %",IF(COUNTIFS(bom_prod,A2504,bom_mat,B2504)&gt;1,"Matière en double","OK")))))))))</f>
        <v/>
      </c>
      <c r="K2504" s="71" t="str">
        <f>IF(AND(fiche_sel&lt;&gt;"",A2504=fiche_sel),COUNTIF(A$6:A2504,fiche_sel),"")</f>
        <v/>
      </c>
    </row>
    <row r="2505">
      <c r="A2505" s="60" t="n"/>
      <c r="B2505" s="60" t="n"/>
      <c r="C2505" s="71" t="str">
        <f>IF(B2505="","",IFERROR(INDEX(mat_des,MATCH(B2505,mat_ref,0))&amp;"","Matière inconnue"))</f>
        <v/>
      </c>
      <c r="D2505" s="69" t="str">
        <f>IF(B2505="","",IFERROR(INDEX(mat_unit,MATCH(B2505,mat_ref,0))&amp;"",""))</f>
        <v/>
      </c>
      <c r="E2505" s="72" t="n"/>
      <c r="F2505" s="65" t="n"/>
      <c r="G2505" s="68" t="str">
        <f>IF(J2505&lt;&gt;"OK","",IF(F2505="",N(INDEX(mat_loss,MATCH(B2505,mat_ref,0))),F2505))</f>
        <v/>
      </c>
      <c r="H2505" s="66" t="str">
        <f>IF(J2505&lt;&gt;"OK","",INDEX(mat_price,MATCH(B2505,mat_ref,0)))</f>
        <v/>
      </c>
      <c r="I2505" s="66" t="str">
        <f>IF(J2505&lt;&gt;"OK","",E2505*(1+G2505)*H2505)</f>
        <v/>
      </c>
      <c r="J2505" s="69" t="str">
        <f>IF(AND(A2505="",B2505=""),"",IF(A2505="","Produit manquant",IF(COUNTIF(prod_ref,A2505)=0,"Produit inconnu",IF(B2505="","Matière manquante",IF(ISNA(MATCH(B2505,mat_ref,0)),"Matière inconnue",IF(INDEX(mat_check,MATCH(B2505,mat_ref,0))&lt;&gt;"OK","Matière à corriger",IF(OR(NOT(ISNUMBER(E2505)),N(E2505)&lt;=0),"Quantité invalide",IF(AND(F2505&lt;&gt;"",OR(NOT(ISNUMBER(F2505)),N(F2505)&lt;0,N(F2505)&gt;=1)),"Perte entre 0 et 99 %",IF(COUNTIFS(bom_prod,A2505,bom_mat,B2505)&gt;1,"Matière en double","OK")))))))))</f>
        <v/>
      </c>
      <c r="K2505" s="71" t="str">
        <f>IF(AND(fiche_sel&lt;&gt;"",A2505=fiche_sel),COUNTIF(A$6:A2505,fiche_sel),"")</f>
        <v/>
      </c>
    </row>
    <row r="2506">
      <c r="A2506" s="60" t="n"/>
      <c r="B2506" s="60" t="n"/>
      <c r="C2506" s="71" t="str">
        <f>IF(B2506="","",IFERROR(INDEX(mat_des,MATCH(B2506,mat_ref,0))&amp;"","Matière inconnue"))</f>
        <v/>
      </c>
      <c r="D2506" s="69" t="str">
        <f>IF(B2506="","",IFERROR(INDEX(mat_unit,MATCH(B2506,mat_ref,0))&amp;"",""))</f>
        <v/>
      </c>
      <c r="E2506" s="72" t="n"/>
      <c r="F2506" s="65" t="n"/>
      <c r="G2506" s="68" t="str">
        <f>IF(J2506&lt;&gt;"OK","",IF(F2506="",N(INDEX(mat_loss,MATCH(B2506,mat_ref,0))),F2506))</f>
        <v/>
      </c>
      <c r="H2506" s="66" t="str">
        <f>IF(J2506&lt;&gt;"OK","",INDEX(mat_price,MATCH(B2506,mat_ref,0)))</f>
        <v/>
      </c>
      <c r="I2506" s="66" t="str">
        <f>IF(J2506&lt;&gt;"OK","",E2506*(1+G2506)*H2506)</f>
        <v/>
      </c>
      <c r="J2506" s="69" t="str">
        <f>IF(AND(A2506="",B2506=""),"",IF(A2506="","Produit manquant",IF(COUNTIF(prod_ref,A2506)=0,"Produit inconnu",IF(B2506="","Matière manquante",IF(ISNA(MATCH(B2506,mat_ref,0)),"Matière inconnue",IF(INDEX(mat_check,MATCH(B2506,mat_ref,0))&lt;&gt;"OK","Matière à corriger",IF(OR(NOT(ISNUMBER(E2506)),N(E2506)&lt;=0),"Quantité invalide",IF(AND(F2506&lt;&gt;"",OR(NOT(ISNUMBER(F2506)),N(F2506)&lt;0,N(F2506)&gt;=1)),"Perte entre 0 et 99 %",IF(COUNTIFS(bom_prod,A2506,bom_mat,B2506)&gt;1,"Matière en double","OK")))))))))</f>
        <v/>
      </c>
      <c r="K2506" s="71" t="str">
        <f>IF(AND(fiche_sel&lt;&gt;"",A2506=fiche_sel),COUNTIF(A$6:A2506,fiche_sel),"")</f>
        <v/>
      </c>
    </row>
    <row r="2507">
      <c r="A2507" s="60" t="n"/>
      <c r="B2507" s="60" t="n"/>
      <c r="C2507" s="71" t="str">
        <f>IF(B2507="","",IFERROR(INDEX(mat_des,MATCH(B2507,mat_ref,0))&amp;"","Matière inconnue"))</f>
        <v/>
      </c>
      <c r="D2507" s="69" t="str">
        <f>IF(B2507="","",IFERROR(INDEX(mat_unit,MATCH(B2507,mat_ref,0))&amp;"",""))</f>
        <v/>
      </c>
      <c r="E2507" s="72" t="n"/>
      <c r="F2507" s="65" t="n"/>
      <c r="G2507" s="68" t="str">
        <f>IF(J2507&lt;&gt;"OK","",IF(F2507="",N(INDEX(mat_loss,MATCH(B2507,mat_ref,0))),F2507))</f>
        <v/>
      </c>
      <c r="H2507" s="66" t="str">
        <f>IF(J2507&lt;&gt;"OK","",INDEX(mat_price,MATCH(B2507,mat_ref,0)))</f>
        <v/>
      </c>
      <c r="I2507" s="66" t="str">
        <f>IF(J2507&lt;&gt;"OK","",E2507*(1+G2507)*H2507)</f>
        <v/>
      </c>
      <c r="J2507" s="69" t="str">
        <f>IF(AND(A2507="",B2507=""),"",IF(A2507="","Produit manquant",IF(COUNTIF(prod_ref,A2507)=0,"Produit inconnu",IF(B2507="","Matière manquante",IF(ISNA(MATCH(B2507,mat_ref,0)),"Matière inconnue",IF(INDEX(mat_check,MATCH(B2507,mat_ref,0))&lt;&gt;"OK","Matière à corriger",IF(OR(NOT(ISNUMBER(E2507)),N(E2507)&lt;=0),"Quantité invalide",IF(AND(F2507&lt;&gt;"",OR(NOT(ISNUMBER(F2507)),N(F2507)&lt;0,N(F2507)&gt;=1)),"Perte entre 0 et 99 %",IF(COUNTIFS(bom_prod,A2507,bom_mat,B2507)&gt;1,"Matière en double","OK")))))))))</f>
        <v/>
      </c>
      <c r="K2507" s="71" t="str">
        <f>IF(AND(fiche_sel&lt;&gt;"",A2507=fiche_sel),COUNTIF(A$6:A2507,fiche_sel),"")</f>
        <v/>
      </c>
    </row>
    <row r="2508">
      <c r="A2508" s="60" t="n"/>
      <c r="B2508" s="60" t="n"/>
      <c r="C2508" s="71" t="str">
        <f>IF(B2508="","",IFERROR(INDEX(mat_des,MATCH(B2508,mat_ref,0))&amp;"","Matière inconnue"))</f>
        <v/>
      </c>
      <c r="D2508" s="69" t="str">
        <f>IF(B2508="","",IFERROR(INDEX(mat_unit,MATCH(B2508,mat_ref,0))&amp;"",""))</f>
        <v/>
      </c>
      <c r="E2508" s="72" t="n"/>
      <c r="F2508" s="65" t="n"/>
      <c r="G2508" s="68" t="str">
        <f>IF(J2508&lt;&gt;"OK","",IF(F2508="",N(INDEX(mat_loss,MATCH(B2508,mat_ref,0))),F2508))</f>
        <v/>
      </c>
      <c r="H2508" s="66" t="str">
        <f>IF(J2508&lt;&gt;"OK","",INDEX(mat_price,MATCH(B2508,mat_ref,0)))</f>
        <v/>
      </c>
      <c r="I2508" s="66" t="str">
        <f>IF(J2508&lt;&gt;"OK","",E2508*(1+G2508)*H2508)</f>
        <v/>
      </c>
      <c r="J2508" s="69" t="str">
        <f>IF(AND(A2508="",B2508=""),"",IF(A2508="","Produit manquant",IF(COUNTIF(prod_ref,A2508)=0,"Produit inconnu",IF(B2508="","Matière manquante",IF(ISNA(MATCH(B2508,mat_ref,0)),"Matière inconnue",IF(INDEX(mat_check,MATCH(B2508,mat_ref,0))&lt;&gt;"OK","Matière à corriger",IF(OR(NOT(ISNUMBER(E2508)),N(E2508)&lt;=0),"Quantité invalide",IF(AND(F2508&lt;&gt;"",OR(NOT(ISNUMBER(F2508)),N(F2508)&lt;0,N(F2508)&gt;=1)),"Perte entre 0 et 99 %",IF(COUNTIFS(bom_prod,A2508,bom_mat,B2508)&gt;1,"Matière en double","OK")))))))))</f>
        <v/>
      </c>
      <c r="K2508" s="71" t="str">
        <f>IF(AND(fiche_sel&lt;&gt;"",A2508=fiche_sel),COUNTIF(A$6:A2508,fiche_sel),"")</f>
        <v/>
      </c>
    </row>
    <row r="2509">
      <c r="A2509" s="60" t="n"/>
      <c r="B2509" s="60" t="n"/>
      <c r="C2509" s="71" t="str">
        <f>IF(B2509="","",IFERROR(INDEX(mat_des,MATCH(B2509,mat_ref,0))&amp;"","Matière inconnue"))</f>
        <v/>
      </c>
      <c r="D2509" s="69" t="str">
        <f>IF(B2509="","",IFERROR(INDEX(mat_unit,MATCH(B2509,mat_ref,0))&amp;"",""))</f>
        <v/>
      </c>
      <c r="E2509" s="72" t="n"/>
      <c r="F2509" s="65" t="n"/>
      <c r="G2509" s="68" t="str">
        <f>IF(J2509&lt;&gt;"OK","",IF(F2509="",N(INDEX(mat_loss,MATCH(B2509,mat_ref,0))),F2509))</f>
        <v/>
      </c>
      <c r="H2509" s="66" t="str">
        <f>IF(J2509&lt;&gt;"OK","",INDEX(mat_price,MATCH(B2509,mat_ref,0)))</f>
        <v/>
      </c>
      <c r="I2509" s="66" t="str">
        <f>IF(J2509&lt;&gt;"OK","",E2509*(1+G2509)*H2509)</f>
        <v/>
      </c>
      <c r="J2509" s="69" t="str">
        <f>IF(AND(A2509="",B2509=""),"",IF(A2509="","Produit manquant",IF(COUNTIF(prod_ref,A2509)=0,"Produit inconnu",IF(B2509="","Matière manquante",IF(ISNA(MATCH(B2509,mat_ref,0)),"Matière inconnue",IF(INDEX(mat_check,MATCH(B2509,mat_ref,0))&lt;&gt;"OK","Matière à corriger",IF(OR(NOT(ISNUMBER(E2509)),N(E2509)&lt;=0),"Quantité invalide",IF(AND(F2509&lt;&gt;"",OR(NOT(ISNUMBER(F2509)),N(F2509)&lt;0,N(F2509)&gt;=1)),"Perte entre 0 et 99 %",IF(COUNTIFS(bom_prod,A2509,bom_mat,B2509)&gt;1,"Matière en double","OK")))))))))</f>
        <v/>
      </c>
      <c r="K2509" s="71" t="str">
        <f>IF(AND(fiche_sel&lt;&gt;"",A2509=fiche_sel),COUNTIF(A$6:A2509,fiche_sel),"")</f>
        <v/>
      </c>
    </row>
    <row r="2510">
      <c r="A2510" s="60" t="n"/>
      <c r="B2510" s="60" t="n"/>
      <c r="C2510" s="71" t="str">
        <f>IF(B2510="","",IFERROR(INDEX(mat_des,MATCH(B2510,mat_ref,0))&amp;"","Matière inconnue"))</f>
        <v/>
      </c>
      <c r="D2510" s="69" t="str">
        <f>IF(B2510="","",IFERROR(INDEX(mat_unit,MATCH(B2510,mat_ref,0))&amp;"",""))</f>
        <v/>
      </c>
      <c r="E2510" s="72" t="n"/>
      <c r="F2510" s="65" t="n"/>
      <c r="G2510" s="68" t="str">
        <f>IF(J2510&lt;&gt;"OK","",IF(F2510="",N(INDEX(mat_loss,MATCH(B2510,mat_ref,0))),F2510))</f>
        <v/>
      </c>
      <c r="H2510" s="66" t="str">
        <f>IF(J2510&lt;&gt;"OK","",INDEX(mat_price,MATCH(B2510,mat_ref,0)))</f>
        <v/>
      </c>
      <c r="I2510" s="66" t="str">
        <f>IF(J2510&lt;&gt;"OK","",E2510*(1+G2510)*H2510)</f>
        <v/>
      </c>
      <c r="J2510" s="69" t="str">
        <f>IF(AND(A2510="",B2510=""),"",IF(A2510="","Produit manquant",IF(COUNTIF(prod_ref,A2510)=0,"Produit inconnu",IF(B2510="","Matière manquante",IF(ISNA(MATCH(B2510,mat_ref,0)),"Matière inconnue",IF(INDEX(mat_check,MATCH(B2510,mat_ref,0))&lt;&gt;"OK","Matière à corriger",IF(OR(NOT(ISNUMBER(E2510)),N(E2510)&lt;=0),"Quantité invalide",IF(AND(F2510&lt;&gt;"",OR(NOT(ISNUMBER(F2510)),N(F2510)&lt;0,N(F2510)&gt;=1)),"Perte entre 0 et 99 %",IF(COUNTIFS(bom_prod,A2510,bom_mat,B2510)&gt;1,"Matière en double","OK")))))))))</f>
        <v/>
      </c>
      <c r="K2510" s="71" t="str">
        <f>IF(AND(fiche_sel&lt;&gt;"",A2510=fiche_sel),COUNTIF(A$6:A2510,fiche_sel),"")</f>
        <v/>
      </c>
    </row>
    <row r="2511">
      <c r="A2511" s="60" t="n"/>
      <c r="B2511" s="60" t="n"/>
      <c r="C2511" s="71" t="str">
        <f>IF(B2511="","",IFERROR(INDEX(mat_des,MATCH(B2511,mat_ref,0))&amp;"","Matière inconnue"))</f>
        <v/>
      </c>
      <c r="D2511" s="69" t="str">
        <f>IF(B2511="","",IFERROR(INDEX(mat_unit,MATCH(B2511,mat_ref,0))&amp;"",""))</f>
        <v/>
      </c>
      <c r="E2511" s="72" t="n"/>
      <c r="F2511" s="65" t="n"/>
      <c r="G2511" s="68" t="str">
        <f>IF(J2511&lt;&gt;"OK","",IF(F2511="",N(INDEX(mat_loss,MATCH(B2511,mat_ref,0))),F2511))</f>
        <v/>
      </c>
      <c r="H2511" s="66" t="str">
        <f>IF(J2511&lt;&gt;"OK","",INDEX(mat_price,MATCH(B2511,mat_ref,0)))</f>
        <v/>
      </c>
      <c r="I2511" s="66" t="str">
        <f>IF(J2511&lt;&gt;"OK","",E2511*(1+G2511)*H2511)</f>
        <v/>
      </c>
      <c r="J2511" s="69" t="str">
        <f>IF(AND(A2511="",B2511=""),"",IF(A2511="","Produit manquant",IF(COUNTIF(prod_ref,A2511)=0,"Produit inconnu",IF(B2511="","Matière manquante",IF(ISNA(MATCH(B2511,mat_ref,0)),"Matière inconnue",IF(INDEX(mat_check,MATCH(B2511,mat_ref,0))&lt;&gt;"OK","Matière à corriger",IF(OR(NOT(ISNUMBER(E2511)),N(E2511)&lt;=0),"Quantité invalide",IF(AND(F2511&lt;&gt;"",OR(NOT(ISNUMBER(F2511)),N(F2511)&lt;0,N(F2511)&gt;=1)),"Perte entre 0 et 99 %",IF(COUNTIFS(bom_prod,A2511,bom_mat,B2511)&gt;1,"Matière en double","OK")))))))))</f>
        <v/>
      </c>
      <c r="K2511" s="71" t="str">
        <f>IF(AND(fiche_sel&lt;&gt;"",A2511=fiche_sel),COUNTIF(A$6:A2511,fiche_sel),"")</f>
        <v/>
      </c>
    </row>
    <row r="2512">
      <c r="A2512" s="60" t="n"/>
      <c r="B2512" s="60" t="n"/>
      <c r="C2512" s="71" t="str">
        <f>IF(B2512="","",IFERROR(INDEX(mat_des,MATCH(B2512,mat_ref,0))&amp;"","Matière inconnue"))</f>
        <v/>
      </c>
      <c r="D2512" s="69" t="str">
        <f>IF(B2512="","",IFERROR(INDEX(mat_unit,MATCH(B2512,mat_ref,0))&amp;"",""))</f>
        <v/>
      </c>
      <c r="E2512" s="72" t="n"/>
      <c r="F2512" s="65" t="n"/>
      <c r="G2512" s="68" t="str">
        <f>IF(J2512&lt;&gt;"OK","",IF(F2512="",N(INDEX(mat_loss,MATCH(B2512,mat_ref,0))),F2512))</f>
        <v/>
      </c>
      <c r="H2512" s="66" t="str">
        <f>IF(J2512&lt;&gt;"OK","",INDEX(mat_price,MATCH(B2512,mat_ref,0)))</f>
        <v/>
      </c>
      <c r="I2512" s="66" t="str">
        <f>IF(J2512&lt;&gt;"OK","",E2512*(1+G2512)*H2512)</f>
        <v/>
      </c>
      <c r="J2512" s="69" t="str">
        <f>IF(AND(A2512="",B2512=""),"",IF(A2512="","Produit manquant",IF(COUNTIF(prod_ref,A2512)=0,"Produit inconnu",IF(B2512="","Matière manquante",IF(ISNA(MATCH(B2512,mat_ref,0)),"Matière inconnue",IF(INDEX(mat_check,MATCH(B2512,mat_ref,0))&lt;&gt;"OK","Matière à corriger",IF(OR(NOT(ISNUMBER(E2512)),N(E2512)&lt;=0),"Quantité invalide",IF(AND(F2512&lt;&gt;"",OR(NOT(ISNUMBER(F2512)),N(F2512)&lt;0,N(F2512)&gt;=1)),"Perte entre 0 et 99 %",IF(COUNTIFS(bom_prod,A2512,bom_mat,B2512)&gt;1,"Matière en double","OK")))))))))</f>
        <v/>
      </c>
      <c r="K2512" s="71" t="str">
        <f>IF(AND(fiche_sel&lt;&gt;"",A2512=fiche_sel),COUNTIF(A$6:A2512,fiche_sel),"")</f>
        <v/>
      </c>
    </row>
    <row r="2513">
      <c r="A2513" s="60" t="n"/>
      <c r="B2513" s="60" t="n"/>
      <c r="C2513" s="71" t="str">
        <f>IF(B2513="","",IFERROR(INDEX(mat_des,MATCH(B2513,mat_ref,0))&amp;"","Matière inconnue"))</f>
        <v/>
      </c>
      <c r="D2513" s="69" t="str">
        <f>IF(B2513="","",IFERROR(INDEX(mat_unit,MATCH(B2513,mat_ref,0))&amp;"",""))</f>
        <v/>
      </c>
      <c r="E2513" s="72" t="n"/>
      <c r="F2513" s="65" t="n"/>
      <c r="G2513" s="68" t="str">
        <f>IF(J2513&lt;&gt;"OK","",IF(F2513="",N(INDEX(mat_loss,MATCH(B2513,mat_ref,0))),F2513))</f>
        <v/>
      </c>
      <c r="H2513" s="66" t="str">
        <f>IF(J2513&lt;&gt;"OK","",INDEX(mat_price,MATCH(B2513,mat_ref,0)))</f>
        <v/>
      </c>
      <c r="I2513" s="66" t="str">
        <f>IF(J2513&lt;&gt;"OK","",E2513*(1+G2513)*H2513)</f>
        <v/>
      </c>
      <c r="J2513" s="69" t="str">
        <f>IF(AND(A2513="",B2513=""),"",IF(A2513="","Produit manquant",IF(COUNTIF(prod_ref,A2513)=0,"Produit inconnu",IF(B2513="","Matière manquante",IF(ISNA(MATCH(B2513,mat_ref,0)),"Matière inconnue",IF(INDEX(mat_check,MATCH(B2513,mat_ref,0))&lt;&gt;"OK","Matière à corriger",IF(OR(NOT(ISNUMBER(E2513)),N(E2513)&lt;=0),"Quantité invalide",IF(AND(F2513&lt;&gt;"",OR(NOT(ISNUMBER(F2513)),N(F2513)&lt;0,N(F2513)&gt;=1)),"Perte entre 0 et 99 %",IF(COUNTIFS(bom_prod,A2513,bom_mat,B2513)&gt;1,"Matière en double","OK")))))))))</f>
        <v/>
      </c>
      <c r="K2513" s="71" t="str">
        <f>IF(AND(fiche_sel&lt;&gt;"",A2513=fiche_sel),COUNTIF(A$6:A2513,fiche_sel),"")</f>
        <v/>
      </c>
    </row>
    <row r="2514">
      <c r="A2514" s="60" t="n"/>
      <c r="B2514" s="60" t="n"/>
      <c r="C2514" s="71" t="str">
        <f>IF(B2514="","",IFERROR(INDEX(mat_des,MATCH(B2514,mat_ref,0))&amp;"","Matière inconnue"))</f>
        <v/>
      </c>
      <c r="D2514" s="69" t="str">
        <f>IF(B2514="","",IFERROR(INDEX(mat_unit,MATCH(B2514,mat_ref,0))&amp;"",""))</f>
        <v/>
      </c>
      <c r="E2514" s="72" t="n"/>
      <c r="F2514" s="65" t="n"/>
      <c r="G2514" s="68" t="str">
        <f>IF(J2514&lt;&gt;"OK","",IF(F2514="",N(INDEX(mat_loss,MATCH(B2514,mat_ref,0))),F2514))</f>
        <v/>
      </c>
      <c r="H2514" s="66" t="str">
        <f>IF(J2514&lt;&gt;"OK","",INDEX(mat_price,MATCH(B2514,mat_ref,0)))</f>
        <v/>
      </c>
      <c r="I2514" s="66" t="str">
        <f>IF(J2514&lt;&gt;"OK","",E2514*(1+G2514)*H2514)</f>
        <v/>
      </c>
      <c r="J2514" s="69" t="str">
        <f>IF(AND(A2514="",B2514=""),"",IF(A2514="","Produit manquant",IF(COUNTIF(prod_ref,A2514)=0,"Produit inconnu",IF(B2514="","Matière manquante",IF(ISNA(MATCH(B2514,mat_ref,0)),"Matière inconnue",IF(INDEX(mat_check,MATCH(B2514,mat_ref,0))&lt;&gt;"OK","Matière à corriger",IF(OR(NOT(ISNUMBER(E2514)),N(E2514)&lt;=0),"Quantité invalide",IF(AND(F2514&lt;&gt;"",OR(NOT(ISNUMBER(F2514)),N(F2514)&lt;0,N(F2514)&gt;=1)),"Perte entre 0 et 99 %",IF(COUNTIFS(bom_prod,A2514,bom_mat,B2514)&gt;1,"Matière en double","OK")))))))))</f>
        <v/>
      </c>
      <c r="K2514" s="71" t="str">
        <f>IF(AND(fiche_sel&lt;&gt;"",A2514=fiche_sel),COUNTIF(A$6:A2514,fiche_sel),"")</f>
        <v/>
      </c>
    </row>
    <row r="2515">
      <c r="A2515" s="60" t="n"/>
      <c r="B2515" s="60" t="n"/>
      <c r="C2515" s="71" t="str">
        <f>IF(B2515="","",IFERROR(INDEX(mat_des,MATCH(B2515,mat_ref,0))&amp;"","Matière inconnue"))</f>
        <v/>
      </c>
      <c r="D2515" s="69" t="str">
        <f>IF(B2515="","",IFERROR(INDEX(mat_unit,MATCH(B2515,mat_ref,0))&amp;"",""))</f>
        <v/>
      </c>
      <c r="E2515" s="72" t="n"/>
      <c r="F2515" s="65" t="n"/>
      <c r="G2515" s="68" t="str">
        <f>IF(J2515&lt;&gt;"OK","",IF(F2515="",N(INDEX(mat_loss,MATCH(B2515,mat_ref,0))),F2515))</f>
        <v/>
      </c>
      <c r="H2515" s="66" t="str">
        <f>IF(J2515&lt;&gt;"OK","",INDEX(mat_price,MATCH(B2515,mat_ref,0)))</f>
        <v/>
      </c>
      <c r="I2515" s="66" t="str">
        <f>IF(J2515&lt;&gt;"OK","",E2515*(1+G2515)*H2515)</f>
        <v/>
      </c>
      <c r="J2515" s="69" t="str">
        <f>IF(AND(A2515="",B2515=""),"",IF(A2515="","Produit manquant",IF(COUNTIF(prod_ref,A2515)=0,"Produit inconnu",IF(B2515="","Matière manquante",IF(ISNA(MATCH(B2515,mat_ref,0)),"Matière inconnue",IF(INDEX(mat_check,MATCH(B2515,mat_ref,0))&lt;&gt;"OK","Matière à corriger",IF(OR(NOT(ISNUMBER(E2515)),N(E2515)&lt;=0),"Quantité invalide",IF(AND(F2515&lt;&gt;"",OR(NOT(ISNUMBER(F2515)),N(F2515)&lt;0,N(F2515)&gt;=1)),"Perte entre 0 et 99 %",IF(COUNTIFS(bom_prod,A2515,bom_mat,B2515)&gt;1,"Matière en double","OK")))))))))</f>
        <v/>
      </c>
      <c r="K2515" s="71" t="str">
        <f>IF(AND(fiche_sel&lt;&gt;"",A2515=fiche_sel),COUNTIF(A$6:A2515,fiche_sel),"")</f>
        <v/>
      </c>
    </row>
    <row r="2516">
      <c r="A2516" s="60" t="n"/>
      <c r="B2516" s="60" t="n"/>
      <c r="C2516" s="71" t="str">
        <f>IF(B2516="","",IFERROR(INDEX(mat_des,MATCH(B2516,mat_ref,0))&amp;"","Matière inconnue"))</f>
        <v/>
      </c>
      <c r="D2516" s="69" t="str">
        <f>IF(B2516="","",IFERROR(INDEX(mat_unit,MATCH(B2516,mat_ref,0))&amp;"",""))</f>
        <v/>
      </c>
      <c r="E2516" s="72" t="n"/>
      <c r="F2516" s="65" t="n"/>
      <c r="G2516" s="68" t="str">
        <f>IF(J2516&lt;&gt;"OK","",IF(F2516="",N(INDEX(mat_loss,MATCH(B2516,mat_ref,0))),F2516))</f>
        <v/>
      </c>
      <c r="H2516" s="66" t="str">
        <f>IF(J2516&lt;&gt;"OK","",INDEX(mat_price,MATCH(B2516,mat_ref,0)))</f>
        <v/>
      </c>
      <c r="I2516" s="66" t="str">
        <f>IF(J2516&lt;&gt;"OK","",E2516*(1+G2516)*H2516)</f>
        <v/>
      </c>
      <c r="J2516" s="69" t="str">
        <f>IF(AND(A2516="",B2516=""),"",IF(A2516="","Produit manquant",IF(COUNTIF(prod_ref,A2516)=0,"Produit inconnu",IF(B2516="","Matière manquante",IF(ISNA(MATCH(B2516,mat_ref,0)),"Matière inconnue",IF(INDEX(mat_check,MATCH(B2516,mat_ref,0))&lt;&gt;"OK","Matière à corriger",IF(OR(NOT(ISNUMBER(E2516)),N(E2516)&lt;=0),"Quantité invalide",IF(AND(F2516&lt;&gt;"",OR(NOT(ISNUMBER(F2516)),N(F2516)&lt;0,N(F2516)&gt;=1)),"Perte entre 0 et 99 %",IF(COUNTIFS(bom_prod,A2516,bom_mat,B2516)&gt;1,"Matière en double","OK")))))))))</f>
        <v/>
      </c>
      <c r="K2516" s="71" t="str">
        <f>IF(AND(fiche_sel&lt;&gt;"",A2516=fiche_sel),COUNTIF(A$6:A2516,fiche_sel),"")</f>
        <v/>
      </c>
    </row>
    <row r="2517">
      <c r="A2517" s="60" t="n"/>
      <c r="B2517" s="60" t="n"/>
      <c r="C2517" s="71" t="str">
        <f>IF(B2517="","",IFERROR(INDEX(mat_des,MATCH(B2517,mat_ref,0))&amp;"","Matière inconnue"))</f>
        <v/>
      </c>
      <c r="D2517" s="69" t="str">
        <f>IF(B2517="","",IFERROR(INDEX(mat_unit,MATCH(B2517,mat_ref,0))&amp;"",""))</f>
        <v/>
      </c>
      <c r="E2517" s="72" t="n"/>
      <c r="F2517" s="65" t="n"/>
      <c r="G2517" s="68" t="str">
        <f>IF(J2517&lt;&gt;"OK","",IF(F2517="",N(INDEX(mat_loss,MATCH(B2517,mat_ref,0))),F2517))</f>
        <v/>
      </c>
      <c r="H2517" s="66" t="str">
        <f>IF(J2517&lt;&gt;"OK","",INDEX(mat_price,MATCH(B2517,mat_ref,0)))</f>
        <v/>
      </c>
      <c r="I2517" s="66" t="str">
        <f>IF(J2517&lt;&gt;"OK","",E2517*(1+G2517)*H2517)</f>
        <v/>
      </c>
      <c r="J2517" s="69" t="str">
        <f>IF(AND(A2517="",B2517=""),"",IF(A2517="","Produit manquant",IF(COUNTIF(prod_ref,A2517)=0,"Produit inconnu",IF(B2517="","Matière manquante",IF(ISNA(MATCH(B2517,mat_ref,0)),"Matière inconnue",IF(INDEX(mat_check,MATCH(B2517,mat_ref,0))&lt;&gt;"OK","Matière à corriger",IF(OR(NOT(ISNUMBER(E2517)),N(E2517)&lt;=0),"Quantité invalide",IF(AND(F2517&lt;&gt;"",OR(NOT(ISNUMBER(F2517)),N(F2517)&lt;0,N(F2517)&gt;=1)),"Perte entre 0 et 99 %",IF(COUNTIFS(bom_prod,A2517,bom_mat,B2517)&gt;1,"Matière en double","OK")))))))))</f>
        <v/>
      </c>
      <c r="K2517" s="71" t="str">
        <f>IF(AND(fiche_sel&lt;&gt;"",A2517=fiche_sel),COUNTIF(A$6:A2517,fiche_sel),"")</f>
        <v/>
      </c>
    </row>
    <row r="2518">
      <c r="A2518" s="60" t="n"/>
      <c r="B2518" s="60" t="n"/>
      <c r="C2518" s="71" t="str">
        <f>IF(B2518="","",IFERROR(INDEX(mat_des,MATCH(B2518,mat_ref,0))&amp;"","Matière inconnue"))</f>
        <v/>
      </c>
      <c r="D2518" s="69" t="str">
        <f>IF(B2518="","",IFERROR(INDEX(mat_unit,MATCH(B2518,mat_ref,0))&amp;"",""))</f>
        <v/>
      </c>
      <c r="E2518" s="72" t="n"/>
      <c r="F2518" s="65" t="n"/>
      <c r="G2518" s="68" t="str">
        <f>IF(J2518&lt;&gt;"OK","",IF(F2518="",N(INDEX(mat_loss,MATCH(B2518,mat_ref,0))),F2518))</f>
        <v/>
      </c>
      <c r="H2518" s="66" t="str">
        <f>IF(J2518&lt;&gt;"OK","",INDEX(mat_price,MATCH(B2518,mat_ref,0)))</f>
        <v/>
      </c>
      <c r="I2518" s="66" t="str">
        <f>IF(J2518&lt;&gt;"OK","",E2518*(1+G2518)*H2518)</f>
        <v/>
      </c>
      <c r="J2518" s="69" t="str">
        <f>IF(AND(A2518="",B2518=""),"",IF(A2518="","Produit manquant",IF(COUNTIF(prod_ref,A2518)=0,"Produit inconnu",IF(B2518="","Matière manquante",IF(ISNA(MATCH(B2518,mat_ref,0)),"Matière inconnue",IF(INDEX(mat_check,MATCH(B2518,mat_ref,0))&lt;&gt;"OK","Matière à corriger",IF(OR(NOT(ISNUMBER(E2518)),N(E2518)&lt;=0),"Quantité invalide",IF(AND(F2518&lt;&gt;"",OR(NOT(ISNUMBER(F2518)),N(F2518)&lt;0,N(F2518)&gt;=1)),"Perte entre 0 et 99 %",IF(COUNTIFS(bom_prod,A2518,bom_mat,B2518)&gt;1,"Matière en double","OK")))))))))</f>
        <v/>
      </c>
      <c r="K2518" s="71" t="str">
        <f>IF(AND(fiche_sel&lt;&gt;"",A2518=fiche_sel),COUNTIF(A$6:A2518,fiche_sel),"")</f>
        <v/>
      </c>
    </row>
    <row r="2519">
      <c r="A2519" s="60" t="n"/>
      <c r="B2519" s="60" t="n"/>
      <c r="C2519" s="71" t="str">
        <f>IF(B2519="","",IFERROR(INDEX(mat_des,MATCH(B2519,mat_ref,0))&amp;"","Matière inconnue"))</f>
        <v/>
      </c>
      <c r="D2519" s="69" t="str">
        <f>IF(B2519="","",IFERROR(INDEX(mat_unit,MATCH(B2519,mat_ref,0))&amp;"",""))</f>
        <v/>
      </c>
      <c r="E2519" s="72" t="n"/>
      <c r="F2519" s="65" t="n"/>
      <c r="G2519" s="68" t="str">
        <f>IF(J2519&lt;&gt;"OK","",IF(F2519="",N(INDEX(mat_loss,MATCH(B2519,mat_ref,0))),F2519))</f>
        <v/>
      </c>
      <c r="H2519" s="66" t="str">
        <f>IF(J2519&lt;&gt;"OK","",INDEX(mat_price,MATCH(B2519,mat_ref,0)))</f>
        <v/>
      </c>
      <c r="I2519" s="66" t="str">
        <f>IF(J2519&lt;&gt;"OK","",E2519*(1+G2519)*H2519)</f>
        <v/>
      </c>
      <c r="J2519" s="69" t="str">
        <f>IF(AND(A2519="",B2519=""),"",IF(A2519="","Produit manquant",IF(COUNTIF(prod_ref,A2519)=0,"Produit inconnu",IF(B2519="","Matière manquante",IF(ISNA(MATCH(B2519,mat_ref,0)),"Matière inconnue",IF(INDEX(mat_check,MATCH(B2519,mat_ref,0))&lt;&gt;"OK","Matière à corriger",IF(OR(NOT(ISNUMBER(E2519)),N(E2519)&lt;=0),"Quantité invalide",IF(AND(F2519&lt;&gt;"",OR(NOT(ISNUMBER(F2519)),N(F2519)&lt;0,N(F2519)&gt;=1)),"Perte entre 0 et 99 %",IF(COUNTIFS(bom_prod,A2519,bom_mat,B2519)&gt;1,"Matière en double","OK")))))))))</f>
        <v/>
      </c>
      <c r="K2519" s="71" t="str">
        <f>IF(AND(fiche_sel&lt;&gt;"",A2519=fiche_sel),COUNTIF(A$6:A2519,fiche_sel),"")</f>
        <v/>
      </c>
    </row>
    <row r="2520">
      <c r="A2520" s="60" t="n"/>
      <c r="B2520" s="60" t="n"/>
      <c r="C2520" s="71" t="str">
        <f>IF(B2520="","",IFERROR(INDEX(mat_des,MATCH(B2520,mat_ref,0))&amp;"","Matière inconnue"))</f>
        <v/>
      </c>
      <c r="D2520" s="69" t="str">
        <f>IF(B2520="","",IFERROR(INDEX(mat_unit,MATCH(B2520,mat_ref,0))&amp;"",""))</f>
        <v/>
      </c>
      <c r="E2520" s="72" t="n"/>
      <c r="F2520" s="65" t="n"/>
      <c r="G2520" s="68" t="str">
        <f>IF(J2520&lt;&gt;"OK","",IF(F2520="",N(INDEX(mat_loss,MATCH(B2520,mat_ref,0))),F2520))</f>
        <v/>
      </c>
      <c r="H2520" s="66" t="str">
        <f>IF(J2520&lt;&gt;"OK","",INDEX(mat_price,MATCH(B2520,mat_ref,0)))</f>
        <v/>
      </c>
      <c r="I2520" s="66" t="str">
        <f>IF(J2520&lt;&gt;"OK","",E2520*(1+G2520)*H2520)</f>
        <v/>
      </c>
      <c r="J2520" s="69" t="str">
        <f>IF(AND(A2520="",B2520=""),"",IF(A2520="","Produit manquant",IF(COUNTIF(prod_ref,A2520)=0,"Produit inconnu",IF(B2520="","Matière manquante",IF(ISNA(MATCH(B2520,mat_ref,0)),"Matière inconnue",IF(INDEX(mat_check,MATCH(B2520,mat_ref,0))&lt;&gt;"OK","Matière à corriger",IF(OR(NOT(ISNUMBER(E2520)),N(E2520)&lt;=0),"Quantité invalide",IF(AND(F2520&lt;&gt;"",OR(NOT(ISNUMBER(F2520)),N(F2520)&lt;0,N(F2520)&gt;=1)),"Perte entre 0 et 99 %",IF(COUNTIFS(bom_prod,A2520,bom_mat,B2520)&gt;1,"Matière en double","OK")))))))))</f>
        <v/>
      </c>
      <c r="K2520" s="71" t="str">
        <f>IF(AND(fiche_sel&lt;&gt;"",A2520=fiche_sel),COUNTIF(A$6:A2520,fiche_sel),"")</f>
        <v/>
      </c>
    </row>
    <row r="2521">
      <c r="A2521" s="60" t="n"/>
      <c r="B2521" s="60" t="n"/>
      <c r="C2521" s="71" t="str">
        <f>IF(B2521="","",IFERROR(INDEX(mat_des,MATCH(B2521,mat_ref,0))&amp;"","Matière inconnue"))</f>
        <v/>
      </c>
      <c r="D2521" s="69" t="str">
        <f>IF(B2521="","",IFERROR(INDEX(mat_unit,MATCH(B2521,mat_ref,0))&amp;"",""))</f>
        <v/>
      </c>
      <c r="E2521" s="72" t="n"/>
      <c r="F2521" s="65" t="n"/>
      <c r="G2521" s="68" t="str">
        <f>IF(J2521&lt;&gt;"OK","",IF(F2521="",N(INDEX(mat_loss,MATCH(B2521,mat_ref,0))),F2521))</f>
        <v/>
      </c>
      <c r="H2521" s="66" t="str">
        <f>IF(J2521&lt;&gt;"OK","",INDEX(mat_price,MATCH(B2521,mat_ref,0)))</f>
        <v/>
      </c>
      <c r="I2521" s="66" t="str">
        <f>IF(J2521&lt;&gt;"OK","",E2521*(1+G2521)*H2521)</f>
        <v/>
      </c>
      <c r="J2521" s="69" t="str">
        <f>IF(AND(A2521="",B2521=""),"",IF(A2521="","Produit manquant",IF(COUNTIF(prod_ref,A2521)=0,"Produit inconnu",IF(B2521="","Matière manquante",IF(ISNA(MATCH(B2521,mat_ref,0)),"Matière inconnue",IF(INDEX(mat_check,MATCH(B2521,mat_ref,0))&lt;&gt;"OK","Matière à corriger",IF(OR(NOT(ISNUMBER(E2521)),N(E2521)&lt;=0),"Quantité invalide",IF(AND(F2521&lt;&gt;"",OR(NOT(ISNUMBER(F2521)),N(F2521)&lt;0,N(F2521)&gt;=1)),"Perte entre 0 et 99 %",IF(COUNTIFS(bom_prod,A2521,bom_mat,B2521)&gt;1,"Matière en double","OK")))))))))</f>
        <v/>
      </c>
      <c r="K2521" s="71" t="str">
        <f>IF(AND(fiche_sel&lt;&gt;"",A2521=fiche_sel),COUNTIF(A$6:A2521,fiche_sel),"")</f>
        <v/>
      </c>
    </row>
    <row r="2522">
      <c r="A2522" s="60" t="n"/>
      <c r="B2522" s="60" t="n"/>
      <c r="C2522" s="71" t="str">
        <f>IF(B2522="","",IFERROR(INDEX(mat_des,MATCH(B2522,mat_ref,0))&amp;"","Matière inconnue"))</f>
        <v/>
      </c>
      <c r="D2522" s="69" t="str">
        <f>IF(B2522="","",IFERROR(INDEX(mat_unit,MATCH(B2522,mat_ref,0))&amp;"",""))</f>
        <v/>
      </c>
      <c r="E2522" s="72" t="n"/>
      <c r="F2522" s="65" t="n"/>
      <c r="G2522" s="68" t="str">
        <f>IF(J2522&lt;&gt;"OK","",IF(F2522="",N(INDEX(mat_loss,MATCH(B2522,mat_ref,0))),F2522))</f>
        <v/>
      </c>
      <c r="H2522" s="66" t="str">
        <f>IF(J2522&lt;&gt;"OK","",INDEX(mat_price,MATCH(B2522,mat_ref,0)))</f>
        <v/>
      </c>
      <c r="I2522" s="66" t="str">
        <f>IF(J2522&lt;&gt;"OK","",E2522*(1+G2522)*H2522)</f>
        <v/>
      </c>
      <c r="J2522" s="69" t="str">
        <f>IF(AND(A2522="",B2522=""),"",IF(A2522="","Produit manquant",IF(COUNTIF(prod_ref,A2522)=0,"Produit inconnu",IF(B2522="","Matière manquante",IF(ISNA(MATCH(B2522,mat_ref,0)),"Matière inconnue",IF(INDEX(mat_check,MATCH(B2522,mat_ref,0))&lt;&gt;"OK","Matière à corriger",IF(OR(NOT(ISNUMBER(E2522)),N(E2522)&lt;=0),"Quantité invalide",IF(AND(F2522&lt;&gt;"",OR(NOT(ISNUMBER(F2522)),N(F2522)&lt;0,N(F2522)&gt;=1)),"Perte entre 0 et 99 %",IF(COUNTIFS(bom_prod,A2522,bom_mat,B2522)&gt;1,"Matière en double","OK")))))))))</f>
        <v/>
      </c>
      <c r="K2522" s="71" t="str">
        <f>IF(AND(fiche_sel&lt;&gt;"",A2522=fiche_sel),COUNTIF(A$6:A2522,fiche_sel),"")</f>
        <v/>
      </c>
    </row>
    <row r="2523">
      <c r="A2523" s="60" t="n"/>
      <c r="B2523" s="60" t="n"/>
      <c r="C2523" s="71" t="str">
        <f>IF(B2523="","",IFERROR(INDEX(mat_des,MATCH(B2523,mat_ref,0))&amp;"","Matière inconnue"))</f>
        <v/>
      </c>
      <c r="D2523" s="69" t="str">
        <f>IF(B2523="","",IFERROR(INDEX(mat_unit,MATCH(B2523,mat_ref,0))&amp;"",""))</f>
        <v/>
      </c>
      <c r="E2523" s="72" t="n"/>
      <c r="F2523" s="65" t="n"/>
      <c r="G2523" s="68" t="str">
        <f>IF(J2523&lt;&gt;"OK","",IF(F2523="",N(INDEX(mat_loss,MATCH(B2523,mat_ref,0))),F2523))</f>
        <v/>
      </c>
      <c r="H2523" s="66" t="str">
        <f>IF(J2523&lt;&gt;"OK","",INDEX(mat_price,MATCH(B2523,mat_ref,0)))</f>
        <v/>
      </c>
      <c r="I2523" s="66" t="str">
        <f>IF(J2523&lt;&gt;"OK","",E2523*(1+G2523)*H2523)</f>
        <v/>
      </c>
      <c r="J2523" s="69" t="str">
        <f>IF(AND(A2523="",B2523=""),"",IF(A2523="","Produit manquant",IF(COUNTIF(prod_ref,A2523)=0,"Produit inconnu",IF(B2523="","Matière manquante",IF(ISNA(MATCH(B2523,mat_ref,0)),"Matière inconnue",IF(INDEX(mat_check,MATCH(B2523,mat_ref,0))&lt;&gt;"OK","Matière à corriger",IF(OR(NOT(ISNUMBER(E2523)),N(E2523)&lt;=0),"Quantité invalide",IF(AND(F2523&lt;&gt;"",OR(NOT(ISNUMBER(F2523)),N(F2523)&lt;0,N(F2523)&gt;=1)),"Perte entre 0 et 99 %",IF(COUNTIFS(bom_prod,A2523,bom_mat,B2523)&gt;1,"Matière en double","OK")))))))))</f>
        <v/>
      </c>
      <c r="K2523" s="71" t="str">
        <f>IF(AND(fiche_sel&lt;&gt;"",A2523=fiche_sel),COUNTIF(A$6:A2523,fiche_sel),"")</f>
        <v/>
      </c>
    </row>
    <row r="2524">
      <c r="A2524" s="60" t="n"/>
      <c r="B2524" s="60" t="n"/>
      <c r="C2524" s="71" t="str">
        <f>IF(B2524="","",IFERROR(INDEX(mat_des,MATCH(B2524,mat_ref,0))&amp;"","Matière inconnue"))</f>
        <v/>
      </c>
      <c r="D2524" s="69" t="str">
        <f>IF(B2524="","",IFERROR(INDEX(mat_unit,MATCH(B2524,mat_ref,0))&amp;"",""))</f>
        <v/>
      </c>
      <c r="E2524" s="72" t="n"/>
      <c r="F2524" s="65" t="n"/>
      <c r="G2524" s="68" t="str">
        <f>IF(J2524&lt;&gt;"OK","",IF(F2524="",N(INDEX(mat_loss,MATCH(B2524,mat_ref,0))),F2524))</f>
        <v/>
      </c>
      <c r="H2524" s="66" t="str">
        <f>IF(J2524&lt;&gt;"OK","",INDEX(mat_price,MATCH(B2524,mat_ref,0)))</f>
        <v/>
      </c>
      <c r="I2524" s="66" t="str">
        <f>IF(J2524&lt;&gt;"OK","",E2524*(1+G2524)*H2524)</f>
        <v/>
      </c>
      <c r="J2524" s="69" t="str">
        <f>IF(AND(A2524="",B2524=""),"",IF(A2524="","Produit manquant",IF(COUNTIF(prod_ref,A2524)=0,"Produit inconnu",IF(B2524="","Matière manquante",IF(ISNA(MATCH(B2524,mat_ref,0)),"Matière inconnue",IF(INDEX(mat_check,MATCH(B2524,mat_ref,0))&lt;&gt;"OK","Matière à corriger",IF(OR(NOT(ISNUMBER(E2524)),N(E2524)&lt;=0),"Quantité invalide",IF(AND(F2524&lt;&gt;"",OR(NOT(ISNUMBER(F2524)),N(F2524)&lt;0,N(F2524)&gt;=1)),"Perte entre 0 et 99 %",IF(COUNTIFS(bom_prod,A2524,bom_mat,B2524)&gt;1,"Matière en double","OK")))))))))</f>
        <v/>
      </c>
      <c r="K2524" s="71" t="str">
        <f>IF(AND(fiche_sel&lt;&gt;"",A2524=fiche_sel),COUNTIF(A$6:A2524,fiche_sel),"")</f>
        <v/>
      </c>
    </row>
    <row r="2525">
      <c r="A2525" s="60" t="n"/>
      <c r="B2525" s="60" t="n"/>
      <c r="C2525" s="71" t="str">
        <f>IF(B2525="","",IFERROR(INDEX(mat_des,MATCH(B2525,mat_ref,0))&amp;"","Matière inconnue"))</f>
        <v/>
      </c>
      <c r="D2525" s="69" t="str">
        <f>IF(B2525="","",IFERROR(INDEX(mat_unit,MATCH(B2525,mat_ref,0))&amp;"",""))</f>
        <v/>
      </c>
      <c r="E2525" s="72" t="n"/>
      <c r="F2525" s="65" t="n"/>
      <c r="G2525" s="68" t="str">
        <f>IF(J2525&lt;&gt;"OK","",IF(F2525="",N(INDEX(mat_loss,MATCH(B2525,mat_ref,0))),F2525))</f>
        <v/>
      </c>
      <c r="H2525" s="66" t="str">
        <f>IF(J2525&lt;&gt;"OK","",INDEX(mat_price,MATCH(B2525,mat_ref,0)))</f>
        <v/>
      </c>
      <c r="I2525" s="66" t="str">
        <f>IF(J2525&lt;&gt;"OK","",E2525*(1+G2525)*H2525)</f>
        <v/>
      </c>
      <c r="J2525" s="69" t="str">
        <f>IF(AND(A2525="",B2525=""),"",IF(A2525="","Produit manquant",IF(COUNTIF(prod_ref,A2525)=0,"Produit inconnu",IF(B2525="","Matière manquante",IF(ISNA(MATCH(B2525,mat_ref,0)),"Matière inconnue",IF(INDEX(mat_check,MATCH(B2525,mat_ref,0))&lt;&gt;"OK","Matière à corriger",IF(OR(NOT(ISNUMBER(E2525)),N(E2525)&lt;=0),"Quantité invalide",IF(AND(F2525&lt;&gt;"",OR(NOT(ISNUMBER(F2525)),N(F2525)&lt;0,N(F2525)&gt;=1)),"Perte entre 0 et 99 %",IF(COUNTIFS(bom_prod,A2525,bom_mat,B2525)&gt;1,"Matière en double","OK")))))))))</f>
        <v/>
      </c>
      <c r="K2525" s="71" t="str">
        <f>IF(AND(fiche_sel&lt;&gt;"",A2525=fiche_sel),COUNTIF(A$6:A2525,fiche_sel),"")</f>
        <v/>
      </c>
    </row>
    <row r="2526">
      <c r="A2526" s="60" t="n"/>
      <c r="B2526" s="60" t="n"/>
      <c r="C2526" s="71" t="str">
        <f>IF(B2526="","",IFERROR(INDEX(mat_des,MATCH(B2526,mat_ref,0))&amp;"","Matière inconnue"))</f>
        <v/>
      </c>
      <c r="D2526" s="69" t="str">
        <f>IF(B2526="","",IFERROR(INDEX(mat_unit,MATCH(B2526,mat_ref,0))&amp;"",""))</f>
        <v/>
      </c>
      <c r="E2526" s="72" t="n"/>
      <c r="F2526" s="65" t="n"/>
      <c r="G2526" s="68" t="str">
        <f>IF(J2526&lt;&gt;"OK","",IF(F2526="",N(INDEX(mat_loss,MATCH(B2526,mat_ref,0))),F2526))</f>
        <v/>
      </c>
      <c r="H2526" s="66" t="str">
        <f>IF(J2526&lt;&gt;"OK","",INDEX(mat_price,MATCH(B2526,mat_ref,0)))</f>
        <v/>
      </c>
      <c r="I2526" s="66" t="str">
        <f>IF(J2526&lt;&gt;"OK","",E2526*(1+G2526)*H2526)</f>
        <v/>
      </c>
      <c r="J2526" s="69" t="str">
        <f>IF(AND(A2526="",B2526=""),"",IF(A2526="","Produit manquant",IF(COUNTIF(prod_ref,A2526)=0,"Produit inconnu",IF(B2526="","Matière manquante",IF(ISNA(MATCH(B2526,mat_ref,0)),"Matière inconnue",IF(INDEX(mat_check,MATCH(B2526,mat_ref,0))&lt;&gt;"OK","Matière à corriger",IF(OR(NOT(ISNUMBER(E2526)),N(E2526)&lt;=0),"Quantité invalide",IF(AND(F2526&lt;&gt;"",OR(NOT(ISNUMBER(F2526)),N(F2526)&lt;0,N(F2526)&gt;=1)),"Perte entre 0 et 99 %",IF(COUNTIFS(bom_prod,A2526,bom_mat,B2526)&gt;1,"Matière en double","OK")))))))))</f>
        <v/>
      </c>
      <c r="K2526" s="71" t="str">
        <f>IF(AND(fiche_sel&lt;&gt;"",A2526=fiche_sel),COUNTIF(A$6:A2526,fiche_sel),"")</f>
        <v/>
      </c>
    </row>
    <row r="2527">
      <c r="A2527" s="60" t="n"/>
      <c r="B2527" s="60" t="n"/>
      <c r="C2527" s="71" t="str">
        <f>IF(B2527="","",IFERROR(INDEX(mat_des,MATCH(B2527,mat_ref,0))&amp;"","Matière inconnue"))</f>
        <v/>
      </c>
      <c r="D2527" s="69" t="str">
        <f>IF(B2527="","",IFERROR(INDEX(mat_unit,MATCH(B2527,mat_ref,0))&amp;"",""))</f>
        <v/>
      </c>
      <c r="E2527" s="72" t="n"/>
      <c r="F2527" s="65" t="n"/>
      <c r="G2527" s="68" t="str">
        <f>IF(J2527&lt;&gt;"OK","",IF(F2527="",N(INDEX(mat_loss,MATCH(B2527,mat_ref,0))),F2527))</f>
        <v/>
      </c>
      <c r="H2527" s="66" t="str">
        <f>IF(J2527&lt;&gt;"OK","",INDEX(mat_price,MATCH(B2527,mat_ref,0)))</f>
        <v/>
      </c>
      <c r="I2527" s="66" t="str">
        <f>IF(J2527&lt;&gt;"OK","",E2527*(1+G2527)*H2527)</f>
        <v/>
      </c>
      <c r="J2527" s="69" t="str">
        <f>IF(AND(A2527="",B2527=""),"",IF(A2527="","Produit manquant",IF(COUNTIF(prod_ref,A2527)=0,"Produit inconnu",IF(B2527="","Matière manquante",IF(ISNA(MATCH(B2527,mat_ref,0)),"Matière inconnue",IF(INDEX(mat_check,MATCH(B2527,mat_ref,0))&lt;&gt;"OK","Matière à corriger",IF(OR(NOT(ISNUMBER(E2527)),N(E2527)&lt;=0),"Quantité invalide",IF(AND(F2527&lt;&gt;"",OR(NOT(ISNUMBER(F2527)),N(F2527)&lt;0,N(F2527)&gt;=1)),"Perte entre 0 et 99 %",IF(COUNTIFS(bom_prod,A2527,bom_mat,B2527)&gt;1,"Matière en double","OK")))))))))</f>
        <v/>
      </c>
      <c r="K2527" s="71" t="str">
        <f>IF(AND(fiche_sel&lt;&gt;"",A2527=fiche_sel),COUNTIF(A$6:A2527,fiche_sel),"")</f>
        <v/>
      </c>
    </row>
    <row r="2528">
      <c r="A2528" s="60" t="n"/>
      <c r="B2528" s="60" t="n"/>
      <c r="C2528" s="71" t="str">
        <f>IF(B2528="","",IFERROR(INDEX(mat_des,MATCH(B2528,mat_ref,0))&amp;"","Matière inconnue"))</f>
        <v/>
      </c>
      <c r="D2528" s="69" t="str">
        <f>IF(B2528="","",IFERROR(INDEX(mat_unit,MATCH(B2528,mat_ref,0))&amp;"",""))</f>
        <v/>
      </c>
      <c r="E2528" s="72" t="n"/>
      <c r="F2528" s="65" t="n"/>
      <c r="G2528" s="68" t="str">
        <f>IF(J2528&lt;&gt;"OK","",IF(F2528="",N(INDEX(mat_loss,MATCH(B2528,mat_ref,0))),F2528))</f>
        <v/>
      </c>
      <c r="H2528" s="66" t="str">
        <f>IF(J2528&lt;&gt;"OK","",INDEX(mat_price,MATCH(B2528,mat_ref,0)))</f>
        <v/>
      </c>
      <c r="I2528" s="66" t="str">
        <f>IF(J2528&lt;&gt;"OK","",E2528*(1+G2528)*H2528)</f>
        <v/>
      </c>
      <c r="J2528" s="69" t="str">
        <f>IF(AND(A2528="",B2528=""),"",IF(A2528="","Produit manquant",IF(COUNTIF(prod_ref,A2528)=0,"Produit inconnu",IF(B2528="","Matière manquante",IF(ISNA(MATCH(B2528,mat_ref,0)),"Matière inconnue",IF(INDEX(mat_check,MATCH(B2528,mat_ref,0))&lt;&gt;"OK","Matière à corriger",IF(OR(NOT(ISNUMBER(E2528)),N(E2528)&lt;=0),"Quantité invalide",IF(AND(F2528&lt;&gt;"",OR(NOT(ISNUMBER(F2528)),N(F2528)&lt;0,N(F2528)&gt;=1)),"Perte entre 0 et 99 %",IF(COUNTIFS(bom_prod,A2528,bom_mat,B2528)&gt;1,"Matière en double","OK")))))))))</f>
        <v/>
      </c>
      <c r="K2528" s="71" t="str">
        <f>IF(AND(fiche_sel&lt;&gt;"",A2528=fiche_sel),COUNTIF(A$6:A2528,fiche_sel),"")</f>
        <v/>
      </c>
    </row>
    <row r="2529">
      <c r="A2529" s="60" t="n"/>
      <c r="B2529" s="60" t="n"/>
      <c r="C2529" s="71" t="str">
        <f>IF(B2529="","",IFERROR(INDEX(mat_des,MATCH(B2529,mat_ref,0))&amp;"","Matière inconnue"))</f>
        <v/>
      </c>
      <c r="D2529" s="69" t="str">
        <f>IF(B2529="","",IFERROR(INDEX(mat_unit,MATCH(B2529,mat_ref,0))&amp;"",""))</f>
        <v/>
      </c>
      <c r="E2529" s="72" t="n"/>
      <c r="F2529" s="65" t="n"/>
      <c r="G2529" s="68" t="str">
        <f>IF(J2529&lt;&gt;"OK","",IF(F2529="",N(INDEX(mat_loss,MATCH(B2529,mat_ref,0))),F2529))</f>
        <v/>
      </c>
      <c r="H2529" s="66" t="str">
        <f>IF(J2529&lt;&gt;"OK","",INDEX(mat_price,MATCH(B2529,mat_ref,0)))</f>
        <v/>
      </c>
      <c r="I2529" s="66" t="str">
        <f>IF(J2529&lt;&gt;"OK","",E2529*(1+G2529)*H2529)</f>
        <v/>
      </c>
      <c r="J2529" s="69" t="str">
        <f>IF(AND(A2529="",B2529=""),"",IF(A2529="","Produit manquant",IF(COUNTIF(prod_ref,A2529)=0,"Produit inconnu",IF(B2529="","Matière manquante",IF(ISNA(MATCH(B2529,mat_ref,0)),"Matière inconnue",IF(INDEX(mat_check,MATCH(B2529,mat_ref,0))&lt;&gt;"OK","Matière à corriger",IF(OR(NOT(ISNUMBER(E2529)),N(E2529)&lt;=0),"Quantité invalide",IF(AND(F2529&lt;&gt;"",OR(NOT(ISNUMBER(F2529)),N(F2529)&lt;0,N(F2529)&gt;=1)),"Perte entre 0 et 99 %",IF(COUNTIFS(bom_prod,A2529,bom_mat,B2529)&gt;1,"Matière en double","OK")))))))))</f>
        <v/>
      </c>
      <c r="K2529" s="71" t="str">
        <f>IF(AND(fiche_sel&lt;&gt;"",A2529=fiche_sel),COUNTIF(A$6:A2529,fiche_sel),"")</f>
        <v/>
      </c>
    </row>
    <row r="2530">
      <c r="A2530" s="60" t="n"/>
      <c r="B2530" s="60" t="n"/>
      <c r="C2530" s="71" t="str">
        <f>IF(B2530="","",IFERROR(INDEX(mat_des,MATCH(B2530,mat_ref,0))&amp;"","Matière inconnue"))</f>
        <v/>
      </c>
      <c r="D2530" s="69" t="str">
        <f>IF(B2530="","",IFERROR(INDEX(mat_unit,MATCH(B2530,mat_ref,0))&amp;"",""))</f>
        <v/>
      </c>
      <c r="E2530" s="72" t="n"/>
      <c r="F2530" s="65" t="n"/>
      <c r="G2530" s="68" t="str">
        <f>IF(J2530&lt;&gt;"OK","",IF(F2530="",N(INDEX(mat_loss,MATCH(B2530,mat_ref,0))),F2530))</f>
        <v/>
      </c>
      <c r="H2530" s="66" t="str">
        <f>IF(J2530&lt;&gt;"OK","",INDEX(mat_price,MATCH(B2530,mat_ref,0)))</f>
        <v/>
      </c>
      <c r="I2530" s="66" t="str">
        <f>IF(J2530&lt;&gt;"OK","",E2530*(1+G2530)*H2530)</f>
        <v/>
      </c>
      <c r="J2530" s="69" t="str">
        <f>IF(AND(A2530="",B2530=""),"",IF(A2530="","Produit manquant",IF(COUNTIF(prod_ref,A2530)=0,"Produit inconnu",IF(B2530="","Matière manquante",IF(ISNA(MATCH(B2530,mat_ref,0)),"Matière inconnue",IF(INDEX(mat_check,MATCH(B2530,mat_ref,0))&lt;&gt;"OK","Matière à corriger",IF(OR(NOT(ISNUMBER(E2530)),N(E2530)&lt;=0),"Quantité invalide",IF(AND(F2530&lt;&gt;"",OR(NOT(ISNUMBER(F2530)),N(F2530)&lt;0,N(F2530)&gt;=1)),"Perte entre 0 et 99 %",IF(COUNTIFS(bom_prod,A2530,bom_mat,B2530)&gt;1,"Matière en double","OK")))))))))</f>
        <v/>
      </c>
      <c r="K2530" s="71" t="str">
        <f>IF(AND(fiche_sel&lt;&gt;"",A2530=fiche_sel),COUNTIF(A$6:A2530,fiche_sel),"")</f>
        <v/>
      </c>
    </row>
    <row r="2531">
      <c r="A2531" s="60" t="n"/>
      <c r="B2531" s="60" t="n"/>
      <c r="C2531" s="71" t="str">
        <f>IF(B2531="","",IFERROR(INDEX(mat_des,MATCH(B2531,mat_ref,0))&amp;"","Matière inconnue"))</f>
        <v/>
      </c>
      <c r="D2531" s="69" t="str">
        <f>IF(B2531="","",IFERROR(INDEX(mat_unit,MATCH(B2531,mat_ref,0))&amp;"",""))</f>
        <v/>
      </c>
      <c r="E2531" s="72" t="n"/>
      <c r="F2531" s="65" t="n"/>
      <c r="G2531" s="68" t="str">
        <f>IF(J2531&lt;&gt;"OK","",IF(F2531="",N(INDEX(mat_loss,MATCH(B2531,mat_ref,0))),F2531))</f>
        <v/>
      </c>
      <c r="H2531" s="66" t="str">
        <f>IF(J2531&lt;&gt;"OK","",INDEX(mat_price,MATCH(B2531,mat_ref,0)))</f>
        <v/>
      </c>
      <c r="I2531" s="66" t="str">
        <f>IF(J2531&lt;&gt;"OK","",E2531*(1+G2531)*H2531)</f>
        <v/>
      </c>
      <c r="J2531" s="69" t="str">
        <f>IF(AND(A2531="",B2531=""),"",IF(A2531="","Produit manquant",IF(COUNTIF(prod_ref,A2531)=0,"Produit inconnu",IF(B2531="","Matière manquante",IF(ISNA(MATCH(B2531,mat_ref,0)),"Matière inconnue",IF(INDEX(mat_check,MATCH(B2531,mat_ref,0))&lt;&gt;"OK","Matière à corriger",IF(OR(NOT(ISNUMBER(E2531)),N(E2531)&lt;=0),"Quantité invalide",IF(AND(F2531&lt;&gt;"",OR(NOT(ISNUMBER(F2531)),N(F2531)&lt;0,N(F2531)&gt;=1)),"Perte entre 0 et 99 %",IF(COUNTIFS(bom_prod,A2531,bom_mat,B2531)&gt;1,"Matière en double","OK")))))))))</f>
        <v/>
      </c>
      <c r="K2531" s="71" t="str">
        <f>IF(AND(fiche_sel&lt;&gt;"",A2531=fiche_sel),COUNTIF(A$6:A2531,fiche_sel),"")</f>
        <v/>
      </c>
    </row>
    <row r="2532">
      <c r="A2532" s="60" t="n"/>
      <c r="B2532" s="60" t="n"/>
      <c r="C2532" s="71" t="str">
        <f>IF(B2532="","",IFERROR(INDEX(mat_des,MATCH(B2532,mat_ref,0))&amp;"","Matière inconnue"))</f>
        <v/>
      </c>
      <c r="D2532" s="69" t="str">
        <f>IF(B2532="","",IFERROR(INDEX(mat_unit,MATCH(B2532,mat_ref,0))&amp;"",""))</f>
        <v/>
      </c>
      <c r="E2532" s="72" t="n"/>
      <c r="F2532" s="65" t="n"/>
      <c r="G2532" s="68" t="str">
        <f>IF(J2532&lt;&gt;"OK","",IF(F2532="",N(INDEX(mat_loss,MATCH(B2532,mat_ref,0))),F2532))</f>
        <v/>
      </c>
      <c r="H2532" s="66" t="str">
        <f>IF(J2532&lt;&gt;"OK","",INDEX(mat_price,MATCH(B2532,mat_ref,0)))</f>
        <v/>
      </c>
      <c r="I2532" s="66" t="str">
        <f>IF(J2532&lt;&gt;"OK","",E2532*(1+G2532)*H2532)</f>
        <v/>
      </c>
      <c r="J2532" s="69" t="str">
        <f>IF(AND(A2532="",B2532=""),"",IF(A2532="","Produit manquant",IF(COUNTIF(prod_ref,A2532)=0,"Produit inconnu",IF(B2532="","Matière manquante",IF(ISNA(MATCH(B2532,mat_ref,0)),"Matière inconnue",IF(INDEX(mat_check,MATCH(B2532,mat_ref,0))&lt;&gt;"OK","Matière à corriger",IF(OR(NOT(ISNUMBER(E2532)),N(E2532)&lt;=0),"Quantité invalide",IF(AND(F2532&lt;&gt;"",OR(NOT(ISNUMBER(F2532)),N(F2532)&lt;0,N(F2532)&gt;=1)),"Perte entre 0 et 99 %",IF(COUNTIFS(bom_prod,A2532,bom_mat,B2532)&gt;1,"Matière en double","OK")))))))))</f>
        <v/>
      </c>
      <c r="K2532" s="71" t="str">
        <f>IF(AND(fiche_sel&lt;&gt;"",A2532=fiche_sel),COUNTIF(A$6:A2532,fiche_sel),"")</f>
        <v/>
      </c>
    </row>
    <row r="2533">
      <c r="A2533" s="60" t="n"/>
      <c r="B2533" s="60" t="n"/>
      <c r="C2533" s="71" t="str">
        <f>IF(B2533="","",IFERROR(INDEX(mat_des,MATCH(B2533,mat_ref,0))&amp;"","Matière inconnue"))</f>
        <v/>
      </c>
      <c r="D2533" s="69" t="str">
        <f>IF(B2533="","",IFERROR(INDEX(mat_unit,MATCH(B2533,mat_ref,0))&amp;"",""))</f>
        <v/>
      </c>
      <c r="E2533" s="72" t="n"/>
      <c r="F2533" s="65" t="n"/>
      <c r="G2533" s="68" t="str">
        <f>IF(J2533&lt;&gt;"OK","",IF(F2533="",N(INDEX(mat_loss,MATCH(B2533,mat_ref,0))),F2533))</f>
        <v/>
      </c>
      <c r="H2533" s="66" t="str">
        <f>IF(J2533&lt;&gt;"OK","",INDEX(mat_price,MATCH(B2533,mat_ref,0)))</f>
        <v/>
      </c>
      <c r="I2533" s="66" t="str">
        <f>IF(J2533&lt;&gt;"OK","",E2533*(1+G2533)*H2533)</f>
        <v/>
      </c>
      <c r="J2533" s="69" t="str">
        <f>IF(AND(A2533="",B2533=""),"",IF(A2533="","Produit manquant",IF(COUNTIF(prod_ref,A2533)=0,"Produit inconnu",IF(B2533="","Matière manquante",IF(ISNA(MATCH(B2533,mat_ref,0)),"Matière inconnue",IF(INDEX(mat_check,MATCH(B2533,mat_ref,0))&lt;&gt;"OK","Matière à corriger",IF(OR(NOT(ISNUMBER(E2533)),N(E2533)&lt;=0),"Quantité invalide",IF(AND(F2533&lt;&gt;"",OR(NOT(ISNUMBER(F2533)),N(F2533)&lt;0,N(F2533)&gt;=1)),"Perte entre 0 et 99 %",IF(COUNTIFS(bom_prod,A2533,bom_mat,B2533)&gt;1,"Matière en double","OK")))))))))</f>
        <v/>
      </c>
      <c r="K2533" s="71" t="str">
        <f>IF(AND(fiche_sel&lt;&gt;"",A2533=fiche_sel),COUNTIF(A$6:A2533,fiche_sel),"")</f>
        <v/>
      </c>
    </row>
    <row r="2534">
      <c r="A2534" s="60" t="n"/>
      <c r="B2534" s="60" t="n"/>
      <c r="C2534" s="71" t="str">
        <f>IF(B2534="","",IFERROR(INDEX(mat_des,MATCH(B2534,mat_ref,0))&amp;"","Matière inconnue"))</f>
        <v/>
      </c>
      <c r="D2534" s="69" t="str">
        <f>IF(B2534="","",IFERROR(INDEX(mat_unit,MATCH(B2534,mat_ref,0))&amp;"",""))</f>
        <v/>
      </c>
      <c r="E2534" s="72" t="n"/>
      <c r="F2534" s="65" t="n"/>
      <c r="G2534" s="68" t="str">
        <f>IF(J2534&lt;&gt;"OK","",IF(F2534="",N(INDEX(mat_loss,MATCH(B2534,mat_ref,0))),F2534))</f>
        <v/>
      </c>
      <c r="H2534" s="66" t="str">
        <f>IF(J2534&lt;&gt;"OK","",INDEX(mat_price,MATCH(B2534,mat_ref,0)))</f>
        <v/>
      </c>
      <c r="I2534" s="66" t="str">
        <f>IF(J2534&lt;&gt;"OK","",E2534*(1+G2534)*H2534)</f>
        <v/>
      </c>
      <c r="J2534" s="69" t="str">
        <f>IF(AND(A2534="",B2534=""),"",IF(A2534="","Produit manquant",IF(COUNTIF(prod_ref,A2534)=0,"Produit inconnu",IF(B2534="","Matière manquante",IF(ISNA(MATCH(B2534,mat_ref,0)),"Matière inconnue",IF(INDEX(mat_check,MATCH(B2534,mat_ref,0))&lt;&gt;"OK","Matière à corriger",IF(OR(NOT(ISNUMBER(E2534)),N(E2534)&lt;=0),"Quantité invalide",IF(AND(F2534&lt;&gt;"",OR(NOT(ISNUMBER(F2534)),N(F2534)&lt;0,N(F2534)&gt;=1)),"Perte entre 0 et 99 %",IF(COUNTIFS(bom_prod,A2534,bom_mat,B2534)&gt;1,"Matière en double","OK")))))))))</f>
        <v/>
      </c>
      <c r="K2534" s="71" t="str">
        <f>IF(AND(fiche_sel&lt;&gt;"",A2534=fiche_sel),COUNTIF(A$6:A2534,fiche_sel),"")</f>
        <v/>
      </c>
    </row>
    <row r="2535">
      <c r="A2535" s="60" t="n"/>
      <c r="B2535" s="60" t="n"/>
      <c r="C2535" s="71" t="str">
        <f>IF(B2535="","",IFERROR(INDEX(mat_des,MATCH(B2535,mat_ref,0))&amp;"","Matière inconnue"))</f>
        <v/>
      </c>
      <c r="D2535" s="69" t="str">
        <f>IF(B2535="","",IFERROR(INDEX(mat_unit,MATCH(B2535,mat_ref,0))&amp;"",""))</f>
        <v/>
      </c>
      <c r="E2535" s="72" t="n"/>
      <c r="F2535" s="65" t="n"/>
      <c r="G2535" s="68" t="str">
        <f>IF(J2535&lt;&gt;"OK","",IF(F2535="",N(INDEX(mat_loss,MATCH(B2535,mat_ref,0))),F2535))</f>
        <v/>
      </c>
      <c r="H2535" s="66" t="str">
        <f>IF(J2535&lt;&gt;"OK","",INDEX(mat_price,MATCH(B2535,mat_ref,0)))</f>
        <v/>
      </c>
      <c r="I2535" s="66" t="str">
        <f>IF(J2535&lt;&gt;"OK","",E2535*(1+G2535)*H2535)</f>
        <v/>
      </c>
      <c r="J2535" s="69" t="str">
        <f>IF(AND(A2535="",B2535=""),"",IF(A2535="","Produit manquant",IF(COUNTIF(prod_ref,A2535)=0,"Produit inconnu",IF(B2535="","Matière manquante",IF(ISNA(MATCH(B2535,mat_ref,0)),"Matière inconnue",IF(INDEX(mat_check,MATCH(B2535,mat_ref,0))&lt;&gt;"OK","Matière à corriger",IF(OR(NOT(ISNUMBER(E2535)),N(E2535)&lt;=0),"Quantité invalide",IF(AND(F2535&lt;&gt;"",OR(NOT(ISNUMBER(F2535)),N(F2535)&lt;0,N(F2535)&gt;=1)),"Perte entre 0 et 99 %",IF(COUNTIFS(bom_prod,A2535,bom_mat,B2535)&gt;1,"Matière en double","OK")))))))))</f>
        <v/>
      </c>
      <c r="K2535" s="71" t="str">
        <f>IF(AND(fiche_sel&lt;&gt;"",A2535=fiche_sel),COUNTIF(A$6:A2535,fiche_sel),"")</f>
        <v/>
      </c>
    </row>
    <row r="2536">
      <c r="A2536" s="60" t="n"/>
      <c r="B2536" s="60" t="n"/>
      <c r="C2536" s="71" t="str">
        <f>IF(B2536="","",IFERROR(INDEX(mat_des,MATCH(B2536,mat_ref,0))&amp;"","Matière inconnue"))</f>
        <v/>
      </c>
      <c r="D2536" s="69" t="str">
        <f>IF(B2536="","",IFERROR(INDEX(mat_unit,MATCH(B2536,mat_ref,0))&amp;"",""))</f>
        <v/>
      </c>
      <c r="E2536" s="72" t="n"/>
      <c r="F2536" s="65" t="n"/>
      <c r="G2536" s="68" t="str">
        <f>IF(J2536&lt;&gt;"OK","",IF(F2536="",N(INDEX(mat_loss,MATCH(B2536,mat_ref,0))),F2536))</f>
        <v/>
      </c>
      <c r="H2536" s="66" t="str">
        <f>IF(J2536&lt;&gt;"OK","",INDEX(mat_price,MATCH(B2536,mat_ref,0)))</f>
        <v/>
      </c>
      <c r="I2536" s="66" t="str">
        <f>IF(J2536&lt;&gt;"OK","",E2536*(1+G2536)*H2536)</f>
        <v/>
      </c>
      <c r="J2536" s="69" t="str">
        <f>IF(AND(A2536="",B2536=""),"",IF(A2536="","Produit manquant",IF(COUNTIF(prod_ref,A2536)=0,"Produit inconnu",IF(B2536="","Matière manquante",IF(ISNA(MATCH(B2536,mat_ref,0)),"Matière inconnue",IF(INDEX(mat_check,MATCH(B2536,mat_ref,0))&lt;&gt;"OK","Matière à corriger",IF(OR(NOT(ISNUMBER(E2536)),N(E2536)&lt;=0),"Quantité invalide",IF(AND(F2536&lt;&gt;"",OR(NOT(ISNUMBER(F2536)),N(F2536)&lt;0,N(F2536)&gt;=1)),"Perte entre 0 et 99 %",IF(COUNTIFS(bom_prod,A2536,bom_mat,B2536)&gt;1,"Matière en double","OK")))))))))</f>
        <v/>
      </c>
      <c r="K2536" s="71" t="str">
        <f>IF(AND(fiche_sel&lt;&gt;"",A2536=fiche_sel),COUNTIF(A$6:A2536,fiche_sel),"")</f>
        <v/>
      </c>
    </row>
    <row r="2537">
      <c r="A2537" s="60" t="n"/>
      <c r="B2537" s="60" t="n"/>
      <c r="C2537" s="71" t="str">
        <f>IF(B2537="","",IFERROR(INDEX(mat_des,MATCH(B2537,mat_ref,0))&amp;"","Matière inconnue"))</f>
        <v/>
      </c>
      <c r="D2537" s="69" t="str">
        <f>IF(B2537="","",IFERROR(INDEX(mat_unit,MATCH(B2537,mat_ref,0))&amp;"",""))</f>
        <v/>
      </c>
      <c r="E2537" s="72" t="n"/>
      <c r="F2537" s="65" t="n"/>
      <c r="G2537" s="68" t="str">
        <f>IF(J2537&lt;&gt;"OK","",IF(F2537="",N(INDEX(mat_loss,MATCH(B2537,mat_ref,0))),F2537))</f>
        <v/>
      </c>
      <c r="H2537" s="66" t="str">
        <f>IF(J2537&lt;&gt;"OK","",INDEX(mat_price,MATCH(B2537,mat_ref,0)))</f>
        <v/>
      </c>
      <c r="I2537" s="66" t="str">
        <f>IF(J2537&lt;&gt;"OK","",E2537*(1+G2537)*H2537)</f>
        <v/>
      </c>
      <c r="J2537" s="69" t="str">
        <f>IF(AND(A2537="",B2537=""),"",IF(A2537="","Produit manquant",IF(COUNTIF(prod_ref,A2537)=0,"Produit inconnu",IF(B2537="","Matière manquante",IF(ISNA(MATCH(B2537,mat_ref,0)),"Matière inconnue",IF(INDEX(mat_check,MATCH(B2537,mat_ref,0))&lt;&gt;"OK","Matière à corriger",IF(OR(NOT(ISNUMBER(E2537)),N(E2537)&lt;=0),"Quantité invalide",IF(AND(F2537&lt;&gt;"",OR(NOT(ISNUMBER(F2537)),N(F2537)&lt;0,N(F2537)&gt;=1)),"Perte entre 0 et 99 %",IF(COUNTIFS(bom_prod,A2537,bom_mat,B2537)&gt;1,"Matière en double","OK")))))))))</f>
        <v/>
      </c>
      <c r="K2537" s="71" t="str">
        <f>IF(AND(fiche_sel&lt;&gt;"",A2537=fiche_sel),COUNTIF(A$6:A2537,fiche_sel),"")</f>
        <v/>
      </c>
    </row>
    <row r="2538">
      <c r="A2538" s="60" t="n"/>
      <c r="B2538" s="60" t="n"/>
      <c r="C2538" s="71" t="str">
        <f>IF(B2538="","",IFERROR(INDEX(mat_des,MATCH(B2538,mat_ref,0))&amp;"","Matière inconnue"))</f>
        <v/>
      </c>
      <c r="D2538" s="69" t="str">
        <f>IF(B2538="","",IFERROR(INDEX(mat_unit,MATCH(B2538,mat_ref,0))&amp;"",""))</f>
        <v/>
      </c>
      <c r="E2538" s="72" t="n"/>
      <c r="F2538" s="65" t="n"/>
      <c r="G2538" s="68" t="str">
        <f>IF(J2538&lt;&gt;"OK","",IF(F2538="",N(INDEX(mat_loss,MATCH(B2538,mat_ref,0))),F2538))</f>
        <v/>
      </c>
      <c r="H2538" s="66" t="str">
        <f>IF(J2538&lt;&gt;"OK","",INDEX(mat_price,MATCH(B2538,mat_ref,0)))</f>
        <v/>
      </c>
      <c r="I2538" s="66" t="str">
        <f>IF(J2538&lt;&gt;"OK","",E2538*(1+G2538)*H2538)</f>
        <v/>
      </c>
      <c r="J2538" s="69" t="str">
        <f>IF(AND(A2538="",B2538=""),"",IF(A2538="","Produit manquant",IF(COUNTIF(prod_ref,A2538)=0,"Produit inconnu",IF(B2538="","Matière manquante",IF(ISNA(MATCH(B2538,mat_ref,0)),"Matière inconnue",IF(INDEX(mat_check,MATCH(B2538,mat_ref,0))&lt;&gt;"OK","Matière à corriger",IF(OR(NOT(ISNUMBER(E2538)),N(E2538)&lt;=0),"Quantité invalide",IF(AND(F2538&lt;&gt;"",OR(NOT(ISNUMBER(F2538)),N(F2538)&lt;0,N(F2538)&gt;=1)),"Perte entre 0 et 99 %",IF(COUNTIFS(bom_prod,A2538,bom_mat,B2538)&gt;1,"Matière en double","OK")))))))))</f>
        <v/>
      </c>
      <c r="K2538" s="71" t="str">
        <f>IF(AND(fiche_sel&lt;&gt;"",A2538=fiche_sel),COUNTIF(A$6:A2538,fiche_sel),"")</f>
        <v/>
      </c>
    </row>
    <row r="2539">
      <c r="A2539" s="60" t="n"/>
      <c r="B2539" s="60" t="n"/>
      <c r="C2539" s="71" t="str">
        <f>IF(B2539="","",IFERROR(INDEX(mat_des,MATCH(B2539,mat_ref,0))&amp;"","Matière inconnue"))</f>
        <v/>
      </c>
      <c r="D2539" s="69" t="str">
        <f>IF(B2539="","",IFERROR(INDEX(mat_unit,MATCH(B2539,mat_ref,0))&amp;"",""))</f>
        <v/>
      </c>
      <c r="E2539" s="72" t="n"/>
      <c r="F2539" s="65" t="n"/>
      <c r="G2539" s="68" t="str">
        <f>IF(J2539&lt;&gt;"OK","",IF(F2539="",N(INDEX(mat_loss,MATCH(B2539,mat_ref,0))),F2539))</f>
        <v/>
      </c>
      <c r="H2539" s="66" t="str">
        <f>IF(J2539&lt;&gt;"OK","",INDEX(mat_price,MATCH(B2539,mat_ref,0)))</f>
        <v/>
      </c>
      <c r="I2539" s="66" t="str">
        <f>IF(J2539&lt;&gt;"OK","",E2539*(1+G2539)*H2539)</f>
        <v/>
      </c>
      <c r="J2539" s="69" t="str">
        <f>IF(AND(A2539="",B2539=""),"",IF(A2539="","Produit manquant",IF(COUNTIF(prod_ref,A2539)=0,"Produit inconnu",IF(B2539="","Matière manquante",IF(ISNA(MATCH(B2539,mat_ref,0)),"Matière inconnue",IF(INDEX(mat_check,MATCH(B2539,mat_ref,0))&lt;&gt;"OK","Matière à corriger",IF(OR(NOT(ISNUMBER(E2539)),N(E2539)&lt;=0),"Quantité invalide",IF(AND(F2539&lt;&gt;"",OR(NOT(ISNUMBER(F2539)),N(F2539)&lt;0,N(F2539)&gt;=1)),"Perte entre 0 et 99 %",IF(COUNTIFS(bom_prod,A2539,bom_mat,B2539)&gt;1,"Matière en double","OK")))))))))</f>
        <v/>
      </c>
      <c r="K2539" s="71" t="str">
        <f>IF(AND(fiche_sel&lt;&gt;"",A2539=fiche_sel),COUNTIF(A$6:A2539,fiche_sel),"")</f>
        <v/>
      </c>
    </row>
    <row r="2540">
      <c r="A2540" s="60" t="n"/>
      <c r="B2540" s="60" t="n"/>
      <c r="C2540" s="71" t="str">
        <f>IF(B2540="","",IFERROR(INDEX(mat_des,MATCH(B2540,mat_ref,0))&amp;"","Matière inconnue"))</f>
        <v/>
      </c>
      <c r="D2540" s="69" t="str">
        <f>IF(B2540="","",IFERROR(INDEX(mat_unit,MATCH(B2540,mat_ref,0))&amp;"",""))</f>
        <v/>
      </c>
      <c r="E2540" s="72" t="n"/>
      <c r="F2540" s="65" t="n"/>
      <c r="G2540" s="68" t="str">
        <f>IF(J2540&lt;&gt;"OK","",IF(F2540="",N(INDEX(mat_loss,MATCH(B2540,mat_ref,0))),F2540))</f>
        <v/>
      </c>
      <c r="H2540" s="66" t="str">
        <f>IF(J2540&lt;&gt;"OK","",INDEX(mat_price,MATCH(B2540,mat_ref,0)))</f>
        <v/>
      </c>
      <c r="I2540" s="66" t="str">
        <f>IF(J2540&lt;&gt;"OK","",E2540*(1+G2540)*H2540)</f>
        <v/>
      </c>
      <c r="J2540" s="69" t="str">
        <f>IF(AND(A2540="",B2540=""),"",IF(A2540="","Produit manquant",IF(COUNTIF(prod_ref,A2540)=0,"Produit inconnu",IF(B2540="","Matière manquante",IF(ISNA(MATCH(B2540,mat_ref,0)),"Matière inconnue",IF(INDEX(mat_check,MATCH(B2540,mat_ref,0))&lt;&gt;"OK","Matière à corriger",IF(OR(NOT(ISNUMBER(E2540)),N(E2540)&lt;=0),"Quantité invalide",IF(AND(F2540&lt;&gt;"",OR(NOT(ISNUMBER(F2540)),N(F2540)&lt;0,N(F2540)&gt;=1)),"Perte entre 0 et 99 %",IF(COUNTIFS(bom_prod,A2540,bom_mat,B2540)&gt;1,"Matière en double","OK")))))))))</f>
        <v/>
      </c>
      <c r="K2540" s="71" t="str">
        <f>IF(AND(fiche_sel&lt;&gt;"",A2540=fiche_sel),COUNTIF(A$6:A2540,fiche_sel),"")</f>
        <v/>
      </c>
    </row>
    <row r="2541">
      <c r="A2541" s="60" t="n"/>
      <c r="B2541" s="60" t="n"/>
      <c r="C2541" s="71" t="str">
        <f>IF(B2541="","",IFERROR(INDEX(mat_des,MATCH(B2541,mat_ref,0))&amp;"","Matière inconnue"))</f>
        <v/>
      </c>
      <c r="D2541" s="69" t="str">
        <f>IF(B2541="","",IFERROR(INDEX(mat_unit,MATCH(B2541,mat_ref,0))&amp;"",""))</f>
        <v/>
      </c>
      <c r="E2541" s="72" t="n"/>
      <c r="F2541" s="65" t="n"/>
      <c r="G2541" s="68" t="str">
        <f>IF(J2541&lt;&gt;"OK","",IF(F2541="",N(INDEX(mat_loss,MATCH(B2541,mat_ref,0))),F2541))</f>
        <v/>
      </c>
      <c r="H2541" s="66" t="str">
        <f>IF(J2541&lt;&gt;"OK","",INDEX(mat_price,MATCH(B2541,mat_ref,0)))</f>
        <v/>
      </c>
      <c r="I2541" s="66" t="str">
        <f>IF(J2541&lt;&gt;"OK","",E2541*(1+G2541)*H2541)</f>
        <v/>
      </c>
      <c r="J2541" s="69" t="str">
        <f>IF(AND(A2541="",B2541=""),"",IF(A2541="","Produit manquant",IF(COUNTIF(prod_ref,A2541)=0,"Produit inconnu",IF(B2541="","Matière manquante",IF(ISNA(MATCH(B2541,mat_ref,0)),"Matière inconnue",IF(INDEX(mat_check,MATCH(B2541,mat_ref,0))&lt;&gt;"OK","Matière à corriger",IF(OR(NOT(ISNUMBER(E2541)),N(E2541)&lt;=0),"Quantité invalide",IF(AND(F2541&lt;&gt;"",OR(NOT(ISNUMBER(F2541)),N(F2541)&lt;0,N(F2541)&gt;=1)),"Perte entre 0 et 99 %",IF(COUNTIFS(bom_prod,A2541,bom_mat,B2541)&gt;1,"Matière en double","OK")))))))))</f>
        <v/>
      </c>
      <c r="K2541" s="71" t="str">
        <f>IF(AND(fiche_sel&lt;&gt;"",A2541=fiche_sel),COUNTIF(A$6:A2541,fiche_sel),"")</f>
        <v/>
      </c>
    </row>
    <row r="2542">
      <c r="A2542" s="60" t="n"/>
      <c r="B2542" s="60" t="n"/>
      <c r="C2542" s="71" t="str">
        <f>IF(B2542="","",IFERROR(INDEX(mat_des,MATCH(B2542,mat_ref,0))&amp;"","Matière inconnue"))</f>
        <v/>
      </c>
      <c r="D2542" s="69" t="str">
        <f>IF(B2542="","",IFERROR(INDEX(mat_unit,MATCH(B2542,mat_ref,0))&amp;"",""))</f>
        <v/>
      </c>
      <c r="E2542" s="72" t="n"/>
      <c r="F2542" s="65" t="n"/>
      <c r="G2542" s="68" t="str">
        <f>IF(J2542&lt;&gt;"OK","",IF(F2542="",N(INDEX(mat_loss,MATCH(B2542,mat_ref,0))),F2542))</f>
        <v/>
      </c>
      <c r="H2542" s="66" t="str">
        <f>IF(J2542&lt;&gt;"OK","",INDEX(mat_price,MATCH(B2542,mat_ref,0)))</f>
        <v/>
      </c>
      <c r="I2542" s="66" t="str">
        <f>IF(J2542&lt;&gt;"OK","",E2542*(1+G2542)*H2542)</f>
        <v/>
      </c>
      <c r="J2542" s="69" t="str">
        <f>IF(AND(A2542="",B2542=""),"",IF(A2542="","Produit manquant",IF(COUNTIF(prod_ref,A2542)=0,"Produit inconnu",IF(B2542="","Matière manquante",IF(ISNA(MATCH(B2542,mat_ref,0)),"Matière inconnue",IF(INDEX(mat_check,MATCH(B2542,mat_ref,0))&lt;&gt;"OK","Matière à corriger",IF(OR(NOT(ISNUMBER(E2542)),N(E2542)&lt;=0),"Quantité invalide",IF(AND(F2542&lt;&gt;"",OR(NOT(ISNUMBER(F2542)),N(F2542)&lt;0,N(F2542)&gt;=1)),"Perte entre 0 et 99 %",IF(COUNTIFS(bom_prod,A2542,bom_mat,B2542)&gt;1,"Matière en double","OK")))))))))</f>
        <v/>
      </c>
      <c r="K2542" s="71" t="str">
        <f>IF(AND(fiche_sel&lt;&gt;"",A2542=fiche_sel),COUNTIF(A$6:A2542,fiche_sel),"")</f>
        <v/>
      </c>
    </row>
    <row r="2543">
      <c r="A2543" s="60" t="n"/>
      <c r="B2543" s="60" t="n"/>
      <c r="C2543" s="71" t="str">
        <f>IF(B2543="","",IFERROR(INDEX(mat_des,MATCH(B2543,mat_ref,0))&amp;"","Matière inconnue"))</f>
        <v/>
      </c>
      <c r="D2543" s="69" t="str">
        <f>IF(B2543="","",IFERROR(INDEX(mat_unit,MATCH(B2543,mat_ref,0))&amp;"",""))</f>
        <v/>
      </c>
      <c r="E2543" s="72" t="n"/>
      <c r="F2543" s="65" t="n"/>
      <c r="G2543" s="68" t="str">
        <f>IF(J2543&lt;&gt;"OK","",IF(F2543="",N(INDEX(mat_loss,MATCH(B2543,mat_ref,0))),F2543))</f>
        <v/>
      </c>
      <c r="H2543" s="66" t="str">
        <f>IF(J2543&lt;&gt;"OK","",INDEX(mat_price,MATCH(B2543,mat_ref,0)))</f>
        <v/>
      </c>
      <c r="I2543" s="66" t="str">
        <f>IF(J2543&lt;&gt;"OK","",E2543*(1+G2543)*H2543)</f>
        <v/>
      </c>
      <c r="J2543" s="69" t="str">
        <f>IF(AND(A2543="",B2543=""),"",IF(A2543="","Produit manquant",IF(COUNTIF(prod_ref,A2543)=0,"Produit inconnu",IF(B2543="","Matière manquante",IF(ISNA(MATCH(B2543,mat_ref,0)),"Matière inconnue",IF(INDEX(mat_check,MATCH(B2543,mat_ref,0))&lt;&gt;"OK","Matière à corriger",IF(OR(NOT(ISNUMBER(E2543)),N(E2543)&lt;=0),"Quantité invalide",IF(AND(F2543&lt;&gt;"",OR(NOT(ISNUMBER(F2543)),N(F2543)&lt;0,N(F2543)&gt;=1)),"Perte entre 0 et 99 %",IF(COUNTIFS(bom_prod,A2543,bom_mat,B2543)&gt;1,"Matière en double","OK")))))))))</f>
        <v/>
      </c>
      <c r="K2543" s="71" t="str">
        <f>IF(AND(fiche_sel&lt;&gt;"",A2543=fiche_sel),COUNTIF(A$6:A2543,fiche_sel),"")</f>
        <v/>
      </c>
    </row>
    <row r="2544">
      <c r="A2544" s="60" t="n"/>
      <c r="B2544" s="60" t="n"/>
      <c r="C2544" s="71" t="str">
        <f>IF(B2544="","",IFERROR(INDEX(mat_des,MATCH(B2544,mat_ref,0))&amp;"","Matière inconnue"))</f>
        <v/>
      </c>
      <c r="D2544" s="69" t="str">
        <f>IF(B2544="","",IFERROR(INDEX(mat_unit,MATCH(B2544,mat_ref,0))&amp;"",""))</f>
        <v/>
      </c>
      <c r="E2544" s="72" t="n"/>
      <c r="F2544" s="65" t="n"/>
      <c r="G2544" s="68" t="str">
        <f>IF(J2544&lt;&gt;"OK","",IF(F2544="",N(INDEX(mat_loss,MATCH(B2544,mat_ref,0))),F2544))</f>
        <v/>
      </c>
      <c r="H2544" s="66" t="str">
        <f>IF(J2544&lt;&gt;"OK","",INDEX(mat_price,MATCH(B2544,mat_ref,0)))</f>
        <v/>
      </c>
      <c r="I2544" s="66" t="str">
        <f>IF(J2544&lt;&gt;"OK","",E2544*(1+G2544)*H2544)</f>
        <v/>
      </c>
      <c r="J2544" s="69" t="str">
        <f>IF(AND(A2544="",B2544=""),"",IF(A2544="","Produit manquant",IF(COUNTIF(prod_ref,A2544)=0,"Produit inconnu",IF(B2544="","Matière manquante",IF(ISNA(MATCH(B2544,mat_ref,0)),"Matière inconnue",IF(INDEX(mat_check,MATCH(B2544,mat_ref,0))&lt;&gt;"OK","Matière à corriger",IF(OR(NOT(ISNUMBER(E2544)),N(E2544)&lt;=0),"Quantité invalide",IF(AND(F2544&lt;&gt;"",OR(NOT(ISNUMBER(F2544)),N(F2544)&lt;0,N(F2544)&gt;=1)),"Perte entre 0 et 99 %",IF(COUNTIFS(bom_prod,A2544,bom_mat,B2544)&gt;1,"Matière en double","OK")))))))))</f>
        <v/>
      </c>
      <c r="K2544" s="71" t="str">
        <f>IF(AND(fiche_sel&lt;&gt;"",A2544=fiche_sel),COUNTIF(A$6:A2544,fiche_sel),"")</f>
        <v/>
      </c>
    </row>
    <row r="2545">
      <c r="A2545" s="60" t="n"/>
      <c r="B2545" s="60" t="n"/>
      <c r="C2545" s="71" t="str">
        <f>IF(B2545="","",IFERROR(INDEX(mat_des,MATCH(B2545,mat_ref,0))&amp;"","Matière inconnue"))</f>
        <v/>
      </c>
      <c r="D2545" s="69" t="str">
        <f>IF(B2545="","",IFERROR(INDEX(mat_unit,MATCH(B2545,mat_ref,0))&amp;"",""))</f>
        <v/>
      </c>
      <c r="E2545" s="72" t="n"/>
      <c r="F2545" s="65" t="n"/>
      <c r="G2545" s="68" t="str">
        <f>IF(J2545&lt;&gt;"OK","",IF(F2545="",N(INDEX(mat_loss,MATCH(B2545,mat_ref,0))),F2545))</f>
        <v/>
      </c>
      <c r="H2545" s="66" t="str">
        <f>IF(J2545&lt;&gt;"OK","",INDEX(mat_price,MATCH(B2545,mat_ref,0)))</f>
        <v/>
      </c>
      <c r="I2545" s="66" t="str">
        <f>IF(J2545&lt;&gt;"OK","",E2545*(1+G2545)*H2545)</f>
        <v/>
      </c>
      <c r="J2545" s="69" t="str">
        <f>IF(AND(A2545="",B2545=""),"",IF(A2545="","Produit manquant",IF(COUNTIF(prod_ref,A2545)=0,"Produit inconnu",IF(B2545="","Matière manquante",IF(ISNA(MATCH(B2545,mat_ref,0)),"Matière inconnue",IF(INDEX(mat_check,MATCH(B2545,mat_ref,0))&lt;&gt;"OK","Matière à corriger",IF(OR(NOT(ISNUMBER(E2545)),N(E2545)&lt;=0),"Quantité invalide",IF(AND(F2545&lt;&gt;"",OR(NOT(ISNUMBER(F2545)),N(F2545)&lt;0,N(F2545)&gt;=1)),"Perte entre 0 et 99 %",IF(COUNTIFS(bom_prod,A2545,bom_mat,B2545)&gt;1,"Matière en double","OK")))))))))</f>
        <v/>
      </c>
      <c r="K2545" s="71" t="str">
        <f>IF(AND(fiche_sel&lt;&gt;"",A2545=fiche_sel),COUNTIF(A$6:A2545,fiche_sel),"")</f>
        <v/>
      </c>
    </row>
    <row r="2546">
      <c r="A2546" s="60" t="n"/>
      <c r="B2546" s="60" t="n"/>
      <c r="C2546" s="71" t="str">
        <f>IF(B2546="","",IFERROR(INDEX(mat_des,MATCH(B2546,mat_ref,0))&amp;"","Matière inconnue"))</f>
        <v/>
      </c>
      <c r="D2546" s="69" t="str">
        <f>IF(B2546="","",IFERROR(INDEX(mat_unit,MATCH(B2546,mat_ref,0))&amp;"",""))</f>
        <v/>
      </c>
      <c r="E2546" s="72" t="n"/>
      <c r="F2546" s="65" t="n"/>
      <c r="G2546" s="68" t="str">
        <f>IF(J2546&lt;&gt;"OK","",IF(F2546="",N(INDEX(mat_loss,MATCH(B2546,mat_ref,0))),F2546))</f>
        <v/>
      </c>
      <c r="H2546" s="66" t="str">
        <f>IF(J2546&lt;&gt;"OK","",INDEX(mat_price,MATCH(B2546,mat_ref,0)))</f>
        <v/>
      </c>
      <c r="I2546" s="66" t="str">
        <f>IF(J2546&lt;&gt;"OK","",E2546*(1+G2546)*H2546)</f>
        <v/>
      </c>
      <c r="J2546" s="69" t="str">
        <f>IF(AND(A2546="",B2546=""),"",IF(A2546="","Produit manquant",IF(COUNTIF(prod_ref,A2546)=0,"Produit inconnu",IF(B2546="","Matière manquante",IF(ISNA(MATCH(B2546,mat_ref,0)),"Matière inconnue",IF(INDEX(mat_check,MATCH(B2546,mat_ref,0))&lt;&gt;"OK","Matière à corriger",IF(OR(NOT(ISNUMBER(E2546)),N(E2546)&lt;=0),"Quantité invalide",IF(AND(F2546&lt;&gt;"",OR(NOT(ISNUMBER(F2546)),N(F2546)&lt;0,N(F2546)&gt;=1)),"Perte entre 0 et 99 %",IF(COUNTIFS(bom_prod,A2546,bom_mat,B2546)&gt;1,"Matière en double","OK")))))))))</f>
        <v/>
      </c>
      <c r="K2546" s="71" t="str">
        <f>IF(AND(fiche_sel&lt;&gt;"",A2546=fiche_sel),COUNTIF(A$6:A2546,fiche_sel),"")</f>
        <v/>
      </c>
    </row>
    <row r="2547">
      <c r="A2547" s="60" t="n"/>
      <c r="B2547" s="60" t="n"/>
      <c r="C2547" s="71" t="str">
        <f>IF(B2547="","",IFERROR(INDEX(mat_des,MATCH(B2547,mat_ref,0))&amp;"","Matière inconnue"))</f>
        <v/>
      </c>
      <c r="D2547" s="69" t="str">
        <f>IF(B2547="","",IFERROR(INDEX(mat_unit,MATCH(B2547,mat_ref,0))&amp;"",""))</f>
        <v/>
      </c>
      <c r="E2547" s="72" t="n"/>
      <c r="F2547" s="65" t="n"/>
      <c r="G2547" s="68" t="str">
        <f>IF(J2547&lt;&gt;"OK","",IF(F2547="",N(INDEX(mat_loss,MATCH(B2547,mat_ref,0))),F2547))</f>
        <v/>
      </c>
      <c r="H2547" s="66" t="str">
        <f>IF(J2547&lt;&gt;"OK","",INDEX(mat_price,MATCH(B2547,mat_ref,0)))</f>
        <v/>
      </c>
      <c r="I2547" s="66" t="str">
        <f>IF(J2547&lt;&gt;"OK","",E2547*(1+G2547)*H2547)</f>
        <v/>
      </c>
      <c r="J2547" s="69" t="str">
        <f>IF(AND(A2547="",B2547=""),"",IF(A2547="","Produit manquant",IF(COUNTIF(prod_ref,A2547)=0,"Produit inconnu",IF(B2547="","Matière manquante",IF(ISNA(MATCH(B2547,mat_ref,0)),"Matière inconnue",IF(INDEX(mat_check,MATCH(B2547,mat_ref,0))&lt;&gt;"OK","Matière à corriger",IF(OR(NOT(ISNUMBER(E2547)),N(E2547)&lt;=0),"Quantité invalide",IF(AND(F2547&lt;&gt;"",OR(NOT(ISNUMBER(F2547)),N(F2547)&lt;0,N(F2547)&gt;=1)),"Perte entre 0 et 99 %",IF(COUNTIFS(bom_prod,A2547,bom_mat,B2547)&gt;1,"Matière en double","OK")))))))))</f>
        <v/>
      </c>
      <c r="K2547" s="71" t="str">
        <f>IF(AND(fiche_sel&lt;&gt;"",A2547=fiche_sel),COUNTIF(A$6:A2547,fiche_sel),"")</f>
        <v/>
      </c>
    </row>
    <row r="2548">
      <c r="A2548" s="60" t="n"/>
      <c r="B2548" s="60" t="n"/>
      <c r="C2548" s="71" t="str">
        <f>IF(B2548="","",IFERROR(INDEX(mat_des,MATCH(B2548,mat_ref,0))&amp;"","Matière inconnue"))</f>
        <v/>
      </c>
      <c r="D2548" s="69" t="str">
        <f>IF(B2548="","",IFERROR(INDEX(mat_unit,MATCH(B2548,mat_ref,0))&amp;"",""))</f>
        <v/>
      </c>
      <c r="E2548" s="72" t="n"/>
      <c r="F2548" s="65" t="n"/>
      <c r="G2548" s="68" t="str">
        <f>IF(J2548&lt;&gt;"OK","",IF(F2548="",N(INDEX(mat_loss,MATCH(B2548,mat_ref,0))),F2548))</f>
        <v/>
      </c>
      <c r="H2548" s="66" t="str">
        <f>IF(J2548&lt;&gt;"OK","",INDEX(mat_price,MATCH(B2548,mat_ref,0)))</f>
        <v/>
      </c>
      <c r="I2548" s="66" t="str">
        <f>IF(J2548&lt;&gt;"OK","",E2548*(1+G2548)*H2548)</f>
        <v/>
      </c>
      <c r="J2548" s="69" t="str">
        <f>IF(AND(A2548="",B2548=""),"",IF(A2548="","Produit manquant",IF(COUNTIF(prod_ref,A2548)=0,"Produit inconnu",IF(B2548="","Matière manquante",IF(ISNA(MATCH(B2548,mat_ref,0)),"Matière inconnue",IF(INDEX(mat_check,MATCH(B2548,mat_ref,0))&lt;&gt;"OK","Matière à corriger",IF(OR(NOT(ISNUMBER(E2548)),N(E2548)&lt;=0),"Quantité invalide",IF(AND(F2548&lt;&gt;"",OR(NOT(ISNUMBER(F2548)),N(F2548)&lt;0,N(F2548)&gt;=1)),"Perte entre 0 et 99 %",IF(COUNTIFS(bom_prod,A2548,bom_mat,B2548)&gt;1,"Matière en double","OK")))))))))</f>
        <v/>
      </c>
      <c r="K2548" s="71" t="str">
        <f>IF(AND(fiche_sel&lt;&gt;"",A2548=fiche_sel),COUNTIF(A$6:A2548,fiche_sel),"")</f>
        <v/>
      </c>
    </row>
    <row r="2549">
      <c r="A2549" s="60" t="n"/>
      <c r="B2549" s="60" t="n"/>
      <c r="C2549" s="71" t="str">
        <f>IF(B2549="","",IFERROR(INDEX(mat_des,MATCH(B2549,mat_ref,0))&amp;"","Matière inconnue"))</f>
        <v/>
      </c>
      <c r="D2549" s="69" t="str">
        <f>IF(B2549="","",IFERROR(INDEX(mat_unit,MATCH(B2549,mat_ref,0))&amp;"",""))</f>
        <v/>
      </c>
      <c r="E2549" s="72" t="n"/>
      <c r="F2549" s="65" t="n"/>
      <c r="G2549" s="68" t="str">
        <f>IF(J2549&lt;&gt;"OK","",IF(F2549="",N(INDEX(mat_loss,MATCH(B2549,mat_ref,0))),F2549))</f>
        <v/>
      </c>
      <c r="H2549" s="66" t="str">
        <f>IF(J2549&lt;&gt;"OK","",INDEX(mat_price,MATCH(B2549,mat_ref,0)))</f>
        <v/>
      </c>
      <c r="I2549" s="66" t="str">
        <f>IF(J2549&lt;&gt;"OK","",E2549*(1+G2549)*H2549)</f>
        <v/>
      </c>
      <c r="J2549" s="69" t="str">
        <f>IF(AND(A2549="",B2549=""),"",IF(A2549="","Produit manquant",IF(COUNTIF(prod_ref,A2549)=0,"Produit inconnu",IF(B2549="","Matière manquante",IF(ISNA(MATCH(B2549,mat_ref,0)),"Matière inconnue",IF(INDEX(mat_check,MATCH(B2549,mat_ref,0))&lt;&gt;"OK","Matière à corriger",IF(OR(NOT(ISNUMBER(E2549)),N(E2549)&lt;=0),"Quantité invalide",IF(AND(F2549&lt;&gt;"",OR(NOT(ISNUMBER(F2549)),N(F2549)&lt;0,N(F2549)&gt;=1)),"Perte entre 0 et 99 %",IF(COUNTIFS(bom_prod,A2549,bom_mat,B2549)&gt;1,"Matière en double","OK")))))))))</f>
        <v/>
      </c>
      <c r="K2549" s="71" t="str">
        <f>IF(AND(fiche_sel&lt;&gt;"",A2549=fiche_sel),COUNTIF(A$6:A2549,fiche_sel),"")</f>
        <v/>
      </c>
    </row>
    <row r="2550">
      <c r="A2550" s="60" t="n"/>
      <c r="B2550" s="60" t="n"/>
      <c r="C2550" s="71" t="str">
        <f>IF(B2550="","",IFERROR(INDEX(mat_des,MATCH(B2550,mat_ref,0))&amp;"","Matière inconnue"))</f>
        <v/>
      </c>
      <c r="D2550" s="69" t="str">
        <f>IF(B2550="","",IFERROR(INDEX(mat_unit,MATCH(B2550,mat_ref,0))&amp;"",""))</f>
        <v/>
      </c>
      <c r="E2550" s="72" t="n"/>
      <c r="F2550" s="65" t="n"/>
      <c r="G2550" s="68" t="str">
        <f>IF(J2550&lt;&gt;"OK","",IF(F2550="",N(INDEX(mat_loss,MATCH(B2550,mat_ref,0))),F2550))</f>
        <v/>
      </c>
      <c r="H2550" s="66" t="str">
        <f>IF(J2550&lt;&gt;"OK","",INDEX(mat_price,MATCH(B2550,mat_ref,0)))</f>
        <v/>
      </c>
      <c r="I2550" s="66" t="str">
        <f>IF(J2550&lt;&gt;"OK","",E2550*(1+G2550)*H2550)</f>
        <v/>
      </c>
      <c r="J2550" s="69" t="str">
        <f>IF(AND(A2550="",B2550=""),"",IF(A2550="","Produit manquant",IF(COUNTIF(prod_ref,A2550)=0,"Produit inconnu",IF(B2550="","Matière manquante",IF(ISNA(MATCH(B2550,mat_ref,0)),"Matière inconnue",IF(INDEX(mat_check,MATCH(B2550,mat_ref,0))&lt;&gt;"OK","Matière à corriger",IF(OR(NOT(ISNUMBER(E2550)),N(E2550)&lt;=0),"Quantité invalide",IF(AND(F2550&lt;&gt;"",OR(NOT(ISNUMBER(F2550)),N(F2550)&lt;0,N(F2550)&gt;=1)),"Perte entre 0 et 99 %",IF(COUNTIFS(bom_prod,A2550,bom_mat,B2550)&gt;1,"Matière en double","OK")))))))))</f>
        <v/>
      </c>
      <c r="K2550" s="71" t="str">
        <f>IF(AND(fiche_sel&lt;&gt;"",A2550=fiche_sel),COUNTIF(A$6:A2550,fiche_sel),"")</f>
        <v/>
      </c>
    </row>
    <row r="2551">
      <c r="A2551" s="60" t="n"/>
      <c r="B2551" s="60" t="n"/>
      <c r="C2551" s="71" t="str">
        <f>IF(B2551="","",IFERROR(INDEX(mat_des,MATCH(B2551,mat_ref,0))&amp;"","Matière inconnue"))</f>
        <v/>
      </c>
      <c r="D2551" s="69" t="str">
        <f>IF(B2551="","",IFERROR(INDEX(mat_unit,MATCH(B2551,mat_ref,0))&amp;"",""))</f>
        <v/>
      </c>
      <c r="E2551" s="72" t="n"/>
      <c r="F2551" s="65" t="n"/>
      <c r="G2551" s="68" t="str">
        <f>IF(J2551&lt;&gt;"OK","",IF(F2551="",N(INDEX(mat_loss,MATCH(B2551,mat_ref,0))),F2551))</f>
        <v/>
      </c>
      <c r="H2551" s="66" t="str">
        <f>IF(J2551&lt;&gt;"OK","",INDEX(mat_price,MATCH(B2551,mat_ref,0)))</f>
        <v/>
      </c>
      <c r="I2551" s="66" t="str">
        <f>IF(J2551&lt;&gt;"OK","",E2551*(1+G2551)*H2551)</f>
        <v/>
      </c>
      <c r="J2551" s="69" t="str">
        <f>IF(AND(A2551="",B2551=""),"",IF(A2551="","Produit manquant",IF(COUNTIF(prod_ref,A2551)=0,"Produit inconnu",IF(B2551="","Matière manquante",IF(ISNA(MATCH(B2551,mat_ref,0)),"Matière inconnue",IF(INDEX(mat_check,MATCH(B2551,mat_ref,0))&lt;&gt;"OK","Matière à corriger",IF(OR(NOT(ISNUMBER(E2551)),N(E2551)&lt;=0),"Quantité invalide",IF(AND(F2551&lt;&gt;"",OR(NOT(ISNUMBER(F2551)),N(F2551)&lt;0,N(F2551)&gt;=1)),"Perte entre 0 et 99 %",IF(COUNTIFS(bom_prod,A2551,bom_mat,B2551)&gt;1,"Matière en double","OK")))))))))</f>
        <v/>
      </c>
      <c r="K2551" s="71" t="str">
        <f>IF(AND(fiche_sel&lt;&gt;"",A2551=fiche_sel),COUNTIF(A$6:A2551,fiche_sel),"")</f>
        <v/>
      </c>
    </row>
    <row r="2552">
      <c r="A2552" s="60" t="n"/>
      <c r="B2552" s="60" t="n"/>
      <c r="C2552" s="71" t="str">
        <f>IF(B2552="","",IFERROR(INDEX(mat_des,MATCH(B2552,mat_ref,0))&amp;"","Matière inconnue"))</f>
        <v/>
      </c>
      <c r="D2552" s="69" t="str">
        <f>IF(B2552="","",IFERROR(INDEX(mat_unit,MATCH(B2552,mat_ref,0))&amp;"",""))</f>
        <v/>
      </c>
      <c r="E2552" s="72" t="n"/>
      <c r="F2552" s="65" t="n"/>
      <c r="G2552" s="68" t="str">
        <f>IF(J2552&lt;&gt;"OK","",IF(F2552="",N(INDEX(mat_loss,MATCH(B2552,mat_ref,0))),F2552))</f>
        <v/>
      </c>
      <c r="H2552" s="66" t="str">
        <f>IF(J2552&lt;&gt;"OK","",INDEX(mat_price,MATCH(B2552,mat_ref,0)))</f>
        <v/>
      </c>
      <c r="I2552" s="66" t="str">
        <f>IF(J2552&lt;&gt;"OK","",E2552*(1+G2552)*H2552)</f>
        <v/>
      </c>
      <c r="J2552" s="69" t="str">
        <f>IF(AND(A2552="",B2552=""),"",IF(A2552="","Produit manquant",IF(COUNTIF(prod_ref,A2552)=0,"Produit inconnu",IF(B2552="","Matière manquante",IF(ISNA(MATCH(B2552,mat_ref,0)),"Matière inconnue",IF(INDEX(mat_check,MATCH(B2552,mat_ref,0))&lt;&gt;"OK","Matière à corriger",IF(OR(NOT(ISNUMBER(E2552)),N(E2552)&lt;=0),"Quantité invalide",IF(AND(F2552&lt;&gt;"",OR(NOT(ISNUMBER(F2552)),N(F2552)&lt;0,N(F2552)&gt;=1)),"Perte entre 0 et 99 %",IF(COUNTIFS(bom_prod,A2552,bom_mat,B2552)&gt;1,"Matière en double","OK")))))))))</f>
        <v/>
      </c>
      <c r="K2552" s="71" t="str">
        <f>IF(AND(fiche_sel&lt;&gt;"",A2552=fiche_sel),COUNTIF(A$6:A2552,fiche_sel),"")</f>
        <v/>
      </c>
    </row>
    <row r="2553">
      <c r="A2553" s="60" t="n"/>
      <c r="B2553" s="60" t="n"/>
      <c r="C2553" s="71" t="str">
        <f>IF(B2553="","",IFERROR(INDEX(mat_des,MATCH(B2553,mat_ref,0))&amp;"","Matière inconnue"))</f>
        <v/>
      </c>
      <c r="D2553" s="69" t="str">
        <f>IF(B2553="","",IFERROR(INDEX(mat_unit,MATCH(B2553,mat_ref,0))&amp;"",""))</f>
        <v/>
      </c>
      <c r="E2553" s="72" t="n"/>
      <c r="F2553" s="65" t="n"/>
      <c r="G2553" s="68" t="str">
        <f>IF(J2553&lt;&gt;"OK","",IF(F2553="",N(INDEX(mat_loss,MATCH(B2553,mat_ref,0))),F2553))</f>
        <v/>
      </c>
      <c r="H2553" s="66" t="str">
        <f>IF(J2553&lt;&gt;"OK","",INDEX(mat_price,MATCH(B2553,mat_ref,0)))</f>
        <v/>
      </c>
      <c r="I2553" s="66" t="str">
        <f>IF(J2553&lt;&gt;"OK","",E2553*(1+G2553)*H2553)</f>
        <v/>
      </c>
      <c r="J2553" s="69" t="str">
        <f>IF(AND(A2553="",B2553=""),"",IF(A2553="","Produit manquant",IF(COUNTIF(prod_ref,A2553)=0,"Produit inconnu",IF(B2553="","Matière manquante",IF(ISNA(MATCH(B2553,mat_ref,0)),"Matière inconnue",IF(INDEX(mat_check,MATCH(B2553,mat_ref,0))&lt;&gt;"OK","Matière à corriger",IF(OR(NOT(ISNUMBER(E2553)),N(E2553)&lt;=0),"Quantité invalide",IF(AND(F2553&lt;&gt;"",OR(NOT(ISNUMBER(F2553)),N(F2553)&lt;0,N(F2553)&gt;=1)),"Perte entre 0 et 99 %",IF(COUNTIFS(bom_prod,A2553,bom_mat,B2553)&gt;1,"Matière en double","OK")))))))))</f>
        <v/>
      </c>
      <c r="K2553" s="71" t="str">
        <f>IF(AND(fiche_sel&lt;&gt;"",A2553=fiche_sel),COUNTIF(A$6:A2553,fiche_sel),"")</f>
        <v/>
      </c>
    </row>
    <row r="2554">
      <c r="A2554" s="60" t="n"/>
      <c r="B2554" s="60" t="n"/>
      <c r="C2554" s="71" t="str">
        <f>IF(B2554="","",IFERROR(INDEX(mat_des,MATCH(B2554,mat_ref,0))&amp;"","Matière inconnue"))</f>
        <v/>
      </c>
      <c r="D2554" s="69" t="str">
        <f>IF(B2554="","",IFERROR(INDEX(mat_unit,MATCH(B2554,mat_ref,0))&amp;"",""))</f>
        <v/>
      </c>
      <c r="E2554" s="72" t="n"/>
      <c r="F2554" s="65" t="n"/>
      <c r="G2554" s="68" t="str">
        <f>IF(J2554&lt;&gt;"OK","",IF(F2554="",N(INDEX(mat_loss,MATCH(B2554,mat_ref,0))),F2554))</f>
        <v/>
      </c>
      <c r="H2554" s="66" t="str">
        <f>IF(J2554&lt;&gt;"OK","",INDEX(mat_price,MATCH(B2554,mat_ref,0)))</f>
        <v/>
      </c>
      <c r="I2554" s="66" t="str">
        <f>IF(J2554&lt;&gt;"OK","",E2554*(1+G2554)*H2554)</f>
        <v/>
      </c>
      <c r="J2554" s="69" t="str">
        <f>IF(AND(A2554="",B2554=""),"",IF(A2554="","Produit manquant",IF(COUNTIF(prod_ref,A2554)=0,"Produit inconnu",IF(B2554="","Matière manquante",IF(ISNA(MATCH(B2554,mat_ref,0)),"Matière inconnue",IF(INDEX(mat_check,MATCH(B2554,mat_ref,0))&lt;&gt;"OK","Matière à corriger",IF(OR(NOT(ISNUMBER(E2554)),N(E2554)&lt;=0),"Quantité invalide",IF(AND(F2554&lt;&gt;"",OR(NOT(ISNUMBER(F2554)),N(F2554)&lt;0,N(F2554)&gt;=1)),"Perte entre 0 et 99 %",IF(COUNTIFS(bom_prod,A2554,bom_mat,B2554)&gt;1,"Matière en double","OK")))))))))</f>
        <v/>
      </c>
      <c r="K2554" s="71" t="str">
        <f>IF(AND(fiche_sel&lt;&gt;"",A2554=fiche_sel),COUNTIF(A$6:A2554,fiche_sel),"")</f>
        <v/>
      </c>
    </row>
    <row r="2555">
      <c r="A2555" s="60" t="n"/>
      <c r="B2555" s="60" t="n"/>
      <c r="C2555" s="71" t="str">
        <f>IF(B2555="","",IFERROR(INDEX(mat_des,MATCH(B2555,mat_ref,0))&amp;"","Matière inconnue"))</f>
        <v/>
      </c>
      <c r="D2555" s="69" t="str">
        <f>IF(B2555="","",IFERROR(INDEX(mat_unit,MATCH(B2555,mat_ref,0))&amp;"",""))</f>
        <v/>
      </c>
      <c r="E2555" s="72" t="n"/>
      <c r="F2555" s="65" t="n"/>
      <c r="G2555" s="68" t="str">
        <f>IF(J2555&lt;&gt;"OK","",IF(F2555="",N(INDEX(mat_loss,MATCH(B2555,mat_ref,0))),F2555))</f>
        <v/>
      </c>
      <c r="H2555" s="66" t="str">
        <f>IF(J2555&lt;&gt;"OK","",INDEX(mat_price,MATCH(B2555,mat_ref,0)))</f>
        <v/>
      </c>
      <c r="I2555" s="66" t="str">
        <f>IF(J2555&lt;&gt;"OK","",E2555*(1+G2555)*H2555)</f>
        <v/>
      </c>
      <c r="J2555" s="69" t="str">
        <f>IF(AND(A2555="",B2555=""),"",IF(A2555="","Produit manquant",IF(COUNTIF(prod_ref,A2555)=0,"Produit inconnu",IF(B2555="","Matière manquante",IF(ISNA(MATCH(B2555,mat_ref,0)),"Matière inconnue",IF(INDEX(mat_check,MATCH(B2555,mat_ref,0))&lt;&gt;"OK","Matière à corriger",IF(OR(NOT(ISNUMBER(E2555)),N(E2555)&lt;=0),"Quantité invalide",IF(AND(F2555&lt;&gt;"",OR(NOT(ISNUMBER(F2555)),N(F2555)&lt;0,N(F2555)&gt;=1)),"Perte entre 0 et 99 %",IF(COUNTIFS(bom_prod,A2555,bom_mat,B2555)&gt;1,"Matière en double","OK")))))))))</f>
        <v/>
      </c>
      <c r="K2555" s="71" t="str">
        <f>IF(AND(fiche_sel&lt;&gt;"",A2555=fiche_sel),COUNTIF(A$6:A2555,fiche_sel),"")</f>
        <v/>
      </c>
    </row>
    <row r="2556">
      <c r="A2556" s="60" t="n"/>
      <c r="B2556" s="60" t="n"/>
      <c r="C2556" s="71" t="str">
        <f>IF(B2556="","",IFERROR(INDEX(mat_des,MATCH(B2556,mat_ref,0))&amp;"","Matière inconnue"))</f>
        <v/>
      </c>
      <c r="D2556" s="69" t="str">
        <f>IF(B2556="","",IFERROR(INDEX(mat_unit,MATCH(B2556,mat_ref,0))&amp;"",""))</f>
        <v/>
      </c>
      <c r="E2556" s="72" t="n"/>
      <c r="F2556" s="65" t="n"/>
      <c r="G2556" s="68" t="str">
        <f>IF(J2556&lt;&gt;"OK","",IF(F2556="",N(INDEX(mat_loss,MATCH(B2556,mat_ref,0))),F2556))</f>
        <v/>
      </c>
      <c r="H2556" s="66" t="str">
        <f>IF(J2556&lt;&gt;"OK","",INDEX(mat_price,MATCH(B2556,mat_ref,0)))</f>
        <v/>
      </c>
      <c r="I2556" s="66" t="str">
        <f>IF(J2556&lt;&gt;"OK","",E2556*(1+G2556)*H2556)</f>
        <v/>
      </c>
      <c r="J2556" s="69" t="str">
        <f>IF(AND(A2556="",B2556=""),"",IF(A2556="","Produit manquant",IF(COUNTIF(prod_ref,A2556)=0,"Produit inconnu",IF(B2556="","Matière manquante",IF(ISNA(MATCH(B2556,mat_ref,0)),"Matière inconnue",IF(INDEX(mat_check,MATCH(B2556,mat_ref,0))&lt;&gt;"OK","Matière à corriger",IF(OR(NOT(ISNUMBER(E2556)),N(E2556)&lt;=0),"Quantité invalide",IF(AND(F2556&lt;&gt;"",OR(NOT(ISNUMBER(F2556)),N(F2556)&lt;0,N(F2556)&gt;=1)),"Perte entre 0 et 99 %",IF(COUNTIFS(bom_prod,A2556,bom_mat,B2556)&gt;1,"Matière en double","OK")))))))))</f>
        <v/>
      </c>
      <c r="K2556" s="71" t="str">
        <f>IF(AND(fiche_sel&lt;&gt;"",A2556=fiche_sel),COUNTIF(A$6:A2556,fiche_sel),"")</f>
        <v/>
      </c>
    </row>
    <row r="2557">
      <c r="A2557" s="60" t="n"/>
      <c r="B2557" s="60" t="n"/>
      <c r="C2557" s="71" t="str">
        <f>IF(B2557="","",IFERROR(INDEX(mat_des,MATCH(B2557,mat_ref,0))&amp;"","Matière inconnue"))</f>
        <v/>
      </c>
      <c r="D2557" s="69" t="str">
        <f>IF(B2557="","",IFERROR(INDEX(mat_unit,MATCH(B2557,mat_ref,0))&amp;"",""))</f>
        <v/>
      </c>
      <c r="E2557" s="72" t="n"/>
      <c r="F2557" s="65" t="n"/>
      <c r="G2557" s="68" t="str">
        <f>IF(J2557&lt;&gt;"OK","",IF(F2557="",N(INDEX(mat_loss,MATCH(B2557,mat_ref,0))),F2557))</f>
        <v/>
      </c>
      <c r="H2557" s="66" t="str">
        <f>IF(J2557&lt;&gt;"OK","",INDEX(mat_price,MATCH(B2557,mat_ref,0)))</f>
        <v/>
      </c>
      <c r="I2557" s="66" t="str">
        <f>IF(J2557&lt;&gt;"OK","",E2557*(1+G2557)*H2557)</f>
        <v/>
      </c>
      <c r="J2557" s="69" t="str">
        <f>IF(AND(A2557="",B2557=""),"",IF(A2557="","Produit manquant",IF(COUNTIF(prod_ref,A2557)=0,"Produit inconnu",IF(B2557="","Matière manquante",IF(ISNA(MATCH(B2557,mat_ref,0)),"Matière inconnue",IF(INDEX(mat_check,MATCH(B2557,mat_ref,0))&lt;&gt;"OK","Matière à corriger",IF(OR(NOT(ISNUMBER(E2557)),N(E2557)&lt;=0),"Quantité invalide",IF(AND(F2557&lt;&gt;"",OR(NOT(ISNUMBER(F2557)),N(F2557)&lt;0,N(F2557)&gt;=1)),"Perte entre 0 et 99 %",IF(COUNTIFS(bom_prod,A2557,bom_mat,B2557)&gt;1,"Matière en double","OK")))))))))</f>
        <v/>
      </c>
      <c r="K2557" s="71" t="str">
        <f>IF(AND(fiche_sel&lt;&gt;"",A2557=fiche_sel),COUNTIF(A$6:A2557,fiche_sel),"")</f>
        <v/>
      </c>
    </row>
    <row r="2558">
      <c r="A2558" s="60" t="n"/>
      <c r="B2558" s="60" t="n"/>
      <c r="C2558" s="71" t="str">
        <f>IF(B2558="","",IFERROR(INDEX(mat_des,MATCH(B2558,mat_ref,0))&amp;"","Matière inconnue"))</f>
        <v/>
      </c>
      <c r="D2558" s="69" t="str">
        <f>IF(B2558="","",IFERROR(INDEX(mat_unit,MATCH(B2558,mat_ref,0))&amp;"",""))</f>
        <v/>
      </c>
      <c r="E2558" s="72" t="n"/>
      <c r="F2558" s="65" t="n"/>
      <c r="G2558" s="68" t="str">
        <f>IF(J2558&lt;&gt;"OK","",IF(F2558="",N(INDEX(mat_loss,MATCH(B2558,mat_ref,0))),F2558))</f>
        <v/>
      </c>
      <c r="H2558" s="66" t="str">
        <f>IF(J2558&lt;&gt;"OK","",INDEX(mat_price,MATCH(B2558,mat_ref,0)))</f>
        <v/>
      </c>
      <c r="I2558" s="66" t="str">
        <f>IF(J2558&lt;&gt;"OK","",E2558*(1+G2558)*H2558)</f>
        <v/>
      </c>
      <c r="J2558" s="69" t="str">
        <f>IF(AND(A2558="",B2558=""),"",IF(A2558="","Produit manquant",IF(COUNTIF(prod_ref,A2558)=0,"Produit inconnu",IF(B2558="","Matière manquante",IF(ISNA(MATCH(B2558,mat_ref,0)),"Matière inconnue",IF(INDEX(mat_check,MATCH(B2558,mat_ref,0))&lt;&gt;"OK","Matière à corriger",IF(OR(NOT(ISNUMBER(E2558)),N(E2558)&lt;=0),"Quantité invalide",IF(AND(F2558&lt;&gt;"",OR(NOT(ISNUMBER(F2558)),N(F2558)&lt;0,N(F2558)&gt;=1)),"Perte entre 0 et 99 %",IF(COUNTIFS(bom_prod,A2558,bom_mat,B2558)&gt;1,"Matière en double","OK")))))))))</f>
        <v/>
      </c>
      <c r="K2558" s="71" t="str">
        <f>IF(AND(fiche_sel&lt;&gt;"",A2558=fiche_sel),COUNTIF(A$6:A2558,fiche_sel),"")</f>
        <v/>
      </c>
    </row>
    <row r="2559">
      <c r="A2559" s="60" t="n"/>
      <c r="B2559" s="60" t="n"/>
      <c r="C2559" s="71" t="str">
        <f>IF(B2559="","",IFERROR(INDEX(mat_des,MATCH(B2559,mat_ref,0))&amp;"","Matière inconnue"))</f>
        <v/>
      </c>
      <c r="D2559" s="69" t="str">
        <f>IF(B2559="","",IFERROR(INDEX(mat_unit,MATCH(B2559,mat_ref,0))&amp;"",""))</f>
        <v/>
      </c>
      <c r="E2559" s="72" t="n"/>
      <c r="F2559" s="65" t="n"/>
      <c r="G2559" s="68" t="str">
        <f>IF(J2559&lt;&gt;"OK","",IF(F2559="",N(INDEX(mat_loss,MATCH(B2559,mat_ref,0))),F2559))</f>
        <v/>
      </c>
      <c r="H2559" s="66" t="str">
        <f>IF(J2559&lt;&gt;"OK","",INDEX(mat_price,MATCH(B2559,mat_ref,0)))</f>
        <v/>
      </c>
      <c r="I2559" s="66" t="str">
        <f>IF(J2559&lt;&gt;"OK","",E2559*(1+G2559)*H2559)</f>
        <v/>
      </c>
      <c r="J2559" s="69" t="str">
        <f>IF(AND(A2559="",B2559=""),"",IF(A2559="","Produit manquant",IF(COUNTIF(prod_ref,A2559)=0,"Produit inconnu",IF(B2559="","Matière manquante",IF(ISNA(MATCH(B2559,mat_ref,0)),"Matière inconnue",IF(INDEX(mat_check,MATCH(B2559,mat_ref,0))&lt;&gt;"OK","Matière à corriger",IF(OR(NOT(ISNUMBER(E2559)),N(E2559)&lt;=0),"Quantité invalide",IF(AND(F2559&lt;&gt;"",OR(NOT(ISNUMBER(F2559)),N(F2559)&lt;0,N(F2559)&gt;=1)),"Perte entre 0 et 99 %",IF(COUNTIFS(bom_prod,A2559,bom_mat,B2559)&gt;1,"Matière en double","OK")))))))))</f>
        <v/>
      </c>
      <c r="K2559" s="71" t="str">
        <f>IF(AND(fiche_sel&lt;&gt;"",A2559=fiche_sel),COUNTIF(A$6:A2559,fiche_sel),"")</f>
        <v/>
      </c>
    </row>
    <row r="2560">
      <c r="A2560" s="60" t="n"/>
      <c r="B2560" s="60" t="n"/>
      <c r="C2560" s="71" t="str">
        <f>IF(B2560="","",IFERROR(INDEX(mat_des,MATCH(B2560,mat_ref,0))&amp;"","Matière inconnue"))</f>
        <v/>
      </c>
      <c r="D2560" s="69" t="str">
        <f>IF(B2560="","",IFERROR(INDEX(mat_unit,MATCH(B2560,mat_ref,0))&amp;"",""))</f>
        <v/>
      </c>
      <c r="E2560" s="72" t="n"/>
      <c r="F2560" s="65" t="n"/>
      <c r="G2560" s="68" t="str">
        <f>IF(J2560&lt;&gt;"OK","",IF(F2560="",N(INDEX(mat_loss,MATCH(B2560,mat_ref,0))),F2560))</f>
        <v/>
      </c>
      <c r="H2560" s="66" t="str">
        <f>IF(J2560&lt;&gt;"OK","",INDEX(mat_price,MATCH(B2560,mat_ref,0)))</f>
        <v/>
      </c>
      <c r="I2560" s="66" t="str">
        <f>IF(J2560&lt;&gt;"OK","",E2560*(1+G2560)*H2560)</f>
        <v/>
      </c>
      <c r="J2560" s="69" t="str">
        <f>IF(AND(A2560="",B2560=""),"",IF(A2560="","Produit manquant",IF(COUNTIF(prod_ref,A2560)=0,"Produit inconnu",IF(B2560="","Matière manquante",IF(ISNA(MATCH(B2560,mat_ref,0)),"Matière inconnue",IF(INDEX(mat_check,MATCH(B2560,mat_ref,0))&lt;&gt;"OK","Matière à corriger",IF(OR(NOT(ISNUMBER(E2560)),N(E2560)&lt;=0),"Quantité invalide",IF(AND(F2560&lt;&gt;"",OR(NOT(ISNUMBER(F2560)),N(F2560)&lt;0,N(F2560)&gt;=1)),"Perte entre 0 et 99 %",IF(COUNTIFS(bom_prod,A2560,bom_mat,B2560)&gt;1,"Matière en double","OK")))))))))</f>
        <v/>
      </c>
      <c r="K2560" s="71" t="str">
        <f>IF(AND(fiche_sel&lt;&gt;"",A2560=fiche_sel),COUNTIF(A$6:A2560,fiche_sel),"")</f>
        <v/>
      </c>
    </row>
    <row r="2561">
      <c r="A2561" s="60" t="n"/>
      <c r="B2561" s="60" t="n"/>
      <c r="C2561" s="71" t="str">
        <f>IF(B2561="","",IFERROR(INDEX(mat_des,MATCH(B2561,mat_ref,0))&amp;"","Matière inconnue"))</f>
        <v/>
      </c>
      <c r="D2561" s="69" t="str">
        <f>IF(B2561="","",IFERROR(INDEX(mat_unit,MATCH(B2561,mat_ref,0))&amp;"",""))</f>
        <v/>
      </c>
      <c r="E2561" s="72" t="n"/>
      <c r="F2561" s="65" t="n"/>
      <c r="G2561" s="68" t="str">
        <f>IF(J2561&lt;&gt;"OK","",IF(F2561="",N(INDEX(mat_loss,MATCH(B2561,mat_ref,0))),F2561))</f>
        <v/>
      </c>
      <c r="H2561" s="66" t="str">
        <f>IF(J2561&lt;&gt;"OK","",INDEX(mat_price,MATCH(B2561,mat_ref,0)))</f>
        <v/>
      </c>
      <c r="I2561" s="66" t="str">
        <f>IF(J2561&lt;&gt;"OK","",E2561*(1+G2561)*H2561)</f>
        <v/>
      </c>
      <c r="J2561" s="69" t="str">
        <f>IF(AND(A2561="",B2561=""),"",IF(A2561="","Produit manquant",IF(COUNTIF(prod_ref,A2561)=0,"Produit inconnu",IF(B2561="","Matière manquante",IF(ISNA(MATCH(B2561,mat_ref,0)),"Matière inconnue",IF(INDEX(mat_check,MATCH(B2561,mat_ref,0))&lt;&gt;"OK","Matière à corriger",IF(OR(NOT(ISNUMBER(E2561)),N(E2561)&lt;=0),"Quantité invalide",IF(AND(F2561&lt;&gt;"",OR(NOT(ISNUMBER(F2561)),N(F2561)&lt;0,N(F2561)&gt;=1)),"Perte entre 0 et 99 %",IF(COUNTIFS(bom_prod,A2561,bom_mat,B2561)&gt;1,"Matière en double","OK")))))))))</f>
        <v/>
      </c>
      <c r="K2561" s="71" t="str">
        <f>IF(AND(fiche_sel&lt;&gt;"",A2561=fiche_sel),COUNTIF(A$6:A2561,fiche_sel),"")</f>
        <v/>
      </c>
    </row>
    <row r="2562">
      <c r="A2562" s="60" t="n"/>
      <c r="B2562" s="60" t="n"/>
      <c r="C2562" s="71" t="str">
        <f>IF(B2562="","",IFERROR(INDEX(mat_des,MATCH(B2562,mat_ref,0))&amp;"","Matière inconnue"))</f>
        <v/>
      </c>
      <c r="D2562" s="69" t="str">
        <f>IF(B2562="","",IFERROR(INDEX(mat_unit,MATCH(B2562,mat_ref,0))&amp;"",""))</f>
        <v/>
      </c>
      <c r="E2562" s="72" t="n"/>
      <c r="F2562" s="65" t="n"/>
      <c r="G2562" s="68" t="str">
        <f>IF(J2562&lt;&gt;"OK","",IF(F2562="",N(INDEX(mat_loss,MATCH(B2562,mat_ref,0))),F2562))</f>
        <v/>
      </c>
      <c r="H2562" s="66" t="str">
        <f>IF(J2562&lt;&gt;"OK","",INDEX(mat_price,MATCH(B2562,mat_ref,0)))</f>
        <v/>
      </c>
      <c r="I2562" s="66" t="str">
        <f>IF(J2562&lt;&gt;"OK","",E2562*(1+G2562)*H2562)</f>
        <v/>
      </c>
      <c r="J2562" s="69" t="str">
        <f>IF(AND(A2562="",B2562=""),"",IF(A2562="","Produit manquant",IF(COUNTIF(prod_ref,A2562)=0,"Produit inconnu",IF(B2562="","Matière manquante",IF(ISNA(MATCH(B2562,mat_ref,0)),"Matière inconnue",IF(INDEX(mat_check,MATCH(B2562,mat_ref,0))&lt;&gt;"OK","Matière à corriger",IF(OR(NOT(ISNUMBER(E2562)),N(E2562)&lt;=0),"Quantité invalide",IF(AND(F2562&lt;&gt;"",OR(NOT(ISNUMBER(F2562)),N(F2562)&lt;0,N(F2562)&gt;=1)),"Perte entre 0 et 99 %",IF(COUNTIFS(bom_prod,A2562,bom_mat,B2562)&gt;1,"Matière en double","OK")))))))))</f>
        <v/>
      </c>
      <c r="K2562" s="71" t="str">
        <f>IF(AND(fiche_sel&lt;&gt;"",A2562=fiche_sel),COUNTIF(A$6:A2562,fiche_sel),"")</f>
        <v/>
      </c>
    </row>
    <row r="2563">
      <c r="A2563" s="60" t="n"/>
      <c r="B2563" s="60" t="n"/>
      <c r="C2563" s="71" t="str">
        <f>IF(B2563="","",IFERROR(INDEX(mat_des,MATCH(B2563,mat_ref,0))&amp;"","Matière inconnue"))</f>
        <v/>
      </c>
      <c r="D2563" s="69" t="str">
        <f>IF(B2563="","",IFERROR(INDEX(mat_unit,MATCH(B2563,mat_ref,0))&amp;"",""))</f>
        <v/>
      </c>
      <c r="E2563" s="72" t="n"/>
      <c r="F2563" s="65" t="n"/>
      <c r="G2563" s="68" t="str">
        <f>IF(J2563&lt;&gt;"OK","",IF(F2563="",N(INDEX(mat_loss,MATCH(B2563,mat_ref,0))),F2563))</f>
        <v/>
      </c>
      <c r="H2563" s="66" t="str">
        <f>IF(J2563&lt;&gt;"OK","",INDEX(mat_price,MATCH(B2563,mat_ref,0)))</f>
        <v/>
      </c>
      <c r="I2563" s="66" t="str">
        <f>IF(J2563&lt;&gt;"OK","",E2563*(1+G2563)*H2563)</f>
        <v/>
      </c>
      <c r="J2563" s="69" t="str">
        <f>IF(AND(A2563="",B2563=""),"",IF(A2563="","Produit manquant",IF(COUNTIF(prod_ref,A2563)=0,"Produit inconnu",IF(B2563="","Matière manquante",IF(ISNA(MATCH(B2563,mat_ref,0)),"Matière inconnue",IF(INDEX(mat_check,MATCH(B2563,mat_ref,0))&lt;&gt;"OK","Matière à corriger",IF(OR(NOT(ISNUMBER(E2563)),N(E2563)&lt;=0),"Quantité invalide",IF(AND(F2563&lt;&gt;"",OR(NOT(ISNUMBER(F2563)),N(F2563)&lt;0,N(F2563)&gt;=1)),"Perte entre 0 et 99 %",IF(COUNTIFS(bom_prod,A2563,bom_mat,B2563)&gt;1,"Matière en double","OK")))))))))</f>
        <v/>
      </c>
      <c r="K2563" s="71" t="str">
        <f>IF(AND(fiche_sel&lt;&gt;"",A2563=fiche_sel),COUNTIF(A$6:A2563,fiche_sel),"")</f>
        <v/>
      </c>
    </row>
    <row r="2564">
      <c r="A2564" s="60" t="n"/>
      <c r="B2564" s="60" t="n"/>
      <c r="C2564" s="71" t="str">
        <f>IF(B2564="","",IFERROR(INDEX(mat_des,MATCH(B2564,mat_ref,0))&amp;"","Matière inconnue"))</f>
        <v/>
      </c>
      <c r="D2564" s="69" t="str">
        <f>IF(B2564="","",IFERROR(INDEX(mat_unit,MATCH(B2564,mat_ref,0))&amp;"",""))</f>
        <v/>
      </c>
      <c r="E2564" s="72" t="n"/>
      <c r="F2564" s="65" t="n"/>
      <c r="G2564" s="68" t="str">
        <f>IF(J2564&lt;&gt;"OK","",IF(F2564="",N(INDEX(mat_loss,MATCH(B2564,mat_ref,0))),F2564))</f>
        <v/>
      </c>
      <c r="H2564" s="66" t="str">
        <f>IF(J2564&lt;&gt;"OK","",INDEX(mat_price,MATCH(B2564,mat_ref,0)))</f>
        <v/>
      </c>
      <c r="I2564" s="66" t="str">
        <f>IF(J2564&lt;&gt;"OK","",E2564*(1+G2564)*H2564)</f>
        <v/>
      </c>
      <c r="J2564" s="69" t="str">
        <f>IF(AND(A2564="",B2564=""),"",IF(A2564="","Produit manquant",IF(COUNTIF(prod_ref,A2564)=0,"Produit inconnu",IF(B2564="","Matière manquante",IF(ISNA(MATCH(B2564,mat_ref,0)),"Matière inconnue",IF(INDEX(mat_check,MATCH(B2564,mat_ref,0))&lt;&gt;"OK","Matière à corriger",IF(OR(NOT(ISNUMBER(E2564)),N(E2564)&lt;=0),"Quantité invalide",IF(AND(F2564&lt;&gt;"",OR(NOT(ISNUMBER(F2564)),N(F2564)&lt;0,N(F2564)&gt;=1)),"Perte entre 0 et 99 %",IF(COUNTIFS(bom_prod,A2564,bom_mat,B2564)&gt;1,"Matière en double","OK")))))))))</f>
        <v/>
      </c>
      <c r="K2564" s="71" t="str">
        <f>IF(AND(fiche_sel&lt;&gt;"",A2564=fiche_sel),COUNTIF(A$6:A2564,fiche_sel),"")</f>
        <v/>
      </c>
    </row>
    <row r="2565">
      <c r="A2565" s="60" t="n"/>
      <c r="B2565" s="60" t="n"/>
      <c r="C2565" s="71" t="str">
        <f>IF(B2565="","",IFERROR(INDEX(mat_des,MATCH(B2565,mat_ref,0))&amp;"","Matière inconnue"))</f>
        <v/>
      </c>
      <c r="D2565" s="69" t="str">
        <f>IF(B2565="","",IFERROR(INDEX(mat_unit,MATCH(B2565,mat_ref,0))&amp;"",""))</f>
        <v/>
      </c>
      <c r="E2565" s="72" t="n"/>
      <c r="F2565" s="65" t="n"/>
      <c r="G2565" s="68" t="str">
        <f>IF(J2565&lt;&gt;"OK","",IF(F2565="",N(INDEX(mat_loss,MATCH(B2565,mat_ref,0))),F2565))</f>
        <v/>
      </c>
      <c r="H2565" s="66" t="str">
        <f>IF(J2565&lt;&gt;"OK","",INDEX(mat_price,MATCH(B2565,mat_ref,0)))</f>
        <v/>
      </c>
      <c r="I2565" s="66" t="str">
        <f>IF(J2565&lt;&gt;"OK","",E2565*(1+G2565)*H2565)</f>
        <v/>
      </c>
      <c r="J2565" s="69" t="str">
        <f>IF(AND(A2565="",B2565=""),"",IF(A2565="","Produit manquant",IF(COUNTIF(prod_ref,A2565)=0,"Produit inconnu",IF(B2565="","Matière manquante",IF(ISNA(MATCH(B2565,mat_ref,0)),"Matière inconnue",IF(INDEX(mat_check,MATCH(B2565,mat_ref,0))&lt;&gt;"OK","Matière à corriger",IF(OR(NOT(ISNUMBER(E2565)),N(E2565)&lt;=0),"Quantité invalide",IF(AND(F2565&lt;&gt;"",OR(NOT(ISNUMBER(F2565)),N(F2565)&lt;0,N(F2565)&gt;=1)),"Perte entre 0 et 99 %",IF(COUNTIFS(bom_prod,A2565,bom_mat,B2565)&gt;1,"Matière en double","OK")))))))))</f>
        <v/>
      </c>
      <c r="K2565" s="71" t="str">
        <f>IF(AND(fiche_sel&lt;&gt;"",A2565=fiche_sel),COUNTIF(A$6:A2565,fiche_sel),"")</f>
        <v/>
      </c>
    </row>
    <row r="2566">
      <c r="A2566" s="60" t="n"/>
      <c r="B2566" s="60" t="n"/>
      <c r="C2566" s="71" t="str">
        <f>IF(B2566="","",IFERROR(INDEX(mat_des,MATCH(B2566,mat_ref,0))&amp;"","Matière inconnue"))</f>
        <v/>
      </c>
      <c r="D2566" s="69" t="str">
        <f>IF(B2566="","",IFERROR(INDEX(mat_unit,MATCH(B2566,mat_ref,0))&amp;"",""))</f>
        <v/>
      </c>
      <c r="E2566" s="72" t="n"/>
      <c r="F2566" s="65" t="n"/>
      <c r="G2566" s="68" t="str">
        <f>IF(J2566&lt;&gt;"OK","",IF(F2566="",N(INDEX(mat_loss,MATCH(B2566,mat_ref,0))),F2566))</f>
        <v/>
      </c>
      <c r="H2566" s="66" t="str">
        <f>IF(J2566&lt;&gt;"OK","",INDEX(mat_price,MATCH(B2566,mat_ref,0)))</f>
        <v/>
      </c>
      <c r="I2566" s="66" t="str">
        <f>IF(J2566&lt;&gt;"OK","",E2566*(1+G2566)*H2566)</f>
        <v/>
      </c>
      <c r="J2566" s="69" t="str">
        <f>IF(AND(A2566="",B2566=""),"",IF(A2566="","Produit manquant",IF(COUNTIF(prod_ref,A2566)=0,"Produit inconnu",IF(B2566="","Matière manquante",IF(ISNA(MATCH(B2566,mat_ref,0)),"Matière inconnue",IF(INDEX(mat_check,MATCH(B2566,mat_ref,0))&lt;&gt;"OK","Matière à corriger",IF(OR(NOT(ISNUMBER(E2566)),N(E2566)&lt;=0),"Quantité invalide",IF(AND(F2566&lt;&gt;"",OR(NOT(ISNUMBER(F2566)),N(F2566)&lt;0,N(F2566)&gt;=1)),"Perte entre 0 et 99 %",IF(COUNTIFS(bom_prod,A2566,bom_mat,B2566)&gt;1,"Matière en double","OK")))))))))</f>
        <v/>
      </c>
      <c r="K2566" s="71" t="str">
        <f>IF(AND(fiche_sel&lt;&gt;"",A2566=fiche_sel),COUNTIF(A$6:A2566,fiche_sel),"")</f>
        <v/>
      </c>
    </row>
    <row r="2567">
      <c r="A2567" s="60" t="n"/>
      <c r="B2567" s="60" t="n"/>
      <c r="C2567" s="71" t="str">
        <f>IF(B2567="","",IFERROR(INDEX(mat_des,MATCH(B2567,mat_ref,0))&amp;"","Matière inconnue"))</f>
        <v/>
      </c>
      <c r="D2567" s="69" t="str">
        <f>IF(B2567="","",IFERROR(INDEX(mat_unit,MATCH(B2567,mat_ref,0))&amp;"",""))</f>
        <v/>
      </c>
      <c r="E2567" s="72" t="n"/>
      <c r="F2567" s="65" t="n"/>
      <c r="G2567" s="68" t="str">
        <f>IF(J2567&lt;&gt;"OK","",IF(F2567="",N(INDEX(mat_loss,MATCH(B2567,mat_ref,0))),F2567))</f>
        <v/>
      </c>
      <c r="H2567" s="66" t="str">
        <f>IF(J2567&lt;&gt;"OK","",INDEX(mat_price,MATCH(B2567,mat_ref,0)))</f>
        <v/>
      </c>
      <c r="I2567" s="66" t="str">
        <f>IF(J2567&lt;&gt;"OK","",E2567*(1+G2567)*H2567)</f>
        <v/>
      </c>
      <c r="J2567" s="69" t="str">
        <f>IF(AND(A2567="",B2567=""),"",IF(A2567="","Produit manquant",IF(COUNTIF(prod_ref,A2567)=0,"Produit inconnu",IF(B2567="","Matière manquante",IF(ISNA(MATCH(B2567,mat_ref,0)),"Matière inconnue",IF(INDEX(mat_check,MATCH(B2567,mat_ref,0))&lt;&gt;"OK","Matière à corriger",IF(OR(NOT(ISNUMBER(E2567)),N(E2567)&lt;=0),"Quantité invalide",IF(AND(F2567&lt;&gt;"",OR(NOT(ISNUMBER(F2567)),N(F2567)&lt;0,N(F2567)&gt;=1)),"Perte entre 0 et 99 %",IF(COUNTIFS(bom_prod,A2567,bom_mat,B2567)&gt;1,"Matière en double","OK")))))))))</f>
        <v/>
      </c>
      <c r="K2567" s="71" t="str">
        <f>IF(AND(fiche_sel&lt;&gt;"",A2567=fiche_sel),COUNTIF(A$6:A2567,fiche_sel),"")</f>
        <v/>
      </c>
    </row>
    <row r="2568">
      <c r="A2568" s="60" t="n"/>
      <c r="B2568" s="60" t="n"/>
      <c r="C2568" s="71" t="str">
        <f>IF(B2568="","",IFERROR(INDEX(mat_des,MATCH(B2568,mat_ref,0))&amp;"","Matière inconnue"))</f>
        <v/>
      </c>
      <c r="D2568" s="69" t="str">
        <f>IF(B2568="","",IFERROR(INDEX(mat_unit,MATCH(B2568,mat_ref,0))&amp;"",""))</f>
        <v/>
      </c>
      <c r="E2568" s="72" t="n"/>
      <c r="F2568" s="65" t="n"/>
      <c r="G2568" s="68" t="str">
        <f>IF(J2568&lt;&gt;"OK","",IF(F2568="",N(INDEX(mat_loss,MATCH(B2568,mat_ref,0))),F2568))</f>
        <v/>
      </c>
      <c r="H2568" s="66" t="str">
        <f>IF(J2568&lt;&gt;"OK","",INDEX(mat_price,MATCH(B2568,mat_ref,0)))</f>
        <v/>
      </c>
      <c r="I2568" s="66" t="str">
        <f>IF(J2568&lt;&gt;"OK","",E2568*(1+G2568)*H2568)</f>
        <v/>
      </c>
      <c r="J2568" s="69" t="str">
        <f>IF(AND(A2568="",B2568=""),"",IF(A2568="","Produit manquant",IF(COUNTIF(prod_ref,A2568)=0,"Produit inconnu",IF(B2568="","Matière manquante",IF(ISNA(MATCH(B2568,mat_ref,0)),"Matière inconnue",IF(INDEX(mat_check,MATCH(B2568,mat_ref,0))&lt;&gt;"OK","Matière à corriger",IF(OR(NOT(ISNUMBER(E2568)),N(E2568)&lt;=0),"Quantité invalide",IF(AND(F2568&lt;&gt;"",OR(NOT(ISNUMBER(F2568)),N(F2568)&lt;0,N(F2568)&gt;=1)),"Perte entre 0 et 99 %",IF(COUNTIFS(bom_prod,A2568,bom_mat,B2568)&gt;1,"Matière en double","OK")))))))))</f>
        <v/>
      </c>
      <c r="K2568" s="71" t="str">
        <f>IF(AND(fiche_sel&lt;&gt;"",A2568=fiche_sel),COUNTIF(A$6:A2568,fiche_sel),"")</f>
        <v/>
      </c>
    </row>
    <row r="2569">
      <c r="A2569" s="60" t="n"/>
      <c r="B2569" s="60" t="n"/>
      <c r="C2569" s="71" t="str">
        <f>IF(B2569="","",IFERROR(INDEX(mat_des,MATCH(B2569,mat_ref,0))&amp;"","Matière inconnue"))</f>
        <v/>
      </c>
      <c r="D2569" s="69" t="str">
        <f>IF(B2569="","",IFERROR(INDEX(mat_unit,MATCH(B2569,mat_ref,0))&amp;"",""))</f>
        <v/>
      </c>
      <c r="E2569" s="72" t="n"/>
      <c r="F2569" s="65" t="n"/>
      <c r="G2569" s="68" t="str">
        <f>IF(J2569&lt;&gt;"OK","",IF(F2569="",N(INDEX(mat_loss,MATCH(B2569,mat_ref,0))),F2569))</f>
        <v/>
      </c>
      <c r="H2569" s="66" t="str">
        <f>IF(J2569&lt;&gt;"OK","",INDEX(mat_price,MATCH(B2569,mat_ref,0)))</f>
        <v/>
      </c>
      <c r="I2569" s="66" t="str">
        <f>IF(J2569&lt;&gt;"OK","",E2569*(1+G2569)*H2569)</f>
        <v/>
      </c>
      <c r="J2569" s="69" t="str">
        <f>IF(AND(A2569="",B2569=""),"",IF(A2569="","Produit manquant",IF(COUNTIF(prod_ref,A2569)=0,"Produit inconnu",IF(B2569="","Matière manquante",IF(ISNA(MATCH(B2569,mat_ref,0)),"Matière inconnue",IF(INDEX(mat_check,MATCH(B2569,mat_ref,0))&lt;&gt;"OK","Matière à corriger",IF(OR(NOT(ISNUMBER(E2569)),N(E2569)&lt;=0),"Quantité invalide",IF(AND(F2569&lt;&gt;"",OR(NOT(ISNUMBER(F2569)),N(F2569)&lt;0,N(F2569)&gt;=1)),"Perte entre 0 et 99 %",IF(COUNTIFS(bom_prod,A2569,bom_mat,B2569)&gt;1,"Matière en double","OK")))))))))</f>
        <v/>
      </c>
      <c r="K2569" s="71" t="str">
        <f>IF(AND(fiche_sel&lt;&gt;"",A2569=fiche_sel),COUNTIF(A$6:A2569,fiche_sel),"")</f>
        <v/>
      </c>
    </row>
    <row r="2570">
      <c r="A2570" s="60" t="n"/>
      <c r="B2570" s="60" t="n"/>
      <c r="C2570" s="71" t="str">
        <f>IF(B2570="","",IFERROR(INDEX(mat_des,MATCH(B2570,mat_ref,0))&amp;"","Matière inconnue"))</f>
        <v/>
      </c>
      <c r="D2570" s="69" t="str">
        <f>IF(B2570="","",IFERROR(INDEX(mat_unit,MATCH(B2570,mat_ref,0))&amp;"",""))</f>
        <v/>
      </c>
      <c r="E2570" s="72" t="n"/>
      <c r="F2570" s="65" t="n"/>
      <c r="G2570" s="68" t="str">
        <f>IF(J2570&lt;&gt;"OK","",IF(F2570="",N(INDEX(mat_loss,MATCH(B2570,mat_ref,0))),F2570))</f>
        <v/>
      </c>
      <c r="H2570" s="66" t="str">
        <f>IF(J2570&lt;&gt;"OK","",INDEX(mat_price,MATCH(B2570,mat_ref,0)))</f>
        <v/>
      </c>
      <c r="I2570" s="66" t="str">
        <f>IF(J2570&lt;&gt;"OK","",E2570*(1+G2570)*H2570)</f>
        <v/>
      </c>
      <c r="J2570" s="69" t="str">
        <f>IF(AND(A2570="",B2570=""),"",IF(A2570="","Produit manquant",IF(COUNTIF(prod_ref,A2570)=0,"Produit inconnu",IF(B2570="","Matière manquante",IF(ISNA(MATCH(B2570,mat_ref,0)),"Matière inconnue",IF(INDEX(mat_check,MATCH(B2570,mat_ref,0))&lt;&gt;"OK","Matière à corriger",IF(OR(NOT(ISNUMBER(E2570)),N(E2570)&lt;=0),"Quantité invalide",IF(AND(F2570&lt;&gt;"",OR(NOT(ISNUMBER(F2570)),N(F2570)&lt;0,N(F2570)&gt;=1)),"Perte entre 0 et 99 %",IF(COUNTIFS(bom_prod,A2570,bom_mat,B2570)&gt;1,"Matière en double","OK")))))))))</f>
        <v/>
      </c>
      <c r="K2570" s="71" t="str">
        <f>IF(AND(fiche_sel&lt;&gt;"",A2570=fiche_sel),COUNTIF(A$6:A2570,fiche_sel),"")</f>
        <v/>
      </c>
    </row>
    <row r="2571">
      <c r="A2571" s="60" t="n"/>
      <c r="B2571" s="60" t="n"/>
      <c r="C2571" s="71" t="str">
        <f>IF(B2571="","",IFERROR(INDEX(mat_des,MATCH(B2571,mat_ref,0))&amp;"","Matière inconnue"))</f>
        <v/>
      </c>
      <c r="D2571" s="69" t="str">
        <f>IF(B2571="","",IFERROR(INDEX(mat_unit,MATCH(B2571,mat_ref,0))&amp;"",""))</f>
        <v/>
      </c>
      <c r="E2571" s="72" t="n"/>
      <c r="F2571" s="65" t="n"/>
      <c r="G2571" s="68" t="str">
        <f>IF(J2571&lt;&gt;"OK","",IF(F2571="",N(INDEX(mat_loss,MATCH(B2571,mat_ref,0))),F2571))</f>
        <v/>
      </c>
      <c r="H2571" s="66" t="str">
        <f>IF(J2571&lt;&gt;"OK","",INDEX(mat_price,MATCH(B2571,mat_ref,0)))</f>
        <v/>
      </c>
      <c r="I2571" s="66" t="str">
        <f>IF(J2571&lt;&gt;"OK","",E2571*(1+G2571)*H2571)</f>
        <v/>
      </c>
      <c r="J2571" s="69" t="str">
        <f>IF(AND(A2571="",B2571=""),"",IF(A2571="","Produit manquant",IF(COUNTIF(prod_ref,A2571)=0,"Produit inconnu",IF(B2571="","Matière manquante",IF(ISNA(MATCH(B2571,mat_ref,0)),"Matière inconnue",IF(INDEX(mat_check,MATCH(B2571,mat_ref,0))&lt;&gt;"OK","Matière à corriger",IF(OR(NOT(ISNUMBER(E2571)),N(E2571)&lt;=0),"Quantité invalide",IF(AND(F2571&lt;&gt;"",OR(NOT(ISNUMBER(F2571)),N(F2571)&lt;0,N(F2571)&gt;=1)),"Perte entre 0 et 99 %",IF(COUNTIFS(bom_prod,A2571,bom_mat,B2571)&gt;1,"Matière en double","OK")))))))))</f>
        <v/>
      </c>
      <c r="K2571" s="71" t="str">
        <f>IF(AND(fiche_sel&lt;&gt;"",A2571=fiche_sel),COUNTIF(A$6:A2571,fiche_sel),"")</f>
        <v/>
      </c>
    </row>
    <row r="2572">
      <c r="A2572" s="60" t="n"/>
      <c r="B2572" s="60" t="n"/>
      <c r="C2572" s="71" t="str">
        <f>IF(B2572="","",IFERROR(INDEX(mat_des,MATCH(B2572,mat_ref,0))&amp;"","Matière inconnue"))</f>
        <v/>
      </c>
      <c r="D2572" s="69" t="str">
        <f>IF(B2572="","",IFERROR(INDEX(mat_unit,MATCH(B2572,mat_ref,0))&amp;"",""))</f>
        <v/>
      </c>
      <c r="E2572" s="72" t="n"/>
      <c r="F2572" s="65" t="n"/>
      <c r="G2572" s="68" t="str">
        <f>IF(J2572&lt;&gt;"OK","",IF(F2572="",N(INDEX(mat_loss,MATCH(B2572,mat_ref,0))),F2572))</f>
        <v/>
      </c>
      <c r="H2572" s="66" t="str">
        <f>IF(J2572&lt;&gt;"OK","",INDEX(mat_price,MATCH(B2572,mat_ref,0)))</f>
        <v/>
      </c>
      <c r="I2572" s="66" t="str">
        <f>IF(J2572&lt;&gt;"OK","",E2572*(1+G2572)*H2572)</f>
        <v/>
      </c>
      <c r="J2572" s="69" t="str">
        <f>IF(AND(A2572="",B2572=""),"",IF(A2572="","Produit manquant",IF(COUNTIF(prod_ref,A2572)=0,"Produit inconnu",IF(B2572="","Matière manquante",IF(ISNA(MATCH(B2572,mat_ref,0)),"Matière inconnue",IF(INDEX(mat_check,MATCH(B2572,mat_ref,0))&lt;&gt;"OK","Matière à corriger",IF(OR(NOT(ISNUMBER(E2572)),N(E2572)&lt;=0),"Quantité invalide",IF(AND(F2572&lt;&gt;"",OR(NOT(ISNUMBER(F2572)),N(F2572)&lt;0,N(F2572)&gt;=1)),"Perte entre 0 et 99 %",IF(COUNTIFS(bom_prod,A2572,bom_mat,B2572)&gt;1,"Matière en double","OK")))))))))</f>
        <v/>
      </c>
      <c r="K2572" s="71" t="str">
        <f>IF(AND(fiche_sel&lt;&gt;"",A2572=fiche_sel),COUNTIF(A$6:A2572,fiche_sel),"")</f>
        <v/>
      </c>
    </row>
    <row r="2573">
      <c r="A2573" s="60" t="n"/>
      <c r="B2573" s="60" t="n"/>
      <c r="C2573" s="71" t="str">
        <f>IF(B2573="","",IFERROR(INDEX(mat_des,MATCH(B2573,mat_ref,0))&amp;"","Matière inconnue"))</f>
        <v/>
      </c>
      <c r="D2573" s="69" t="str">
        <f>IF(B2573="","",IFERROR(INDEX(mat_unit,MATCH(B2573,mat_ref,0))&amp;"",""))</f>
        <v/>
      </c>
      <c r="E2573" s="72" t="n"/>
      <c r="F2573" s="65" t="n"/>
      <c r="G2573" s="68" t="str">
        <f>IF(J2573&lt;&gt;"OK","",IF(F2573="",N(INDEX(mat_loss,MATCH(B2573,mat_ref,0))),F2573))</f>
        <v/>
      </c>
      <c r="H2573" s="66" t="str">
        <f>IF(J2573&lt;&gt;"OK","",INDEX(mat_price,MATCH(B2573,mat_ref,0)))</f>
        <v/>
      </c>
      <c r="I2573" s="66" t="str">
        <f>IF(J2573&lt;&gt;"OK","",E2573*(1+G2573)*H2573)</f>
        <v/>
      </c>
      <c r="J2573" s="69" t="str">
        <f>IF(AND(A2573="",B2573=""),"",IF(A2573="","Produit manquant",IF(COUNTIF(prod_ref,A2573)=0,"Produit inconnu",IF(B2573="","Matière manquante",IF(ISNA(MATCH(B2573,mat_ref,0)),"Matière inconnue",IF(INDEX(mat_check,MATCH(B2573,mat_ref,0))&lt;&gt;"OK","Matière à corriger",IF(OR(NOT(ISNUMBER(E2573)),N(E2573)&lt;=0),"Quantité invalide",IF(AND(F2573&lt;&gt;"",OR(NOT(ISNUMBER(F2573)),N(F2573)&lt;0,N(F2573)&gt;=1)),"Perte entre 0 et 99 %",IF(COUNTIFS(bom_prod,A2573,bom_mat,B2573)&gt;1,"Matière en double","OK")))))))))</f>
        <v/>
      </c>
      <c r="K2573" s="71" t="str">
        <f>IF(AND(fiche_sel&lt;&gt;"",A2573=fiche_sel),COUNTIF(A$6:A2573,fiche_sel),"")</f>
        <v/>
      </c>
    </row>
    <row r="2574">
      <c r="A2574" s="60" t="n"/>
      <c r="B2574" s="60" t="n"/>
      <c r="C2574" s="71" t="str">
        <f>IF(B2574="","",IFERROR(INDEX(mat_des,MATCH(B2574,mat_ref,0))&amp;"","Matière inconnue"))</f>
        <v/>
      </c>
      <c r="D2574" s="69" t="str">
        <f>IF(B2574="","",IFERROR(INDEX(mat_unit,MATCH(B2574,mat_ref,0))&amp;"",""))</f>
        <v/>
      </c>
      <c r="E2574" s="72" t="n"/>
      <c r="F2574" s="65" t="n"/>
      <c r="G2574" s="68" t="str">
        <f>IF(J2574&lt;&gt;"OK","",IF(F2574="",N(INDEX(mat_loss,MATCH(B2574,mat_ref,0))),F2574))</f>
        <v/>
      </c>
      <c r="H2574" s="66" t="str">
        <f>IF(J2574&lt;&gt;"OK","",INDEX(mat_price,MATCH(B2574,mat_ref,0)))</f>
        <v/>
      </c>
      <c r="I2574" s="66" t="str">
        <f>IF(J2574&lt;&gt;"OK","",E2574*(1+G2574)*H2574)</f>
        <v/>
      </c>
      <c r="J2574" s="69" t="str">
        <f>IF(AND(A2574="",B2574=""),"",IF(A2574="","Produit manquant",IF(COUNTIF(prod_ref,A2574)=0,"Produit inconnu",IF(B2574="","Matière manquante",IF(ISNA(MATCH(B2574,mat_ref,0)),"Matière inconnue",IF(INDEX(mat_check,MATCH(B2574,mat_ref,0))&lt;&gt;"OK","Matière à corriger",IF(OR(NOT(ISNUMBER(E2574)),N(E2574)&lt;=0),"Quantité invalide",IF(AND(F2574&lt;&gt;"",OR(NOT(ISNUMBER(F2574)),N(F2574)&lt;0,N(F2574)&gt;=1)),"Perte entre 0 et 99 %",IF(COUNTIFS(bom_prod,A2574,bom_mat,B2574)&gt;1,"Matière en double","OK")))))))))</f>
        <v/>
      </c>
      <c r="K2574" s="71" t="str">
        <f>IF(AND(fiche_sel&lt;&gt;"",A2574=fiche_sel),COUNTIF(A$6:A2574,fiche_sel),"")</f>
        <v/>
      </c>
    </row>
    <row r="2575">
      <c r="A2575" s="60" t="n"/>
      <c r="B2575" s="60" t="n"/>
      <c r="C2575" s="71" t="str">
        <f>IF(B2575="","",IFERROR(INDEX(mat_des,MATCH(B2575,mat_ref,0))&amp;"","Matière inconnue"))</f>
        <v/>
      </c>
      <c r="D2575" s="69" t="str">
        <f>IF(B2575="","",IFERROR(INDEX(mat_unit,MATCH(B2575,mat_ref,0))&amp;"",""))</f>
        <v/>
      </c>
      <c r="E2575" s="72" t="n"/>
      <c r="F2575" s="65" t="n"/>
      <c r="G2575" s="68" t="str">
        <f>IF(J2575&lt;&gt;"OK","",IF(F2575="",N(INDEX(mat_loss,MATCH(B2575,mat_ref,0))),F2575))</f>
        <v/>
      </c>
      <c r="H2575" s="66" t="str">
        <f>IF(J2575&lt;&gt;"OK","",INDEX(mat_price,MATCH(B2575,mat_ref,0)))</f>
        <v/>
      </c>
      <c r="I2575" s="66" t="str">
        <f>IF(J2575&lt;&gt;"OK","",E2575*(1+G2575)*H2575)</f>
        <v/>
      </c>
      <c r="J2575" s="69" t="str">
        <f>IF(AND(A2575="",B2575=""),"",IF(A2575="","Produit manquant",IF(COUNTIF(prod_ref,A2575)=0,"Produit inconnu",IF(B2575="","Matière manquante",IF(ISNA(MATCH(B2575,mat_ref,0)),"Matière inconnue",IF(INDEX(mat_check,MATCH(B2575,mat_ref,0))&lt;&gt;"OK","Matière à corriger",IF(OR(NOT(ISNUMBER(E2575)),N(E2575)&lt;=0),"Quantité invalide",IF(AND(F2575&lt;&gt;"",OR(NOT(ISNUMBER(F2575)),N(F2575)&lt;0,N(F2575)&gt;=1)),"Perte entre 0 et 99 %",IF(COUNTIFS(bom_prod,A2575,bom_mat,B2575)&gt;1,"Matière en double","OK")))))))))</f>
        <v/>
      </c>
      <c r="K2575" s="71" t="str">
        <f>IF(AND(fiche_sel&lt;&gt;"",A2575=fiche_sel),COUNTIF(A$6:A2575,fiche_sel),"")</f>
        <v/>
      </c>
    </row>
    <row r="2576">
      <c r="A2576" s="60" t="n"/>
      <c r="B2576" s="60" t="n"/>
      <c r="C2576" s="71" t="str">
        <f>IF(B2576="","",IFERROR(INDEX(mat_des,MATCH(B2576,mat_ref,0))&amp;"","Matière inconnue"))</f>
        <v/>
      </c>
      <c r="D2576" s="69" t="str">
        <f>IF(B2576="","",IFERROR(INDEX(mat_unit,MATCH(B2576,mat_ref,0))&amp;"",""))</f>
        <v/>
      </c>
      <c r="E2576" s="72" t="n"/>
      <c r="F2576" s="65" t="n"/>
      <c r="G2576" s="68" t="str">
        <f>IF(J2576&lt;&gt;"OK","",IF(F2576="",N(INDEX(mat_loss,MATCH(B2576,mat_ref,0))),F2576))</f>
        <v/>
      </c>
      <c r="H2576" s="66" t="str">
        <f>IF(J2576&lt;&gt;"OK","",INDEX(mat_price,MATCH(B2576,mat_ref,0)))</f>
        <v/>
      </c>
      <c r="I2576" s="66" t="str">
        <f>IF(J2576&lt;&gt;"OK","",E2576*(1+G2576)*H2576)</f>
        <v/>
      </c>
      <c r="J2576" s="69" t="str">
        <f>IF(AND(A2576="",B2576=""),"",IF(A2576="","Produit manquant",IF(COUNTIF(prod_ref,A2576)=0,"Produit inconnu",IF(B2576="","Matière manquante",IF(ISNA(MATCH(B2576,mat_ref,0)),"Matière inconnue",IF(INDEX(mat_check,MATCH(B2576,mat_ref,0))&lt;&gt;"OK","Matière à corriger",IF(OR(NOT(ISNUMBER(E2576)),N(E2576)&lt;=0),"Quantité invalide",IF(AND(F2576&lt;&gt;"",OR(NOT(ISNUMBER(F2576)),N(F2576)&lt;0,N(F2576)&gt;=1)),"Perte entre 0 et 99 %",IF(COUNTIFS(bom_prod,A2576,bom_mat,B2576)&gt;1,"Matière en double","OK")))))))))</f>
        <v/>
      </c>
      <c r="K2576" s="71" t="str">
        <f>IF(AND(fiche_sel&lt;&gt;"",A2576=fiche_sel),COUNTIF(A$6:A2576,fiche_sel),"")</f>
        <v/>
      </c>
    </row>
    <row r="2577">
      <c r="A2577" s="60" t="n"/>
      <c r="B2577" s="60" t="n"/>
      <c r="C2577" s="71" t="str">
        <f>IF(B2577="","",IFERROR(INDEX(mat_des,MATCH(B2577,mat_ref,0))&amp;"","Matière inconnue"))</f>
        <v/>
      </c>
      <c r="D2577" s="69" t="str">
        <f>IF(B2577="","",IFERROR(INDEX(mat_unit,MATCH(B2577,mat_ref,0))&amp;"",""))</f>
        <v/>
      </c>
      <c r="E2577" s="72" t="n"/>
      <c r="F2577" s="65" t="n"/>
      <c r="G2577" s="68" t="str">
        <f>IF(J2577&lt;&gt;"OK","",IF(F2577="",N(INDEX(mat_loss,MATCH(B2577,mat_ref,0))),F2577))</f>
        <v/>
      </c>
      <c r="H2577" s="66" t="str">
        <f>IF(J2577&lt;&gt;"OK","",INDEX(mat_price,MATCH(B2577,mat_ref,0)))</f>
        <v/>
      </c>
      <c r="I2577" s="66" t="str">
        <f>IF(J2577&lt;&gt;"OK","",E2577*(1+G2577)*H2577)</f>
        <v/>
      </c>
      <c r="J2577" s="69" t="str">
        <f>IF(AND(A2577="",B2577=""),"",IF(A2577="","Produit manquant",IF(COUNTIF(prod_ref,A2577)=0,"Produit inconnu",IF(B2577="","Matière manquante",IF(ISNA(MATCH(B2577,mat_ref,0)),"Matière inconnue",IF(INDEX(mat_check,MATCH(B2577,mat_ref,0))&lt;&gt;"OK","Matière à corriger",IF(OR(NOT(ISNUMBER(E2577)),N(E2577)&lt;=0),"Quantité invalide",IF(AND(F2577&lt;&gt;"",OR(NOT(ISNUMBER(F2577)),N(F2577)&lt;0,N(F2577)&gt;=1)),"Perte entre 0 et 99 %",IF(COUNTIFS(bom_prod,A2577,bom_mat,B2577)&gt;1,"Matière en double","OK")))))))))</f>
        <v/>
      </c>
      <c r="K2577" s="71" t="str">
        <f>IF(AND(fiche_sel&lt;&gt;"",A2577=fiche_sel),COUNTIF(A$6:A2577,fiche_sel),"")</f>
        <v/>
      </c>
    </row>
    <row r="2578">
      <c r="A2578" s="60" t="n"/>
      <c r="B2578" s="60" t="n"/>
      <c r="C2578" s="71" t="str">
        <f>IF(B2578="","",IFERROR(INDEX(mat_des,MATCH(B2578,mat_ref,0))&amp;"","Matière inconnue"))</f>
        <v/>
      </c>
      <c r="D2578" s="69" t="str">
        <f>IF(B2578="","",IFERROR(INDEX(mat_unit,MATCH(B2578,mat_ref,0))&amp;"",""))</f>
        <v/>
      </c>
      <c r="E2578" s="72" t="n"/>
      <c r="F2578" s="65" t="n"/>
      <c r="G2578" s="68" t="str">
        <f>IF(J2578&lt;&gt;"OK","",IF(F2578="",N(INDEX(mat_loss,MATCH(B2578,mat_ref,0))),F2578))</f>
        <v/>
      </c>
      <c r="H2578" s="66" t="str">
        <f>IF(J2578&lt;&gt;"OK","",INDEX(mat_price,MATCH(B2578,mat_ref,0)))</f>
        <v/>
      </c>
      <c r="I2578" s="66" t="str">
        <f>IF(J2578&lt;&gt;"OK","",E2578*(1+G2578)*H2578)</f>
        <v/>
      </c>
      <c r="J2578" s="69" t="str">
        <f>IF(AND(A2578="",B2578=""),"",IF(A2578="","Produit manquant",IF(COUNTIF(prod_ref,A2578)=0,"Produit inconnu",IF(B2578="","Matière manquante",IF(ISNA(MATCH(B2578,mat_ref,0)),"Matière inconnue",IF(INDEX(mat_check,MATCH(B2578,mat_ref,0))&lt;&gt;"OK","Matière à corriger",IF(OR(NOT(ISNUMBER(E2578)),N(E2578)&lt;=0),"Quantité invalide",IF(AND(F2578&lt;&gt;"",OR(NOT(ISNUMBER(F2578)),N(F2578)&lt;0,N(F2578)&gt;=1)),"Perte entre 0 et 99 %",IF(COUNTIFS(bom_prod,A2578,bom_mat,B2578)&gt;1,"Matière en double","OK")))))))))</f>
        <v/>
      </c>
      <c r="K2578" s="71" t="str">
        <f>IF(AND(fiche_sel&lt;&gt;"",A2578=fiche_sel),COUNTIF(A$6:A2578,fiche_sel),"")</f>
        <v/>
      </c>
    </row>
    <row r="2579">
      <c r="A2579" s="60" t="n"/>
      <c r="B2579" s="60" t="n"/>
      <c r="C2579" s="71" t="str">
        <f>IF(B2579="","",IFERROR(INDEX(mat_des,MATCH(B2579,mat_ref,0))&amp;"","Matière inconnue"))</f>
        <v/>
      </c>
      <c r="D2579" s="69" t="str">
        <f>IF(B2579="","",IFERROR(INDEX(mat_unit,MATCH(B2579,mat_ref,0))&amp;"",""))</f>
        <v/>
      </c>
      <c r="E2579" s="72" t="n"/>
      <c r="F2579" s="65" t="n"/>
      <c r="G2579" s="68" t="str">
        <f>IF(J2579&lt;&gt;"OK","",IF(F2579="",N(INDEX(mat_loss,MATCH(B2579,mat_ref,0))),F2579))</f>
        <v/>
      </c>
      <c r="H2579" s="66" t="str">
        <f>IF(J2579&lt;&gt;"OK","",INDEX(mat_price,MATCH(B2579,mat_ref,0)))</f>
        <v/>
      </c>
      <c r="I2579" s="66" t="str">
        <f>IF(J2579&lt;&gt;"OK","",E2579*(1+G2579)*H2579)</f>
        <v/>
      </c>
      <c r="J2579" s="69" t="str">
        <f>IF(AND(A2579="",B2579=""),"",IF(A2579="","Produit manquant",IF(COUNTIF(prod_ref,A2579)=0,"Produit inconnu",IF(B2579="","Matière manquante",IF(ISNA(MATCH(B2579,mat_ref,0)),"Matière inconnue",IF(INDEX(mat_check,MATCH(B2579,mat_ref,0))&lt;&gt;"OK","Matière à corriger",IF(OR(NOT(ISNUMBER(E2579)),N(E2579)&lt;=0),"Quantité invalide",IF(AND(F2579&lt;&gt;"",OR(NOT(ISNUMBER(F2579)),N(F2579)&lt;0,N(F2579)&gt;=1)),"Perte entre 0 et 99 %",IF(COUNTIFS(bom_prod,A2579,bom_mat,B2579)&gt;1,"Matière en double","OK")))))))))</f>
        <v/>
      </c>
      <c r="K2579" s="71" t="str">
        <f>IF(AND(fiche_sel&lt;&gt;"",A2579=fiche_sel),COUNTIF(A$6:A2579,fiche_sel),"")</f>
        <v/>
      </c>
    </row>
    <row r="2580">
      <c r="A2580" s="60" t="n"/>
      <c r="B2580" s="60" t="n"/>
      <c r="C2580" s="71" t="str">
        <f>IF(B2580="","",IFERROR(INDEX(mat_des,MATCH(B2580,mat_ref,0))&amp;"","Matière inconnue"))</f>
        <v/>
      </c>
      <c r="D2580" s="69" t="str">
        <f>IF(B2580="","",IFERROR(INDEX(mat_unit,MATCH(B2580,mat_ref,0))&amp;"",""))</f>
        <v/>
      </c>
      <c r="E2580" s="72" t="n"/>
      <c r="F2580" s="65" t="n"/>
      <c r="G2580" s="68" t="str">
        <f>IF(J2580&lt;&gt;"OK","",IF(F2580="",N(INDEX(mat_loss,MATCH(B2580,mat_ref,0))),F2580))</f>
        <v/>
      </c>
      <c r="H2580" s="66" t="str">
        <f>IF(J2580&lt;&gt;"OK","",INDEX(mat_price,MATCH(B2580,mat_ref,0)))</f>
        <v/>
      </c>
      <c r="I2580" s="66" t="str">
        <f>IF(J2580&lt;&gt;"OK","",E2580*(1+G2580)*H2580)</f>
        <v/>
      </c>
      <c r="J2580" s="69" t="str">
        <f>IF(AND(A2580="",B2580=""),"",IF(A2580="","Produit manquant",IF(COUNTIF(prod_ref,A2580)=0,"Produit inconnu",IF(B2580="","Matière manquante",IF(ISNA(MATCH(B2580,mat_ref,0)),"Matière inconnue",IF(INDEX(mat_check,MATCH(B2580,mat_ref,0))&lt;&gt;"OK","Matière à corriger",IF(OR(NOT(ISNUMBER(E2580)),N(E2580)&lt;=0),"Quantité invalide",IF(AND(F2580&lt;&gt;"",OR(NOT(ISNUMBER(F2580)),N(F2580)&lt;0,N(F2580)&gt;=1)),"Perte entre 0 et 99 %",IF(COUNTIFS(bom_prod,A2580,bom_mat,B2580)&gt;1,"Matière en double","OK")))))))))</f>
        <v/>
      </c>
      <c r="K2580" s="71" t="str">
        <f>IF(AND(fiche_sel&lt;&gt;"",A2580=fiche_sel),COUNTIF(A$6:A2580,fiche_sel),"")</f>
        <v/>
      </c>
    </row>
    <row r="2581">
      <c r="A2581" s="60" t="n"/>
      <c r="B2581" s="60" t="n"/>
      <c r="C2581" s="71" t="str">
        <f>IF(B2581="","",IFERROR(INDEX(mat_des,MATCH(B2581,mat_ref,0))&amp;"","Matière inconnue"))</f>
        <v/>
      </c>
      <c r="D2581" s="69" t="str">
        <f>IF(B2581="","",IFERROR(INDEX(mat_unit,MATCH(B2581,mat_ref,0))&amp;"",""))</f>
        <v/>
      </c>
      <c r="E2581" s="72" t="n"/>
      <c r="F2581" s="65" t="n"/>
      <c r="G2581" s="68" t="str">
        <f>IF(J2581&lt;&gt;"OK","",IF(F2581="",N(INDEX(mat_loss,MATCH(B2581,mat_ref,0))),F2581))</f>
        <v/>
      </c>
      <c r="H2581" s="66" t="str">
        <f>IF(J2581&lt;&gt;"OK","",INDEX(mat_price,MATCH(B2581,mat_ref,0)))</f>
        <v/>
      </c>
      <c r="I2581" s="66" t="str">
        <f>IF(J2581&lt;&gt;"OK","",E2581*(1+G2581)*H2581)</f>
        <v/>
      </c>
      <c r="J2581" s="69" t="str">
        <f>IF(AND(A2581="",B2581=""),"",IF(A2581="","Produit manquant",IF(COUNTIF(prod_ref,A2581)=0,"Produit inconnu",IF(B2581="","Matière manquante",IF(ISNA(MATCH(B2581,mat_ref,0)),"Matière inconnue",IF(INDEX(mat_check,MATCH(B2581,mat_ref,0))&lt;&gt;"OK","Matière à corriger",IF(OR(NOT(ISNUMBER(E2581)),N(E2581)&lt;=0),"Quantité invalide",IF(AND(F2581&lt;&gt;"",OR(NOT(ISNUMBER(F2581)),N(F2581)&lt;0,N(F2581)&gt;=1)),"Perte entre 0 et 99 %",IF(COUNTIFS(bom_prod,A2581,bom_mat,B2581)&gt;1,"Matière en double","OK")))))))))</f>
        <v/>
      </c>
      <c r="K2581" s="71" t="str">
        <f>IF(AND(fiche_sel&lt;&gt;"",A2581=fiche_sel),COUNTIF(A$6:A2581,fiche_sel),"")</f>
        <v/>
      </c>
    </row>
    <row r="2582">
      <c r="A2582" s="60" t="n"/>
      <c r="B2582" s="60" t="n"/>
      <c r="C2582" s="71" t="str">
        <f>IF(B2582="","",IFERROR(INDEX(mat_des,MATCH(B2582,mat_ref,0))&amp;"","Matière inconnue"))</f>
        <v/>
      </c>
      <c r="D2582" s="69" t="str">
        <f>IF(B2582="","",IFERROR(INDEX(mat_unit,MATCH(B2582,mat_ref,0))&amp;"",""))</f>
        <v/>
      </c>
      <c r="E2582" s="72" t="n"/>
      <c r="F2582" s="65" t="n"/>
      <c r="G2582" s="68" t="str">
        <f>IF(J2582&lt;&gt;"OK","",IF(F2582="",N(INDEX(mat_loss,MATCH(B2582,mat_ref,0))),F2582))</f>
        <v/>
      </c>
      <c r="H2582" s="66" t="str">
        <f>IF(J2582&lt;&gt;"OK","",INDEX(mat_price,MATCH(B2582,mat_ref,0)))</f>
        <v/>
      </c>
      <c r="I2582" s="66" t="str">
        <f>IF(J2582&lt;&gt;"OK","",E2582*(1+G2582)*H2582)</f>
        <v/>
      </c>
      <c r="J2582" s="69" t="str">
        <f>IF(AND(A2582="",B2582=""),"",IF(A2582="","Produit manquant",IF(COUNTIF(prod_ref,A2582)=0,"Produit inconnu",IF(B2582="","Matière manquante",IF(ISNA(MATCH(B2582,mat_ref,0)),"Matière inconnue",IF(INDEX(mat_check,MATCH(B2582,mat_ref,0))&lt;&gt;"OK","Matière à corriger",IF(OR(NOT(ISNUMBER(E2582)),N(E2582)&lt;=0),"Quantité invalide",IF(AND(F2582&lt;&gt;"",OR(NOT(ISNUMBER(F2582)),N(F2582)&lt;0,N(F2582)&gt;=1)),"Perte entre 0 et 99 %",IF(COUNTIFS(bom_prod,A2582,bom_mat,B2582)&gt;1,"Matière en double","OK")))))))))</f>
        <v/>
      </c>
      <c r="K2582" s="71" t="str">
        <f>IF(AND(fiche_sel&lt;&gt;"",A2582=fiche_sel),COUNTIF(A$6:A2582,fiche_sel),"")</f>
        <v/>
      </c>
    </row>
    <row r="2583">
      <c r="A2583" s="60" t="n"/>
      <c r="B2583" s="60" t="n"/>
      <c r="C2583" s="71" t="str">
        <f>IF(B2583="","",IFERROR(INDEX(mat_des,MATCH(B2583,mat_ref,0))&amp;"","Matière inconnue"))</f>
        <v/>
      </c>
      <c r="D2583" s="69" t="str">
        <f>IF(B2583="","",IFERROR(INDEX(mat_unit,MATCH(B2583,mat_ref,0))&amp;"",""))</f>
        <v/>
      </c>
      <c r="E2583" s="72" t="n"/>
      <c r="F2583" s="65" t="n"/>
      <c r="G2583" s="68" t="str">
        <f>IF(J2583&lt;&gt;"OK","",IF(F2583="",N(INDEX(mat_loss,MATCH(B2583,mat_ref,0))),F2583))</f>
        <v/>
      </c>
      <c r="H2583" s="66" t="str">
        <f>IF(J2583&lt;&gt;"OK","",INDEX(mat_price,MATCH(B2583,mat_ref,0)))</f>
        <v/>
      </c>
      <c r="I2583" s="66" t="str">
        <f>IF(J2583&lt;&gt;"OK","",E2583*(1+G2583)*H2583)</f>
        <v/>
      </c>
      <c r="J2583" s="69" t="str">
        <f>IF(AND(A2583="",B2583=""),"",IF(A2583="","Produit manquant",IF(COUNTIF(prod_ref,A2583)=0,"Produit inconnu",IF(B2583="","Matière manquante",IF(ISNA(MATCH(B2583,mat_ref,0)),"Matière inconnue",IF(INDEX(mat_check,MATCH(B2583,mat_ref,0))&lt;&gt;"OK","Matière à corriger",IF(OR(NOT(ISNUMBER(E2583)),N(E2583)&lt;=0),"Quantité invalide",IF(AND(F2583&lt;&gt;"",OR(NOT(ISNUMBER(F2583)),N(F2583)&lt;0,N(F2583)&gt;=1)),"Perte entre 0 et 99 %",IF(COUNTIFS(bom_prod,A2583,bom_mat,B2583)&gt;1,"Matière en double","OK")))))))))</f>
        <v/>
      </c>
      <c r="K2583" s="71" t="str">
        <f>IF(AND(fiche_sel&lt;&gt;"",A2583=fiche_sel),COUNTIF(A$6:A2583,fiche_sel),"")</f>
        <v/>
      </c>
    </row>
    <row r="2584">
      <c r="A2584" s="60" t="n"/>
      <c r="B2584" s="60" t="n"/>
      <c r="C2584" s="71" t="str">
        <f>IF(B2584="","",IFERROR(INDEX(mat_des,MATCH(B2584,mat_ref,0))&amp;"","Matière inconnue"))</f>
        <v/>
      </c>
      <c r="D2584" s="69" t="str">
        <f>IF(B2584="","",IFERROR(INDEX(mat_unit,MATCH(B2584,mat_ref,0))&amp;"",""))</f>
        <v/>
      </c>
      <c r="E2584" s="72" t="n"/>
      <c r="F2584" s="65" t="n"/>
      <c r="G2584" s="68" t="str">
        <f>IF(J2584&lt;&gt;"OK","",IF(F2584="",N(INDEX(mat_loss,MATCH(B2584,mat_ref,0))),F2584))</f>
        <v/>
      </c>
      <c r="H2584" s="66" t="str">
        <f>IF(J2584&lt;&gt;"OK","",INDEX(mat_price,MATCH(B2584,mat_ref,0)))</f>
        <v/>
      </c>
      <c r="I2584" s="66" t="str">
        <f>IF(J2584&lt;&gt;"OK","",E2584*(1+G2584)*H2584)</f>
        <v/>
      </c>
      <c r="J2584" s="69" t="str">
        <f>IF(AND(A2584="",B2584=""),"",IF(A2584="","Produit manquant",IF(COUNTIF(prod_ref,A2584)=0,"Produit inconnu",IF(B2584="","Matière manquante",IF(ISNA(MATCH(B2584,mat_ref,0)),"Matière inconnue",IF(INDEX(mat_check,MATCH(B2584,mat_ref,0))&lt;&gt;"OK","Matière à corriger",IF(OR(NOT(ISNUMBER(E2584)),N(E2584)&lt;=0),"Quantité invalide",IF(AND(F2584&lt;&gt;"",OR(NOT(ISNUMBER(F2584)),N(F2584)&lt;0,N(F2584)&gt;=1)),"Perte entre 0 et 99 %",IF(COUNTIFS(bom_prod,A2584,bom_mat,B2584)&gt;1,"Matière en double","OK")))))))))</f>
        <v/>
      </c>
      <c r="K2584" s="71" t="str">
        <f>IF(AND(fiche_sel&lt;&gt;"",A2584=fiche_sel),COUNTIF(A$6:A2584,fiche_sel),"")</f>
        <v/>
      </c>
    </row>
    <row r="2585">
      <c r="A2585" s="60" t="n"/>
      <c r="B2585" s="60" t="n"/>
      <c r="C2585" s="71" t="str">
        <f>IF(B2585="","",IFERROR(INDEX(mat_des,MATCH(B2585,mat_ref,0))&amp;"","Matière inconnue"))</f>
        <v/>
      </c>
      <c r="D2585" s="69" t="str">
        <f>IF(B2585="","",IFERROR(INDEX(mat_unit,MATCH(B2585,mat_ref,0))&amp;"",""))</f>
        <v/>
      </c>
      <c r="E2585" s="72" t="n"/>
      <c r="F2585" s="65" t="n"/>
      <c r="G2585" s="68" t="str">
        <f>IF(J2585&lt;&gt;"OK","",IF(F2585="",N(INDEX(mat_loss,MATCH(B2585,mat_ref,0))),F2585))</f>
        <v/>
      </c>
      <c r="H2585" s="66" t="str">
        <f>IF(J2585&lt;&gt;"OK","",INDEX(mat_price,MATCH(B2585,mat_ref,0)))</f>
        <v/>
      </c>
      <c r="I2585" s="66" t="str">
        <f>IF(J2585&lt;&gt;"OK","",E2585*(1+G2585)*H2585)</f>
        <v/>
      </c>
      <c r="J2585" s="69" t="str">
        <f>IF(AND(A2585="",B2585=""),"",IF(A2585="","Produit manquant",IF(COUNTIF(prod_ref,A2585)=0,"Produit inconnu",IF(B2585="","Matière manquante",IF(ISNA(MATCH(B2585,mat_ref,0)),"Matière inconnue",IF(INDEX(mat_check,MATCH(B2585,mat_ref,0))&lt;&gt;"OK","Matière à corriger",IF(OR(NOT(ISNUMBER(E2585)),N(E2585)&lt;=0),"Quantité invalide",IF(AND(F2585&lt;&gt;"",OR(NOT(ISNUMBER(F2585)),N(F2585)&lt;0,N(F2585)&gt;=1)),"Perte entre 0 et 99 %",IF(COUNTIFS(bom_prod,A2585,bom_mat,B2585)&gt;1,"Matière en double","OK")))))))))</f>
        <v/>
      </c>
      <c r="K2585" s="71" t="str">
        <f>IF(AND(fiche_sel&lt;&gt;"",A2585=fiche_sel),COUNTIF(A$6:A2585,fiche_sel),"")</f>
        <v/>
      </c>
    </row>
    <row r="2586">
      <c r="A2586" s="60" t="n"/>
      <c r="B2586" s="60" t="n"/>
      <c r="C2586" s="71" t="str">
        <f>IF(B2586="","",IFERROR(INDEX(mat_des,MATCH(B2586,mat_ref,0))&amp;"","Matière inconnue"))</f>
        <v/>
      </c>
      <c r="D2586" s="69" t="str">
        <f>IF(B2586="","",IFERROR(INDEX(mat_unit,MATCH(B2586,mat_ref,0))&amp;"",""))</f>
        <v/>
      </c>
      <c r="E2586" s="72" t="n"/>
      <c r="F2586" s="65" t="n"/>
      <c r="G2586" s="68" t="str">
        <f>IF(J2586&lt;&gt;"OK","",IF(F2586="",N(INDEX(mat_loss,MATCH(B2586,mat_ref,0))),F2586))</f>
        <v/>
      </c>
      <c r="H2586" s="66" t="str">
        <f>IF(J2586&lt;&gt;"OK","",INDEX(mat_price,MATCH(B2586,mat_ref,0)))</f>
        <v/>
      </c>
      <c r="I2586" s="66" t="str">
        <f>IF(J2586&lt;&gt;"OK","",E2586*(1+G2586)*H2586)</f>
        <v/>
      </c>
      <c r="J2586" s="69" t="str">
        <f>IF(AND(A2586="",B2586=""),"",IF(A2586="","Produit manquant",IF(COUNTIF(prod_ref,A2586)=0,"Produit inconnu",IF(B2586="","Matière manquante",IF(ISNA(MATCH(B2586,mat_ref,0)),"Matière inconnue",IF(INDEX(mat_check,MATCH(B2586,mat_ref,0))&lt;&gt;"OK","Matière à corriger",IF(OR(NOT(ISNUMBER(E2586)),N(E2586)&lt;=0),"Quantité invalide",IF(AND(F2586&lt;&gt;"",OR(NOT(ISNUMBER(F2586)),N(F2586)&lt;0,N(F2586)&gt;=1)),"Perte entre 0 et 99 %",IF(COUNTIFS(bom_prod,A2586,bom_mat,B2586)&gt;1,"Matière en double","OK")))))))))</f>
        <v/>
      </c>
      <c r="K2586" s="71" t="str">
        <f>IF(AND(fiche_sel&lt;&gt;"",A2586=fiche_sel),COUNTIF(A$6:A2586,fiche_sel),"")</f>
        <v/>
      </c>
    </row>
    <row r="2587">
      <c r="A2587" s="60" t="n"/>
      <c r="B2587" s="60" t="n"/>
      <c r="C2587" s="71" t="str">
        <f>IF(B2587="","",IFERROR(INDEX(mat_des,MATCH(B2587,mat_ref,0))&amp;"","Matière inconnue"))</f>
        <v/>
      </c>
      <c r="D2587" s="69" t="str">
        <f>IF(B2587="","",IFERROR(INDEX(mat_unit,MATCH(B2587,mat_ref,0))&amp;"",""))</f>
        <v/>
      </c>
      <c r="E2587" s="72" t="n"/>
      <c r="F2587" s="65" t="n"/>
      <c r="G2587" s="68" t="str">
        <f>IF(J2587&lt;&gt;"OK","",IF(F2587="",N(INDEX(mat_loss,MATCH(B2587,mat_ref,0))),F2587))</f>
        <v/>
      </c>
      <c r="H2587" s="66" t="str">
        <f>IF(J2587&lt;&gt;"OK","",INDEX(mat_price,MATCH(B2587,mat_ref,0)))</f>
        <v/>
      </c>
      <c r="I2587" s="66" t="str">
        <f>IF(J2587&lt;&gt;"OK","",E2587*(1+G2587)*H2587)</f>
        <v/>
      </c>
      <c r="J2587" s="69" t="str">
        <f>IF(AND(A2587="",B2587=""),"",IF(A2587="","Produit manquant",IF(COUNTIF(prod_ref,A2587)=0,"Produit inconnu",IF(B2587="","Matière manquante",IF(ISNA(MATCH(B2587,mat_ref,0)),"Matière inconnue",IF(INDEX(mat_check,MATCH(B2587,mat_ref,0))&lt;&gt;"OK","Matière à corriger",IF(OR(NOT(ISNUMBER(E2587)),N(E2587)&lt;=0),"Quantité invalide",IF(AND(F2587&lt;&gt;"",OR(NOT(ISNUMBER(F2587)),N(F2587)&lt;0,N(F2587)&gt;=1)),"Perte entre 0 et 99 %",IF(COUNTIFS(bom_prod,A2587,bom_mat,B2587)&gt;1,"Matière en double","OK")))))))))</f>
        <v/>
      </c>
      <c r="K2587" s="71" t="str">
        <f>IF(AND(fiche_sel&lt;&gt;"",A2587=fiche_sel),COUNTIF(A$6:A2587,fiche_sel),"")</f>
        <v/>
      </c>
    </row>
    <row r="2588">
      <c r="A2588" s="60" t="n"/>
      <c r="B2588" s="60" t="n"/>
      <c r="C2588" s="71" t="str">
        <f>IF(B2588="","",IFERROR(INDEX(mat_des,MATCH(B2588,mat_ref,0))&amp;"","Matière inconnue"))</f>
        <v/>
      </c>
      <c r="D2588" s="69" t="str">
        <f>IF(B2588="","",IFERROR(INDEX(mat_unit,MATCH(B2588,mat_ref,0))&amp;"",""))</f>
        <v/>
      </c>
      <c r="E2588" s="72" t="n"/>
      <c r="F2588" s="65" t="n"/>
      <c r="G2588" s="68" t="str">
        <f>IF(J2588&lt;&gt;"OK","",IF(F2588="",N(INDEX(mat_loss,MATCH(B2588,mat_ref,0))),F2588))</f>
        <v/>
      </c>
      <c r="H2588" s="66" t="str">
        <f>IF(J2588&lt;&gt;"OK","",INDEX(mat_price,MATCH(B2588,mat_ref,0)))</f>
        <v/>
      </c>
      <c r="I2588" s="66" t="str">
        <f>IF(J2588&lt;&gt;"OK","",E2588*(1+G2588)*H2588)</f>
        <v/>
      </c>
      <c r="J2588" s="69" t="str">
        <f>IF(AND(A2588="",B2588=""),"",IF(A2588="","Produit manquant",IF(COUNTIF(prod_ref,A2588)=0,"Produit inconnu",IF(B2588="","Matière manquante",IF(ISNA(MATCH(B2588,mat_ref,0)),"Matière inconnue",IF(INDEX(mat_check,MATCH(B2588,mat_ref,0))&lt;&gt;"OK","Matière à corriger",IF(OR(NOT(ISNUMBER(E2588)),N(E2588)&lt;=0),"Quantité invalide",IF(AND(F2588&lt;&gt;"",OR(NOT(ISNUMBER(F2588)),N(F2588)&lt;0,N(F2588)&gt;=1)),"Perte entre 0 et 99 %",IF(COUNTIFS(bom_prod,A2588,bom_mat,B2588)&gt;1,"Matière en double","OK")))))))))</f>
        <v/>
      </c>
      <c r="K2588" s="71" t="str">
        <f>IF(AND(fiche_sel&lt;&gt;"",A2588=fiche_sel),COUNTIF(A$6:A2588,fiche_sel),"")</f>
        <v/>
      </c>
    </row>
    <row r="2589">
      <c r="A2589" s="60" t="n"/>
      <c r="B2589" s="60" t="n"/>
      <c r="C2589" s="71" t="str">
        <f>IF(B2589="","",IFERROR(INDEX(mat_des,MATCH(B2589,mat_ref,0))&amp;"","Matière inconnue"))</f>
        <v/>
      </c>
      <c r="D2589" s="69" t="str">
        <f>IF(B2589="","",IFERROR(INDEX(mat_unit,MATCH(B2589,mat_ref,0))&amp;"",""))</f>
        <v/>
      </c>
      <c r="E2589" s="72" t="n"/>
      <c r="F2589" s="65" t="n"/>
      <c r="G2589" s="68" t="str">
        <f>IF(J2589&lt;&gt;"OK","",IF(F2589="",N(INDEX(mat_loss,MATCH(B2589,mat_ref,0))),F2589))</f>
        <v/>
      </c>
      <c r="H2589" s="66" t="str">
        <f>IF(J2589&lt;&gt;"OK","",INDEX(mat_price,MATCH(B2589,mat_ref,0)))</f>
        <v/>
      </c>
      <c r="I2589" s="66" t="str">
        <f>IF(J2589&lt;&gt;"OK","",E2589*(1+G2589)*H2589)</f>
        <v/>
      </c>
      <c r="J2589" s="69" t="str">
        <f>IF(AND(A2589="",B2589=""),"",IF(A2589="","Produit manquant",IF(COUNTIF(prod_ref,A2589)=0,"Produit inconnu",IF(B2589="","Matière manquante",IF(ISNA(MATCH(B2589,mat_ref,0)),"Matière inconnue",IF(INDEX(mat_check,MATCH(B2589,mat_ref,0))&lt;&gt;"OK","Matière à corriger",IF(OR(NOT(ISNUMBER(E2589)),N(E2589)&lt;=0),"Quantité invalide",IF(AND(F2589&lt;&gt;"",OR(NOT(ISNUMBER(F2589)),N(F2589)&lt;0,N(F2589)&gt;=1)),"Perte entre 0 et 99 %",IF(COUNTIFS(bom_prod,A2589,bom_mat,B2589)&gt;1,"Matière en double","OK")))))))))</f>
        <v/>
      </c>
      <c r="K2589" s="71" t="str">
        <f>IF(AND(fiche_sel&lt;&gt;"",A2589=fiche_sel),COUNTIF(A$6:A2589,fiche_sel),"")</f>
        <v/>
      </c>
    </row>
    <row r="2590">
      <c r="A2590" s="60" t="n"/>
      <c r="B2590" s="60" t="n"/>
      <c r="C2590" s="71" t="str">
        <f>IF(B2590="","",IFERROR(INDEX(mat_des,MATCH(B2590,mat_ref,0))&amp;"","Matière inconnue"))</f>
        <v/>
      </c>
      <c r="D2590" s="69" t="str">
        <f>IF(B2590="","",IFERROR(INDEX(mat_unit,MATCH(B2590,mat_ref,0))&amp;"",""))</f>
        <v/>
      </c>
      <c r="E2590" s="72" t="n"/>
      <c r="F2590" s="65" t="n"/>
      <c r="G2590" s="68" t="str">
        <f>IF(J2590&lt;&gt;"OK","",IF(F2590="",N(INDEX(mat_loss,MATCH(B2590,mat_ref,0))),F2590))</f>
        <v/>
      </c>
      <c r="H2590" s="66" t="str">
        <f>IF(J2590&lt;&gt;"OK","",INDEX(mat_price,MATCH(B2590,mat_ref,0)))</f>
        <v/>
      </c>
      <c r="I2590" s="66" t="str">
        <f>IF(J2590&lt;&gt;"OK","",E2590*(1+G2590)*H2590)</f>
        <v/>
      </c>
      <c r="J2590" s="69" t="str">
        <f>IF(AND(A2590="",B2590=""),"",IF(A2590="","Produit manquant",IF(COUNTIF(prod_ref,A2590)=0,"Produit inconnu",IF(B2590="","Matière manquante",IF(ISNA(MATCH(B2590,mat_ref,0)),"Matière inconnue",IF(INDEX(mat_check,MATCH(B2590,mat_ref,0))&lt;&gt;"OK","Matière à corriger",IF(OR(NOT(ISNUMBER(E2590)),N(E2590)&lt;=0),"Quantité invalide",IF(AND(F2590&lt;&gt;"",OR(NOT(ISNUMBER(F2590)),N(F2590)&lt;0,N(F2590)&gt;=1)),"Perte entre 0 et 99 %",IF(COUNTIFS(bom_prod,A2590,bom_mat,B2590)&gt;1,"Matière en double","OK")))))))))</f>
        <v/>
      </c>
      <c r="K2590" s="71" t="str">
        <f>IF(AND(fiche_sel&lt;&gt;"",A2590=fiche_sel),COUNTIF(A$6:A2590,fiche_sel),"")</f>
        <v/>
      </c>
    </row>
    <row r="2591">
      <c r="A2591" s="60" t="n"/>
      <c r="B2591" s="60" t="n"/>
      <c r="C2591" s="71" t="str">
        <f>IF(B2591="","",IFERROR(INDEX(mat_des,MATCH(B2591,mat_ref,0))&amp;"","Matière inconnue"))</f>
        <v/>
      </c>
      <c r="D2591" s="69" t="str">
        <f>IF(B2591="","",IFERROR(INDEX(mat_unit,MATCH(B2591,mat_ref,0))&amp;"",""))</f>
        <v/>
      </c>
      <c r="E2591" s="72" t="n"/>
      <c r="F2591" s="65" t="n"/>
      <c r="G2591" s="68" t="str">
        <f>IF(J2591&lt;&gt;"OK","",IF(F2591="",N(INDEX(mat_loss,MATCH(B2591,mat_ref,0))),F2591))</f>
        <v/>
      </c>
      <c r="H2591" s="66" t="str">
        <f>IF(J2591&lt;&gt;"OK","",INDEX(mat_price,MATCH(B2591,mat_ref,0)))</f>
        <v/>
      </c>
      <c r="I2591" s="66" t="str">
        <f>IF(J2591&lt;&gt;"OK","",E2591*(1+G2591)*H2591)</f>
        <v/>
      </c>
      <c r="J2591" s="69" t="str">
        <f>IF(AND(A2591="",B2591=""),"",IF(A2591="","Produit manquant",IF(COUNTIF(prod_ref,A2591)=0,"Produit inconnu",IF(B2591="","Matière manquante",IF(ISNA(MATCH(B2591,mat_ref,0)),"Matière inconnue",IF(INDEX(mat_check,MATCH(B2591,mat_ref,0))&lt;&gt;"OK","Matière à corriger",IF(OR(NOT(ISNUMBER(E2591)),N(E2591)&lt;=0),"Quantité invalide",IF(AND(F2591&lt;&gt;"",OR(NOT(ISNUMBER(F2591)),N(F2591)&lt;0,N(F2591)&gt;=1)),"Perte entre 0 et 99 %",IF(COUNTIFS(bom_prod,A2591,bom_mat,B2591)&gt;1,"Matière en double","OK")))))))))</f>
        <v/>
      </c>
      <c r="K2591" s="71" t="str">
        <f>IF(AND(fiche_sel&lt;&gt;"",A2591=fiche_sel),COUNTIF(A$6:A2591,fiche_sel),"")</f>
        <v/>
      </c>
    </row>
    <row r="2592">
      <c r="A2592" s="60" t="n"/>
      <c r="B2592" s="60" t="n"/>
      <c r="C2592" s="71" t="str">
        <f>IF(B2592="","",IFERROR(INDEX(mat_des,MATCH(B2592,mat_ref,0))&amp;"","Matière inconnue"))</f>
        <v/>
      </c>
      <c r="D2592" s="69" t="str">
        <f>IF(B2592="","",IFERROR(INDEX(mat_unit,MATCH(B2592,mat_ref,0))&amp;"",""))</f>
        <v/>
      </c>
      <c r="E2592" s="72" t="n"/>
      <c r="F2592" s="65" t="n"/>
      <c r="G2592" s="68" t="str">
        <f>IF(J2592&lt;&gt;"OK","",IF(F2592="",N(INDEX(mat_loss,MATCH(B2592,mat_ref,0))),F2592))</f>
        <v/>
      </c>
      <c r="H2592" s="66" t="str">
        <f>IF(J2592&lt;&gt;"OK","",INDEX(mat_price,MATCH(B2592,mat_ref,0)))</f>
        <v/>
      </c>
      <c r="I2592" s="66" t="str">
        <f>IF(J2592&lt;&gt;"OK","",E2592*(1+G2592)*H2592)</f>
        <v/>
      </c>
      <c r="J2592" s="69" t="str">
        <f>IF(AND(A2592="",B2592=""),"",IF(A2592="","Produit manquant",IF(COUNTIF(prod_ref,A2592)=0,"Produit inconnu",IF(B2592="","Matière manquante",IF(ISNA(MATCH(B2592,mat_ref,0)),"Matière inconnue",IF(INDEX(mat_check,MATCH(B2592,mat_ref,0))&lt;&gt;"OK","Matière à corriger",IF(OR(NOT(ISNUMBER(E2592)),N(E2592)&lt;=0),"Quantité invalide",IF(AND(F2592&lt;&gt;"",OR(NOT(ISNUMBER(F2592)),N(F2592)&lt;0,N(F2592)&gt;=1)),"Perte entre 0 et 99 %",IF(COUNTIFS(bom_prod,A2592,bom_mat,B2592)&gt;1,"Matière en double","OK")))))))))</f>
        <v/>
      </c>
      <c r="K2592" s="71" t="str">
        <f>IF(AND(fiche_sel&lt;&gt;"",A2592=fiche_sel),COUNTIF(A$6:A2592,fiche_sel),"")</f>
        <v/>
      </c>
    </row>
    <row r="2593">
      <c r="A2593" s="60" t="n"/>
      <c r="B2593" s="60" t="n"/>
      <c r="C2593" s="71" t="str">
        <f>IF(B2593="","",IFERROR(INDEX(mat_des,MATCH(B2593,mat_ref,0))&amp;"","Matière inconnue"))</f>
        <v/>
      </c>
      <c r="D2593" s="69" t="str">
        <f>IF(B2593="","",IFERROR(INDEX(mat_unit,MATCH(B2593,mat_ref,0))&amp;"",""))</f>
        <v/>
      </c>
      <c r="E2593" s="72" t="n"/>
      <c r="F2593" s="65" t="n"/>
      <c r="G2593" s="68" t="str">
        <f>IF(J2593&lt;&gt;"OK","",IF(F2593="",N(INDEX(mat_loss,MATCH(B2593,mat_ref,0))),F2593))</f>
        <v/>
      </c>
      <c r="H2593" s="66" t="str">
        <f>IF(J2593&lt;&gt;"OK","",INDEX(mat_price,MATCH(B2593,mat_ref,0)))</f>
        <v/>
      </c>
      <c r="I2593" s="66" t="str">
        <f>IF(J2593&lt;&gt;"OK","",E2593*(1+G2593)*H2593)</f>
        <v/>
      </c>
      <c r="J2593" s="69" t="str">
        <f>IF(AND(A2593="",B2593=""),"",IF(A2593="","Produit manquant",IF(COUNTIF(prod_ref,A2593)=0,"Produit inconnu",IF(B2593="","Matière manquante",IF(ISNA(MATCH(B2593,mat_ref,0)),"Matière inconnue",IF(INDEX(mat_check,MATCH(B2593,mat_ref,0))&lt;&gt;"OK","Matière à corriger",IF(OR(NOT(ISNUMBER(E2593)),N(E2593)&lt;=0),"Quantité invalide",IF(AND(F2593&lt;&gt;"",OR(NOT(ISNUMBER(F2593)),N(F2593)&lt;0,N(F2593)&gt;=1)),"Perte entre 0 et 99 %",IF(COUNTIFS(bom_prod,A2593,bom_mat,B2593)&gt;1,"Matière en double","OK")))))))))</f>
        <v/>
      </c>
      <c r="K2593" s="71" t="str">
        <f>IF(AND(fiche_sel&lt;&gt;"",A2593=fiche_sel),COUNTIF(A$6:A2593,fiche_sel),"")</f>
        <v/>
      </c>
    </row>
    <row r="2594">
      <c r="A2594" s="60" t="n"/>
      <c r="B2594" s="60" t="n"/>
      <c r="C2594" s="71" t="str">
        <f>IF(B2594="","",IFERROR(INDEX(mat_des,MATCH(B2594,mat_ref,0))&amp;"","Matière inconnue"))</f>
        <v/>
      </c>
      <c r="D2594" s="69" t="str">
        <f>IF(B2594="","",IFERROR(INDEX(mat_unit,MATCH(B2594,mat_ref,0))&amp;"",""))</f>
        <v/>
      </c>
      <c r="E2594" s="72" t="n"/>
      <c r="F2594" s="65" t="n"/>
      <c r="G2594" s="68" t="str">
        <f>IF(J2594&lt;&gt;"OK","",IF(F2594="",N(INDEX(mat_loss,MATCH(B2594,mat_ref,0))),F2594))</f>
        <v/>
      </c>
      <c r="H2594" s="66" t="str">
        <f>IF(J2594&lt;&gt;"OK","",INDEX(mat_price,MATCH(B2594,mat_ref,0)))</f>
        <v/>
      </c>
      <c r="I2594" s="66" t="str">
        <f>IF(J2594&lt;&gt;"OK","",E2594*(1+G2594)*H2594)</f>
        <v/>
      </c>
      <c r="J2594" s="69" t="str">
        <f>IF(AND(A2594="",B2594=""),"",IF(A2594="","Produit manquant",IF(COUNTIF(prod_ref,A2594)=0,"Produit inconnu",IF(B2594="","Matière manquante",IF(ISNA(MATCH(B2594,mat_ref,0)),"Matière inconnue",IF(INDEX(mat_check,MATCH(B2594,mat_ref,0))&lt;&gt;"OK","Matière à corriger",IF(OR(NOT(ISNUMBER(E2594)),N(E2594)&lt;=0),"Quantité invalide",IF(AND(F2594&lt;&gt;"",OR(NOT(ISNUMBER(F2594)),N(F2594)&lt;0,N(F2594)&gt;=1)),"Perte entre 0 et 99 %",IF(COUNTIFS(bom_prod,A2594,bom_mat,B2594)&gt;1,"Matière en double","OK")))))))))</f>
        <v/>
      </c>
      <c r="K2594" s="71" t="str">
        <f>IF(AND(fiche_sel&lt;&gt;"",A2594=fiche_sel),COUNTIF(A$6:A2594,fiche_sel),"")</f>
        <v/>
      </c>
    </row>
    <row r="2595">
      <c r="A2595" s="60" t="n"/>
      <c r="B2595" s="60" t="n"/>
      <c r="C2595" s="71" t="str">
        <f>IF(B2595="","",IFERROR(INDEX(mat_des,MATCH(B2595,mat_ref,0))&amp;"","Matière inconnue"))</f>
        <v/>
      </c>
      <c r="D2595" s="69" t="str">
        <f>IF(B2595="","",IFERROR(INDEX(mat_unit,MATCH(B2595,mat_ref,0))&amp;"",""))</f>
        <v/>
      </c>
      <c r="E2595" s="72" t="n"/>
      <c r="F2595" s="65" t="n"/>
      <c r="G2595" s="68" t="str">
        <f>IF(J2595&lt;&gt;"OK","",IF(F2595="",N(INDEX(mat_loss,MATCH(B2595,mat_ref,0))),F2595))</f>
        <v/>
      </c>
      <c r="H2595" s="66" t="str">
        <f>IF(J2595&lt;&gt;"OK","",INDEX(mat_price,MATCH(B2595,mat_ref,0)))</f>
        <v/>
      </c>
      <c r="I2595" s="66" t="str">
        <f>IF(J2595&lt;&gt;"OK","",E2595*(1+G2595)*H2595)</f>
        <v/>
      </c>
      <c r="J2595" s="69" t="str">
        <f>IF(AND(A2595="",B2595=""),"",IF(A2595="","Produit manquant",IF(COUNTIF(prod_ref,A2595)=0,"Produit inconnu",IF(B2595="","Matière manquante",IF(ISNA(MATCH(B2595,mat_ref,0)),"Matière inconnue",IF(INDEX(mat_check,MATCH(B2595,mat_ref,0))&lt;&gt;"OK","Matière à corriger",IF(OR(NOT(ISNUMBER(E2595)),N(E2595)&lt;=0),"Quantité invalide",IF(AND(F2595&lt;&gt;"",OR(NOT(ISNUMBER(F2595)),N(F2595)&lt;0,N(F2595)&gt;=1)),"Perte entre 0 et 99 %",IF(COUNTIFS(bom_prod,A2595,bom_mat,B2595)&gt;1,"Matière en double","OK")))))))))</f>
        <v/>
      </c>
      <c r="K2595" s="71" t="str">
        <f>IF(AND(fiche_sel&lt;&gt;"",A2595=fiche_sel),COUNTIF(A$6:A2595,fiche_sel),"")</f>
        <v/>
      </c>
    </row>
    <row r="2596">
      <c r="A2596" s="60" t="n"/>
      <c r="B2596" s="60" t="n"/>
      <c r="C2596" s="71" t="str">
        <f>IF(B2596="","",IFERROR(INDEX(mat_des,MATCH(B2596,mat_ref,0))&amp;"","Matière inconnue"))</f>
        <v/>
      </c>
      <c r="D2596" s="69" t="str">
        <f>IF(B2596="","",IFERROR(INDEX(mat_unit,MATCH(B2596,mat_ref,0))&amp;"",""))</f>
        <v/>
      </c>
      <c r="E2596" s="72" t="n"/>
      <c r="F2596" s="65" t="n"/>
      <c r="G2596" s="68" t="str">
        <f>IF(J2596&lt;&gt;"OK","",IF(F2596="",N(INDEX(mat_loss,MATCH(B2596,mat_ref,0))),F2596))</f>
        <v/>
      </c>
      <c r="H2596" s="66" t="str">
        <f>IF(J2596&lt;&gt;"OK","",INDEX(mat_price,MATCH(B2596,mat_ref,0)))</f>
        <v/>
      </c>
      <c r="I2596" s="66" t="str">
        <f>IF(J2596&lt;&gt;"OK","",E2596*(1+G2596)*H2596)</f>
        <v/>
      </c>
      <c r="J2596" s="69" t="str">
        <f>IF(AND(A2596="",B2596=""),"",IF(A2596="","Produit manquant",IF(COUNTIF(prod_ref,A2596)=0,"Produit inconnu",IF(B2596="","Matière manquante",IF(ISNA(MATCH(B2596,mat_ref,0)),"Matière inconnue",IF(INDEX(mat_check,MATCH(B2596,mat_ref,0))&lt;&gt;"OK","Matière à corriger",IF(OR(NOT(ISNUMBER(E2596)),N(E2596)&lt;=0),"Quantité invalide",IF(AND(F2596&lt;&gt;"",OR(NOT(ISNUMBER(F2596)),N(F2596)&lt;0,N(F2596)&gt;=1)),"Perte entre 0 et 99 %",IF(COUNTIFS(bom_prod,A2596,bom_mat,B2596)&gt;1,"Matière en double","OK")))))))))</f>
        <v/>
      </c>
      <c r="K2596" s="71" t="str">
        <f>IF(AND(fiche_sel&lt;&gt;"",A2596=fiche_sel),COUNTIF(A$6:A2596,fiche_sel),"")</f>
        <v/>
      </c>
    </row>
    <row r="2597">
      <c r="A2597" s="60" t="n"/>
      <c r="B2597" s="60" t="n"/>
      <c r="C2597" s="71" t="str">
        <f>IF(B2597="","",IFERROR(INDEX(mat_des,MATCH(B2597,mat_ref,0))&amp;"","Matière inconnue"))</f>
        <v/>
      </c>
      <c r="D2597" s="69" t="str">
        <f>IF(B2597="","",IFERROR(INDEX(mat_unit,MATCH(B2597,mat_ref,0))&amp;"",""))</f>
        <v/>
      </c>
      <c r="E2597" s="72" t="n"/>
      <c r="F2597" s="65" t="n"/>
      <c r="G2597" s="68" t="str">
        <f>IF(J2597&lt;&gt;"OK","",IF(F2597="",N(INDEX(mat_loss,MATCH(B2597,mat_ref,0))),F2597))</f>
        <v/>
      </c>
      <c r="H2597" s="66" t="str">
        <f>IF(J2597&lt;&gt;"OK","",INDEX(mat_price,MATCH(B2597,mat_ref,0)))</f>
        <v/>
      </c>
      <c r="I2597" s="66" t="str">
        <f>IF(J2597&lt;&gt;"OK","",E2597*(1+G2597)*H2597)</f>
        <v/>
      </c>
      <c r="J2597" s="69" t="str">
        <f>IF(AND(A2597="",B2597=""),"",IF(A2597="","Produit manquant",IF(COUNTIF(prod_ref,A2597)=0,"Produit inconnu",IF(B2597="","Matière manquante",IF(ISNA(MATCH(B2597,mat_ref,0)),"Matière inconnue",IF(INDEX(mat_check,MATCH(B2597,mat_ref,0))&lt;&gt;"OK","Matière à corriger",IF(OR(NOT(ISNUMBER(E2597)),N(E2597)&lt;=0),"Quantité invalide",IF(AND(F2597&lt;&gt;"",OR(NOT(ISNUMBER(F2597)),N(F2597)&lt;0,N(F2597)&gt;=1)),"Perte entre 0 et 99 %",IF(COUNTIFS(bom_prod,A2597,bom_mat,B2597)&gt;1,"Matière en double","OK")))))))))</f>
        <v/>
      </c>
      <c r="K2597" s="71" t="str">
        <f>IF(AND(fiche_sel&lt;&gt;"",A2597=fiche_sel),COUNTIF(A$6:A2597,fiche_sel),"")</f>
        <v/>
      </c>
    </row>
    <row r="2598">
      <c r="A2598" s="60" t="n"/>
      <c r="B2598" s="60" t="n"/>
      <c r="C2598" s="71" t="str">
        <f>IF(B2598="","",IFERROR(INDEX(mat_des,MATCH(B2598,mat_ref,0))&amp;"","Matière inconnue"))</f>
        <v/>
      </c>
      <c r="D2598" s="69" t="str">
        <f>IF(B2598="","",IFERROR(INDEX(mat_unit,MATCH(B2598,mat_ref,0))&amp;"",""))</f>
        <v/>
      </c>
      <c r="E2598" s="72" t="n"/>
      <c r="F2598" s="65" t="n"/>
      <c r="G2598" s="68" t="str">
        <f>IF(J2598&lt;&gt;"OK","",IF(F2598="",N(INDEX(mat_loss,MATCH(B2598,mat_ref,0))),F2598))</f>
        <v/>
      </c>
      <c r="H2598" s="66" t="str">
        <f>IF(J2598&lt;&gt;"OK","",INDEX(mat_price,MATCH(B2598,mat_ref,0)))</f>
        <v/>
      </c>
      <c r="I2598" s="66" t="str">
        <f>IF(J2598&lt;&gt;"OK","",E2598*(1+G2598)*H2598)</f>
        <v/>
      </c>
      <c r="J2598" s="69" t="str">
        <f>IF(AND(A2598="",B2598=""),"",IF(A2598="","Produit manquant",IF(COUNTIF(prod_ref,A2598)=0,"Produit inconnu",IF(B2598="","Matière manquante",IF(ISNA(MATCH(B2598,mat_ref,0)),"Matière inconnue",IF(INDEX(mat_check,MATCH(B2598,mat_ref,0))&lt;&gt;"OK","Matière à corriger",IF(OR(NOT(ISNUMBER(E2598)),N(E2598)&lt;=0),"Quantité invalide",IF(AND(F2598&lt;&gt;"",OR(NOT(ISNUMBER(F2598)),N(F2598)&lt;0,N(F2598)&gt;=1)),"Perte entre 0 et 99 %",IF(COUNTIFS(bom_prod,A2598,bom_mat,B2598)&gt;1,"Matière en double","OK")))))))))</f>
        <v/>
      </c>
      <c r="K2598" s="71" t="str">
        <f>IF(AND(fiche_sel&lt;&gt;"",A2598=fiche_sel),COUNTIF(A$6:A2598,fiche_sel),"")</f>
        <v/>
      </c>
    </row>
    <row r="2599">
      <c r="A2599" s="60" t="n"/>
      <c r="B2599" s="60" t="n"/>
      <c r="C2599" s="71" t="str">
        <f>IF(B2599="","",IFERROR(INDEX(mat_des,MATCH(B2599,mat_ref,0))&amp;"","Matière inconnue"))</f>
        <v/>
      </c>
      <c r="D2599" s="69" t="str">
        <f>IF(B2599="","",IFERROR(INDEX(mat_unit,MATCH(B2599,mat_ref,0))&amp;"",""))</f>
        <v/>
      </c>
      <c r="E2599" s="72" t="n"/>
      <c r="F2599" s="65" t="n"/>
      <c r="G2599" s="68" t="str">
        <f>IF(J2599&lt;&gt;"OK","",IF(F2599="",N(INDEX(mat_loss,MATCH(B2599,mat_ref,0))),F2599))</f>
        <v/>
      </c>
      <c r="H2599" s="66" t="str">
        <f>IF(J2599&lt;&gt;"OK","",INDEX(mat_price,MATCH(B2599,mat_ref,0)))</f>
        <v/>
      </c>
      <c r="I2599" s="66" t="str">
        <f>IF(J2599&lt;&gt;"OK","",E2599*(1+G2599)*H2599)</f>
        <v/>
      </c>
      <c r="J2599" s="69" t="str">
        <f>IF(AND(A2599="",B2599=""),"",IF(A2599="","Produit manquant",IF(COUNTIF(prod_ref,A2599)=0,"Produit inconnu",IF(B2599="","Matière manquante",IF(ISNA(MATCH(B2599,mat_ref,0)),"Matière inconnue",IF(INDEX(mat_check,MATCH(B2599,mat_ref,0))&lt;&gt;"OK","Matière à corriger",IF(OR(NOT(ISNUMBER(E2599)),N(E2599)&lt;=0),"Quantité invalide",IF(AND(F2599&lt;&gt;"",OR(NOT(ISNUMBER(F2599)),N(F2599)&lt;0,N(F2599)&gt;=1)),"Perte entre 0 et 99 %",IF(COUNTIFS(bom_prod,A2599,bom_mat,B2599)&gt;1,"Matière en double","OK")))))))))</f>
        <v/>
      </c>
      <c r="K2599" s="71" t="str">
        <f>IF(AND(fiche_sel&lt;&gt;"",A2599=fiche_sel),COUNTIF(A$6:A2599,fiche_sel),"")</f>
        <v/>
      </c>
    </row>
    <row r="2600">
      <c r="A2600" s="60" t="n"/>
      <c r="B2600" s="60" t="n"/>
      <c r="C2600" s="71" t="str">
        <f>IF(B2600="","",IFERROR(INDEX(mat_des,MATCH(B2600,mat_ref,0))&amp;"","Matière inconnue"))</f>
        <v/>
      </c>
      <c r="D2600" s="69" t="str">
        <f>IF(B2600="","",IFERROR(INDEX(mat_unit,MATCH(B2600,mat_ref,0))&amp;"",""))</f>
        <v/>
      </c>
      <c r="E2600" s="72" t="n"/>
      <c r="F2600" s="65" t="n"/>
      <c r="G2600" s="68" t="str">
        <f>IF(J2600&lt;&gt;"OK","",IF(F2600="",N(INDEX(mat_loss,MATCH(B2600,mat_ref,0))),F2600))</f>
        <v/>
      </c>
      <c r="H2600" s="66" t="str">
        <f>IF(J2600&lt;&gt;"OK","",INDEX(mat_price,MATCH(B2600,mat_ref,0)))</f>
        <v/>
      </c>
      <c r="I2600" s="66" t="str">
        <f>IF(J2600&lt;&gt;"OK","",E2600*(1+G2600)*H2600)</f>
        <v/>
      </c>
      <c r="J2600" s="69" t="str">
        <f>IF(AND(A2600="",B2600=""),"",IF(A2600="","Produit manquant",IF(COUNTIF(prod_ref,A2600)=0,"Produit inconnu",IF(B2600="","Matière manquante",IF(ISNA(MATCH(B2600,mat_ref,0)),"Matière inconnue",IF(INDEX(mat_check,MATCH(B2600,mat_ref,0))&lt;&gt;"OK","Matière à corriger",IF(OR(NOT(ISNUMBER(E2600)),N(E2600)&lt;=0),"Quantité invalide",IF(AND(F2600&lt;&gt;"",OR(NOT(ISNUMBER(F2600)),N(F2600)&lt;0,N(F2600)&gt;=1)),"Perte entre 0 et 99 %",IF(COUNTIFS(bom_prod,A2600,bom_mat,B2600)&gt;1,"Matière en double","OK")))))))))</f>
        <v/>
      </c>
      <c r="K2600" s="71" t="str">
        <f>IF(AND(fiche_sel&lt;&gt;"",A2600=fiche_sel),COUNTIF(A$6:A2600,fiche_sel),"")</f>
        <v/>
      </c>
    </row>
    <row r="2601">
      <c r="A2601" s="60" t="n"/>
      <c r="B2601" s="60" t="n"/>
      <c r="C2601" s="71" t="str">
        <f>IF(B2601="","",IFERROR(INDEX(mat_des,MATCH(B2601,mat_ref,0))&amp;"","Matière inconnue"))</f>
        <v/>
      </c>
      <c r="D2601" s="69" t="str">
        <f>IF(B2601="","",IFERROR(INDEX(mat_unit,MATCH(B2601,mat_ref,0))&amp;"",""))</f>
        <v/>
      </c>
      <c r="E2601" s="72" t="n"/>
      <c r="F2601" s="65" t="n"/>
      <c r="G2601" s="68" t="str">
        <f>IF(J2601&lt;&gt;"OK","",IF(F2601="",N(INDEX(mat_loss,MATCH(B2601,mat_ref,0))),F2601))</f>
        <v/>
      </c>
      <c r="H2601" s="66" t="str">
        <f>IF(J2601&lt;&gt;"OK","",INDEX(mat_price,MATCH(B2601,mat_ref,0)))</f>
        <v/>
      </c>
      <c r="I2601" s="66" t="str">
        <f>IF(J2601&lt;&gt;"OK","",E2601*(1+G2601)*H2601)</f>
        <v/>
      </c>
      <c r="J2601" s="69" t="str">
        <f>IF(AND(A2601="",B2601=""),"",IF(A2601="","Produit manquant",IF(COUNTIF(prod_ref,A2601)=0,"Produit inconnu",IF(B2601="","Matière manquante",IF(ISNA(MATCH(B2601,mat_ref,0)),"Matière inconnue",IF(INDEX(mat_check,MATCH(B2601,mat_ref,0))&lt;&gt;"OK","Matière à corriger",IF(OR(NOT(ISNUMBER(E2601)),N(E2601)&lt;=0),"Quantité invalide",IF(AND(F2601&lt;&gt;"",OR(NOT(ISNUMBER(F2601)),N(F2601)&lt;0,N(F2601)&gt;=1)),"Perte entre 0 et 99 %",IF(COUNTIFS(bom_prod,A2601,bom_mat,B2601)&gt;1,"Matière en double","OK")))))))))</f>
        <v/>
      </c>
      <c r="K2601" s="71" t="str">
        <f>IF(AND(fiche_sel&lt;&gt;"",A2601=fiche_sel),COUNTIF(A$6:A2601,fiche_sel),"")</f>
        <v/>
      </c>
    </row>
    <row r="2602">
      <c r="A2602" s="60" t="n"/>
      <c r="B2602" s="60" t="n"/>
      <c r="C2602" s="71" t="str">
        <f>IF(B2602="","",IFERROR(INDEX(mat_des,MATCH(B2602,mat_ref,0))&amp;"","Matière inconnue"))</f>
        <v/>
      </c>
      <c r="D2602" s="69" t="str">
        <f>IF(B2602="","",IFERROR(INDEX(mat_unit,MATCH(B2602,mat_ref,0))&amp;"",""))</f>
        <v/>
      </c>
      <c r="E2602" s="72" t="n"/>
      <c r="F2602" s="65" t="n"/>
      <c r="G2602" s="68" t="str">
        <f>IF(J2602&lt;&gt;"OK","",IF(F2602="",N(INDEX(mat_loss,MATCH(B2602,mat_ref,0))),F2602))</f>
        <v/>
      </c>
      <c r="H2602" s="66" t="str">
        <f>IF(J2602&lt;&gt;"OK","",INDEX(mat_price,MATCH(B2602,mat_ref,0)))</f>
        <v/>
      </c>
      <c r="I2602" s="66" t="str">
        <f>IF(J2602&lt;&gt;"OK","",E2602*(1+G2602)*H2602)</f>
        <v/>
      </c>
      <c r="J2602" s="69" t="str">
        <f>IF(AND(A2602="",B2602=""),"",IF(A2602="","Produit manquant",IF(COUNTIF(prod_ref,A2602)=0,"Produit inconnu",IF(B2602="","Matière manquante",IF(ISNA(MATCH(B2602,mat_ref,0)),"Matière inconnue",IF(INDEX(mat_check,MATCH(B2602,mat_ref,0))&lt;&gt;"OK","Matière à corriger",IF(OR(NOT(ISNUMBER(E2602)),N(E2602)&lt;=0),"Quantité invalide",IF(AND(F2602&lt;&gt;"",OR(NOT(ISNUMBER(F2602)),N(F2602)&lt;0,N(F2602)&gt;=1)),"Perte entre 0 et 99 %",IF(COUNTIFS(bom_prod,A2602,bom_mat,B2602)&gt;1,"Matière en double","OK")))))))))</f>
        <v/>
      </c>
      <c r="K2602" s="71" t="str">
        <f>IF(AND(fiche_sel&lt;&gt;"",A2602=fiche_sel),COUNTIF(A$6:A2602,fiche_sel),"")</f>
        <v/>
      </c>
    </row>
    <row r="2603">
      <c r="A2603" s="60" t="n"/>
      <c r="B2603" s="60" t="n"/>
      <c r="C2603" s="71" t="str">
        <f>IF(B2603="","",IFERROR(INDEX(mat_des,MATCH(B2603,mat_ref,0))&amp;"","Matière inconnue"))</f>
        <v/>
      </c>
      <c r="D2603" s="69" t="str">
        <f>IF(B2603="","",IFERROR(INDEX(mat_unit,MATCH(B2603,mat_ref,0))&amp;"",""))</f>
        <v/>
      </c>
      <c r="E2603" s="72" t="n"/>
      <c r="F2603" s="65" t="n"/>
      <c r="G2603" s="68" t="str">
        <f>IF(J2603&lt;&gt;"OK","",IF(F2603="",N(INDEX(mat_loss,MATCH(B2603,mat_ref,0))),F2603))</f>
        <v/>
      </c>
      <c r="H2603" s="66" t="str">
        <f>IF(J2603&lt;&gt;"OK","",INDEX(mat_price,MATCH(B2603,mat_ref,0)))</f>
        <v/>
      </c>
      <c r="I2603" s="66" t="str">
        <f>IF(J2603&lt;&gt;"OK","",E2603*(1+G2603)*H2603)</f>
        <v/>
      </c>
      <c r="J2603" s="69" t="str">
        <f>IF(AND(A2603="",B2603=""),"",IF(A2603="","Produit manquant",IF(COUNTIF(prod_ref,A2603)=0,"Produit inconnu",IF(B2603="","Matière manquante",IF(ISNA(MATCH(B2603,mat_ref,0)),"Matière inconnue",IF(INDEX(mat_check,MATCH(B2603,mat_ref,0))&lt;&gt;"OK","Matière à corriger",IF(OR(NOT(ISNUMBER(E2603)),N(E2603)&lt;=0),"Quantité invalide",IF(AND(F2603&lt;&gt;"",OR(NOT(ISNUMBER(F2603)),N(F2603)&lt;0,N(F2603)&gt;=1)),"Perte entre 0 et 99 %",IF(COUNTIFS(bom_prod,A2603,bom_mat,B2603)&gt;1,"Matière en double","OK")))))))))</f>
        <v/>
      </c>
      <c r="K2603" s="71" t="str">
        <f>IF(AND(fiche_sel&lt;&gt;"",A2603=fiche_sel),COUNTIF(A$6:A2603,fiche_sel),"")</f>
        <v/>
      </c>
    </row>
    <row r="2604">
      <c r="A2604" s="60" t="n"/>
      <c r="B2604" s="60" t="n"/>
      <c r="C2604" s="71" t="str">
        <f>IF(B2604="","",IFERROR(INDEX(mat_des,MATCH(B2604,mat_ref,0))&amp;"","Matière inconnue"))</f>
        <v/>
      </c>
      <c r="D2604" s="69" t="str">
        <f>IF(B2604="","",IFERROR(INDEX(mat_unit,MATCH(B2604,mat_ref,0))&amp;"",""))</f>
        <v/>
      </c>
      <c r="E2604" s="72" t="n"/>
      <c r="F2604" s="65" t="n"/>
      <c r="G2604" s="68" t="str">
        <f>IF(J2604&lt;&gt;"OK","",IF(F2604="",N(INDEX(mat_loss,MATCH(B2604,mat_ref,0))),F2604))</f>
        <v/>
      </c>
      <c r="H2604" s="66" t="str">
        <f>IF(J2604&lt;&gt;"OK","",INDEX(mat_price,MATCH(B2604,mat_ref,0)))</f>
        <v/>
      </c>
      <c r="I2604" s="66" t="str">
        <f>IF(J2604&lt;&gt;"OK","",E2604*(1+G2604)*H2604)</f>
        <v/>
      </c>
      <c r="J2604" s="69" t="str">
        <f>IF(AND(A2604="",B2604=""),"",IF(A2604="","Produit manquant",IF(COUNTIF(prod_ref,A2604)=0,"Produit inconnu",IF(B2604="","Matière manquante",IF(ISNA(MATCH(B2604,mat_ref,0)),"Matière inconnue",IF(INDEX(mat_check,MATCH(B2604,mat_ref,0))&lt;&gt;"OK","Matière à corriger",IF(OR(NOT(ISNUMBER(E2604)),N(E2604)&lt;=0),"Quantité invalide",IF(AND(F2604&lt;&gt;"",OR(NOT(ISNUMBER(F2604)),N(F2604)&lt;0,N(F2604)&gt;=1)),"Perte entre 0 et 99 %",IF(COUNTIFS(bom_prod,A2604,bom_mat,B2604)&gt;1,"Matière en double","OK")))))))))</f>
        <v/>
      </c>
      <c r="K2604" s="71" t="str">
        <f>IF(AND(fiche_sel&lt;&gt;"",A2604=fiche_sel),COUNTIF(A$6:A2604,fiche_sel),"")</f>
        <v/>
      </c>
    </row>
    <row r="2605">
      <c r="A2605" s="60" t="n"/>
      <c r="B2605" s="60" t="n"/>
      <c r="C2605" s="71" t="str">
        <f>IF(B2605="","",IFERROR(INDEX(mat_des,MATCH(B2605,mat_ref,0))&amp;"","Matière inconnue"))</f>
        <v/>
      </c>
      <c r="D2605" s="69" t="str">
        <f>IF(B2605="","",IFERROR(INDEX(mat_unit,MATCH(B2605,mat_ref,0))&amp;"",""))</f>
        <v/>
      </c>
      <c r="E2605" s="72" t="n"/>
      <c r="F2605" s="65" t="n"/>
      <c r="G2605" s="68" t="str">
        <f>IF(J2605&lt;&gt;"OK","",IF(F2605="",N(INDEX(mat_loss,MATCH(B2605,mat_ref,0))),F2605))</f>
        <v/>
      </c>
      <c r="H2605" s="66" t="str">
        <f>IF(J2605&lt;&gt;"OK","",INDEX(mat_price,MATCH(B2605,mat_ref,0)))</f>
        <v/>
      </c>
      <c r="I2605" s="66" t="str">
        <f>IF(J2605&lt;&gt;"OK","",E2605*(1+G2605)*H2605)</f>
        <v/>
      </c>
      <c r="J2605" s="69" t="str">
        <f>IF(AND(A2605="",B2605=""),"",IF(A2605="","Produit manquant",IF(COUNTIF(prod_ref,A2605)=0,"Produit inconnu",IF(B2605="","Matière manquante",IF(ISNA(MATCH(B2605,mat_ref,0)),"Matière inconnue",IF(INDEX(mat_check,MATCH(B2605,mat_ref,0))&lt;&gt;"OK","Matière à corriger",IF(OR(NOT(ISNUMBER(E2605)),N(E2605)&lt;=0),"Quantité invalide",IF(AND(F2605&lt;&gt;"",OR(NOT(ISNUMBER(F2605)),N(F2605)&lt;0,N(F2605)&gt;=1)),"Perte entre 0 et 99 %",IF(COUNTIFS(bom_prod,A2605,bom_mat,B2605)&gt;1,"Matière en double","OK")))))))))</f>
        <v/>
      </c>
      <c r="K2605" s="71" t="str">
        <f>IF(AND(fiche_sel&lt;&gt;"",A2605=fiche_sel),COUNTIF(A$6:A2605,fiche_sel),"")</f>
        <v/>
      </c>
    </row>
    <row r="2606">
      <c r="A2606" s="60" t="n"/>
      <c r="B2606" s="60" t="n"/>
      <c r="C2606" s="71" t="str">
        <f>IF(B2606="","",IFERROR(INDEX(mat_des,MATCH(B2606,mat_ref,0))&amp;"","Matière inconnue"))</f>
        <v/>
      </c>
      <c r="D2606" s="69" t="str">
        <f>IF(B2606="","",IFERROR(INDEX(mat_unit,MATCH(B2606,mat_ref,0))&amp;"",""))</f>
        <v/>
      </c>
      <c r="E2606" s="72" t="n"/>
      <c r="F2606" s="65" t="n"/>
      <c r="G2606" s="68" t="str">
        <f>IF(J2606&lt;&gt;"OK","",IF(F2606="",N(INDEX(mat_loss,MATCH(B2606,mat_ref,0))),F2606))</f>
        <v/>
      </c>
      <c r="H2606" s="66" t="str">
        <f>IF(J2606&lt;&gt;"OK","",INDEX(mat_price,MATCH(B2606,mat_ref,0)))</f>
        <v/>
      </c>
      <c r="I2606" s="66" t="str">
        <f>IF(J2606&lt;&gt;"OK","",E2606*(1+G2606)*H2606)</f>
        <v/>
      </c>
      <c r="J2606" s="69" t="str">
        <f>IF(AND(A2606="",B2606=""),"",IF(A2606="","Produit manquant",IF(COUNTIF(prod_ref,A2606)=0,"Produit inconnu",IF(B2606="","Matière manquante",IF(ISNA(MATCH(B2606,mat_ref,0)),"Matière inconnue",IF(INDEX(mat_check,MATCH(B2606,mat_ref,0))&lt;&gt;"OK","Matière à corriger",IF(OR(NOT(ISNUMBER(E2606)),N(E2606)&lt;=0),"Quantité invalide",IF(AND(F2606&lt;&gt;"",OR(NOT(ISNUMBER(F2606)),N(F2606)&lt;0,N(F2606)&gt;=1)),"Perte entre 0 et 99 %",IF(COUNTIFS(bom_prod,A2606,bom_mat,B2606)&gt;1,"Matière en double","OK")))))))))</f>
        <v/>
      </c>
      <c r="K2606" s="71" t="str">
        <f>IF(AND(fiche_sel&lt;&gt;"",A2606=fiche_sel),COUNTIF(A$6:A2606,fiche_sel),"")</f>
        <v/>
      </c>
    </row>
    <row r="2607">
      <c r="A2607" s="60" t="n"/>
      <c r="B2607" s="60" t="n"/>
      <c r="C2607" s="71" t="str">
        <f>IF(B2607="","",IFERROR(INDEX(mat_des,MATCH(B2607,mat_ref,0))&amp;"","Matière inconnue"))</f>
        <v/>
      </c>
      <c r="D2607" s="69" t="str">
        <f>IF(B2607="","",IFERROR(INDEX(mat_unit,MATCH(B2607,mat_ref,0))&amp;"",""))</f>
        <v/>
      </c>
      <c r="E2607" s="72" t="n"/>
      <c r="F2607" s="65" t="n"/>
      <c r="G2607" s="68" t="str">
        <f>IF(J2607&lt;&gt;"OK","",IF(F2607="",N(INDEX(mat_loss,MATCH(B2607,mat_ref,0))),F2607))</f>
        <v/>
      </c>
      <c r="H2607" s="66" t="str">
        <f>IF(J2607&lt;&gt;"OK","",INDEX(mat_price,MATCH(B2607,mat_ref,0)))</f>
        <v/>
      </c>
      <c r="I2607" s="66" t="str">
        <f>IF(J2607&lt;&gt;"OK","",E2607*(1+G2607)*H2607)</f>
        <v/>
      </c>
      <c r="J2607" s="69" t="str">
        <f>IF(AND(A2607="",B2607=""),"",IF(A2607="","Produit manquant",IF(COUNTIF(prod_ref,A2607)=0,"Produit inconnu",IF(B2607="","Matière manquante",IF(ISNA(MATCH(B2607,mat_ref,0)),"Matière inconnue",IF(INDEX(mat_check,MATCH(B2607,mat_ref,0))&lt;&gt;"OK","Matière à corriger",IF(OR(NOT(ISNUMBER(E2607)),N(E2607)&lt;=0),"Quantité invalide",IF(AND(F2607&lt;&gt;"",OR(NOT(ISNUMBER(F2607)),N(F2607)&lt;0,N(F2607)&gt;=1)),"Perte entre 0 et 99 %",IF(COUNTIFS(bom_prod,A2607,bom_mat,B2607)&gt;1,"Matière en double","OK")))))))))</f>
        <v/>
      </c>
      <c r="K2607" s="71" t="str">
        <f>IF(AND(fiche_sel&lt;&gt;"",A2607=fiche_sel),COUNTIF(A$6:A2607,fiche_sel),"")</f>
        <v/>
      </c>
    </row>
    <row r="2608">
      <c r="A2608" s="60" t="n"/>
      <c r="B2608" s="60" t="n"/>
      <c r="C2608" s="71" t="str">
        <f>IF(B2608="","",IFERROR(INDEX(mat_des,MATCH(B2608,mat_ref,0))&amp;"","Matière inconnue"))</f>
        <v/>
      </c>
      <c r="D2608" s="69" t="str">
        <f>IF(B2608="","",IFERROR(INDEX(mat_unit,MATCH(B2608,mat_ref,0))&amp;"",""))</f>
        <v/>
      </c>
      <c r="E2608" s="72" t="n"/>
      <c r="F2608" s="65" t="n"/>
      <c r="G2608" s="68" t="str">
        <f>IF(J2608&lt;&gt;"OK","",IF(F2608="",N(INDEX(mat_loss,MATCH(B2608,mat_ref,0))),F2608))</f>
        <v/>
      </c>
      <c r="H2608" s="66" t="str">
        <f>IF(J2608&lt;&gt;"OK","",INDEX(mat_price,MATCH(B2608,mat_ref,0)))</f>
        <v/>
      </c>
      <c r="I2608" s="66" t="str">
        <f>IF(J2608&lt;&gt;"OK","",E2608*(1+G2608)*H2608)</f>
        <v/>
      </c>
      <c r="J2608" s="69" t="str">
        <f>IF(AND(A2608="",B2608=""),"",IF(A2608="","Produit manquant",IF(COUNTIF(prod_ref,A2608)=0,"Produit inconnu",IF(B2608="","Matière manquante",IF(ISNA(MATCH(B2608,mat_ref,0)),"Matière inconnue",IF(INDEX(mat_check,MATCH(B2608,mat_ref,0))&lt;&gt;"OK","Matière à corriger",IF(OR(NOT(ISNUMBER(E2608)),N(E2608)&lt;=0),"Quantité invalide",IF(AND(F2608&lt;&gt;"",OR(NOT(ISNUMBER(F2608)),N(F2608)&lt;0,N(F2608)&gt;=1)),"Perte entre 0 et 99 %",IF(COUNTIFS(bom_prod,A2608,bom_mat,B2608)&gt;1,"Matière en double","OK")))))))))</f>
        <v/>
      </c>
      <c r="K2608" s="71" t="str">
        <f>IF(AND(fiche_sel&lt;&gt;"",A2608=fiche_sel),COUNTIF(A$6:A2608,fiche_sel),"")</f>
        <v/>
      </c>
    </row>
    <row r="2609">
      <c r="A2609" s="60" t="n"/>
      <c r="B2609" s="60" t="n"/>
      <c r="C2609" s="71" t="str">
        <f>IF(B2609="","",IFERROR(INDEX(mat_des,MATCH(B2609,mat_ref,0))&amp;"","Matière inconnue"))</f>
        <v/>
      </c>
      <c r="D2609" s="69" t="str">
        <f>IF(B2609="","",IFERROR(INDEX(mat_unit,MATCH(B2609,mat_ref,0))&amp;"",""))</f>
        <v/>
      </c>
      <c r="E2609" s="72" t="n"/>
      <c r="F2609" s="65" t="n"/>
      <c r="G2609" s="68" t="str">
        <f>IF(J2609&lt;&gt;"OK","",IF(F2609="",N(INDEX(mat_loss,MATCH(B2609,mat_ref,0))),F2609))</f>
        <v/>
      </c>
      <c r="H2609" s="66" t="str">
        <f>IF(J2609&lt;&gt;"OK","",INDEX(mat_price,MATCH(B2609,mat_ref,0)))</f>
        <v/>
      </c>
      <c r="I2609" s="66" t="str">
        <f>IF(J2609&lt;&gt;"OK","",E2609*(1+G2609)*H2609)</f>
        <v/>
      </c>
      <c r="J2609" s="69" t="str">
        <f>IF(AND(A2609="",B2609=""),"",IF(A2609="","Produit manquant",IF(COUNTIF(prod_ref,A2609)=0,"Produit inconnu",IF(B2609="","Matière manquante",IF(ISNA(MATCH(B2609,mat_ref,0)),"Matière inconnue",IF(INDEX(mat_check,MATCH(B2609,mat_ref,0))&lt;&gt;"OK","Matière à corriger",IF(OR(NOT(ISNUMBER(E2609)),N(E2609)&lt;=0),"Quantité invalide",IF(AND(F2609&lt;&gt;"",OR(NOT(ISNUMBER(F2609)),N(F2609)&lt;0,N(F2609)&gt;=1)),"Perte entre 0 et 99 %",IF(COUNTIFS(bom_prod,A2609,bom_mat,B2609)&gt;1,"Matière en double","OK")))))))))</f>
        <v/>
      </c>
      <c r="K2609" s="71" t="str">
        <f>IF(AND(fiche_sel&lt;&gt;"",A2609=fiche_sel),COUNTIF(A$6:A2609,fiche_sel),"")</f>
        <v/>
      </c>
    </row>
    <row r="2610">
      <c r="A2610" s="60" t="n"/>
      <c r="B2610" s="60" t="n"/>
      <c r="C2610" s="71" t="str">
        <f>IF(B2610="","",IFERROR(INDEX(mat_des,MATCH(B2610,mat_ref,0))&amp;"","Matière inconnue"))</f>
        <v/>
      </c>
      <c r="D2610" s="69" t="str">
        <f>IF(B2610="","",IFERROR(INDEX(mat_unit,MATCH(B2610,mat_ref,0))&amp;"",""))</f>
        <v/>
      </c>
      <c r="E2610" s="72" t="n"/>
      <c r="F2610" s="65" t="n"/>
      <c r="G2610" s="68" t="str">
        <f>IF(J2610&lt;&gt;"OK","",IF(F2610="",N(INDEX(mat_loss,MATCH(B2610,mat_ref,0))),F2610))</f>
        <v/>
      </c>
      <c r="H2610" s="66" t="str">
        <f>IF(J2610&lt;&gt;"OK","",INDEX(mat_price,MATCH(B2610,mat_ref,0)))</f>
        <v/>
      </c>
      <c r="I2610" s="66" t="str">
        <f>IF(J2610&lt;&gt;"OK","",E2610*(1+G2610)*H2610)</f>
        <v/>
      </c>
      <c r="J2610" s="69" t="str">
        <f>IF(AND(A2610="",B2610=""),"",IF(A2610="","Produit manquant",IF(COUNTIF(prod_ref,A2610)=0,"Produit inconnu",IF(B2610="","Matière manquante",IF(ISNA(MATCH(B2610,mat_ref,0)),"Matière inconnue",IF(INDEX(mat_check,MATCH(B2610,mat_ref,0))&lt;&gt;"OK","Matière à corriger",IF(OR(NOT(ISNUMBER(E2610)),N(E2610)&lt;=0),"Quantité invalide",IF(AND(F2610&lt;&gt;"",OR(NOT(ISNUMBER(F2610)),N(F2610)&lt;0,N(F2610)&gt;=1)),"Perte entre 0 et 99 %",IF(COUNTIFS(bom_prod,A2610,bom_mat,B2610)&gt;1,"Matière en double","OK")))))))))</f>
        <v/>
      </c>
      <c r="K2610" s="71" t="str">
        <f>IF(AND(fiche_sel&lt;&gt;"",A2610=fiche_sel),COUNTIF(A$6:A2610,fiche_sel),"")</f>
        <v/>
      </c>
    </row>
    <row r="2611">
      <c r="A2611" s="60" t="n"/>
      <c r="B2611" s="60" t="n"/>
      <c r="C2611" s="71" t="str">
        <f>IF(B2611="","",IFERROR(INDEX(mat_des,MATCH(B2611,mat_ref,0))&amp;"","Matière inconnue"))</f>
        <v/>
      </c>
      <c r="D2611" s="69" t="str">
        <f>IF(B2611="","",IFERROR(INDEX(mat_unit,MATCH(B2611,mat_ref,0))&amp;"",""))</f>
        <v/>
      </c>
      <c r="E2611" s="72" t="n"/>
      <c r="F2611" s="65" t="n"/>
      <c r="G2611" s="68" t="str">
        <f>IF(J2611&lt;&gt;"OK","",IF(F2611="",N(INDEX(mat_loss,MATCH(B2611,mat_ref,0))),F2611))</f>
        <v/>
      </c>
      <c r="H2611" s="66" t="str">
        <f>IF(J2611&lt;&gt;"OK","",INDEX(mat_price,MATCH(B2611,mat_ref,0)))</f>
        <v/>
      </c>
      <c r="I2611" s="66" t="str">
        <f>IF(J2611&lt;&gt;"OK","",E2611*(1+G2611)*H2611)</f>
        <v/>
      </c>
      <c r="J2611" s="69" t="str">
        <f>IF(AND(A2611="",B2611=""),"",IF(A2611="","Produit manquant",IF(COUNTIF(prod_ref,A2611)=0,"Produit inconnu",IF(B2611="","Matière manquante",IF(ISNA(MATCH(B2611,mat_ref,0)),"Matière inconnue",IF(INDEX(mat_check,MATCH(B2611,mat_ref,0))&lt;&gt;"OK","Matière à corriger",IF(OR(NOT(ISNUMBER(E2611)),N(E2611)&lt;=0),"Quantité invalide",IF(AND(F2611&lt;&gt;"",OR(NOT(ISNUMBER(F2611)),N(F2611)&lt;0,N(F2611)&gt;=1)),"Perte entre 0 et 99 %",IF(COUNTIFS(bom_prod,A2611,bom_mat,B2611)&gt;1,"Matière en double","OK")))))))))</f>
        <v/>
      </c>
      <c r="K2611" s="71" t="str">
        <f>IF(AND(fiche_sel&lt;&gt;"",A2611=fiche_sel),COUNTIF(A$6:A2611,fiche_sel),"")</f>
        <v/>
      </c>
    </row>
    <row r="2612">
      <c r="A2612" s="60" t="n"/>
      <c r="B2612" s="60" t="n"/>
      <c r="C2612" s="71" t="str">
        <f>IF(B2612="","",IFERROR(INDEX(mat_des,MATCH(B2612,mat_ref,0))&amp;"","Matière inconnue"))</f>
        <v/>
      </c>
      <c r="D2612" s="69" t="str">
        <f>IF(B2612="","",IFERROR(INDEX(mat_unit,MATCH(B2612,mat_ref,0))&amp;"",""))</f>
        <v/>
      </c>
      <c r="E2612" s="72" t="n"/>
      <c r="F2612" s="65" t="n"/>
      <c r="G2612" s="68" t="str">
        <f>IF(J2612&lt;&gt;"OK","",IF(F2612="",N(INDEX(mat_loss,MATCH(B2612,mat_ref,0))),F2612))</f>
        <v/>
      </c>
      <c r="H2612" s="66" t="str">
        <f>IF(J2612&lt;&gt;"OK","",INDEX(mat_price,MATCH(B2612,mat_ref,0)))</f>
        <v/>
      </c>
      <c r="I2612" s="66" t="str">
        <f>IF(J2612&lt;&gt;"OK","",E2612*(1+G2612)*H2612)</f>
        <v/>
      </c>
      <c r="J2612" s="69" t="str">
        <f>IF(AND(A2612="",B2612=""),"",IF(A2612="","Produit manquant",IF(COUNTIF(prod_ref,A2612)=0,"Produit inconnu",IF(B2612="","Matière manquante",IF(ISNA(MATCH(B2612,mat_ref,0)),"Matière inconnue",IF(INDEX(mat_check,MATCH(B2612,mat_ref,0))&lt;&gt;"OK","Matière à corriger",IF(OR(NOT(ISNUMBER(E2612)),N(E2612)&lt;=0),"Quantité invalide",IF(AND(F2612&lt;&gt;"",OR(NOT(ISNUMBER(F2612)),N(F2612)&lt;0,N(F2612)&gt;=1)),"Perte entre 0 et 99 %",IF(COUNTIFS(bom_prod,A2612,bom_mat,B2612)&gt;1,"Matière en double","OK")))))))))</f>
        <v/>
      </c>
      <c r="K2612" s="71" t="str">
        <f>IF(AND(fiche_sel&lt;&gt;"",A2612=fiche_sel),COUNTIF(A$6:A2612,fiche_sel),"")</f>
        <v/>
      </c>
    </row>
    <row r="2613">
      <c r="A2613" s="60" t="n"/>
      <c r="B2613" s="60" t="n"/>
      <c r="C2613" s="71" t="str">
        <f>IF(B2613="","",IFERROR(INDEX(mat_des,MATCH(B2613,mat_ref,0))&amp;"","Matière inconnue"))</f>
        <v/>
      </c>
      <c r="D2613" s="69" t="str">
        <f>IF(B2613="","",IFERROR(INDEX(mat_unit,MATCH(B2613,mat_ref,0))&amp;"",""))</f>
        <v/>
      </c>
      <c r="E2613" s="72" t="n"/>
      <c r="F2613" s="65" t="n"/>
      <c r="G2613" s="68" t="str">
        <f>IF(J2613&lt;&gt;"OK","",IF(F2613="",N(INDEX(mat_loss,MATCH(B2613,mat_ref,0))),F2613))</f>
        <v/>
      </c>
      <c r="H2613" s="66" t="str">
        <f>IF(J2613&lt;&gt;"OK","",INDEX(mat_price,MATCH(B2613,mat_ref,0)))</f>
        <v/>
      </c>
      <c r="I2613" s="66" t="str">
        <f>IF(J2613&lt;&gt;"OK","",E2613*(1+G2613)*H2613)</f>
        <v/>
      </c>
      <c r="J2613" s="69" t="str">
        <f>IF(AND(A2613="",B2613=""),"",IF(A2613="","Produit manquant",IF(COUNTIF(prod_ref,A2613)=0,"Produit inconnu",IF(B2613="","Matière manquante",IF(ISNA(MATCH(B2613,mat_ref,0)),"Matière inconnue",IF(INDEX(mat_check,MATCH(B2613,mat_ref,0))&lt;&gt;"OK","Matière à corriger",IF(OR(NOT(ISNUMBER(E2613)),N(E2613)&lt;=0),"Quantité invalide",IF(AND(F2613&lt;&gt;"",OR(NOT(ISNUMBER(F2613)),N(F2613)&lt;0,N(F2613)&gt;=1)),"Perte entre 0 et 99 %",IF(COUNTIFS(bom_prod,A2613,bom_mat,B2613)&gt;1,"Matière en double","OK")))))))))</f>
        <v/>
      </c>
      <c r="K2613" s="71" t="str">
        <f>IF(AND(fiche_sel&lt;&gt;"",A2613=fiche_sel),COUNTIF(A$6:A2613,fiche_sel),"")</f>
        <v/>
      </c>
    </row>
    <row r="2614">
      <c r="A2614" s="60" t="n"/>
      <c r="B2614" s="60" t="n"/>
      <c r="C2614" s="71" t="str">
        <f>IF(B2614="","",IFERROR(INDEX(mat_des,MATCH(B2614,mat_ref,0))&amp;"","Matière inconnue"))</f>
        <v/>
      </c>
      <c r="D2614" s="69" t="str">
        <f>IF(B2614="","",IFERROR(INDEX(mat_unit,MATCH(B2614,mat_ref,0))&amp;"",""))</f>
        <v/>
      </c>
      <c r="E2614" s="72" t="n"/>
      <c r="F2614" s="65" t="n"/>
      <c r="G2614" s="68" t="str">
        <f>IF(J2614&lt;&gt;"OK","",IF(F2614="",N(INDEX(mat_loss,MATCH(B2614,mat_ref,0))),F2614))</f>
        <v/>
      </c>
      <c r="H2614" s="66" t="str">
        <f>IF(J2614&lt;&gt;"OK","",INDEX(mat_price,MATCH(B2614,mat_ref,0)))</f>
        <v/>
      </c>
      <c r="I2614" s="66" t="str">
        <f>IF(J2614&lt;&gt;"OK","",E2614*(1+G2614)*H2614)</f>
        <v/>
      </c>
      <c r="J2614" s="69" t="str">
        <f>IF(AND(A2614="",B2614=""),"",IF(A2614="","Produit manquant",IF(COUNTIF(prod_ref,A2614)=0,"Produit inconnu",IF(B2614="","Matière manquante",IF(ISNA(MATCH(B2614,mat_ref,0)),"Matière inconnue",IF(INDEX(mat_check,MATCH(B2614,mat_ref,0))&lt;&gt;"OK","Matière à corriger",IF(OR(NOT(ISNUMBER(E2614)),N(E2614)&lt;=0),"Quantité invalide",IF(AND(F2614&lt;&gt;"",OR(NOT(ISNUMBER(F2614)),N(F2614)&lt;0,N(F2614)&gt;=1)),"Perte entre 0 et 99 %",IF(COUNTIFS(bom_prod,A2614,bom_mat,B2614)&gt;1,"Matière en double","OK")))))))))</f>
        <v/>
      </c>
      <c r="K2614" s="71" t="str">
        <f>IF(AND(fiche_sel&lt;&gt;"",A2614=fiche_sel),COUNTIF(A$6:A2614,fiche_sel),"")</f>
        <v/>
      </c>
    </row>
    <row r="2615">
      <c r="A2615" s="60" t="n"/>
      <c r="B2615" s="60" t="n"/>
      <c r="C2615" s="71" t="str">
        <f>IF(B2615="","",IFERROR(INDEX(mat_des,MATCH(B2615,mat_ref,0))&amp;"","Matière inconnue"))</f>
        <v/>
      </c>
      <c r="D2615" s="69" t="str">
        <f>IF(B2615="","",IFERROR(INDEX(mat_unit,MATCH(B2615,mat_ref,0))&amp;"",""))</f>
        <v/>
      </c>
      <c r="E2615" s="72" t="n"/>
      <c r="F2615" s="65" t="n"/>
      <c r="G2615" s="68" t="str">
        <f>IF(J2615&lt;&gt;"OK","",IF(F2615="",N(INDEX(mat_loss,MATCH(B2615,mat_ref,0))),F2615))</f>
        <v/>
      </c>
      <c r="H2615" s="66" t="str">
        <f>IF(J2615&lt;&gt;"OK","",INDEX(mat_price,MATCH(B2615,mat_ref,0)))</f>
        <v/>
      </c>
      <c r="I2615" s="66" t="str">
        <f>IF(J2615&lt;&gt;"OK","",E2615*(1+G2615)*H2615)</f>
        <v/>
      </c>
      <c r="J2615" s="69" t="str">
        <f>IF(AND(A2615="",B2615=""),"",IF(A2615="","Produit manquant",IF(COUNTIF(prod_ref,A2615)=0,"Produit inconnu",IF(B2615="","Matière manquante",IF(ISNA(MATCH(B2615,mat_ref,0)),"Matière inconnue",IF(INDEX(mat_check,MATCH(B2615,mat_ref,0))&lt;&gt;"OK","Matière à corriger",IF(OR(NOT(ISNUMBER(E2615)),N(E2615)&lt;=0),"Quantité invalide",IF(AND(F2615&lt;&gt;"",OR(NOT(ISNUMBER(F2615)),N(F2615)&lt;0,N(F2615)&gt;=1)),"Perte entre 0 et 99 %",IF(COUNTIFS(bom_prod,A2615,bom_mat,B2615)&gt;1,"Matière en double","OK")))))))))</f>
        <v/>
      </c>
      <c r="K2615" s="71" t="str">
        <f>IF(AND(fiche_sel&lt;&gt;"",A2615=fiche_sel),COUNTIF(A$6:A2615,fiche_sel),"")</f>
        <v/>
      </c>
    </row>
    <row r="2616">
      <c r="A2616" s="60" t="n"/>
      <c r="B2616" s="60" t="n"/>
      <c r="C2616" s="71" t="str">
        <f>IF(B2616="","",IFERROR(INDEX(mat_des,MATCH(B2616,mat_ref,0))&amp;"","Matière inconnue"))</f>
        <v/>
      </c>
      <c r="D2616" s="69" t="str">
        <f>IF(B2616="","",IFERROR(INDEX(mat_unit,MATCH(B2616,mat_ref,0))&amp;"",""))</f>
        <v/>
      </c>
      <c r="E2616" s="72" t="n"/>
      <c r="F2616" s="65" t="n"/>
      <c r="G2616" s="68" t="str">
        <f>IF(J2616&lt;&gt;"OK","",IF(F2616="",N(INDEX(mat_loss,MATCH(B2616,mat_ref,0))),F2616))</f>
        <v/>
      </c>
      <c r="H2616" s="66" t="str">
        <f>IF(J2616&lt;&gt;"OK","",INDEX(mat_price,MATCH(B2616,mat_ref,0)))</f>
        <v/>
      </c>
      <c r="I2616" s="66" t="str">
        <f>IF(J2616&lt;&gt;"OK","",E2616*(1+G2616)*H2616)</f>
        <v/>
      </c>
      <c r="J2616" s="69" t="str">
        <f>IF(AND(A2616="",B2616=""),"",IF(A2616="","Produit manquant",IF(COUNTIF(prod_ref,A2616)=0,"Produit inconnu",IF(B2616="","Matière manquante",IF(ISNA(MATCH(B2616,mat_ref,0)),"Matière inconnue",IF(INDEX(mat_check,MATCH(B2616,mat_ref,0))&lt;&gt;"OK","Matière à corriger",IF(OR(NOT(ISNUMBER(E2616)),N(E2616)&lt;=0),"Quantité invalide",IF(AND(F2616&lt;&gt;"",OR(NOT(ISNUMBER(F2616)),N(F2616)&lt;0,N(F2616)&gt;=1)),"Perte entre 0 et 99 %",IF(COUNTIFS(bom_prod,A2616,bom_mat,B2616)&gt;1,"Matière en double","OK")))))))))</f>
        <v/>
      </c>
      <c r="K2616" s="71" t="str">
        <f>IF(AND(fiche_sel&lt;&gt;"",A2616=fiche_sel),COUNTIF(A$6:A2616,fiche_sel),"")</f>
        <v/>
      </c>
    </row>
    <row r="2617">
      <c r="A2617" s="60" t="n"/>
      <c r="B2617" s="60" t="n"/>
      <c r="C2617" s="71" t="str">
        <f>IF(B2617="","",IFERROR(INDEX(mat_des,MATCH(B2617,mat_ref,0))&amp;"","Matière inconnue"))</f>
        <v/>
      </c>
      <c r="D2617" s="69" t="str">
        <f>IF(B2617="","",IFERROR(INDEX(mat_unit,MATCH(B2617,mat_ref,0))&amp;"",""))</f>
        <v/>
      </c>
      <c r="E2617" s="72" t="n"/>
      <c r="F2617" s="65" t="n"/>
      <c r="G2617" s="68" t="str">
        <f>IF(J2617&lt;&gt;"OK","",IF(F2617="",N(INDEX(mat_loss,MATCH(B2617,mat_ref,0))),F2617))</f>
        <v/>
      </c>
      <c r="H2617" s="66" t="str">
        <f>IF(J2617&lt;&gt;"OK","",INDEX(mat_price,MATCH(B2617,mat_ref,0)))</f>
        <v/>
      </c>
      <c r="I2617" s="66" t="str">
        <f>IF(J2617&lt;&gt;"OK","",E2617*(1+G2617)*H2617)</f>
        <v/>
      </c>
      <c r="J2617" s="69" t="str">
        <f>IF(AND(A2617="",B2617=""),"",IF(A2617="","Produit manquant",IF(COUNTIF(prod_ref,A2617)=0,"Produit inconnu",IF(B2617="","Matière manquante",IF(ISNA(MATCH(B2617,mat_ref,0)),"Matière inconnue",IF(INDEX(mat_check,MATCH(B2617,mat_ref,0))&lt;&gt;"OK","Matière à corriger",IF(OR(NOT(ISNUMBER(E2617)),N(E2617)&lt;=0),"Quantité invalide",IF(AND(F2617&lt;&gt;"",OR(NOT(ISNUMBER(F2617)),N(F2617)&lt;0,N(F2617)&gt;=1)),"Perte entre 0 et 99 %",IF(COUNTIFS(bom_prod,A2617,bom_mat,B2617)&gt;1,"Matière en double","OK")))))))))</f>
        <v/>
      </c>
      <c r="K2617" s="71" t="str">
        <f>IF(AND(fiche_sel&lt;&gt;"",A2617=fiche_sel),COUNTIF(A$6:A2617,fiche_sel),"")</f>
        <v/>
      </c>
    </row>
    <row r="2618">
      <c r="A2618" s="60" t="n"/>
      <c r="B2618" s="60" t="n"/>
      <c r="C2618" s="71" t="str">
        <f>IF(B2618="","",IFERROR(INDEX(mat_des,MATCH(B2618,mat_ref,0))&amp;"","Matière inconnue"))</f>
        <v/>
      </c>
      <c r="D2618" s="69" t="str">
        <f>IF(B2618="","",IFERROR(INDEX(mat_unit,MATCH(B2618,mat_ref,0))&amp;"",""))</f>
        <v/>
      </c>
      <c r="E2618" s="72" t="n"/>
      <c r="F2618" s="65" t="n"/>
      <c r="G2618" s="68" t="str">
        <f>IF(J2618&lt;&gt;"OK","",IF(F2618="",N(INDEX(mat_loss,MATCH(B2618,mat_ref,0))),F2618))</f>
        <v/>
      </c>
      <c r="H2618" s="66" t="str">
        <f>IF(J2618&lt;&gt;"OK","",INDEX(mat_price,MATCH(B2618,mat_ref,0)))</f>
        <v/>
      </c>
      <c r="I2618" s="66" t="str">
        <f>IF(J2618&lt;&gt;"OK","",E2618*(1+G2618)*H2618)</f>
        <v/>
      </c>
      <c r="J2618" s="69" t="str">
        <f>IF(AND(A2618="",B2618=""),"",IF(A2618="","Produit manquant",IF(COUNTIF(prod_ref,A2618)=0,"Produit inconnu",IF(B2618="","Matière manquante",IF(ISNA(MATCH(B2618,mat_ref,0)),"Matière inconnue",IF(INDEX(mat_check,MATCH(B2618,mat_ref,0))&lt;&gt;"OK","Matière à corriger",IF(OR(NOT(ISNUMBER(E2618)),N(E2618)&lt;=0),"Quantité invalide",IF(AND(F2618&lt;&gt;"",OR(NOT(ISNUMBER(F2618)),N(F2618)&lt;0,N(F2618)&gt;=1)),"Perte entre 0 et 99 %",IF(COUNTIFS(bom_prod,A2618,bom_mat,B2618)&gt;1,"Matière en double","OK")))))))))</f>
        <v/>
      </c>
      <c r="K2618" s="71" t="str">
        <f>IF(AND(fiche_sel&lt;&gt;"",A2618=fiche_sel),COUNTIF(A$6:A2618,fiche_sel),"")</f>
        <v/>
      </c>
    </row>
    <row r="2619">
      <c r="A2619" s="60" t="n"/>
      <c r="B2619" s="60" t="n"/>
      <c r="C2619" s="71" t="str">
        <f>IF(B2619="","",IFERROR(INDEX(mat_des,MATCH(B2619,mat_ref,0))&amp;"","Matière inconnue"))</f>
        <v/>
      </c>
      <c r="D2619" s="69" t="str">
        <f>IF(B2619="","",IFERROR(INDEX(mat_unit,MATCH(B2619,mat_ref,0))&amp;"",""))</f>
        <v/>
      </c>
      <c r="E2619" s="72" t="n"/>
      <c r="F2619" s="65" t="n"/>
      <c r="G2619" s="68" t="str">
        <f>IF(J2619&lt;&gt;"OK","",IF(F2619="",N(INDEX(mat_loss,MATCH(B2619,mat_ref,0))),F2619))</f>
        <v/>
      </c>
      <c r="H2619" s="66" t="str">
        <f>IF(J2619&lt;&gt;"OK","",INDEX(mat_price,MATCH(B2619,mat_ref,0)))</f>
        <v/>
      </c>
      <c r="I2619" s="66" t="str">
        <f>IF(J2619&lt;&gt;"OK","",E2619*(1+G2619)*H2619)</f>
        <v/>
      </c>
      <c r="J2619" s="69" t="str">
        <f>IF(AND(A2619="",B2619=""),"",IF(A2619="","Produit manquant",IF(COUNTIF(prod_ref,A2619)=0,"Produit inconnu",IF(B2619="","Matière manquante",IF(ISNA(MATCH(B2619,mat_ref,0)),"Matière inconnue",IF(INDEX(mat_check,MATCH(B2619,mat_ref,0))&lt;&gt;"OK","Matière à corriger",IF(OR(NOT(ISNUMBER(E2619)),N(E2619)&lt;=0),"Quantité invalide",IF(AND(F2619&lt;&gt;"",OR(NOT(ISNUMBER(F2619)),N(F2619)&lt;0,N(F2619)&gt;=1)),"Perte entre 0 et 99 %",IF(COUNTIFS(bom_prod,A2619,bom_mat,B2619)&gt;1,"Matière en double","OK")))))))))</f>
        <v/>
      </c>
      <c r="K2619" s="71" t="str">
        <f>IF(AND(fiche_sel&lt;&gt;"",A2619=fiche_sel),COUNTIF(A$6:A2619,fiche_sel),"")</f>
        <v/>
      </c>
    </row>
    <row r="2620">
      <c r="A2620" s="60" t="n"/>
      <c r="B2620" s="60" t="n"/>
      <c r="C2620" s="71" t="str">
        <f>IF(B2620="","",IFERROR(INDEX(mat_des,MATCH(B2620,mat_ref,0))&amp;"","Matière inconnue"))</f>
        <v/>
      </c>
      <c r="D2620" s="69" t="str">
        <f>IF(B2620="","",IFERROR(INDEX(mat_unit,MATCH(B2620,mat_ref,0))&amp;"",""))</f>
        <v/>
      </c>
      <c r="E2620" s="72" t="n"/>
      <c r="F2620" s="65" t="n"/>
      <c r="G2620" s="68" t="str">
        <f>IF(J2620&lt;&gt;"OK","",IF(F2620="",N(INDEX(mat_loss,MATCH(B2620,mat_ref,0))),F2620))</f>
        <v/>
      </c>
      <c r="H2620" s="66" t="str">
        <f>IF(J2620&lt;&gt;"OK","",INDEX(mat_price,MATCH(B2620,mat_ref,0)))</f>
        <v/>
      </c>
      <c r="I2620" s="66" t="str">
        <f>IF(J2620&lt;&gt;"OK","",E2620*(1+G2620)*H2620)</f>
        <v/>
      </c>
      <c r="J2620" s="69" t="str">
        <f>IF(AND(A2620="",B2620=""),"",IF(A2620="","Produit manquant",IF(COUNTIF(prod_ref,A2620)=0,"Produit inconnu",IF(B2620="","Matière manquante",IF(ISNA(MATCH(B2620,mat_ref,0)),"Matière inconnue",IF(INDEX(mat_check,MATCH(B2620,mat_ref,0))&lt;&gt;"OK","Matière à corriger",IF(OR(NOT(ISNUMBER(E2620)),N(E2620)&lt;=0),"Quantité invalide",IF(AND(F2620&lt;&gt;"",OR(NOT(ISNUMBER(F2620)),N(F2620)&lt;0,N(F2620)&gt;=1)),"Perte entre 0 et 99 %",IF(COUNTIFS(bom_prod,A2620,bom_mat,B2620)&gt;1,"Matière en double","OK")))))))))</f>
        <v/>
      </c>
      <c r="K2620" s="71" t="str">
        <f>IF(AND(fiche_sel&lt;&gt;"",A2620=fiche_sel),COUNTIF(A$6:A2620,fiche_sel),"")</f>
        <v/>
      </c>
    </row>
    <row r="2621">
      <c r="A2621" s="60" t="n"/>
      <c r="B2621" s="60" t="n"/>
      <c r="C2621" s="71" t="str">
        <f>IF(B2621="","",IFERROR(INDEX(mat_des,MATCH(B2621,mat_ref,0))&amp;"","Matière inconnue"))</f>
        <v/>
      </c>
      <c r="D2621" s="69" t="str">
        <f>IF(B2621="","",IFERROR(INDEX(mat_unit,MATCH(B2621,mat_ref,0))&amp;"",""))</f>
        <v/>
      </c>
      <c r="E2621" s="72" t="n"/>
      <c r="F2621" s="65" t="n"/>
      <c r="G2621" s="68" t="str">
        <f>IF(J2621&lt;&gt;"OK","",IF(F2621="",N(INDEX(mat_loss,MATCH(B2621,mat_ref,0))),F2621))</f>
        <v/>
      </c>
      <c r="H2621" s="66" t="str">
        <f>IF(J2621&lt;&gt;"OK","",INDEX(mat_price,MATCH(B2621,mat_ref,0)))</f>
        <v/>
      </c>
      <c r="I2621" s="66" t="str">
        <f>IF(J2621&lt;&gt;"OK","",E2621*(1+G2621)*H2621)</f>
        <v/>
      </c>
      <c r="J2621" s="69" t="str">
        <f>IF(AND(A2621="",B2621=""),"",IF(A2621="","Produit manquant",IF(COUNTIF(prod_ref,A2621)=0,"Produit inconnu",IF(B2621="","Matière manquante",IF(ISNA(MATCH(B2621,mat_ref,0)),"Matière inconnue",IF(INDEX(mat_check,MATCH(B2621,mat_ref,0))&lt;&gt;"OK","Matière à corriger",IF(OR(NOT(ISNUMBER(E2621)),N(E2621)&lt;=0),"Quantité invalide",IF(AND(F2621&lt;&gt;"",OR(NOT(ISNUMBER(F2621)),N(F2621)&lt;0,N(F2621)&gt;=1)),"Perte entre 0 et 99 %",IF(COUNTIFS(bom_prod,A2621,bom_mat,B2621)&gt;1,"Matière en double","OK")))))))))</f>
        <v/>
      </c>
      <c r="K2621" s="71" t="str">
        <f>IF(AND(fiche_sel&lt;&gt;"",A2621=fiche_sel),COUNTIF(A$6:A2621,fiche_sel),"")</f>
        <v/>
      </c>
    </row>
    <row r="2622">
      <c r="A2622" s="60" t="n"/>
      <c r="B2622" s="60" t="n"/>
      <c r="C2622" s="71" t="str">
        <f>IF(B2622="","",IFERROR(INDEX(mat_des,MATCH(B2622,mat_ref,0))&amp;"","Matière inconnue"))</f>
        <v/>
      </c>
      <c r="D2622" s="69" t="str">
        <f>IF(B2622="","",IFERROR(INDEX(mat_unit,MATCH(B2622,mat_ref,0))&amp;"",""))</f>
        <v/>
      </c>
      <c r="E2622" s="72" t="n"/>
      <c r="F2622" s="65" t="n"/>
      <c r="G2622" s="68" t="str">
        <f>IF(J2622&lt;&gt;"OK","",IF(F2622="",N(INDEX(mat_loss,MATCH(B2622,mat_ref,0))),F2622))</f>
        <v/>
      </c>
      <c r="H2622" s="66" t="str">
        <f>IF(J2622&lt;&gt;"OK","",INDEX(mat_price,MATCH(B2622,mat_ref,0)))</f>
        <v/>
      </c>
      <c r="I2622" s="66" t="str">
        <f>IF(J2622&lt;&gt;"OK","",E2622*(1+G2622)*H2622)</f>
        <v/>
      </c>
      <c r="J2622" s="69" t="str">
        <f>IF(AND(A2622="",B2622=""),"",IF(A2622="","Produit manquant",IF(COUNTIF(prod_ref,A2622)=0,"Produit inconnu",IF(B2622="","Matière manquante",IF(ISNA(MATCH(B2622,mat_ref,0)),"Matière inconnue",IF(INDEX(mat_check,MATCH(B2622,mat_ref,0))&lt;&gt;"OK","Matière à corriger",IF(OR(NOT(ISNUMBER(E2622)),N(E2622)&lt;=0),"Quantité invalide",IF(AND(F2622&lt;&gt;"",OR(NOT(ISNUMBER(F2622)),N(F2622)&lt;0,N(F2622)&gt;=1)),"Perte entre 0 et 99 %",IF(COUNTIFS(bom_prod,A2622,bom_mat,B2622)&gt;1,"Matière en double","OK")))))))))</f>
        <v/>
      </c>
      <c r="K2622" s="71" t="str">
        <f>IF(AND(fiche_sel&lt;&gt;"",A2622=fiche_sel),COUNTIF(A$6:A2622,fiche_sel),"")</f>
        <v/>
      </c>
    </row>
    <row r="2623">
      <c r="A2623" s="60" t="n"/>
      <c r="B2623" s="60" t="n"/>
      <c r="C2623" s="71" t="str">
        <f>IF(B2623="","",IFERROR(INDEX(mat_des,MATCH(B2623,mat_ref,0))&amp;"","Matière inconnue"))</f>
        <v/>
      </c>
      <c r="D2623" s="69" t="str">
        <f>IF(B2623="","",IFERROR(INDEX(mat_unit,MATCH(B2623,mat_ref,0))&amp;"",""))</f>
        <v/>
      </c>
      <c r="E2623" s="72" t="n"/>
      <c r="F2623" s="65" t="n"/>
      <c r="G2623" s="68" t="str">
        <f>IF(J2623&lt;&gt;"OK","",IF(F2623="",N(INDEX(mat_loss,MATCH(B2623,mat_ref,0))),F2623))</f>
        <v/>
      </c>
      <c r="H2623" s="66" t="str">
        <f>IF(J2623&lt;&gt;"OK","",INDEX(mat_price,MATCH(B2623,mat_ref,0)))</f>
        <v/>
      </c>
      <c r="I2623" s="66" t="str">
        <f>IF(J2623&lt;&gt;"OK","",E2623*(1+G2623)*H2623)</f>
        <v/>
      </c>
      <c r="J2623" s="69" t="str">
        <f>IF(AND(A2623="",B2623=""),"",IF(A2623="","Produit manquant",IF(COUNTIF(prod_ref,A2623)=0,"Produit inconnu",IF(B2623="","Matière manquante",IF(ISNA(MATCH(B2623,mat_ref,0)),"Matière inconnue",IF(INDEX(mat_check,MATCH(B2623,mat_ref,0))&lt;&gt;"OK","Matière à corriger",IF(OR(NOT(ISNUMBER(E2623)),N(E2623)&lt;=0),"Quantité invalide",IF(AND(F2623&lt;&gt;"",OR(NOT(ISNUMBER(F2623)),N(F2623)&lt;0,N(F2623)&gt;=1)),"Perte entre 0 et 99 %",IF(COUNTIFS(bom_prod,A2623,bom_mat,B2623)&gt;1,"Matière en double","OK")))))))))</f>
        <v/>
      </c>
      <c r="K2623" s="71" t="str">
        <f>IF(AND(fiche_sel&lt;&gt;"",A2623=fiche_sel),COUNTIF(A$6:A2623,fiche_sel),"")</f>
        <v/>
      </c>
    </row>
    <row r="2624">
      <c r="A2624" s="60" t="n"/>
      <c r="B2624" s="60" t="n"/>
      <c r="C2624" s="71" t="str">
        <f>IF(B2624="","",IFERROR(INDEX(mat_des,MATCH(B2624,mat_ref,0))&amp;"","Matière inconnue"))</f>
        <v/>
      </c>
      <c r="D2624" s="69" t="str">
        <f>IF(B2624="","",IFERROR(INDEX(mat_unit,MATCH(B2624,mat_ref,0))&amp;"",""))</f>
        <v/>
      </c>
      <c r="E2624" s="72" t="n"/>
      <c r="F2624" s="65" t="n"/>
      <c r="G2624" s="68" t="str">
        <f>IF(J2624&lt;&gt;"OK","",IF(F2624="",N(INDEX(mat_loss,MATCH(B2624,mat_ref,0))),F2624))</f>
        <v/>
      </c>
      <c r="H2624" s="66" t="str">
        <f>IF(J2624&lt;&gt;"OK","",INDEX(mat_price,MATCH(B2624,mat_ref,0)))</f>
        <v/>
      </c>
      <c r="I2624" s="66" t="str">
        <f>IF(J2624&lt;&gt;"OK","",E2624*(1+G2624)*H2624)</f>
        <v/>
      </c>
      <c r="J2624" s="69" t="str">
        <f>IF(AND(A2624="",B2624=""),"",IF(A2624="","Produit manquant",IF(COUNTIF(prod_ref,A2624)=0,"Produit inconnu",IF(B2624="","Matière manquante",IF(ISNA(MATCH(B2624,mat_ref,0)),"Matière inconnue",IF(INDEX(mat_check,MATCH(B2624,mat_ref,0))&lt;&gt;"OK","Matière à corriger",IF(OR(NOT(ISNUMBER(E2624)),N(E2624)&lt;=0),"Quantité invalide",IF(AND(F2624&lt;&gt;"",OR(NOT(ISNUMBER(F2624)),N(F2624)&lt;0,N(F2624)&gt;=1)),"Perte entre 0 et 99 %",IF(COUNTIFS(bom_prod,A2624,bom_mat,B2624)&gt;1,"Matière en double","OK")))))))))</f>
        <v/>
      </c>
      <c r="K2624" s="71" t="str">
        <f>IF(AND(fiche_sel&lt;&gt;"",A2624=fiche_sel),COUNTIF(A$6:A2624,fiche_sel),"")</f>
        <v/>
      </c>
    </row>
    <row r="2625">
      <c r="A2625" s="60" t="n"/>
      <c r="B2625" s="60" t="n"/>
      <c r="C2625" s="71" t="str">
        <f>IF(B2625="","",IFERROR(INDEX(mat_des,MATCH(B2625,mat_ref,0))&amp;"","Matière inconnue"))</f>
        <v/>
      </c>
      <c r="D2625" s="69" t="str">
        <f>IF(B2625="","",IFERROR(INDEX(mat_unit,MATCH(B2625,mat_ref,0))&amp;"",""))</f>
        <v/>
      </c>
      <c r="E2625" s="72" t="n"/>
      <c r="F2625" s="65" t="n"/>
      <c r="G2625" s="68" t="str">
        <f>IF(J2625&lt;&gt;"OK","",IF(F2625="",N(INDEX(mat_loss,MATCH(B2625,mat_ref,0))),F2625))</f>
        <v/>
      </c>
      <c r="H2625" s="66" t="str">
        <f>IF(J2625&lt;&gt;"OK","",INDEX(mat_price,MATCH(B2625,mat_ref,0)))</f>
        <v/>
      </c>
      <c r="I2625" s="66" t="str">
        <f>IF(J2625&lt;&gt;"OK","",E2625*(1+G2625)*H2625)</f>
        <v/>
      </c>
      <c r="J2625" s="69" t="str">
        <f>IF(AND(A2625="",B2625=""),"",IF(A2625="","Produit manquant",IF(COUNTIF(prod_ref,A2625)=0,"Produit inconnu",IF(B2625="","Matière manquante",IF(ISNA(MATCH(B2625,mat_ref,0)),"Matière inconnue",IF(INDEX(mat_check,MATCH(B2625,mat_ref,0))&lt;&gt;"OK","Matière à corriger",IF(OR(NOT(ISNUMBER(E2625)),N(E2625)&lt;=0),"Quantité invalide",IF(AND(F2625&lt;&gt;"",OR(NOT(ISNUMBER(F2625)),N(F2625)&lt;0,N(F2625)&gt;=1)),"Perte entre 0 et 99 %",IF(COUNTIFS(bom_prod,A2625,bom_mat,B2625)&gt;1,"Matière en double","OK")))))))))</f>
        <v/>
      </c>
      <c r="K2625" s="71" t="str">
        <f>IF(AND(fiche_sel&lt;&gt;"",A2625=fiche_sel),COUNTIF(A$6:A2625,fiche_sel),"")</f>
        <v/>
      </c>
    </row>
    <row r="2626">
      <c r="A2626" s="60" t="n"/>
      <c r="B2626" s="60" t="n"/>
      <c r="C2626" s="71" t="str">
        <f>IF(B2626="","",IFERROR(INDEX(mat_des,MATCH(B2626,mat_ref,0))&amp;"","Matière inconnue"))</f>
        <v/>
      </c>
      <c r="D2626" s="69" t="str">
        <f>IF(B2626="","",IFERROR(INDEX(mat_unit,MATCH(B2626,mat_ref,0))&amp;"",""))</f>
        <v/>
      </c>
      <c r="E2626" s="72" t="n"/>
      <c r="F2626" s="65" t="n"/>
      <c r="G2626" s="68" t="str">
        <f>IF(J2626&lt;&gt;"OK","",IF(F2626="",N(INDEX(mat_loss,MATCH(B2626,mat_ref,0))),F2626))</f>
        <v/>
      </c>
      <c r="H2626" s="66" t="str">
        <f>IF(J2626&lt;&gt;"OK","",INDEX(mat_price,MATCH(B2626,mat_ref,0)))</f>
        <v/>
      </c>
      <c r="I2626" s="66" t="str">
        <f>IF(J2626&lt;&gt;"OK","",E2626*(1+G2626)*H2626)</f>
        <v/>
      </c>
      <c r="J2626" s="69" t="str">
        <f>IF(AND(A2626="",B2626=""),"",IF(A2626="","Produit manquant",IF(COUNTIF(prod_ref,A2626)=0,"Produit inconnu",IF(B2626="","Matière manquante",IF(ISNA(MATCH(B2626,mat_ref,0)),"Matière inconnue",IF(INDEX(mat_check,MATCH(B2626,mat_ref,0))&lt;&gt;"OK","Matière à corriger",IF(OR(NOT(ISNUMBER(E2626)),N(E2626)&lt;=0),"Quantité invalide",IF(AND(F2626&lt;&gt;"",OR(NOT(ISNUMBER(F2626)),N(F2626)&lt;0,N(F2626)&gt;=1)),"Perte entre 0 et 99 %",IF(COUNTIFS(bom_prod,A2626,bom_mat,B2626)&gt;1,"Matière en double","OK")))))))))</f>
        <v/>
      </c>
      <c r="K2626" s="71" t="str">
        <f>IF(AND(fiche_sel&lt;&gt;"",A2626=fiche_sel),COUNTIF(A$6:A2626,fiche_sel),"")</f>
        <v/>
      </c>
    </row>
    <row r="2627">
      <c r="A2627" s="60" t="n"/>
      <c r="B2627" s="60" t="n"/>
      <c r="C2627" s="71" t="str">
        <f>IF(B2627="","",IFERROR(INDEX(mat_des,MATCH(B2627,mat_ref,0))&amp;"","Matière inconnue"))</f>
        <v/>
      </c>
      <c r="D2627" s="69" t="str">
        <f>IF(B2627="","",IFERROR(INDEX(mat_unit,MATCH(B2627,mat_ref,0))&amp;"",""))</f>
        <v/>
      </c>
      <c r="E2627" s="72" t="n"/>
      <c r="F2627" s="65" t="n"/>
      <c r="G2627" s="68" t="str">
        <f>IF(J2627&lt;&gt;"OK","",IF(F2627="",N(INDEX(mat_loss,MATCH(B2627,mat_ref,0))),F2627))</f>
        <v/>
      </c>
      <c r="H2627" s="66" t="str">
        <f>IF(J2627&lt;&gt;"OK","",INDEX(mat_price,MATCH(B2627,mat_ref,0)))</f>
        <v/>
      </c>
      <c r="I2627" s="66" t="str">
        <f>IF(J2627&lt;&gt;"OK","",E2627*(1+G2627)*H2627)</f>
        <v/>
      </c>
      <c r="J2627" s="69" t="str">
        <f>IF(AND(A2627="",B2627=""),"",IF(A2627="","Produit manquant",IF(COUNTIF(prod_ref,A2627)=0,"Produit inconnu",IF(B2627="","Matière manquante",IF(ISNA(MATCH(B2627,mat_ref,0)),"Matière inconnue",IF(INDEX(mat_check,MATCH(B2627,mat_ref,0))&lt;&gt;"OK","Matière à corriger",IF(OR(NOT(ISNUMBER(E2627)),N(E2627)&lt;=0),"Quantité invalide",IF(AND(F2627&lt;&gt;"",OR(NOT(ISNUMBER(F2627)),N(F2627)&lt;0,N(F2627)&gt;=1)),"Perte entre 0 et 99 %",IF(COUNTIFS(bom_prod,A2627,bom_mat,B2627)&gt;1,"Matière en double","OK")))))))))</f>
        <v/>
      </c>
      <c r="K2627" s="71" t="str">
        <f>IF(AND(fiche_sel&lt;&gt;"",A2627=fiche_sel),COUNTIF(A$6:A2627,fiche_sel),"")</f>
        <v/>
      </c>
    </row>
    <row r="2628">
      <c r="A2628" s="60" t="n"/>
      <c r="B2628" s="60" t="n"/>
      <c r="C2628" s="71" t="str">
        <f>IF(B2628="","",IFERROR(INDEX(mat_des,MATCH(B2628,mat_ref,0))&amp;"","Matière inconnue"))</f>
        <v/>
      </c>
      <c r="D2628" s="69" t="str">
        <f>IF(B2628="","",IFERROR(INDEX(mat_unit,MATCH(B2628,mat_ref,0))&amp;"",""))</f>
        <v/>
      </c>
      <c r="E2628" s="72" t="n"/>
      <c r="F2628" s="65" t="n"/>
      <c r="G2628" s="68" t="str">
        <f>IF(J2628&lt;&gt;"OK","",IF(F2628="",N(INDEX(mat_loss,MATCH(B2628,mat_ref,0))),F2628))</f>
        <v/>
      </c>
      <c r="H2628" s="66" t="str">
        <f>IF(J2628&lt;&gt;"OK","",INDEX(mat_price,MATCH(B2628,mat_ref,0)))</f>
        <v/>
      </c>
      <c r="I2628" s="66" t="str">
        <f>IF(J2628&lt;&gt;"OK","",E2628*(1+G2628)*H2628)</f>
        <v/>
      </c>
      <c r="J2628" s="69" t="str">
        <f>IF(AND(A2628="",B2628=""),"",IF(A2628="","Produit manquant",IF(COUNTIF(prod_ref,A2628)=0,"Produit inconnu",IF(B2628="","Matière manquante",IF(ISNA(MATCH(B2628,mat_ref,0)),"Matière inconnue",IF(INDEX(mat_check,MATCH(B2628,mat_ref,0))&lt;&gt;"OK","Matière à corriger",IF(OR(NOT(ISNUMBER(E2628)),N(E2628)&lt;=0),"Quantité invalide",IF(AND(F2628&lt;&gt;"",OR(NOT(ISNUMBER(F2628)),N(F2628)&lt;0,N(F2628)&gt;=1)),"Perte entre 0 et 99 %",IF(COUNTIFS(bom_prod,A2628,bom_mat,B2628)&gt;1,"Matière en double","OK")))))))))</f>
        <v/>
      </c>
      <c r="K2628" s="71" t="str">
        <f>IF(AND(fiche_sel&lt;&gt;"",A2628=fiche_sel),COUNTIF(A$6:A2628,fiche_sel),"")</f>
        <v/>
      </c>
    </row>
    <row r="2629">
      <c r="A2629" s="60" t="n"/>
      <c r="B2629" s="60" t="n"/>
      <c r="C2629" s="71" t="str">
        <f>IF(B2629="","",IFERROR(INDEX(mat_des,MATCH(B2629,mat_ref,0))&amp;"","Matière inconnue"))</f>
        <v/>
      </c>
      <c r="D2629" s="69" t="str">
        <f>IF(B2629="","",IFERROR(INDEX(mat_unit,MATCH(B2629,mat_ref,0))&amp;"",""))</f>
        <v/>
      </c>
      <c r="E2629" s="72" t="n"/>
      <c r="F2629" s="65" t="n"/>
      <c r="G2629" s="68" t="str">
        <f>IF(J2629&lt;&gt;"OK","",IF(F2629="",N(INDEX(mat_loss,MATCH(B2629,mat_ref,0))),F2629))</f>
        <v/>
      </c>
      <c r="H2629" s="66" t="str">
        <f>IF(J2629&lt;&gt;"OK","",INDEX(mat_price,MATCH(B2629,mat_ref,0)))</f>
        <v/>
      </c>
      <c r="I2629" s="66" t="str">
        <f>IF(J2629&lt;&gt;"OK","",E2629*(1+G2629)*H2629)</f>
        <v/>
      </c>
      <c r="J2629" s="69" t="str">
        <f>IF(AND(A2629="",B2629=""),"",IF(A2629="","Produit manquant",IF(COUNTIF(prod_ref,A2629)=0,"Produit inconnu",IF(B2629="","Matière manquante",IF(ISNA(MATCH(B2629,mat_ref,0)),"Matière inconnue",IF(INDEX(mat_check,MATCH(B2629,mat_ref,0))&lt;&gt;"OK","Matière à corriger",IF(OR(NOT(ISNUMBER(E2629)),N(E2629)&lt;=0),"Quantité invalide",IF(AND(F2629&lt;&gt;"",OR(NOT(ISNUMBER(F2629)),N(F2629)&lt;0,N(F2629)&gt;=1)),"Perte entre 0 et 99 %",IF(COUNTIFS(bom_prod,A2629,bom_mat,B2629)&gt;1,"Matière en double","OK")))))))))</f>
        <v/>
      </c>
      <c r="K2629" s="71" t="str">
        <f>IF(AND(fiche_sel&lt;&gt;"",A2629=fiche_sel),COUNTIF(A$6:A2629,fiche_sel),"")</f>
        <v/>
      </c>
    </row>
    <row r="2630">
      <c r="A2630" s="60" t="n"/>
      <c r="B2630" s="60" t="n"/>
      <c r="C2630" s="71" t="str">
        <f>IF(B2630="","",IFERROR(INDEX(mat_des,MATCH(B2630,mat_ref,0))&amp;"","Matière inconnue"))</f>
        <v/>
      </c>
      <c r="D2630" s="69" t="str">
        <f>IF(B2630="","",IFERROR(INDEX(mat_unit,MATCH(B2630,mat_ref,0))&amp;"",""))</f>
        <v/>
      </c>
      <c r="E2630" s="72" t="n"/>
      <c r="F2630" s="65" t="n"/>
      <c r="G2630" s="68" t="str">
        <f>IF(J2630&lt;&gt;"OK","",IF(F2630="",N(INDEX(mat_loss,MATCH(B2630,mat_ref,0))),F2630))</f>
        <v/>
      </c>
      <c r="H2630" s="66" t="str">
        <f>IF(J2630&lt;&gt;"OK","",INDEX(mat_price,MATCH(B2630,mat_ref,0)))</f>
        <v/>
      </c>
      <c r="I2630" s="66" t="str">
        <f>IF(J2630&lt;&gt;"OK","",E2630*(1+G2630)*H2630)</f>
        <v/>
      </c>
      <c r="J2630" s="69" t="str">
        <f>IF(AND(A2630="",B2630=""),"",IF(A2630="","Produit manquant",IF(COUNTIF(prod_ref,A2630)=0,"Produit inconnu",IF(B2630="","Matière manquante",IF(ISNA(MATCH(B2630,mat_ref,0)),"Matière inconnue",IF(INDEX(mat_check,MATCH(B2630,mat_ref,0))&lt;&gt;"OK","Matière à corriger",IF(OR(NOT(ISNUMBER(E2630)),N(E2630)&lt;=0),"Quantité invalide",IF(AND(F2630&lt;&gt;"",OR(NOT(ISNUMBER(F2630)),N(F2630)&lt;0,N(F2630)&gt;=1)),"Perte entre 0 et 99 %",IF(COUNTIFS(bom_prod,A2630,bom_mat,B2630)&gt;1,"Matière en double","OK")))))))))</f>
        <v/>
      </c>
      <c r="K2630" s="71" t="str">
        <f>IF(AND(fiche_sel&lt;&gt;"",A2630=fiche_sel),COUNTIF(A$6:A2630,fiche_sel),"")</f>
        <v/>
      </c>
    </row>
    <row r="2631">
      <c r="A2631" s="60" t="n"/>
      <c r="B2631" s="60" t="n"/>
      <c r="C2631" s="71" t="str">
        <f>IF(B2631="","",IFERROR(INDEX(mat_des,MATCH(B2631,mat_ref,0))&amp;"","Matière inconnue"))</f>
        <v/>
      </c>
      <c r="D2631" s="69" t="str">
        <f>IF(B2631="","",IFERROR(INDEX(mat_unit,MATCH(B2631,mat_ref,0))&amp;"",""))</f>
        <v/>
      </c>
      <c r="E2631" s="72" t="n"/>
      <c r="F2631" s="65" t="n"/>
      <c r="G2631" s="68" t="str">
        <f>IF(J2631&lt;&gt;"OK","",IF(F2631="",N(INDEX(mat_loss,MATCH(B2631,mat_ref,0))),F2631))</f>
        <v/>
      </c>
      <c r="H2631" s="66" t="str">
        <f>IF(J2631&lt;&gt;"OK","",INDEX(mat_price,MATCH(B2631,mat_ref,0)))</f>
        <v/>
      </c>
      <c r="I2631" s="66" t="str">
        <f>IF(J2631&lt;&gt;"OK","",E2631*(1+G2631)*H2631)</f>
        <v/>
      </c>
      <c r="J2631" s="69" t="str">
        <f>IF(AND(A2631="",B2631=""),"",IF(A2631="","Produit manquant",IF(COUNTIF(prod_ref,A2631)=0,"Produit inconnu",IF(B2631="","Matière manquante",IF(ISNA(MATCH(B2631,mat_ref,0)),"Matière inconnue",IF(INDEX(mat_check,MATCH(B2631,mat_ref,0))&lt;&gt;"OK","Matière à corriger",IF(OR(NOT(ISNUMBER(E2631)),N(E2631)&lt;=0),"Quantité invalide",IF(AND(F2631&lt;&gt;"",OR(NOT(ISNUMBER(F2631)),N(F2631)&lt;0,N(F2631)&gt;=1)),"Perte entre 0 et 99 %",IF(COUNTIFS(bom_prod,A2631,bom_mat,B2631)&gt;1,"Matière en double","OK")))))))))</f>
        <v/>
      </c>
      <c r="K2631" s="71" t="str">
        <f>IF(AND(fiche_sel&lt;&gt;"",A2631=fiche_sel),COUNTIF(A$6:A2631,fiche_sel),"")</f>
        <v/>
      </c>
    </row>
    <row r="2632">
      <c r="A2632" s="60" t="n"/>
      <c r="B2632" s="60" t="n"/>
      <c r="C2632" s="71" t="str">
        <f>IF(B2632="","",IFERROR(INDEX(mat_des,MATCH(B2632,mat_ref,0))&amp;"","Matière inconnue"))</f>
        <v/>
      </c>
      <c r="D2632" s="69" t="str">
        <f>IF(B2632="","",IFERROR(INDEX(mat_unit,MATCH(B2632,mat_ref,0))&amp;"",""))</f>
        <v/>
      </c>
      <c r="E2632" s="72" t="n"/>
      <c r="F2632" s="65" t="n"/>
      <c r="G2632" s="68" t="str">
        <f>IF(J2632&lt;&gt;"OK","",IF(F2632="",N(INDEX(mat_loss,MATCH(B2632,mat_ref,0))),F2632))</f>
        <v/>
      </c>
      <c r="H2632" s="66" t="str">
        <f>IF(J2632&lt;&gt;"OK","",INDEX(mat_price,MATCH(B2632,mat_ref,0)))</f>
        <v/>
      </c>
      <c r="I2632" s="66" t="str">
        <f>IF(J2632&lt;&gt;"OK","",E2632*(1+G2632)*H2632)</f>
        <v/>
      </c>
      <c r="J2632" s="69" t="str">
        <f>IF(AND(A2632="",B2632=""),"",IF(A2632="","Produit manquant",IF(COUNTIF(prod_ref,A2632)=0,"Produit inconnu",IF(B2632="","Matière manquante",IF(ISNA(MATCH(B2632,mat_ref,0)),"Matière inconnue",IF(INDEX(mat_check,MATCH(B2632,mat_ref,0))&lt;&gt;"OK","Matière à corriger",IF(OR(NOT(ISNUMBER(E2632)),N(E2632)&lt;=0),"Quantité invalide",IF(AND(F2632&lt;&gt;"",OR(NOT(ISNUMBER(F2632)),N(F2632)&lt;0,N(F2632)&gt;=1)),"Perte entre 0 et 99 %",IF(COUNTIFS(bom_prod,A2632,bom_mat,B2632)&gt;1,"Matière en double","OK")))))))))</f>
        <v/>
      </c>
      <c r="K2632" s="71" t="str">
        <f>IF(AND(fiche_sel&lt;&gt;"",A2632=fiche_sel),COUNTIF(A$6:A2632,fiche_sel),"")</f>
        <v/>
      </c>
    </row>
    <row r="2633">
      <c r="A2633" s="60" t="n"/>
      <c r="B2633" s="60" t="n"/>
      <c r="C2633" s="71" t="str">
        <f>IF(B2633="","",IFERROR(INDEX(mat_des,MATCH(B2633,mat_ref,0))&amp;"","Matière inconnue"))</f>
        <v/>
      </c>
      <c r="D2633" s="69" t="str">
        <f>IF(B2633="","",IFERROR(INDEX(mat_unit,MATCH(B2633,mat_ref,0))&amp;"",""))</f>
        <v/>
      </c>
      <c r="E2633" s="72" t="n"/>
      <c r="F2633" s="65" t="n"/>
      <c r="G2633" s="68" t="str">
        <f>IF(J2633&lt;&gt;"OK","",IF(F2633="",N(INDEX(mat_loss,MATCH(B2633,mat_ref,0))),F2633))</f>
        <v/>
      </c>
      <c r="H2633" s="66" t="str">
        <f>IF(J2633&lt;&gt;"OK","",INDEX(mat_price,MATCH(B2633,mat_ref,0)))</f>
        <v/>
      </c>
      <c r="I2633" s="66" t="str">
        <f>IF(J2633&lt;&gt;"OK","",E2633*(1+G2633)*H2633)</f>
        <v/>
      </c>
      <c r="J2633" s="69" t="str">
        <f>IF(AND(A2633="",B2633=""),"",IF(A2633="","Produit manquant",IF(COUNTIF(prod_ref,A2633)=0,"Produit inconnu",IF(B2633="","Matière manquante",IF(ISNA(MATCH(B2633,mat_ref,0)),"Matière inconnue",IF(INDEX(mat_check,MATCH(B2633,mat_ref,0))&lt;&gt;"OK","Matière à corriger",IF(OR(NOT(ISNUMBER(E2633)),N(E2633)&lt;=0),"Quantité invalide",IF(AND(F2633&lt;&gt;"",OR(NOT(ISNUMBER(F2633)),N(F2633)&lt;0,N(F2633)&gt;=1)),"Perte entre 0 et 99 %",IF(COUNTIFS(bom_prod,A2633,bom_mat,B2633)&gt;1,"Matière en double","OK")))))))))</f>
        <v/>
      </c>
      <c r="K2633" s="71" t="str">
        <f>IF(AND(fiche_sel&lt;&gt;"",A2633=fiche_sel),COUNTIF(A$6:A2633,fiche_sel),"")</f>
        <v/>
      </c>
    </row>
    <row r="2634">
      <c r="A2634" s="60" t="n"/>
      <c r="B2634" s="60" t="n"/>
      <c r="C2634" s="71" t="str">
        <f>IF(B2634="","",IFERROR(INDEX(mat_des,MATCH(B2634,mat_ref,0))&amp;"","Matière inconnue"))</f>
        <v/>
      </c>
      <c r="D2634" s="69" t="str">
        <f>IF(B2634="","",IFERROR(INDEX(mat_unit,MATCH(B2634,mat_ref,0))&amp;"",""))</f>
        <v/>
      </c>
      <c r="E2634" s="72" t="n"/>
      <c r="F2634" s="65" t="n"/>
      <c r="G2634" s="68" t="str">
        <f>IF(J2634&lt;&gt;"OK","",IF(F2634="",N(INDEX(mat_loss,MATCH(B2634,mat_ref,0))),F2634))</f>
        <v/>
      </c>
      <c r="H2634" s="66" t="str">
        <f>IF(J2634&lt;&gt;"OK","",INDEX(mat_price,MATCH(B2634,mat_ref,0)))</f>
        <v/>
      </c>
      <c r="I2634" s="66" t="str">
        <f>IF(J2634&lt;&gt;"OK","",E2634*(1+G2634)*H2634)</f>
        <v/>
      </c>
      <c r="J2634" s="69" t="str">
        <f>IF(AND(A2634="",B2634=""),"",IF(A2634="","Produit manquant",IF(COUNTIF(prod_ref,A2634)=0,"Produit inconnu",IF(B2634="","Matière manquante",IF(ISNA(MATCH(B2634,mat_ref,0)),"Matière inconnue",IF(INDEX(mat_check,MATCH(B2634,mat_ref,0))&lt;&gt;"OK","Matière à corriger",IF(OR(NOT(ISNUMBER(E2634)),N(E2634)&lt;=0),"Quantité invalide",IF(AND(F2634&lt;&gt;"",OR(NOT(ISNUMBER(F2634)),N(F2634)&lt;0,N(F2634)&gt;=1)),"Perte entre 0 et 99 %",IF(COUNTIFS(bom_prod,A2634,bom_mat,B2634)&gt;1,"Matière en double","OK")))))))))</f>
        <v/>
      </c>
      <c r="K2634" s="71" t="str">
        <f>IF(AND(fiche_sel&lt;&gt;"",A2634=fiche_sel),COUNTIF(A$6:A2634,fiche_sel),"")</f>
        <v/>
      </c>
    </row>
    <row r="2635">
      <c r="A2635" s="60" t="n"/>
      <c r="B2635" s="60" t="n"/>
      <c r="C2635" s="71" t="str">
        <f>IF(B2635="","",IFERROR(INDEX(mat_des,MATCH(B2635,mat_ref,0))&amp;"","Matière inconnue"))</f>
        <v/>
      </c>
      <c r="D2635" s="69" t="str">
        <f>IF(B2635="","",IFERROR(INDEX(mat_unit,MATCH(B2635,mat_ref,0))&amp;"",""))</f>
        <v/>
      </c>
      <c r="E2635" s="72" t="n"/>
      <c r="F2635" s="65" t="n"/>
      <c r="G2635" s="68" t="str">
        <f>IF(J2635&lt;&gt;"OK","",IF(F2635="",N(INDEX(mat_loss,MATCH(B2635,mat_ref,0))),F2635))</f>
        <v/>
      </c>
      <c r="H2635" s="66" t="str">
        <f>IF(J2635&lt;&gt;"OK","",INDEX(mat_price,MATCH(B2635,mat_ref,0)))</f>
        <v/>
      </c>
      <c r="I2635" s="66" t="str">
        <f>IF(J2635&lt;&gt;"OK","",E2635*(1+G2635)*H2635)</f>
        <v/>
      </c>
      <c r="J2635" s="69" t="str">
        <f>IF(AND(A2635="",B2635=""),"",IF(A2635="","Produit manquant",IF(COUNTIF(prod_ref,A2635)=0,"Produit inconnu",IF(B2635="","Matière manquante",IF(ISNA(MATCH(B2635,mat_ref,0)),"Matière inconnue",IF(INDEX(mat_check,MATCH(B2635,mat_ref,0))&lt;&gt;"OK","Matière à corriger",IF(OR(NOT(ISNUMBER(E2635)),N(E2635)&lt;=0),"Quantité invalide",IF(AND(F2635&lt;&gt;"",OR(NOT(ISNUMBER(F2635)),N(F2635)&lt;0,N(F2635)&gt;=1)),"Perte entre 0 et 99 %",IF(COUNTIFS(bom_prod,A2635,bom_mat,B2635)&gt;1,"Matière en double","OK")))))))))</f>
        <v/>
      </c>
      <c r="K2635" s="71" t="str">
        <f>IF(AND(fiche_sel&lt;&gt;"",A2635=fiche_sel),COUNTIF(A$6:A2635,fiche_sel),"")</f>
        <v/>
      </c>
    </row>
    <row r="2636">
      <c r="A2636" s="60" t="n"/>
      <c r="B2636" s="60" t="n"/>
      <c r="C2636" s="71" t="str">
        <f>IF(B2636="","",IFERROR(INDEX(mat_des,MATCH(B2636,mat_ref,0))&amp;"","Matière inconnue"))</f>
        <v/>
      </c>
      <c r="D2636" s="69" t="str">
        <f>IF(B2636="","",IFERROR(INDEX(mat_unit,MATCH(B2636,mat_ref,0))&amp;"",""))</f>
        <v/>
      </c>
      <c r="E2636" s="72" t="n"/>
      <c r="F2636" s="65" t="n"/>
      <c r="G2636" s="68" t="str">
        <f>IF(J2636&lt;&gt;"OK","",IF(F2636="",N(INDEX(mat_loss,MATCH(B2636,mat_ref,0))),F2636))</f>
        <v/>
      </c>
      <c r="H2636" s="66" t="str">
        <f>IF(J2636&lt;&gt;"OK","",INDEX(mat_price,MATCH(B2636,mat_ref,0)))</f>
        <v/>
      </c>
      <c r="I2636" s="66" t="str">
        <f>IF(J2636&lt;&gt;"OK","",E2636*(1+G2636)*H2636)</f>
        <v/>
      </c>
      <c r="J2636" s="69" t="str">
        <f>IF(AND(A2636="",B2636=""),"",IF(A2636="","Produit manquant",IF(COUNTIF(prod_ref,A2636)=0,"Produit inconnu",IF(B2636="","Matière manquante",IF(ISNA(MATCH(B2636,mat_ref,0)),"Matière inconnue",IF(INDEX(mat_check,MATCH(B2636,mat_ref,0))&lt;&gt;"OK","Matière à corriger",IF(OR(NOT(ISNUMBER(E2636)),N(E2636)&lt;=0),"Quantité invalide",IF(AND(F2636&lt;&gt;"",OR(NOT(ISNUMBER(F2636)),N(F2636)&lt;0,N(F2636)&gt;=1)),"Perte entre 0 et 99 %",IF(COUNTIFS(bom_prod,A2636,bom_mat,B2636)&gt;1,"Matière en double","OK")))))))))</f>
        <v/>
      </c>
      <c r="K2636" s="71" t="str">
        <f>IF(AND(fiche_sel&lt;&gt;"",A2636=fiche_sel),COUNTIF(A$6:A2636,fiche_sel),"")</f>
        <v/>
      </c>
    </row>
    <row r="2637">
      <c r="A2637" s="60" t="n"/>
      <c r="B2637" s="60" t="n"/>
      <c r="C2637" s="71" t="str">
        <f>IF(B2637="","",IFERROR(INDEX(mat_des,MATCH(B2637,mat_ref,0))&amp;"","Matière inconnue"))</f>
        <v/>
      </c>
      <c r="D2637" s="69" t="str">
        <f>IF(B2637="","",IFERROR(INDEX(mat_unit,MATCH(B2637,mat_ref,0))&amp;"",""))</f>
        <v/>
      </c>
      <c r="E2637" s="72" t="n"/>
      <c r="F2637" s="65" t="n"/>
      <c r="G2637" s="68" t="str">
        <f>IF(J2637&lt;&gt;"OK","",IF(F2637="",N(INDEX(mat_loss,MATCH(B2637,mat_ref,0))),F2637))</f>
        <v/>
      </c>
      <c r="H2637" s="66" t="str">
        <f>IF(J2637&lt;&gt;"OK","",INDEX(mat_price,MATCH(B2637,mat_ref,0)))</f>
        <v/>
      </c>
      <c r="I2637" s="66" t="str">
        <f>IF(J2637&lt;&gt;"OK","",E2637*(1+G2637)*H2637)</f>
        <v/>
      </c>
      <c r="J2637" s="69" t="str">
        <f>IF(AND(A2637="",B2637=""),"",IF(A2637="","Produit manquant",IF(COUNTIF(prod_ref,A2637)=0,"Produit inconnu",IF(B2637="","Matière manquante",IF(ISNA(MATCH(B2637,mat_ref,0)),"Matière inconnue",IF(INDEX(mat_check,MATCH(B2637,mat_ref,0))&lt;&gt;"OK","Matière à corriger",IF(OR(NOT(ISNUMBER(E2637)),N(E2637)&lt;=0),"Quantité invalide",IF(AND(F2637&lt;&gt;"",OR(NOT(ISNUMBER(F2637)),N(F2637)&lt;0,N(F2637)&gt;=1)),"Perte entre 0 et 99 %",IF(COUNTIFS(bom_prod,A2637,bom_mat,B2637)&gt;1,"Matière en double","OK")))))))))</f>
        <v/>
      </c>
      <c r="K2637" s="71" t="str">
        <f>IF(AND(fiche_sel&lt;&gt;"",A2637=fiche_sel),COUNTIF(A$6:A2637,fiche_sel),"")</f>
        <v/>
      </c>
    </row>
    <row r="2638">
      <c r="A2638" s="60" t="n"/>
      <c r="B2638" s="60" t="n"/>
      <c r="C2638" s="71" t="str">
        <f>IF(B2638="","",IFERROR(INDEX(mat_des,MATCH(B2638,mat_ref,0))&amp;"","Matière inconnue"))</f>
        <v/>
      </c>
      <c r="D2638" s="69" t="str">
        <f>IF(B2638="","",IFERROR(INDEX(mat_unit,MATCH(B2638,mat_ref,0))&amp;"",""))</f>
        <v/>
      </c>
      <c r="E2638" s="72" t="n"/>
      <c r="F2638" s="65" t="n"/>
      <c r="G2638" s="68" t="str">
        <f>IF(J2638&lt;&gt;"OK","",IF(F2638="",N(INDEX(mat_loss,MATCH(B2638,mat_ref,0))),F2638))</f>
        <v/>
      </c>
      <c r="H2638" s="66" t="str">
        <f>IF(J2638&lt;&gt;"OK","",INDEX(mat_price,MATCH(B2638,mat_ref,0)))</f>
        <v/>
      </c>
      <c r="I2638" s="66" t="str">
        <f>IF(J2638&lt;&gt;"OK","",E2638*(1+G2638)*H2638)</f>
        <v/>
      </c>
      <c r="J2638" s="69" t="str">
        <f>IF(AND(A2638="",B2638=""),"",IF(A2638="","Produit manquant",IF(COUNTIF(prod_ref,A2638)=0,"Produit inconnu",IF(B2638="","Matière manquante",IF(ISNA(MATCH(B2638,mat_ref,0)),"Matière inconnue",IF(INDEX(mat_check,MATCH(B2638,mat_ref,0))&lt;&gt;"OK","Matière à corriger",IF(OR(NOT(ISNUMBER(E2638)),N(E2638)&lt;=0),"Quantité invalide",IF(AND(F2638&lt;&gt;"",OR(NOT(ISNUMBER(F2638)),N(F2638)&lt;0,N(F2638)&gt;=1)),"Perte entre 0 et 99 %",IF(COUNTIFS(bom_prod,A2638,bom_mat,B2638)&gt;1,"Matière en double","OK")))))))))</f>
        <v/>
      </c>
      <c r="K2638" s="71" t="str">
        <f>IF(AND(fiche_sel&lt;&gt;"",A2638=fiche_sel),COUNTIF(A$6:A2638,fiche_sel),"")</f>
        <v/>
      </c>
    </row>
    <row r="2639">
      <c r="A2639" s="60" t="n"/>
      <c r="B2639" s="60" t="n"/>
      <c r="C2639" s="71" t="str">
        <f>IF(B2639="","",IFERROR(INDEX(mat_des,MATCH(B2639,mat_ref,0))&amp;"","Matière inconnue"))</f>
        <v/>
      </c>
      <c r="D2639" s="69" t="str">
        <f>IF(B2639="","",IFERROR(INDEX(mat_unit,MATCH(B2639,mat_ref,0))&amp;"",""))</f>
        <v/>
      </c>
      <c r="E2639" s="72" t="n"/>
      <c r="F2639" s="65" t="n"/>
      <c r="G2639" s="68" t="str">
        <f>IF(J2639&lt;&gt;"OK","",IF(F2639="",N(INDEX(mat_loss,MATCH(B2639,mat_ref,0))),F2639))</f>
        <v/>
      </c>
      <c r="H2639" s="66" t="str">
        <f>IF(J2639&lt;&gt;"OK","",INDEX(mat_price,MATCH(B2639,mat_ref,0)))</f>
        <v/>
      </c>
      <c r="I2639" s="66" t="str">
        <f>IF(J2639&lt;&gt;"OK","",E2639*(1+G2639)*H2639)</f>
        <v/>
      </c>
      <c r="J2639" s="69" t="str">
        <f>IF(AND(A2639="",B2639=""),"",IF(A2639="","Produit manquant",IF(COUNTIF(prod_ref,A2639)=0,"Produit inconnu",IF(B2639="","Matière manquante",IF(ISNA(MATCH(B2639,mat_ref,0)),"Matière inconnue",IF(INDEX(mat_check,MATCH(B2639,mat_ref,0))&lt;&gt;"OK","Matière à corriger",IF(OR(NOT(ISNUMBER(E2639)),N(E2639)&lt;=0),"Quantité invalide",IF(AND(F2639&lt;&gt;"",OR(NOT(ISNUMBER(F2639)),N(F2639)&lt;0,N(F2639)&gt;=1)),"Perte entre 0 et 99 %",IF(COUNTIFS(bom_prod,A2639,bom_mat,B2639)&gt;1,"Matière en double","OK")))))))))</f>
        <v/>
      </c>
      <c r="K2639" s="71" t="str">
        <f>IF(AND(fiche_sel&lt;&gt;"",A2639=fiche_sel),COUNTIF(A$6:A2639,fiche_sel),"")</f>
        <v/>
      </c>
    </row>
    <row r="2640">
      <c r="A2640" s="60" t="n"/>
      <c r="B2640" s="60" t="n"/>
      <c r="C2640" s="71" t="str">
        <f>IF(B2640="","",IFERROR(INDEX(mat_des,MATCH(B2640,mat_ref,0))&amp;"","Matière inconnue"))</f>
        <v/>
      </c>
      <c r="D2640" s="69" t="str">
        <f>IF(B2640="","",IFERROR(INDEX(mat_unit,MATCH(B2640,mat_ref,0))&amp;"",""))</f>
        <v/>
      </c>
      <c r="E2640" s="72" t="n"/>
      <c r="F2640" s="65" t="n"/>
      <c r="G2640" s="68" t="str">
        <f>IF(J2640&lt;&gt;"OK","",IF(F2640="",N(INDEX(mat_loss,MATCH(B2640,mat_ref,0))),F2640))</f>
        <v/>
      </c>
      <c r="H2640" s="66" t="str">
        <f>IF(J2640&lt;&gt;"OK","",INDEX(mat_price,MATCH(B2640,mat_ref,0)))</f>
        <v/>
      </c>
      <c r="I2640" s="66" t="str">
        <f>IF(J2640&lt;&gt;"OK","",E2640*(1+G2640)*H2640)</f>
        <v/>
      </c>
      <c r="J2640" s="69" t="str">
        <f>IF(AND(A2640="",B2640=""),"",IF(A2640="","Produit manquant",IF(COUNTIF(prod_ref,A2640)=0,"Produit inconnu",IF(B2640="","Matière manquante",IF(ISNA(MATCH(B2640,mat_ref,0)),"Matière inconnue",IF(INDEX(mat_check,MATCH(B2640,mat_ref,0))&lt;&gt;"OK","Matière à corriger",IF(OR(NOT(ISNUMBER(E2640)),N(E2640)&lt;=0),"Quantité invalide",IF(AND(F2640&lt;&gt;"",OR(NOT(ISNUMBER(F2640)),N(F2640)&lt;0,N(F2640)&gt;=1)),"Perte entre 0 et 99 %",IF(COUNTIFS(bom_prod,A2640,bom_mat,B2640)&gt;1,"Matière en double","OK")))))))))</f>
        <v/>
      </c>
      <c r="K2640" s="71" t="str">
        <f>IF(AND(fiche_sel&lt;&gt;"",A2640=fiche_sel),COUNTIF(A$6:A2640,fiche_sel),"")</f>
        <v/>
      </c>
    </row>
    <row r="2641">
      <c r="A2641" s="60" t="n"/>
      <c r="B2641" s="60" t="n"/>
      <c r="C2641" s="71" t="str">
        <f>IF(B2641="","",IFERROR(INDEX(mat_des,MATCH(B2641,mat_ref,0))&amp;"","Matière inconnue"))</f>
        <v/>
      </c>
      <c r="D2641" s="69" t="str">
        <f>IF(B2641="","",IFERROR(INDEX(mat_unit,MATCH(B2641,mat_ref,0))&amp;"",""))</f>
        <v/>
      </c>
      <c r="E2641" s="72" t="n"/>
      <c r="F2641" s="65" t="n"/>
      <c r="G2641" s="68" t="str">
        <f>IF(J2641&lt;&gt;"OK","",IF(F2641="",N(INDEX(mat_loss,MATCH(B2641,mat_ref,0))),F2641))</f>
        <v/>
      </c>
      <c r="H2641" s="66" t="str">
        <f>IF(J2641&lt;&gt;"OK","",INDEX(mat_price,MATCH(B2641,mat_ref,0)))</f>
        <v/>
      </c>
      <c r="I2641" s="66" t="str">
        <f>IF(J2641&lt;&gt;"OK","",E2641*(1+G2641)*H2641)</f>
        <v/>
      </c>
      <c r="J2641" s="69" t="str">
        <f>IF(AND(A2641="",B2641=""),"",IF(A2641="","Produit manquant",IF(COUNTIF(prod_ref,A2641)=0,"Produit inconnu",IF(B2641="","Matière manquante",IF(ISNA(MATCH(B2641,mat_ref,0)),"Matière inconnue",IF(INDEX(mat_check,MATCH(B2641,mat_ref,0))&lt;&gt;"OK","Matière à corriger",IF(OR(NOT(ISNUMBER(E2641)),N(E2641)&lt;=0),"Quantité invalide",IF(AND(F2641&lt;&gt;"",OR(NOT(ISNUMBER(F2641)),N(F2641)&lt;0,N(F2641)&gt;=1)),"Perte entre 0 et 99 %",IF(COUNTIFS(bom_prod,A2641,bom_mat,B2641)&gt;1,"Matière en double","OK")))))))))</f>
        <v/>
      </c>
      <c r="K2641" s="71" t="str">
        <f>IF(AND(fiche_sel&lt;&gt;"",A2641=fiche_sel),COUNTIF(A$6:A2641,fiche_sel),"")</f>
        <v/>
      </c>
    </row>
    <row r="2642">
      <c r="A2642" s="60" t="n"/>
      <c r="B2642" s="60" t="n"/>
      <c r="C2642" s="71" t="str">
        <f>IF(B2642="","",IFERROR(INDEX(mat_des,MATCH(B2642,mat_ref,0))&amp;"","Matière inconnue"))</f>
        <v/>
      </c>
      <c r="D2642" s="69" t="str">
        <f>IF(B2642="","",IFERROR(INDEX(mat_unit,MATCH(B2642,mat_ref,0))&amp;"",""))</f>
        <v/>
      </c>
      <c r="E2642" s="72" t="n"/>
      <c r="F2642" s="65" t="n"/>
      <c r="G2642" s="68" t="str">
        <f>IF(J2642&lt;&gt;"OK","",IF(F2642="",N(INDEX(mat_loss,MATCH(B2642,mat_ref,0))),F2642))</f>
        <v/>
      </c>
      <c r="H2642" s="66" t="str">
        <f>IF(J2642&lt;&gt;"OK","",INDEX(mat_price,MATCH(B2642,mat_ref,0)))</f>
        <v/>
      </c>
      <c r="I2642" s="66" t="str">
        <f>IF(J2642&lt;&gt;"OK","",E2642*(1+G2642)*H2642)</f>
        <v/>
      </c>
      <c r="J2642" s="69" t="str">
        <f>IF(AND(A2642="",B2642=""),"",IF(A2642="","Produit manquant",IF(COUNTIF(prod_ref,A2642)=0,"Produit inconnu",IF(B2642="","Matière manquante",IF(ISNA(MATCH(B2642,mat_ref,0)),"Matière inconnue",IF(INDEX(mat_check,MATCH(B2642,mat_ref,0))&lt;&gt;"OK","Matière à corriger",IF(OR(NOT(ISNUMBER(E2642)),N(E2642)&lt;=0),"Quantité invalide",IF(AND(F2642&lt;&gt;"",OR(NOT(ISNUMBER(F2642)),N(F2642)&lt;0,N(F2642)&gt;=1)),"Perte entre 0 et 99 %",IF(COUNTIFS(bom_prod,A2642,bom_mat,B2642)&gt;1,"Matière en double","OK")))))))))</f>
        <v/>
      </c>
      <c r="K2642" s="71" t="str">
        <f>IF(AND(fiche_sel&lt;&gt;"",A2642=fiche_sel),COUNTIF(A$6:A2642,fiche_sel),"")</f>
        <v/>
      </c>
    </row>
    <row r="2643">
      <c r="A2643" s="60" t="n"/>
      <c r="B2643" s="60" t="n"/>
      <c r="C2643" s="71" t="str">
        <f>IF(B2643="","",IFERROR(INDEX(mat_des,MATCH(B2643,mat_ref,0))&amp;"","Matière inconnue"))</f>
        <v/>
      </c>
      <c r="D2643" s="69" t="str">
        <f>IF(B2643="","",IFERROR(INDEX(mat_unit,MATCH(B2643,mat_ref,0))&amp;"",""))</f>
        <v/>
      </c>
      <c r="E2643" s="72" t="n"/>
      <c r="F2643" s="65" t="n"/>
      <c r="G2643" s="68" t="str">
        <f>IF(J2643&lt;&gt;"OK","",IF(F2643="",N(INDEX(mat_loss,MATCH(B2643,mat_ref,0))),F2643))</f>
        <v/>
      </c>
      <c r="H2643" s="66" t="str">
        <f>IF(J2643&lt;&gt;"OK","",INDEX(mat_price,MATCH(B2643,mat_ref,0)))</f>
        <v/>
      </c>
      <c r="I2643" s="66" t="str">
        <f>IF(J2643&lt;&gt;"OK","",E2643*(1+G2643)*H2643)</f>
        <v/>
      </c>
      <c r="J2643" s="69" t="str">
        <f>IF(AND(A2643="",B2643=""),"",IF(A2643="","Produit manquant",IF(COUNTIF(prod_ref,A2643)=0,"Produit inconnu",IF(B2643="","Matière manquante",IF(ISNA(MATCH(B2643,mat_ref,0)),"Matière inconnue",IF(INDEX(mat_check,MATCH(B2643,mat_ref,0))&lt;&gt;"OK","Matière à corriger",IF(OR(NOT(ISNUMBER(E2643)),N(E2643)&lt;=0),"Quantité invalide",IF(AND(F2643&lt;&gt;"",OR(NOT(ISNUMBER(F2643)),N(F2643)&lt;0,N(F2643)&gt;=1)),"Perte entre 0 et 99 %",IF(COUNTIFS(bom_prod,A2643,bom_mat,B2643)&gt;1,"Matière en double","OK")))))))))</f>
        <v/>
      </c>
      <c r="K2643" s="71" t="str">
        <f>IF(AND(fiche_sel&lt;&gt;"",A2643=fiche_sel),COUNTIF(A$6:A2643,fiche_sel),"")</f>
        <v/>
      </c>
    </row>
    <row r="2644">
      <c r="A2644" s="60" t="n"/>
      <c r="B2644" s="60" t="n"/>
      <c r="C2644" s="71" t="str">
        <f>IF(B2644="","",IFERROR(INDEX(mat_des,MATCH(B2644,mat_ref,0))&amp;"","Matière inconnue"))</f>
        <v/>
      </c>
      <c r="D2644" s="69" t="str">
        <f>IF(B2644="","",IFERROR(INDEX(mat_unit,MATCH(B2644,mat_ref,0))&amp;"",""))</f>
        <v/>
      </c>
      <c r="E2644" s="72" t="n"/>
      <c r="F2644" s="65" t="n"/>
      <c r="G2644" s="68" t="str">
        <f>IF(J2644&lt;&gt;"OK","",IF(F2644="",N(INDEX(mat_loss,MATCH(B2644,mat_ref,0))),F2644))</f>
        <v/>
      </c>
      <c r="H2644" s="66" t="str">
        <f>IF(J2644&lt;&gt;"OK","",INDEX(mat_price,MATCH(B2644,mat_ref,0)))</f>
        <v/>
      </c>
      <c r="I2644" s="66" t="str">
        <f>IF(J2644&lt;&gt;"OK","",E2644*(1+G2644)*H2644)</f>
        <v/>
      </c>
      <c r="J2644" s="69" t="str">
        <f>IF(AND(A2644="",B2644=""),"",IF(A2644="","Produit manquant",IF(COUNTIF(prod_ref,A2644)=0,"Produit inconnu",IF(B2644="","Matière manquante",IF(ISNA(MATCH(B2644,mat_ref,0)),"Matière inconnue",IF(INDEX(mat_check,MATCH(B2644,mat_ref,0))&lt;&gt;"OK","Matière à corriger",IF(OR(NOT(ISNUMBER(E2644)),N(E2644)&lt;=0),"Quantité invalide",IF(AND(F2644&lt;&gt;"",OR(NOT(ISNUMBER(F2644)),N(F2644)&lt;0,N(F2644)&gt;=1)),"Perte entre 0 et 99 %",IF(COUNTIFS(bom_prod,A2644,bom_mat,B2644)&gt;1,"Matière en double","OK")))))))))</f>
        <v/>
      </c>
      <c r="K2644" s="71" t="str">
        <f>IF(AND(fiche_sel&lt;&gt;"",A2644=fiche_sel),COUNTIF(A$6:A2644,fiche_sel),"")</f>
        <v/>
      </c>
    </row>
    <row r="2645">
      <c r="A2645" s="60" t="n"/>
      <c r="B2645" s="60" t="n"/>
      <c r="C2645" s="71" t="str">
        <f>IF(B2645="","",IFERROR(INDEX(mat_des,MATCH(B2645,mat_ref,0))&amp;"","Matière inconnue"))</f>
        <v/>
      </c>
      <c r="D2645" s="69" t="str">
        <f>IF(B2645="","",IFERROR(INDEX(mat_unit,MATCH(B2645,mat_ref,0))&amp;"",""))</f>
        <v/>
      </c>
      <c r="E2645" s="72" t="n"/>
      <c r="F2645" s="65" t="n"/>
      <c r="G2645" s="68" t="str">
        <f>IF(J2645&lt;&gt;"OK","",IF(F2645="",N(INDEX(mat_loss,MATCH(B2645,mat_ref,0))),F2645))</f>
        <v/>
      </c>
      <c r="H2645" s="66" t="str">
        <f>IF(J2645&lt;&gt;"OK","",INDEX(mat_price,MATCH(B2645,mat_ref,0)))</f>
        <v/>
      </c>
      <c r="I2645" s="66" t="str">
        <f>IF(J2645&lt;&gt;"OK","",E2645*(1+G2645)*H2645)</f>
        <v/>
      </c>
      <c r="J2645" s="69" t="str">
        <f>IF(AND(A2645="",B2645=""),"",IF(A2645="","Produit manquant",IF(COUNTIF(prod_ref,A2645)=0,"Produit inconnu",IF(B2645="","Matière manquante",IF(ISNA(MATCH(B2645,mat_ref,0)),"Matière inconnue",IF(INDEX(mat_check,MATCH(B2645,mat_ref,0))&lt;&gt;"OK","Matière à corriger",IF(OR(NOT(ISNUMBER(E2645)),N(E2645)&lt;=0),"Quantité invalide",IF(AND(F2645&lt;&gt;"",OR(NOT(ISNUMBER(F2645)),N(F2645)&lt;0,N(F2645)&gt;=1)),"Perte entre 0 et 99 %",IF(COUNTIFS(bom_prod,A2645,bom_mat,B2645)&gt;1,"Matière en double","OK")))))))))</f>
        <v/>
      </c>
      <c r="K2645" s="71" t="str">
        <f>IF(AND(fiche_sel&lt;&gt;"",A2645=fiche_sel),COUNTIF(A$6:A2645,fiche_sel),"")</f>
        <v/>
      </c>
    </row>
    <row r="2646">
      <c r="A2646" s="60" t="n"/>
      <c r="B2646" s="60" t="n"/>
      <c r="C2646" s="71" t="str">
        <f>IF(B2646="","",IFERROR(INDEX(mat_des,MATCH(B2646,mat_ref,0))&amp;"","Matière inconnue"))</f>
        <v/>
      </c>
      <c r="D2646" s="69" t="str">
        <f>IF(B2646="","",IFERROR(INDEX(mat_unit,MATCH(B2646,mat_ref,0))&amp;"",""))</f>
        <v/>
      </c>
      <c r="E2646" s="72" t="n"/>
      <c r="F2646" s="65" t="n"/>
      <c r="G2646" s="68" t="str">
        <f>IF(J2646&lt;&gt;"OK","",IF(F2646="",N(INDEX(mat_loss,MATCH(B2646,mat_ref,0))),F2646))</f>
        <v/>
      </c>
      <c r="H2646" s="66" t="str">
        <f>IF(J2646&lt;&gt;"OK","",INDEX(mat_price,MATCH(B2646,mat_ref,0)))</f>
        <v/>
      </c>
      <c r="I2646" s="66" t="str">
        <f>IF(J2646&lt;&gt;"OK","",E2646*(1+G2646)*H2646)</f>
        <v/>
      </c>
      <c r="J2646" s="69" t="str">
        <f>IF(AND(A2646="",B2646=""),"",IF(A2646="","Produit manquant",IF(COUNTIF(prod_ref,A2646)=0,"Produit inconnu",IF(B2646="","Matière manquante",IF(ISNA(MATCH(B2646,mat_ref,0)),"Matière inconnue",IF(INDEX(mat_check,MATCH(B2646,mat_ref,0))&lt;&gt;"OK","Matière à corriger",IF(OR(NOT(ISNUMBER(E2646)),N(E2646)&lt;=0),"Quantité invalide",IF(AND(F2646&lt;&gt;"",OR(NOT(ISNUMBER(F2646)),N(F2646)&lt;0,N(F2646)&gt;=1)),"Perte entre 0 et 99 %",IF(COUNTIFS(bom_prod,A2646,bom_mat,B2646)&gt;1,"Matière en double","OK")))))))))</f>
        <v/>
      </c>
      <c r="K2646" s="71" t="str">
        <f>IF(AND(fiche_sel&lt;&gt;"",A2646=fiche_sel),COUNTIF(A$6:A2646,fiche_sel),"")</f>
        <v/>
      </c>
    </row>
    <row r="2647">
      <c r="A2647" s="60" t="n"/>
      <c r="B2647" s="60" t="n"/>
      <c r="C2647" s="71" t="str">
        <f>IF(B2647="","",IFERROR(INDEX(mat_des,MATCH(B2647,mat_ref,0))&amp;"","Matière inconnue"))</f>
        <v/>
      </c>
      <c r="D2647" s="69" t="str">
        <f>IF(B2647="","",IFERROR(INDEX(mat_unit,MATCH(B2647,mat_ref,0))&amp;"",""))</f>
        <v/>
      </c>
      <c r="E2647" s="72" t="n"/>
      <c r="F2647" s="65" t="n"/>
      <c r="G2647" s="68" t="str">
        <f>IF(J2647&lt;&gt;"OK","",IF(F2647="",N(INDEX(mat_loss,MATCH(B2647,mat_ref,0))),F2647))</f>
        <v/>
      </c>
      <c r="H2647" s="66" t="str">
        <f>IF(J2647&lt;&gt;"OK","",INDEX(mat_price,MATCH(B2647,mat_ref,0)))</f>
        <v/>
      </c>
      <c r="I2647" s="66" t="str">
        <f>IF(J2647&lt;&gt;"OK","",E2647*(1+G2647)*H2647)</f>
        <v/>
      </c>
      <c r="J2647" s="69" t="str">
        <f>IF(AND(A2647="",B2647=""),"",IF(A2647="","Produit manquant",IF(COUNTIF(prod_ref,A2647)=0,"Produit inconnu",IF(B2647="","Matière manquante",IF(ISNA(MATCH(B2647,mat_ref,0)),"Matière inconnue",IF(INDEX(mat_check,MATCH(B2647,mat_ref,0))&lt;&gt;"OK","Matière à corriger",IF(OR(NOT(ISNUMBER(E2647)),N(E2647)&lt;=0),"Quantité invalide",IF(AND(F2647&lt;&gt;"",OR(NOT(ISNUMBER(F2647)),N(F2647)&lt;0,N(F2647)&gt;=1)),"Perte entre 0 et 99 %",IF(COUNTIFS(bom_prod,A2647,bom_mat,B2647)&gt;1,"Matière en double","OK")))))))))</f>
        <v/>
      </c>
      <c r="K2647" s="71" t="str">
        <f>IF(AND(fiche_sel&lt;&gt;"",A2647=fiche_sel),COUNTIF(A$6:A2647,fiche_sel),"")</f>
        <v/>
      </c>
    </row>
    <row r="2648">
      <c r="A2648" s="60" t="n"/>
      <c r="B2648" s="60" t="n"/>
      <c r="C2648" s="71" t="str">
        <f>IF(B2648="","",IFERROR(INDEX(mat_des,MATCH(B2648,mat_ref,0))&amp;"","Matière inconnue"))</f>
        <v/>
      </c>
      <c r="D2648" s="69" t="str">
        <f>IF(B2648="","",IFERROR(INDEX(mat_unit,MATCH(B2648,mat_ref,0))&amp;"",""))</f>
        <v/>
      </c>
      <c r="E2648" s="72" t="n"/>
      <c r="F2648" s="65" t="n"/>
      <c r="G2648" s="68" t="str">
        <f>IF(J2648&lt;&gt;"OK","",IF(F2648="",N(INDEX(mat_loss,MATCH(B2648,mat_ref,0))),F2648))</f>
        <v/>
      </c>
      <c r="H2648" s="66" t="str">
        <f>IF(J2648&lt;&gt;"OK","",INDEX(mat_price,MATCH(B2648,mat_ref,0)))</f>
        <v/>
      </c>
      <c r="I2648" s="66" t="str">
        <f>IF(J2648&lt;&gt;"OK","",E2648*(1+G2648)*H2648)</f>
        <v/>
      </c>
      <c r="J2648" s="69" t="str">
        <f>IF(AND(A2648="",B2648=""),"",IF(A2648="","Produit manquant",IF(COUNTIF(prod_ref,A2648)=0,"Produit inconnu",IF(B2648="","Matière manquante",IF(ISNA(MATCH(B2648,mat_ref,0)),"Matière inconnue",IF(INDEX(mat_check,MATCH(B2648,mat_ref,0))&lt;&gt;"OK","Matière à corriger",IF(OR(NOT(ISNUMBER(E2648)),N(E2648)&lt;=0),"Quantité invalide",IF(AND(F2648&lt;&gt;"",OR(NOT(ISNUMBER(F2648)),N(F2648)&lt;0,N(F2648)&gt;=1)),"Perte entre 0 et 99 %",IF(COUNTIFS(bom_prod,A2648,bom_mat,B2648)&gt;1,"Matière en double","OK")))))))))</f>
        <v/>
      </c>
      <c r="K2648" s="71" t="str">
        <f>IF(AND(fiche_sel&lt;&gt;"",A2648=fiche_sel),COUNTIF(A$6:A2648,fiche_sel),"")</f>
        <v/>
      </c>
    </row>
    <row r="2649">
      <c r="A2649" s="60" t="n"/>
      <c r="B2649" s="60" t="n"/>
      <c r="C2649" s="71" t="str">
        <f>IF(B2649="","",IFERROR(INDEX(mat_des,MATCH(B2649,mat_ref,0))&amp;"","Matière inconnue"))</f>
        <v/>
      </c>
      <c r="D2649" s="69" t="str">
        <f>IF(B2649="","",IFERROR(INDEX(mat_unit,MATCH(B2649,mat_ref,0))&amp;"",""))</f>
        <v/>
      </c>
      <c r="E2649" s="72" t="n"/>
      <c r="F2649" s="65" t="n"/>
      <c r="G2649" s="68" t="str">
        <f>IF(J2649&lt;&gt;"OK","",IF(F2649="",N(INDEX(mat_loss,MATCH(B2649,mat_ref,0))),F2649))</f>
        <v/>
      </c>
      <c r="H2649" s="66" t="str">
        <f>IF(J2649&lt;&gt;"OK","",INDEX(mat_price,MATCH(B2649,mat_ref,0)))</f>
        <v/>
      </c>
      <c r="I2649" s="66" t="str">
        <f>IF(J2649&lt;&gt;"OK","",E2649*(1+G2649)*H2649)</f>
        <v/>
      </c>
      <c r="J2649" s="69" t="str">
        <f>IF(AND(A2649="",B2649=""),"",IF(A2649="","Produit manquant",IF(COUNTIF(prod_ref,A2649)=0,"Produit inconnu",IF(B2649="","Matière manquante",IF(ISNA(MATCH(B2649,mat_ref,0)),"Matière inconnue",IF(INDEX(mat_check,MATCH(B2649,mat_ref,0))&lt;&gt;"OK","Matière à corriger",IF(OR(NOT(ISNUMBER(E2649)),N(E2649)&lt;=0),"Quantité invalide",IF(AND(F2649&lt;&gt;"",OR(NOT(ISNUMBER(F2649)),N(F2649)&lt;0,N(F2649)&gt;=1)),"Perte entre 0 et 99 %",IF(COUNTIFS(bom_prod,A2649,bom_mat,B2649)&gt;1,"Matière en double","OK")))))))))</f>
        <v/>
      </c>
      <c r="K2649" s="71" t="str">
        <f>IF(AND(fiche_sel&lt;&gt;"",A2649=fiche_sel),COUNTIF(A$6:A2649,fiche_sel),"")</f>
        <v/>
      </c>
    </row>
    <row r="2650">
      <c r="A2650" s="60" t="n"/>
      <c r="B2650" s="60" t="n"/>
      <c r="C2650" s="71" t="str">
        <f>IF(B2650="","",IFERROR(INDEX(mat_des,MATCH(B2650,mat_ref,0))&amp;"","Matière inconnue"))</f>
        <v/>
      </c>
      <c r="D2650" s="69" t="str">
        <f>IF(B2650="","",IFERROR(INDEX(mat_unit,MATCH(B2650,mat_ref,0))&amp;"",""))</f>
        <v/>
      </c>
      <c r="E2650" s="72" t="n"/>
      <c r="F2650" s="65" t="n"/>
      <c r="G2650" s="68" t="str">
        <f>IF(J2650&lt;&gt;"OK","",IF(F2650="",N(INDEX(mat_loss,MATCH(B2650,mat_ref,0))),F2650))</f>
        <v/>
      </c>
      <c r="H2650" s="66" t="str">
        <f>IF(J2650&lt;&gt;"OK","",INDEX(mat_price,MATCH(B2650,mat_ref,0)))</f>
        <v/>
      </c>
      <c r="I2650" s="66" t="str">
        <f>IF(J2650&lt;&gt;"OK","",E2650*(1+G2650)*H2650)</f>
        <v/>
      </c>
      <c r="J2650" s="69" t="str">
        <f>IF(AND(A2650="",B2650=""),"",IF(A2650="","Produit manquant",IF(COUNTIF(prod_ref,A2650)=0,"Produit inconnu",IF(B2650="","Matière manquante",IF(ISNA(MATCH(B2650,mat_ref,0)),"Matière inconnue",IF(INDEX(mat_check,MATCH(B2650,mat_ref,0))&lt;&gt;"OK","Matière à corriger",IF(OR(NOT(ISNUMBER(E2650)),N(E2650)&lt;=0),"Quantité invalide",IF(AND(F2650&lt;&gt;"",OR(NOT(ISNUMBER(F2650)),N(F2650)&lt;0,N(F2650)&gt;=1)),"Perte entre 0 et 99 %",IF(COUNTIFS(bom_prod,A2650,bom_mat,B2650)&gt;1,"Matière en double","OK")))))))))</f>
        <v/>
      </c>
      <c r="K2650" s="71" t="str">
        <f>IF(AND(fiche_sel&lt;&gt;"",A2650=fiche_sel),COUNTIF(A$6:A2650,fiche_sel),"")</f>
        <v/>
      </c>
    </row>
    <row r="2651">
      <c r="A2651" s="60" t="n"/>
      <c r="B2651" s="60" t="n"/>
      <c r="C2651" s="71" t="str">
        <f>IF(B2651="","",IFERROR(INDEX(mat_des,MATCH(B2651,mat_ref,0))&amp;"","Matière inconnue"))</f>
        <v/>
      </c>
      <c r="D2651" s="69" t="str">
        <f>IF(B2651="","",IFERROR(INDEX(mat_unit,MATCH(B2651,mat_ref,0))&amp;"",""))</f>
        <v/>
      </c>
      <c r="E2651" s="72" t="n"/>
      <c r="F2651" s="65" t="n"/>
      <c r="G2651" s="68" t="str">
        <f>IF(J2651&lt;&gt;"OK","",IF(F2651="",N(INDEX(mat_loss,MATCH(B2651,mat_ref,0))),F2651))</f>
        <v/>
      </c>
      <c r="H2651" s="66" t="str">
        <f>IF(J2651&lt;&gt;"OK","",INDEX(mat_price,MATCH(B2651,mat_ref,0)))</f>
        <v/>
      </c>
      <c r="I2651" s="66" t="str">
        <f>IF(J2651&lt;&gt;"OK","",E2651*(1+G2651)*H2651)</f>
        <v/>
      </c>
      <c r="J2651" s="69" t="str">
        <f>IF(AND(A2651="",B2651=""),"",IF(A2651="","Produit manquant",IF(COUNTIF(prod_ref,A2651)=0,"Produit inconnu",IF(B2651="","Matière manquante",IF(ISNA(MATCH(B2651,mat_ref,0)),"Matière inconnue",IF(INDEX(mat_check,MATCH(B2651,mat_ref,0))&lt;&gt;"OK","Matière à corriger",IF(OR(NOT(ISNUMBER(E2651)),N(E2651)&lt;=0),"Quantité invalide",IF(AND(F2651&lt;&gt;"",OR(NOT(ISNUMBER(F2651)),N(F2651)&lt;0,N(F2651)&gt;=1)),"Perte entre 0 et 99 %",IF(COUNTIFS(bom_prod,A2651,bom_mat,B2651)&gt;1,"Matière en double","OK")))))))))</f>
        <v/>
      </c>
      <c r="K2651" s="71" t="str">
        <f>IF(AND(fiche_sel&lt;&gt;"",A2651=fiche_sel),COUNTIF(A$6:A2651,fiche_sel),"")</f>
        <v/>
      </c>
    </row>
    <row r="2652">
      <c r="A2652" s="60" t="n"/>
      <c r="B2652" s="60" t="n"/>
      <c r="C2652" s="71" t="str">
        <f>IF(B2652="","",IFERROR(INDEX(mat_des,MATCH(B2652,mat_ref,0))&amp;"","Matière inconnue"))</f>
        <v/>
      </c>
      <c r="D2652" s="69" t="str">
        <f>IF(B2652="","",IFERROR(INDEX(mat_unit,MATCH(B2652,mat_ref,0))&amp;"",""))</f>
        <v/>
      </c>
      <c r="E2652" s="72" t="n"/>
      <c r="F2652" s="65" t="n"/>
      <c r="G2652" s="68" t="str">
        <f>IF(J2652&lt;&gt;"OK","",IF(F2652="",N(INDEX(mat_loss,MATCH(B2652,mat_ref,0))),F2652))</f>
        <v/>
      </c>
      <c r="H2652" s="66" t="str">
        <f>IF(J2652&lt;&gt;"OK","",INDEX(mat_price,MATCH(B2652,mat_ref,0)))</f>
        <v/>
      </c>
      <c r="I2652" s="66" t="str">
        <f>IF(J2652&lt;&gt;"OK","",E2652*(1+G2652)*H2652)</f>
        <v/>
      </c>
      <c r="J2652" s="69" t="str">
        <f>IF(AND(A2652="",B2652=""),"",IF(A2652="","Produit manquant",IF(COUNTIF(prod_ref,A2652)=0,"Produit inconnu",IF(B2652="","Matière manquante",IF(ISNA(MATCH(B2652,mat_ref,0)),"Matière inconnue",IF(INDEX(mat_check,MATCH(B2652,mat_ref,0))&lt;&gt;"OK","Matière à corriger",IF(OR(NOT(ISNUMBER(E2652)),N(E2652)&lt;=0),"Quantité invalide",IF(AND(F2652&lt;&gt;"",OR(NOT(ISNUMBER(F2652)),N(F2652)&lt;0,N(F2652)&gt;=1)),"Perte entre 0 et 99 %",IF(COUNTIFS(bom_prod,A2652,bom_mat,B2652)&gt;1,"Matière en double","OK")))))))))</f>
        <v/>
      </c>
      <c r="K2652" s="71" t="str">
        <f>IF(AND(fiche_sel&lt;&gt;"",A2652=fiche_sel),COUNTIF(A$6:A2652,fiche_sel),"")</f>
        <v/>
      </c>
    </row>
    <row r="2653">
      <c r="A2653" s="60" t="n"/>
      <c r="B2653" s="60" t="n"/>
      <c r="C2653" s="71" t="str">
        <f>IF(B2653="","",IFERROR(INDEX(mat_des,MATCH(B2653,mat_ref,0))&amp;"","Matière inconnue"))</f>
        <v/>
      </c>
      <c r="D2653" s="69" t="str">
        <f>IF(B2653="","",IFERROR(INDEX(mat_unit,MATCH(B2653,mat_ref,0))&amp;"",""))</f>
        <v/>
      </c>
      <c r="E2653" s="72" t="n"/>
      <c r="F2653" s="65" t="n"/>
      <c r="G2653" s="68" t="str">
        <f>IF(J2653&lt;&gt;"OK","",IF(F2653="",N(INDEX(mat_loss,MATCH(B2653,mat_ref,0))),F2653))</f>
        <v/>
      </c>
      <c r="H2653" s="66" t="str">
        <f>IF(J2653&lt;&gt;"OK","",INDEX(mat_price,MATCH(B2653,mat_ref,0)))</f>
        <v/>
      </c>
      <c r="I2653" s="66" t="str">
        <f>IF(J2653&lt;&gt;"OK","",E2653*(1+G2653)*H2653)</f>
        <v/>
      </c>
      <c r="J2653" s="69" t="str">
        <f>IF(AND(A2653="",B2653=""),"",IF(A2653="","Produit manquant",IF(COUNTIF(prod_ref,A2653)=0,"Produit inconnu",IF(B2653="","Matière manquante",IF(ISNA(MATCH(B2653,mat_ref,0)),"Matière inconnue",IF(INDEX(mat_check,MATCH(B2653,mat_ref,0))&lt;&gt;"OK","Matière à corriger",IF(OR(NOT(ISNUMBER(E2653)),N(E2653)&lt;=0),"Quantité invalide",IF(AND(F2653&lt;&gt;"",OR(NOT(ISNUMBER(F2653)),N(F2653)&lt;0,N(F2653)&gt;=1)),"Perte entre 0 et 99 %",IF(COUNTIFS(bom_prod,A2653,bom_mat,B2653)&gt;1,"Matière en double","OK")))))))))</f>
        <v/>
      </c>
      <c r="K2653" s="71" t="str">
        <f>IF(AND(fiche_sel&lt;&gt;"",A2653=fiche_sel),COUNTIF(A$6:A2653,fiche_sel),"")</f>
        <v/>
      </c>
    </row>
    <row r="2654">
      <c r="A2654" s="60" t="n"/>
      <c r="B2654" s="60" t="n"/>
      <c r="C2654" s="71" t="str">
        <f>IF(B2654="","",IFERROR(INDEX(mat_des,MATCH(B2654,mat_ref,0))&amp;"","Matière inconnue"))</f>
        <v/>
      </c>
      <c r="D2654" s="69" t="str">
        <f>IF(B2654="","",IFERROR(INDEX(mat_unit,MATCH(B2654,mat_ref,0))&amp;"",""))</f>
        <v/>
      </c>
      <c r="E2654" s="72" t="n"/>
      <c r="F2654" s="65" t="n"/>
      <c r="G2654" s="68" t="str">
        <f>IF(J2654&lt;&gt;"OK","",IF(F2654="",N(INDEX(mat_loss,MATCH(B2654,mat_ref,0))),F2654))</f>
        <v/>
      </c>
      <c r="H2654" s="66" t="str">
        <f>IF(J2654&lt;&gt;"OK","",INDEX(mat_price,MATCH(B2654,mat_ref,0)))</f>
        <v/>
      </c>
      <c r="I2654" s="66" t="str">
        <f>IF(J2654&lt;&gt;"OK","",E2654*(1+G2654)*H2654)</f>
        <v/>
      </c>
      <c r="J2654" s="69" t="str">
        <f>IF(AND(A2654="",B2654=""),"",IF(A2654="","Produit manquant",IF(COUNTIF(prod_ref,A2654)=0,"Produit inconnu",IF(B2654="","Matière manquante",IF(ISNA(MATCH(B2654,mat_ref,0)),"Matière inconnue",IF(INDEX(mat_check,MATCH(B2654,mat_ref,0))&lt;&gt;"OK","Matière à corriger",IF(OR(NOT(ISNUMBER(E2654)),N(E2654)&lt;=0),"Quantité invalide",IF(AND(F2654&lt;&gt;"",OR(NOT(ISNUMBER(F2654)),N(F2654)&lt;0,N(F2654)&gt;=1)),"Perte entre 0 et 99 %",IF(COUNTIFS(bom_prod,A2654,bom_mat,B2654)&gt;1,"Matière en double","OK")))))))))</f>
        <v/>
      </c>
      <c r="K2654" s="71" t="str">
        <f>IF(AND(fiche_sel&lt;&gt;"",A2654=fiche_sel),COUNTIF(A$6:A2654,fiche_sel),"")</f>
        <v/>
      </c>
    </row>
    <row r="2655">
      <c r="A2655" s="60" t="n"/>
      <c r="B2655" s="60" t="n"/>
      <c r="C2655" s="71" t="str">
        <f>IF(B2655="","",IFERROR(INDEX(mat_des,MATCH(B2655,mat_ref,0))&amp;"","Matière inconnue"))</f>
        <v/>
      </c>
      <c r="D2655" s="69" t="str">
        <f>IF(B2655="","",IFERROR(INDEX(mat_unit,MATCH(B2655,mat_ref,0))&amp;"",""))</f>
        <v/>
      </c>
      <c r="E2655" s="72" t="n"/>
      <c r="F2655" s="65" t="n"/>
      <c r="G2655" s="68" t="str">
        <f>IF(J2655&lt;&gt;"OK","",IF(F2655="",N(INDEX(mat_loss,MATCH(B2655,mat_ref,0))),F2655))</f>
        <v/>
      </c>
      <c r="H2655" s="66" t="str">
        <f>IF(J2655&lt;&gt;"OK","",INDEX(mat_price,MATCH(B2655,mat_ref,0)))</f>
        <v/>
      </c>
      <c r="I2655" s="66" t="str">
        <f>IF(J2655&lt;&gt;"OK","",E2655*(1+G2655)*H2655)</f>
        <v/>
      </c>
      <c r="J2655" s="69" t="str">
        <f>IF(AND(A2655="",B2655=""),"",IF(A2655="","Produit manquant",IF(COUNTIF(prod_ref,A2655)=0,"Produit inconnu",IF(B2655="","Matière manquante",IF(ISNA(MATCH(B2655,mat_ref,0)),"Matière inconnue",IF(INDEX(mat_check,MATCH(B2655,mat_ref,0))&lt;&gt;"OK","Matière à corriger",IF(OR(NOT(ISNUMBER(E2655)),N(E2655)&lt;=0),"Quantité invalide",IF(AND(F2655&lt;&gt;"",OR(NOT(ISNUMBER(F2655)),N(F2655)&lt;0,N(F2655)&gt;=1)),"Perte entre 0 et 99 %",IF(COUNTIFS(bom_prod,A2655,bom_mat,B2655)&gt;1,"Matière en double","OK")))))))))</f>
        <v/>
      </c>
      <c r="K2655" s="71" t="str">
        <f>IF(AND(fiche_sel&lt;&gt;"",A2655=fiche_sel),COUNTIF(A$6:A2655,fiche_sel),"")</f>
        <v/>
      </c>
    </row>
    <row r="2656">
      <c r="A2656" s="60" t="n"/>
      <c r="B2656" s="60" t="n"/>
      <c r="C2656" s="71" t="str">
        <f>IF(B2656="","",IFERROR(INDEX(mat_des,MATCH(B2656,mat_ref,0))&amp;"","Matière inconnue"))</f>
        <v/>
      </c>
      <c r="D2656" s="69" t="str">
        <f>IF(B2656="","",IFERROR(INDEX(mat_unit,MATCH(B2656,mat_ref,0))&amp;"",""))</f>
        <v/>
      </c>
      <c r="E2656" s="72" t="n"/>
      <c r="F2656" s="65" t="n"/>
      <c r="G2656" s="68" t="str">
        <f>IF(J2656&lt;&gt;"OK","",IF(F2656="",N(INDEX(mat_loss,MATCH(B2656,mat_ref,0))),F2656))</f>
        <v/>
      </c>
      <c r="H2656" s="66" t="str">
        <f>IF(J2656&lt;&gt;"OK","",INDEX(mat_price,MATCH(B2656,mat_ref,0)))</f>
        <v/>
      </c>
      <c r="I2656" s="66" t="str">
        <f>IF(J2656&lt;&gt;"OK","",E2656*(1+G2656)*H2656)</f>
        <v/>
      </c>
      <c r="J2656" s="69" t="str">
        <f>IF(AND(A2656="",B2656=""),"",IF(A2656="","Produit manquant",IF(COUNTIF(prod_ref,A2656)=0,"Produit inconnu",IF(B2656="","Matière manquante",IF(ISNA(MATCH(B2656,mat_ref,0)),"Matière inconnue",IF(INDEX(mat_check,MATCH(B2656,mat_ref,0))&lt;&gt;"OK","Matière à corriger",IF(OR(NOT(ISNUMBER(E2656)),N(E2656)&lt;=0),"Quantité invalide",IF(AND(F2656&lt;&gt;"",OR(NOT(ISNUMBER(F2656)),N(F2656)&lt;0,N(F2656)&gt;=1)),"Perte entre 0 et 99 %",IF(COUNTIFS(bom_prod,A2656,bom_mat,B2656)&gt;1,"Matière en double","OK")))))))))</f>
        <v/>
      </c>
      <c r="K2656" s="71" t="str">
        <f>IF(AND(fiche_sel&lt;&gt;"",A2656=fiche_sel),COUNTIF(A$6:A2656,fiche_sel),"")</f>
        <v/>
      </c>
    </row>
    <row r="2657">
      <c r="A2657" s="60" t="n"/>
      <c r="B2657" s="60" t="n"/>
      <c r="C2657" s="71" t="str">
        <f>IF(B2657="","",IFERROR(INDEX(mat_des,MATCH(B2657,mat_ref,0))&amp;"","Matière inconnue"))</f>
        <v/>
      </c>
      <c r="D2657" s="69" t="str">
        <f>IF(B2657="","",IFERROR(INDEX(mat_unit,MATCH(B2657,mat_ref,0))&amp;"",""))</f>
        <v/>
      </c>
      <c r="E2657" s="72" t="n"/>
      <c r="F2657" s="65" t="n"/>
      <c r="G2657" s="68" t="str">
        <f>IF(J2657&lt;&gt;"OK","",IF(F2657="",N(INDEX(mat_loss,MATCH(B2657,mat_ref,0))),F2657))</f>
        <v/>
      </c>
      <c r="H2657" s="66" t="str">
        <f>IF(J2657&lt;&gt;"OK","",INDEX(mat_price,MATCH(B2657,mat_ref,0)))</f>
        <v/>
      </c>
      <c r="I2657" s="66" t="str">
        <f>IF(J2657&lt;&gt;"OK","",E2657*(1+G2657)*H2657)</f>
        <v/>
      </c>
      <c r="J2657" s="69" t="str">
        <f>IF(AND(A2657="",B2657=""),"",IF(A2657="","Produit manquant",IF(COUNTIF(prod_ref,A2657)=0,"Produit inconnu",IF(B2657="","Matière manquante",IF(ISNA(MATCH(B2657,mat_ref,0)),"Matière inconnue",IF(INDEX(mat_check,MATCH(B2657,mat_ref,0))&lt;&gt;"OK","Matière à corriger",IF(OR(NOT(ISNUMBER(E2657)),N(E2657)&lt;=0),"Quantité invalide",IF(AND(F2657&lt;&gt;"",OR(NOT(ISNUMBER(F2657)),N(F2657)&lt;0,N(F2657)&gt;=1)),"Perte entre 0 et 99 %",IF(COUNTIFS(bom_prod,A2657,bom_mat,B2657)&gt;1,"Matière en double","OK")))))))))</f>
        <v/>
      </c>
      <c r="K2657" s="71" t="str">
        <f>IF(AND(fiche_sel&lt;&gt;"",A2657=fiche_sel),COUNTIF(A$6:A2657,fiche_sel),"")</f>
        <v/>
      </c>
    </row>
    <row r="2658">
      <c r="A2658" s="60" t="n"/>
      <c r="B2658" s="60" t="n"/>
      <c r="C2658" s="71" t="str">
        <f>IF(B2658="","",IFERROR(INDEX(mat_des,MATCH(B2658,mat_ref,0))&amp;"","Matière inconnue"))</f>
        <v/>
      </c>
      <c r="D2658" s="69" t="str">
        <f>IF(B2658="","",IFERROR(INDEX(mat_unit,MATCH(B2658,mat_ref,0))&amp;"",""))</f>
        <v/>
      </c>
      <c r="E2658" s="72" t="n"/>
      <c r="F2658" s="65" t="n"/>
      <c r="G2658" s="68" t="str">
        <f>IF(J2658&lt;&gt;"OK","",IF(F2658="",N(INDEX(mat_loss,MATCH(B2658,mat_ref,0))),F2658))</f>
        <v/>
      </c>
      <c r="H2658" s="66" t="str">
        <f>IF(J2658&lt;&gt;"OK","",INDEX(mat_price,MATCH(B2658,mat_ref,0)))</f>
        <v/>
      </c>
      <c r="I2658" s="66" t="str">
        <f>IF(J2658&lt;&gt;"OK","",E2658*(1+G2658)*H2658)</f>
        <v/>
      </c>
      <c r="J2658" s="69" t="str">
        <f>IF(AND(A2658="",B2658=""),"",IF(A2658="","Produit manquant",IF(COUNTIF(prod_ref,A2658)=0,"Produit inconnu",IF(B2658="","Matière manquante",IF(ISNA(MATCH(B2658,mat_ref,0)),"Matière inconnue",IF(INDEX(mat_check,MATCH(B2658,mat_ref,0))&lt;&gt;"OK","Matière à corriger",IF(OR(NOT(ISNUMBER(E2658)),N(E2658)&lt;=0),"Quantité invalide",IF(AND(F2658&lt;&gt;"",OR(NOT(ISNUMBER(F2658)),N(F2658)&lt;0,N(F2658)&gt;=1)),"Perte entre 0 et 99 %",IF(COUNTIFS(bom_prod,A2658,bom_mat,B2658)&gt;1,"Matière en double","OK")))))))))</f>
        <v/>
      </c>
      <c r="K2658" s="71" t="str">
        <f>IF(AND(fiche_sel&lt;&gt;"",A2658=fiche_sel),COUNTIF(A$6:A2658,fiche_sel),"")</f>
        <v/>
      </c>
    </row>
    <row r="2659">
      <c r="A2659" s="60" t="n"/>
      <c r="B2659" s="60" t="n"/>
      <c r="C2659" s="71" t="str">
        <f>IF(B2659="","",IFERROR(INDEX(mat_des,MATCH(B2659,mat_ref,0))&amp;"","Matière inconnue"))</f>
        <v/>
      </c>
      <c r="D2659" s="69" t="str">
        <f>IF(B2659="","",IFERROR(INDEX(mat_unit,MATCH(B2659,mat_ref,0))&amp;"",""))</f>
        <v/>
      </c>
      <c r="E2659" s="72" t="n"/>
      <c r="F2659" s="65" t="n"/>
      <c r="G2659" s="68" t="str">
        <f>IF(J2659&lt;&gt;"OK","",IF(F2659="",N(INDEX(mat_loss,MATCH(B2659,mat_ref,0))),F2659))</f>
        <v/>
      </c>
      <c r="H2659" s="66" t="str">
        <f>IF(J2659&lt;&gt;"OK","",INDEX(mat_price,MATCH(B2659,mat_ref,0)))</f>
        <v/>
      </c>
      <c r="I2659" s="66" t="str">
        <f>IF(J2659&lt;&gt;"OK","",E2659*(1+G2659)*H2659)</f>
        <v/>
      </c>
      <c r="J2659" s="69" t="str">
        <f>IF(AND(A2659="",B2659=""),"",IF(A2659="","Produit manquant",IF(COUNTIF(prod_ref,A2659)=0,"Produit inconnu",IF(B2659="","Matière manquante",IF(ISNA(MATCH(B2659,mat_ref,0)),"Matière inconnue",IF(INDEX(mat_check,MATCH(B2659,mat_ref,0))&lt;&gt;"OK","Matière à corriger",IF(OR(NOT(ISNUMBER(E2659)),N(E2659)&lt;=0),"Quantité invalide",IF(AND(F2659&lt;&gt;"",OR(NOT(ISNUMBER(F2659)),N(F2659)&lt;0,N(F2659)&gt;=1)),"Perte entre 0 et 99 %",IF(COUNTIFS(bom_prod,A2659,bom_mat,B2659)&gt;1,"Matière en double","OK")))))))))</f>
        <v/>
      </c>
      <c r="K2659" s="71" t="str">
        <f>IF(AND(fiche_sel&lt;&gt;"",A2659=fiche_sel),COUNTIF(A$6:A2659,fiche_sel),"")</f>
        <v/>
      </c>
    </row>
    <row r="2660">
      <c r="A2660" s="60" t="n"/>
      <c r="B2660" s="60" t="n"/>
      <c r="C2660" s="71" t="str">
        <f>IF(B2660="","",IFERROR(INDEX(mat_des,MATCH(B2660,mat_ref,0))&amp;"","Matière inconnue"))</f>
        <v/>
      </c>
      <c r="D2660" s="69" t="str">
        <f>IF(B2660="","",IFERROR(INDEX(mat_unit,MATCH(B2660,mat_ref,0))&amp;"",""))</f>
        <v/>
      </c>
      <c r="E2660" s="72" t="n"/>
      <c r="F2660" s="65" t="n"/>
      <c r="G2660" s="68" t="str">
        <f>IF(J2660&lt;&gt;"OK","",IF(F2660="",N(INDEX(mat_loss,MATCH(B2660,mat_ref,0))),F2660))</f>
        <v/>
      </c>
      <c r="H2660" s="66" t="str">
        <f>IF(J2660&lt;&gt;"OK","",INDEX(mat_price,MATCH(B2660,mat_ref,0)))</f>
        <v/>
      </c>
      <c r="I2660" s="66" t="str">
        <f>IF(J2660&lt;&gt;"OK","",E2660*(1+G2660)*H2660)</f>
        <v/>
      </c>
      <c r="J2660" s="69" t="str">
        <f>IF(AND(A2660="",B2660=""),"",IF(A2660="","Produit manquant",IF(COUNTIF(prod_ref,A2660)=0,"Produit inconnu",IF(B2660="","Matière manquante",IF(ISNA(MATCH(B2660,mat_ref,0)),"Matière inconnue",IF(INDEX(mat_check,MATCH(B2660,mat_ref,0))&lt;&gt;"OK","Matière à corriger",IF(OR(NOT(ISNUMBER(E2660)),N(E2660)&lt;=0),"Quantité invalide",IF(AND(F2660&lt;&gt;"",OR(NOT(ISNUMBER(F2660)),N(F2660)&lt;0,N(F2660)&gt;=1)),"Perte entre 0 et 99 %",IF(COUNTIFS(bom_prod,A2660,bom_mat,B2660)&gt;1,"Matière en double","OK")))))))))</f>
        <v/>
      </c>
      <c r="K2660" s="71" t="str">
        <f>IF(AND(fiche_sel&lt;&gt;"",A2660=fiche_sel),COUNTIF(A$6:A2660,fiche_sel),"")</f>
        <v/>
      </c>
    </row>
    <row r="2661">
      <c r="A2661" s="60" t="n"/>
      <c r="B2661" s="60" t="n"/>
      <c r="C2661" s="71" t="str">
        <f>IF(B2661="","",IFERROR(INDEX(mat_des,MATCH(B2661,mat_ref,0))&amp;"","Matière inconnue"))</f>
        <v/>
      </c>
      <c r="D2661" s="69" t="str">
        <f>IF(B2661="","",IFERROR(INDEX(mat_unit,MATCH(B2661,mat_ref,0))&amp;"",""))</f>
        <v/>
      </c>
      <c r="E2661" s="72" t="n"/>
      <c r="F2661" s="65" t="n"/>
      <c r="G2661" s="68" t="str">
        <f>IF(J2661&lt;&gt;"OK","",IF(F2661="",N(INDEX(mat_loss,MATCH(B2661,mat_ref,0))),F2661))</f>
        <v/>
      </c>
      <c r="H2661" s="66" t="str">
        <f>IF(J2661&lt;&gt;"OK","",INDEX(mat_price,MATCH(B2661,mat_ref,0)))</f>
        <v/>
      </c>
      <c r="I2661" s="66" t="str">
        <f>IF(J2661&lt;&gt;"OK","",E2661*(1+G2661)*H2661)</f>
        <v/>
      </c>
      <c r="J2661" s="69" t="str">
        <f>IF(AND(A2661="",B2661=""),"",IF(A2661="","Produit manquant",IF(COUNTIF(prod_ref,A2661)=0,"Produit inconnu",IF(B2661="","Matière manquante",IF(ISNA(MATCH(B2661,mat_ref,0)),"Matière inconnue",IF(INDEX(mat_check,MATCH(B2661,mat_ref,0))&lt;&gt;"OK","Matière à corriger",IF(OR(NOT(ISNUMBER(E2661)),N(E2661)&lt;=0),"Quantité invalide",IF(AND(F2661&lt;&gt;"",OR(NOT(ISNUMBER(F2661)),N(F2661)&lt;0,N(F2661)&gt;=1)),"Perte entre 0 et 99 %",IF(COUNTIFS(bom_prod,A2661,bom_mat,B2661)&gt;1,"Matière en double","OK")))))))))</f>
        <v/>
      </c>
      <c r="K2661" s="71" t="str">
        <f>IF(AND(fiche_sel&lt;&gt;"",A2661=fiche_sel),COUNTIF(A$6:A2661,fiche_sel),"")</f>
        <v/>
      </c>
    </row>
    <row r="2662">
      <c r="A2662" s="60" t="n"/>
      <c r="B2662" s="60" t="n"/>
      <c r="C2662" s="71" t="str">
        <f>IF(B2662="","",IFERROR(INDEX(mat_des,MATCH(B2662,mat_ref,0))&amp;"","Matière inconnue"))</f>
        <v/>
      </c>
      <c r="D2662" s="69" t="str">
        <f>IF(B2662="","",IFERROR(INDEX(mat_unit,MATCH(B2662,mat_ref,0))&amp;"",""))</f>
        <v/>
      </c>
      <c r="E2662" s="72" t="n"/>
      <c r="F2662" s="65" t="n"/>
      <c r="G2662" s="68" t="str">
        <f>IF(J2662&lt;&gt;"OK","",IF(F2662="",N(INDEX(mat_loss,MATCH(B2662,mat_ref,0))),F2662))</f>
        <v/>
      </c>
      <c r="H2662" s="66" t="str">
        <f>IF(J2662&lt;&gt;"OK","",INDEX(mat_price,MATCH(B2662,mat_ref,0)))</f>
        <v/>
      </c>
      <c r="I2662" s="66" t="str">
        <f>IF(J2662&lt;&gt;"OK","",E2662*(1+G2662)*H2662)</f>
        <v/>
      </c>
      <c r="J2662" s="69" t="str">
        <f>IF(AND(A2662="",B2662=""),"",IF(A2662="","Produit manquant",IF(COUNTIF(prod_ref,A2662)=0,"Produit inconnu",IF(B2662="","Matière manquante",IF(ISNA(MATCH(B2662,mat_ref,0)),"Matière inconnue",IF(INDEX(mat_check,MATCH(B2662,mat_ref,0))&lt;&gt;"OK","Matière à corriger",IF(OR(NOT(ISNUMBER(E2662)),N(E2662)&lt;=0),"Quantité invalide",IF(AND(F2662&lt;&gt;"",OR(NOT(ISNUMBER(F2662)),N(F2662)&lt;0,N(F2662)&gt;=1)),"Perte entre 0 et 99 %",IF(COUNTIFS(bom_prod,A2662,bom_mat,B2662)&gt;1,"Matière en double","OK")))))))))</f>
        <v/>
      </c>
      <c r="K2662" s="71" t="str">
        <f>IF(AND(fiche_sel&lt;&gt;"",A2662=fiche_sel),COUNTIF(A$6:A2662,fiche_sel),"")</f>
        <v/>
      </c>
    </row>
    <row r="2663">
      <c r="A2663" s="60" t="n"/>
      <c r="B2663" s="60" t="n"/>
      <c r="C2663" s="71" t="str">
        <f>IF(B2663="","",IFERROR(INDEX(mat_des,MATCH(B2663,mat_ref,0))&amp;"","Matière inconnue"))</f>
        <v/>
      </c>
      <c r="D2663" s="69" t="str">
        <f>IF(B2663="","",IFERROR(INDEX(mat_unit,MATCH(B2663,mat_ref,0))&amp;"",""))</f>
        <v/>
      </c>
      <c r="E2663" s="72" t="n"/>
      <c r="F2663" s="65" t="n"/>
      <c r="G2663" s="68" t="str">
        <f>IF(J2663&lt;&gt;"OK","",IF(F2663="",N(INDEX(mat_loss,MATCH(B2663,mat_ref,0))),F2663))</f>
        <v/>
      </c>
      <c r="H2663" s="66" t="str">
        <f>IF(J2663&lt;&gt;"OK","",INDEX(mat_price,MATCH(B2663,mat_ref,0)))</f>
        <v/>
      </c>
      <c r="I2663" s="66" t="str">
        <f>IF(J2663&lt;&gt;"OK","",E2663*(1+G2663)*H2663)</f>
        <v/>
      </c>
      <c r="J2663" s="69" t="str">
        <f>IF(AND(A2663="",B2663=""),"",IF(A2663="","Produit manquant",IF(COUNTIF(prod_ref,A2663)=0,"Produit inconnu",IF(B2663="","Matière manquante",IF(ISNA(MATCH(B2663,mat_ref,0)),"Matière inconnue",IF(INDEX(mat_check,MATCH(B2663,mat_ref,0))&lt;&gt;"OK","Matière à corriger",IF(OR(NOT(ISNUMBER(E2663)),N(E2663)&lt;=0),"Quantité invalide",IF(AND(F2663&lt;&gt;"",OR(NOT(ISNUMBER(F2663)),N(F2663)&lt;0,N(F2663)&gt;=1)),"Perte entre 0 et 99 %",IF(COUNTIFS(bom_prod,A2663,bom_mat,B2663)&gt;1,"Matière en double","OK")))))))))</f>
        <v/>
      </c>
      <c r="K2663" s="71" t="str">
        <f>IF(AND(fiche_sel&lt;&gt;"",A2663=fiche_sel),COUNTIF(A$6:A2663,fiche_sel),"")</f>
        <v/>
      </c>
    </row>
    <row r="2664">
      <c r="A2664" s="60" t="n"/>
      <c r="B2664" s="60" t="n"/>
      <c r="C2664" s="71" t="str">
        <f>IF(B2664="","",IFERROR(INDEX(mat_des,MATCH(B2664,mat_ref,0))&amp;"","Matière inconnue"))</f>
        <v/>
      </c>
      <c r="D2664" s="69" t="str">
        <f>IF(B2664="","",IFERROR(INDEX(mat_unit,MATCH(B2664,mat_ref,0))&amp;"",""))</f>
        <v/>
      </c>
      <c r="E2664" s="72" t="n"/>
      <c r="F2664" s="65" t="n"/>
      <c r="G2664" s="68" t="str">
        <f>IF(J2664&lt;&gt;"OK","",IF(F2664="",N(INDEX(mat_loss,MATCH(B2664,mat_ref,0))),F2664))</f>
        <v/>
      </c>
      <c r="H2664" s="66" t="str">
        <f>IF(J2664&lt;&gt;"OK","",INDEX(mat_price,MATCH(B2664,mat_ref,0)))</f>
        <v/>
      </c>
      <c r="I2664" s="66" t="str">
        <f>IF(J2664&lt;&gt;"OK","",E2664*(1+G2664)*H2664)</f>
        <v/>
      </c>
      <c r="J2664" s="69" t="str">
        <f>IF(AND(A2664="",B2664=""),"",IF(A2664="","Produit manquant",IF(COUNTIF(prod_ref,A2664)=0,"Produit inconnu",IF(B2664="","Matière manquante",IF(ISNA(MATCH(B2664,mat_ref,0)),"Matière inconnue",IF(INDEX(mat_check,MATCH(B2664,mat_ref,0))&lt;&gt;"OK","Matière à corriger",IF(OR(NOT(ISNUMBER(E2664)),N(E2664)&lt;=0),"Quantité invalide",IF(AND(F2664&lt;&gt;"",OR(NOT(ISNUMBER(F2664)),N(F2664)&lt;0,N(F2664)&gt;=1)),"Perte entre 0 et 99 %",IF(COUNTIFS(bom_prod,A2664,bom_mat,B2664)&gt;1,"Matière en double","OK")))))))))</f>
        <v/>
      </c>
      <c r="K2664" s="71" t="str">
        <f>IF(AND(fiche_sel&lt;&gt;"",A2664=fiche_sel),COUNTIF(A$6:A2664,fiche_sel),"")</f>
        <v/>
      </c>
    </row>
    <row r="2665">
      <c r="A2665" s="60" t="n"/>
      <c r="B2665" s="60" t="n"/>
      <c r="C2665" s="71" t="str">
        <f>IF(B2665="","",IFERROR(INDEX(mat_des,MATCH(B2665,mat_ref,0))&amp;"","Matière inconnue"))</f>
        <v/>
      </c>
      <c r="D2665" s="69" t="str">
        <f>IF(B2665="","",IFERROR(INDEX(mat_unit,MATCH(B2665,mat_ref,0))&amp;"",""))</f>
        <v/>
      </c>
      <c r="E2665" s="72" t="n"/>
      <c r="F2665" s="65" t="n"/>
      <c r="G2665" s="68" t="str">
        <f>IF(J2665&lt;&gt;"OK","",IF(F2665="",N(INDEX(mat_loss,MATCH(B2665,mat_ref,0))),F2665))</f>
        <v/>
      </c>
      <c r="H2665" s="66" t="str">
        <f>IF(J2665&lt;&gt;"OK","",INDEX(mat_price,MATCH(B2665,mat_ref,0)))</f>
        <v/>
      </c>
      <c r="I2665" s="66" t="str">
        <f>IF(J2665&lt;&gt;"OK","",E2665*(1+G2665)*H2665)</f>
        <v/>
      </c>
      <c r="J2665" s="69" t="str">
        <f>IF(AND(A2665="",B2665=""),"",IF(A2665="","Produit manquant",IF(COUNTIF(prod_ref,A2665)=0,"Produit inconnu",IF(B2665="","Matière manquante",IF(ISNA(MATCH(B2665,mat_ref,0)),"Matière inconnue",IF(INDEX(mat_check,MATCH(B2665,mat_ref,0))&lt;&gt;"OK","Matière à corriger",IF(OR(NOT(ISNUMBER(E2665)),N(E2665)&lt;=0),"Quantité invalide",IF(AND(F2665&lt;&gt;"",OR(NOT(ISNUMBER(F2665)),N(F2665)&lt;0,N(F2665)&gt;=1)),"Perte entre 0 et 99 %",IF(COUNTIFS(bom_prod,A2665,bom_mat,B2665)&gt;1,"Matière en double","OK")))))))))</f>
        <v/>
      </c>
      <c r="K2665" s="71" t="str">
        <f>IF(AND(fiche_sel&lt;&gt;"",A2665=fiche_sel),COUNTIF(A$6:A2665,fiche_sel),"")</f>
        <v/>
      </c>
    </row>
    <row r="2666">
      <c r="A2666" s="60" t="n"/>
      <c r="B2666" s="60" t="n"/>
      <c r="C2666" s="71" t="str">
        <f>IF(B2666="","",IFERROR(INDEX(mat_des,MATCH(B2666,mat_ref,0))&amp;"","Matière inconnue"))</f>
        <v/>
      </c>
      <c r="D2666" s="69" t="str">
        <f>IF(B2666="","",IFERROR(INDEX(mat_unit,MATCH(B2666,mat_ref,0))&amp;"",""))</f>
        <v/>
      </c>
      <c r="E2666" s="72" t="n"/>
      <c r="F2666" s="65" t="n"/>
      <c r="G2666" s="68" t="str">
        <f>IF(J2666&lt;&gt;"OK","",IF(F2666="",N(INDEX(mat_loss,MATCH(B2666,mat_ref,0))),F2666))</f>
        <v/>
      </c>
      <c r="H2666" s="66" t="str">
        <f>IF(J2666&lt;&gt;"OK","",INDEX(mat_price,MATCH(B2666,mat_ref,0)))</f>
        <v/>
      </c>
      <c r="I2666" s="66" t="str">
        <f>IF(J2666&lt;&gt;"OK","",E2666*(1+G2666)*H2666)</f>
        <v/>
      </c>
      <c r="J2666" s="69" t="str">
        <f>IF(AND(A2666="",B2666=""),"",IF(A2666="","Produit manquant",IF(COUNTIF(prod_ref,A2666)=0,"Produit inconnu",IF(B2666="","Matière manquante",IF(ISNA(MATCH(B2666,mat_ref,0)),"Matière inconnue",IF(INDEX(mat_check,MATCH(B2666,mat_ref,0))&lt;&gt;"OK","Matière à corriger",IF(OR(NOT(ISNUMBER(E2666)),N(E2666)&lt;=0),"Quantité invalide",IF(AND(F2666&lt;&gt;"",OR(NOT(ISNUMBER(F2666)),N(F2666)&lt;0,N(F2666)&gt;=1)),"Perte entre 0 et 99 %",IF(COUNTIFS(bom_prod,A2666,bom_mat,B2666)&gt;1,"Matière en double","OK")))))))))</f>
        <v/>
      </c>
      <c r="K2666" s="71" t="str">
        <f>IF(AND(fiche_sel&lt;&gt;"",A2666=fiche_sel),COUNTIF(A$6:A2666,fiche_sel),"")</f>
        <v/>
      </c>
    </row>
    <row r="2667">
      <c r="A2667" s="60" t="n"/>
      <c r="B2667" s="60" t="n"/>
      <c r="C2667" s="71" t="str">
        <f>IF(B2667="","",IFERROR(INDEX(mat_des,MATCH(B2667,mat_ref,0))&amp;"","Matière inconnue"))</f>
        <v/>
      </c>
      <c r="D2667" s="69" t="str">
        <f>IF(B2667="","",IFERROR(INDEX(mat_unit,MATCH(B2667,mat_ref,0))&amp;"",""))</f>
        <v/>
      </c>
      <c r="E2667" s="72" t="n"/>
      <c r="F2667" s="65" t="n"/>
      <c r="G2667" s="68" t="str">
        <f>IF(J2667&lt;&gt;"OK","",IF(F2667="",N(INDEX(mat_loss,MATCH(B2667,mat_ref,0))),F2667))</f>
        <v/>
      </c>
      <c r="H2667" s="66" t="str">
        <f>IF(J2667&lt;&gt;"OK","",INDEX(mat_price,MATCH(B2667,mat_ref,0)))</f>
        <v/>
      </c>
      <c r="I2667" s="66" t="str">
        <f>IF(J2667&lt;&gt;"OK","",E2667*(1+G2667)*H2667)</f>
        <v/>
      </c>
      <c r="J2667" s="69" t="str">
        <f>IF(AND(A2667="",B2667=""),"",IF(A2667="","Produit manquant",IF(COUNTIF(prod_ref,A2667)=0,"Produit inconnu",IF(B2667="","Matière manquante",IF(ISNA(MATCH(B2667,mat_ref,0)),"Matière inconnue",IF(INDEX(mat_check,MATCH(B2667,mat_ref,0))&lt;&gt;"OK","Matière à corriger",IF(OR(NOT(ISNUMBER(E2667)),N(E2667)&lt;=0),"Quantité invalide",IF(AND(F2667&lt;&gt;"",OR(NOT(ISNUMBER(F2667)),N(F2667)&lt;0,N(F2667)&gt;=1)),"Perte entre 0 et 99 %",IF(COUNTIFS(bom_prod,A2667,bom_mat,B2667)&gt;1,"Matière en double","OK")))))))))</f>
        <v/>
      </c>
      <c r="K2667" s="71" t="str">
        <f>IF(AND(fiche_sel&lt;&gt;"",A2667=fiche_sel),COUNTIF(A$6:A2667,fiche_sel),"")</f>
        <v/>
      </c>
    </row>
    <row r="2668">
      <c r="A2668" s="60" t="n"/>
      <c r="B2668" s="60" t="n"/>
      <c r="C2668" s="71" t="str">
        <f>IF(B2668="","",IFERROR(INDEX(mat_des,MATCH(B2668,mat_ref,0))&amp;"","Matière inconnue"))</f>
        <v/>
      </c>
      <c r="D2668" s="69" t="str">
        <f>IF(B2668="","",IFERROR(INDEX(mat_unit,MATCH(B2668,mat_ref,0))&amp;"",""))</f>
        <v/>
      </c>
      <c r="E2668" s="72" t="n"/>
      <c r="F2668" s="65" t="n"/>
      <c r="G2668" s="68" t="str">
        <f>IF(J2668&lt;&gt;"OK","",IF(F2668="",N(INDEX(mat_loss,MATCH(B2668,mat_ref,0))),F2668))</f>
        <v/>
      </c>
      <c r="H2668" s="66" t="str">
        <f>IF(J2668&lt;&gt;"OK","",INDEX(mat_price,MATCH(B2668,mat_ref,0)))</f>
        <v/>
      </c>
      <c r="I2668" s="66" t="str">
        <f>IF(J2668&lt;&gt;"OK","",E2668*(1+G2668)*H2668)</f>
        <v/>
      </c>
      <c r="J2668" s="69" t="str">
        <f>IF(AND(A2668="",B2668=""),"",IF(A2668="","Produit manquant",IF(COUNTIF(prod_ref,A2668)=0,"Produit inconnu",IF(B2668="","Matière manquante",IF(ISNA(MATCH(B2668,mat_ref,0)),"Matière inconnue",IF(INDEX(mat_check,MATCH(B2668,mat_ref,0))&lt;&gt;"OK","Matière à corriger",IF(OR(NOT(ISNUMBER(E2668)),N(E2668)&lt;=0),"Quantité invalide",IF(AND(F2668&lt;&gt;"",OR(NOT(ISNUMBER(F2668)),N(F2668)&lt;0,N(F2668)&gt;=1)),"Perte entre 0 et 99 %",IF(COUNTIFS(bom_prod,A2668,bom_mat,B2668)&gt;1,"Matière en double","OK")))))))))</f>
        <v/>
      </c>
      <c r="K2668" s="71" t="str">
        <f>IF(AND(fiche_sel&lt;&gt;"",A2668=fiche_sel),COUNTIF(A$6:A2668,fiche_sel),"")</f>
        <v/>
      </c>
    </row>
    <row r="2669">
      <c r="A2669" s="60" t="n"/>
      <c r="B2669" s="60" t="n"/>
      <c r="C2669" s="71" t="str">
        <f>IF(B2669="","",IFERROR(INDEX(mat_des,MATCH(B2669,mat_ref,0))&amp;"","Matière inconnue"))</f>
        <v/>
      </c>
      <c r="D2669" s="69" t="str">
        <f>IF(B2669="","",IFERROR(INDEX(mat_unit,MATCH(B2669,mat_ref,0))&amp;"",""))</f>
        <v/>
      </c>
      <c r="E2669" s="72" t="n"/>
      <c r="F2669" s="65" t="n"/>
      <c r="G2669" s="68" t="str">
        <f>IF(J2669&lt;&gt;"OK","",IF(F2669="",N(INDEX(mat_loss,MATCH(B2669,mat_ref,0))),F2669))</f>
        <v/>
      </c>
      <c r="H2669" s="66" t="str">
        <f>IF(J2669&lt;&gt;"OK","",INDEX(mat_price,MATCH(B2669,mat_ref,0)))</f>
        <v/>
      </c>
      <c r="I2669" s="66" t="str">
        <f>IF(J2669&lt;&gt;"OK","",E2669*(1+G2669)*H2669)</f>
        <v/>
      </c>
      <c r="J2669" s="69" t="str">
        <f>IF(AND(A2669="",B2669=""),"",IF(A2669="","Produit manquant",IF(COUNTIF(prod_ref,A2669)=0,"Produit inconnu",IF(B2669="","Matière manquante",IF(ISNA(MATCH(B2669,mat_ref,0)),"Matière inconnue",IF(INDEX(mat_check,MATCH(B2669,mat_ref,0))&lt;&gt;"OK","Matière à corriger",IF(OR(NOT(ISNUMBER(E2669)),N(E2669)&lt;=0),"Quantité invalide",IF(AND(F2669&lt;&gt;"",OR(NOT(ISNUMBER(F2669)),N(F2669)&lt;0,N(F2669)&gt;=1)),"Perte entre 0 et 99 %",IF(COUNTIFS(bom_prod,A2669,bom_mat,B2669)&gt;1,"Matière en double","OK")))))))))</f>
        <v/>
      </c>
      <c r="K2669" s="71" t="str">
        <f>IF(AND(fiche_sel&lt;&gt;"",A2669=fiche_sel),COUNTIF(A$6:A2669,fiche_sel),"")</f>
        <v/>
      </c>
    </row>
    <row r="2670">
      <c r="A2670" s="60" t="n"/>
      <c r="B2670" s="60" t="n"/>
      <c r="C2670" s="71" t="str">
        <f>IF(B2670="","",IFERROR(INDEX(mat_des,MATCH(B2670,mat_ref,0))&amp;"","Matière inconnue"))</f>
        <v/>
      </c>
      <c r="D2670" s="69" t="str">
        <f>IF(B2670="","",IFERROR(INDEX(mat_unit,MATCH(B2670,mat_ref,0))&amp;"",""))</f>
        <v/>
      </c>
      <c r="E2670" s="72" t="n"/>
      <c r="F2670" s="65" t="n"/>
      <c r="G2670" s="68" t="str">
        <f>IF(J2670&lt;&gt;"OK","",IF(F2670="",N(INDEX(mat_loss,MATCH(B2670,mat_ref,0))),F2670))</f>
        <v/>
      </c>
      <c r="H2670" s="66" t="str">
        <f>IF(J2670&lt;&gt;"OK","",INDEX(mat_price,MATCH(B2670,mat_ref,0)))</f>
        <v/>
      </c>
      <c r="I2670" s="66" t="str">
        <f>IF(J2670&lt;&gt;"OK","",E2670*(1+G2670)*H2670)</f>
        <v/>
      </c>
      <c r="J2670" s="69" t="str">
        <f>IF(AND(A2670="",B2670=""),"",IF(A2670="","Produit manquant",IF(COUNTIF(prod_ref,A2670)=0,"Produit inconnu",IF(B2670="","Matière manquante",IF(ISNA(MATCH(B2670,mat_ref,0)),"Matière inconnue",IF(INDEX(mat_check,MATCH(B2670,mat_ref,0))&lt;&gt;"OK","Matière à corriger",IF(OR(NOT(ISNUMBER(E2670)),N(E2670)&lt;=0),"Quantité invalide",IF(AND(F2670&lt;&gt;"",OR(NOT(ISNUMBER(F2670)),N(F2670)&lt;0,N(F2670)&gt;=1)),"Perte entre 0 et 99 %",IF(COUNTIFS(bom_prod,A2670,bom_mat,B2670)&gt;1,"Matière en double","OK")))))))))</f>
        <v/>
      </c>
      <c r="K2670" s="71" t="str">
        <f>IF(AND(fiche_sel&lt;&gt;"",A2670=fiche_sel),COUNTIF(A$6:A2670,fiche_sel),"")</f>
        <v/>
      </c>
    </row>
    <row r="2671">
      <c r="A2671" s="60" t="n"/>
      <c r="B2671" s="60" t="n"/>
      <c r="C2671" s="71" t="str">
        <f>IF(B2671="","",IFERROR(INDEX(mat_des,MATCH(B2671,mat_ref,0))&amp;"","Matière inconnue"))</f>
        <v/>
      </c>
      <c r="D2671" s="69" t="str">
        <f>IF(B2671="","",IFERROR(INDEX(mat_unit,MATCH(B2671,mat_ref,0))&amp;"",""))</f>
        <v/>
      </c>
      <c r="E2671" s="72" t="n"/>
      <c r="F2671" s="65" t="n"/>
      <c r="G2671" s="68" t="str">
        <f>IF(J2671&lt;&gt;"OK","",IF(F2671="",N(INDEX(mat_loss,MATCH(B2671,mat_ref,0))),F2671))</f>
        <v/>
      </c>
      <c r="H2671" s="66" t="str">
        <f>IF(J2671&lt;&gt;"OK","",INDEX(mat_price,MATCH(B2671,mat_ref,0)))</f>
        <v/>
      </c>
      <c r="I2671" s="66" t="str">
        <f>IF(J2671&lt;&gt;"OK","",E2671*(1+G2671)*H2671)</f>
        <v/>
      </c>
      <c r="J2671" s="69" t="str">
        <f>IF(AND(A2671="",B2671=""),"",IF(A2671="","Produit manquant",IF(COUNTIF(prod_ref,A2671)=0,"Produit inconnu",IF(B2671="","Matière manquante",IF(ISNA(MATCH(B2671,mat_ref,0)),"Matière inconnue",IF(INDEX(mat_check,MATCH(B2671,mat_ref,0))&lt;&gt;"OK","Matière à corriger",IF(OR(NOT(ISNUMBER(E2671)),N(E2671)&lt;=0),"Quantité invalide",IF(AND(F2671&lt;&gt;"",OR(NOT(ISNUMBER(F2671)),N(F2671)&lt;0,N(F2671)&gt;=1)),"Perte entre 0 et 99 %",IF(COUNTIFS(bom_prod,A2671,bom_mat,B2671)&gt;1,"Matière en double","OK")))))))))</f>
        <v/>
      </c>
      <c r="K2671" s="71" t="str">
        <f>IF(AND(fiche_sel&lt;&gt;"",A2671=fiche_sel),COUNTIF(A$6:A2671,fiche_sel),"")</f>
        <v/>
      </c>
    </row>
    <row r="2672">
      <c r="A2672" s="60" t="n"/>
      <c r="B2672" s="60" t="n"/>
      <c r="C2672" s="71" t="str">
        <f>IF(B2672="","",IFERROR(INDEX(mat_des,MATCH(B2672,mat_ref,0))&amp;"","Matière inconnue"))</f>
        <v/>
      </c>
      <c r="D2672" s="69" t="str">
        <f>IF(B2672="","",IFERROR(INDEX(mat_unit,MATCH(B2672,mat_ref,0))&amp;"",""))</f>
        <v/>
      </c>
      <c r="E2672" s="72" t="n"/>
      <c r="F2672" s="65" t="n"/>
      <c r="G2672" s="68" t="str">
        <f>IF(J2672&lt;&gt;"OK","",IF(F2672="",N(INDEX(mat_loss,MATCH(B2672,mat_ref,0))),F2672))</f>
        <v/>
      </c>
      <c r="H2672" s="66" t="str">
        <f>IF(J2672&lt;&gt;"OK","",INDEX(mat_price,MATCH(B2672,mat_ref,0)))</f>
        <v/>
      </c>
      <c r="I2672" s="66" t="str">
        <f>IF(J2672&lt;&gt;"OK","",E2672*(1+G2672)*H2672)</f>
        <v/>
      </c>
      <c r="J2672" s="69" t="str">
        <f>IF(AND(A2672="",B2672=""),"",IF(A2672="","Produit manquant",IF(COUNTIF(prod_ref,A2672)=0,"Produit inconnu",IF(B2672="","Matière manquante",IF(ISNA(MATCH(B2672,mat_ref,0)),"Matière inconnue",IF(INDEX(mat_check,MATCH(B2672,mat_ref,0))&lt;&gt;"OK","Matière à corriger",IF(OR(NOT(ISNUMBER(E2672)),N(E2672)&lt;=0),"Quantité invalide",IF(AND(F2672&lt;&gt;"",OR(NOT(ISNUMBER(F2672)),N(F2672)&lt;0,N(F2672)&gt;=1)),"Perte entre 0 et 99 %",IF(COUNTIFS(bom_prod,A2672,bom_mat,B2672)&gt;1,"Matière en double","OK")))))))))</f>
        <v/>
      </c>
      <c r="K2672" s="71" t="str">
        <f>IF(AND(fiche_sel&lt;&gt;"",A2672=fiche_sel),COUNTIF(A$6:A2672,fiche_sel),"")</f>
        <v/>
      </c>
    </row>
    <row r="2673">
      <c r="A2673" s="60" t="n"/>
      <c r="B2673" s="60" t="n"/>
      <c r="C2673" s="71" t="str">
        <f>IF(B2673="","",IFERROR(INDEX(mat_des,MATCH(B2673,mat_ref,0))&amp;"","Matière inconnue"))</f>
        <v/>
      </c>
      <c r="D2673" s="69" t="str">
        <f>IF(B2673="","",IFERROR(INDEX(mat_unit,MATCH(B2673,mat_ref,0))&amp;"",""))</f>
        <v/>
      </c>
      <c r="E2673" s="72" t="n"/>
      <c r="F2673" s="65" t="n"/>
      <c r="G2673" s="68" t="str">
        <f>IF(J2673&lt;&gt;"OK","",IF(F2673="",N(INDEX(mat_loss,MATCH(B2673,mat_ref,0))),F2673))</f>
        <v/>
      </c>
      <c r="H2673" s="66" t="str">
        <f>IF(J2673&lt;&gt;"OK","",INDEX(mat_price,MATCH(B2673,mat_ref,0)))</f>
        <v/>
      </c>
      <c r="I2673" s="66" t="str">
        <f>IF(J2673&lt;&gt;"OK","",E2673*(1+G2673)*H2673)</f>
        <v/>
      </c>
      <c r="J2673" s="69" t="str">
        <f>IF(AND(A2673="",B2673=""),"",IF(A2673="","Produit manquant",IF(COUNTIF(prod_ref,A2673)=0,"Produit inconnu",IF(B2673="","Matière manquante",IF(ISNA(MATCH(B2673,mat_ref,0)),"Matière inconnue",IF(INDEX(mat_check,MATCH(B2673,mat_ref,0))&lt;&gt;"OK","Matière à corriger",IF(OR(NOT(ISNUMBER(E2673)),N(E2673)&lt;=0),"Quantité invalide",IF(AND(F2673&lt;&gt;"",OR(NOT(ISNUMBER(F2673)),N(F2673)&lt;0,N(F2673)&gt;=1)),"Perte entre 0 et 99 %",IF(COUNTIFS(bom_prod,A2673,bom_mat,B2673)&gt;1,"Matière en double","OK")))))))))</f>
        <v/>
      </c>
      <c r="K2673" s="71" t="str">
        <f>IF(AND(fiche_sel&lt;&gt;"",A2673=fiche_sel),COUNTIF(A$6:A2673,fiche_sel),"")</f>
        <v/>
      </c>
    </row>
    <row r="2674">
      <c r="A2674" s="60" t="n"/>
      <c r="B2674" s="60" t="n"/>
      <c r="C2674" s="71" t="str">
        <f>IF(B2674="","",IFERROR(INDEX(mat_des,MATCH(B2674,mat_ref,0))&amp;"","Matière inconnue"))</f>
        <v/>
      </c>
      <c r="D2674" s="69" t="str">
        <f>IF(B2674="","",IFERROR(INDEX(mat_unit,MATCH(B2674,mat_ref,0))&amp;"",""))</f>
        <v/>
      </c>
      <c r="E2674" s="72" t="n"/>
      <c r="F2674" s="65" t="n"/>
      <c r="G2674" s="68" t="str">
        <f>IF(J2674&lt;&gt;"OK","",IF(F2674="",N(INDEX(mat_loss,MATCH(B2674,mat_ref,0))),F2674))</f>
        <v/>
      </c>
      <c r="H2674" s="66" t="str">
        <f>IF(J2674&lt;&gt;"OK","",INDEX(mat_price,MATCH(B2674,mat_ref,0)))</f>
        <v/>
      </c>
      <c r="I2674" s="66" t="str">
        <f>IF(J2674&lt;&gt;"OK","",E2674*(1+G2674)*H2674)</f>
        <v/>
      </c>
      <c r="J2674" s="69" t="str">
        <f>IF(AND(A2674="",B2674=""),"",IF(A2674="","Produit manquant",IF(COUNTIF(prod_ref,A2674)=0,"Produit inconnu",IF(B2674="","Matière manquante",IF(ISNA(MATCH(B2674,mat_ref,0)),"Matière inconnue",IF(INDEX(mat_check,MATCH(B2674,mat_ref,0))&lt;&gt;"OK","Matière à corriger",IF(OR(NOT(ISNUMBER(E2674)),N(E2674)&lt;=0),"Quantité invalide",IF(AND(F2674&lt;&gt;"",OR(NOT(ISNUMBER(F2674)),N(F2674)&lt;0,N(F2674)&gt;=1)),"Perte entre 0 et 99 %",IF(COUNTIFS(bom_prod,A2674,bom_mat,B2674)&gt;1,"Matière en double","OK")))))))))</f>
        <v/>
      </c>
      <c r="K2674" s="71" t="str">
        <f>IF(AND(fiche_sel&lt;&gt;"",A2674=fiche_sel),COUNTIF(A$6:A2674,fiche_sel),"")</f>
        <v/>
      </c>
    </row>
    <row r="2675">
      <c r="A2675" s="60" t="n"/>
      <c r="B2675" s="60" t="n"/>
      <c r="C2675" s="71" t="str">
        <f>IF(B2675="","",IFERROR(INDEX(mat_des,MATCH(B2675,mat_ref,0))&amp;"","Matière inconnue"))</f>
        <v/>
      </c>
      <c r="D2675" s="69" t="str">
        <f>IF(B2675="","",IFERROR(INDEX(mat_unit,MATCH(B2675,mat_ref,0))&amp;"",""))</f>
        <v/>
      </c>
      <c r="E2675" s="72" t="n"/>
      <c r="F2675" s="65" t="n"/>
      <c r="G2675" s="68" t="str">
        <f>IF(J2675&lt;&gt;"OK","",IF(F2675="",N(INDEX(mat_loss,MATCH(B2675,mat_ref,0))),F2675))</f>
        <v/>
      </c>
      <c r="H2675" s="66" t="str">
        <f>IF(J2675&lt;&gt;"OK","",INDEX(mat_price,MATCH(B2675,mat_ref,0)))</f>
        <v/>
      </c>
      <c r="I2675" s="66" t="str">
        <f>IF(J2675&lt;&gt;"OK","",E2675*(1+G2675)*H2675)</f>
        <v/>
      </c>
      <c r="J2675" s="69" t="str">
        <f>IF(AND(A2675="",B2675=""),"",IF(A2675="","Produit manquant",IF(COUNTIF(prod_ref,A2675)=0,"Produit inconnu",IF(B2675="","Matière manquante",IF(ISNA(MATCH(B2675,mat_ref,0)),"Matière inconnue",IF(INDEX(mat_check,MATCH(B2675,mat_ref,0))&lt;&gt;"OK","Matière à corriger",IF(OR(NOT(ISNUMBER(E2675)),N(E2675)&lt;=0),"Quantité invalide",IF(AND(F2675&lt;&gt;"",OR(NOT(ISNUMBER(F2675)),N(F2675)&lt;0,N(F2675)&gt;=1)),"Perte entre 0 et 99 %",IF(COUNTIFS(bom_prod,A2675,bom_mat,B2675)&gt;1,"Matière en double","OK")))))))))</f>
        <v/>
      </c>
      <c r="K2675" s="71" t="str">
        <f>IF(AND(fiche_sel&lt;&gt;"",A2675=fiche_sel),COUNTIF(A$6:A2675,fiche_sel),"")</f>
        <v/>
      </c>
    </row>
    <row r="2676">
      <c r="A2676" s="60" t="n"/>
      <c r="B2676" s="60" t="n"/>
      <c r="C2676" s="71" t="str">
        <f>IF(B2676="","",IFERROR(INDEX(mat_des,MATCH(B2676,mat_ref,0))&amp;"","Matière inconnue"))</f>
        <v/>
      </c>
      <c r="D2676" s="69" t="str">
        <f>IF(B2676="","",IFERROR(INDEX(mat_unit,MATCH(B2676,mat_ref,0))&amp;"",""))</f>
        <v/>
      </c>
      <c r="E2676" s="72" t="n"/>
      <c r="F2676" s="65" t="n"/>
      <c r="G2676" s="68" t="str">
        <f>IF(J2676&lt;&gt;"OK","",IF(F2676="",N(INDEX(mat_loss,MATCH(B2676,mat_ref,0))),F2676))</f>
        <v/>
      </c>
      <c r="H2676" s="66" t="str">
        <f>IF(J2676&lt;&gt;"OK","",INDEX(mat_price,MATCH(B2676,mat_ref,0)))</f>
        <v/>
      </c>
      <c r="I2676" s="66" t="str">
        <f>IF(J2676&lt;&gt;"OK","",E2676*(1+G2676)*H2676)</f>
        <v/>
      </c>
      <c r="J2676" s="69" t="str">
        <f>IF(AND(A2676="",B2676=""),"",IF(A2676="","Produit manquant",IF(COUNTIF(prod_ref,A2676)=0,"Produit inconnu",IF(B2676="","Matière manquante",IF(ISNA(MATCH(B2676,mat_ref,0)),"Matière inconnue",IF(INDEX(mat_check,MATCH(B2676,mat_ref,0))&lt;&gt;"OK","Matière à corriger",IF(OR(NOT(ISNUMBER(E2676)),N(E2676)&lt;=0),"Quantité invalide",IF(AND(F2676&lt;&gt;"",OR(NOT(ISNUMBER(F2676)),N(F2676)&lt;0,N(F2676)&gt;=1)),"Perte entre 0 et 99 %",IF(COUNTIFS(bom_prod,A2676,bom_mat,B2676)&gt;1,"Matière en double","OK")))))))))</f>
        <v/>
      </c>
      <c r="K2676" s="71" t="str">
        <f>IF(AND(fiche_sel&lt;&gt;"",A2676=fiche_sel),COUNTIF(A$6:A2676,fiche_sel),"")</f>
        <v/>
      </c>
    </row>
    <row r="2677">
      <c r="A2677" s="60" t="n"/>
      <c r="B2677" s="60" t="n"/>
      <c r="C2677" s="71" t="str">
        <f>IF(B2677="","",IFERROR(INDEX(mat_des,MATCH(B2677,mat_ref,0))&amp;"","Matière inconnue"))</f>
        <v/>
      </c>
      <c r="D2677" s="69" t="str">
        <f>IF(B2677="","",IFERROR(INDEX(mat_unit,MATCH(B2677,mat_ref,0))&amp;"",""))</f>
        <v/>
      </c>
      <c r="E2677" s="72" t="n"/>
      <c r="F2677" s="65" t="n"/>
      <c r="G2677" s="68" t="str">
        <f>IF(J2677&lt;&gt;"OK","",IF(F2677="",N(INDEX(mat_loss,MATCH(B2677,mat_ref,0))),F2677))</f>
        <v/>
      </c>
      <c r="H2677" s="66" t="str">
        <f>IF(J2677&lt;&gt;"OK","",INDEX(mat_price,MATCH(B2677,mat_ref,0)))</f>
        <v/>
      </c>
      <c r="I2677" s="66" t="str">
        <f>IF(J2677&lt;&gt;"OK","",E2677*(1+G2677)*H2677)</f>
        <v/>
      </c>
      <c r="J2677" s="69" t="str">
        <f>IF(AND(A2677="",B2677=""),"",IF(A2677="","Produit manquant",IF(COUNTIF(prod_ref,A2677)=0,"Produit inconnu",IF(B2677="","Matière manquante",IF(ISNA(MATCH(B2677,mat_ref,0)),"Matière inconnue",IF(INDEX(mat_check,MATCH(B2677,mat_ref,0))&lt;&gt;"OK","Matière à corriger",IF(OR(NOT(ISNUMBER(E2677)),N(E2677)&lt;=0),"Quantité invalide",IF(AND(F2677&lt;&gt;"",OR(NOT(ISNUMBER(F2677)),N(F2677)&lt;0,N(F2677)&gt;=1)),"Perte entre 0 et 99 %",IF(COUNTIFS(bom_prod,A2677,bom_mat,B2677)&gt;1,"Matière en double","OK")))))))))</f>
        <v/>
      </c>
      <c r="K2677" s="71" t="str">
        <f>IF(AND(fiche_sel&lt;&gt;"",A2677=fiche_sel),COUNTIF(A$6:A2677,fiche_sel),"")</f>
        <v/>
      </c>
    </row>
    <row r="2678">
      <c r="A2678" s="60" t="n"/>
      <c r="B2678" s="60" t="n"/>
      <c r="C2678" s="71" t="str">
        <f>IF(B2678="","",IFERROR(INDEX(mat_des,MATCH(B2678,mat_ref,0))&amp;"","Matière inconnue"))</f>
        <v/>
      </c>
      <c r="D2678" s="69" t="str">
        <f>IF(B2678="","",IFERROR(INDEX(mat_unit,MATCH(B2678,mat_ref,0))&amp;"",""))</f>
        <v/>
      </c>
      <c r="E2678" s="72" t="n"/>
      <c r="F2678" s="65" t="n"/>
      <c r="G2678" s="68" t="str">
        <f>IF(J2678&lt;&gt;"OK","",IF(F2678="",N(INDEX(mat_loss,MATCH(B2678,mat_ref,0))),F2678))</f>
        <v/>
      </c>
      <c r="H2678" s="66" t="str">
        <f>IF(J2678&lt;&gt;"OK","",INDEX(mat_price,MATCH(B2678,mat_ref,0)))</f>
        <v/>
      </c>
      <c r="I2678" s="66" t="str">
        <f>IF(J2678&lt;&gt;"OK","",E2678*(1+G2678)*H2678)</f>
        <v/>
      </c>
      <c r="J2678" s="69" t="str">
        <f>IF(AND(A2678="",B2678=""),"",IF(A2678="","Produit manquant",IF(COUNTIF(prod_ref,A2678)=0,"Produit inconnu",IF(B2678="","Matière manquante",IF(ISNA(MATCH(B2678,mat_ref,0)),"Matière inconnue",IF(INDEX(mat_check,MATCH(B2678,mat_ref,0))&lt;&gt;"OK","Matière à corriger",IF(OR(NOT(ISNUMBER(E2678)),N(E2678)&lt;=0),"Quantité invalide",IF(AND(F2678&lt;&gt;"",OR(NOT(ISNUMBER(F2678)),N(F2678)&lt;0,N(F2678)&gt;=1)),"Perte entre 0 et 99 %",IF(COUNTIFS(bom_prod,A2678,bom_mat,B2678)&gt;1,"Matière en double","OK")))))))))</f>
        <v/>
      </c>
      <c r="K2678" s="71" t="str">
        <f>IF(AND(fiche_sel&lt;&gt;"",A2678=fiche_sel),COUNTIF(A$6:A2678,fiche_sel),"")</f>
        <v/>
      </c>
    </row>
    <row r="2679">
      <c r="A2679" s="60" t="n"/>
      <c r="B2679" s="60" t="n"/>
      <c r="C2679" s="71" t="str">
        <f>IF(B2679="","",IFERROR(INDEX(mat_des,MATCH(B2679,mat_ref,0))&amp;"","Matière inconnue"))</f>
        <v/>
      </c>
      <c r="D2679" s="69" t="str">
        <f>IF(B2679="","",IFERROR(INDEX(mat_unit,MATCH(B2679,mat_ref,0))&amp;"",""))</f>
        <v/>
      </c>
      <c r="E2679" s="72" t="n"/>
      <c r="F2679" s="65" t="n"/>
      <c r="G2679" s="68" t="str">
        <f>IF(J2679&lt;&gt;"OK","",IF(F2679="",N(INDEX(mat_loss,MATCH(B2679,mat_ref,0))),F2679))</f>
        <v/>
      </c>
      <c r="H2679" s="66" t="str">
        <f>IF(J2679&lt;&gt;"OK","",INDEX(mat_price,MATCH(B2679,mat_ref,0)))</f>
        <v/>
      </c>
      <c r="I2679" s="66" t="str">
        <f>IF(J2679&lt;&gt;"OK","",E2679*(1+G2679)*H2679)</f>
        <v/>
      </c>
      <c r="J2679" s="69" t="str">
        <f>IF(AND(A2679="",B2679=""),"",IF(A2679="","Produit manquant",IF(COUNTIF(prod_ref,A2679)=0,"Produit inconnu",IF(B2679="","Matière manquante",IF(ISNA(MATCH(B2679,mat_ref,0)),"Matière inconnue",IF(INDEX(mat_check,MATCH(B2679,mat_ref,0))&lt;&gt;"OK","Matière à corriger",IF(OR(NOT(ISNUMBER(E2679)),N(E2679)&lt;=0),"Quantité invalide",IF(AND(F2679&lt;&gt;"",OR(NOT(ISNUMBER(F2679)),N(F2679)&lt;0,N(F2679)&gt;=1)),"Perte entre 0 et 99 %",IF(COUNTIFS(bom_prod,A2679,bom_mat,B2679)&gt;1,"Matière en double","OK")))))))))</f>
        <v/>
      </c>
      <c r="K2679" s="71" t="str">
        <f>IF(AND(fiche_sel&lt;&gt;"",A2679=fiche_sel),COUNTIF(A$6:A2679,fiche_sel),"")</f>
        <v/>
      </c>
    </row>
    <row r="2680">
      <c r="A2680" s="60" t="n"/>
      <c r="B2680" s="60" t="n"/>
      <c r="C2680" s="71" t="str">
        <f>IF(B2680="","",IFERROR(INDEX(mat_des,MATCH(B2680,mat_ref,0))&amp;"","Matière inconnue"))</f>
        <v/>
      </c>
      <c r="D2680" s="69" t="str">
        <f>IF(B2680="","",IFERROR(INDEX(mat_unit,MATCH(B2680,mat_ref,0))&amp;"",""))</f>
        <v/>
      </c>
      <c r="E2680" s="72" t="n"/>
      <c r="F2680" s="65" t="n"/>
      <c r="G2680" s="68" t="str">
        <f>IF(J2680&lt;&gt;"OK","",IF(F2680="",N(INDEX(mat_loss,MATCH(B2680,mat_ref,0))),F2680))</f>
        <v/>
      </c>
      <c r="H2680" s="66" t="str">
        <f>IF(J2680&lt;&gt;"OK","",INDEX(mat_price,MATCH(B2680,mat_ref,0)))</f>
        <v/>
      </c>
      <c r="I2680" s="66" t="str">
        <f>IF(J2680&lt;&gt;"OK","",E2680*(1+G2680)*H2680)</f>
        <v/>
      </c>
      <c r="J2680" s="69" t="str">
        <f>IF(AND(A2680="",B2680=""),"",IF(A2680="","Produit manquant",IF(COUNTIF(prod_ref,A2680)=0,"Produit inconnu",IF(B2680="","Matière manquante",IF(ISNA(MATCH(B2680,mat_ref,0)),"Matière inconnue",IF(INDEX(mat_check,MATCH(B2680,mat_ref,0))&lt;&gt;"OK","Matière à corriger",IF(OR(NOT(ISNUMBER(E2680)),N(E2680)&lt;=0),"Quantité invalide",IF(AND(F2680&lt;&gt;"",OR(NOT(ISNUMBER(F2680)),N(F2680)&lt;0,N(F2680)&gt;=1)),"Perte entre 0 et 99 %",IF(COUNTIFS(bom_prod,A2680,bom_mat,B2680)&gt;1,"Matière en double","OK")))))))))</f>
        <v/>
      </c>
      <c r="K2680" s="71" t="str">
        <f>IF(AND(fiche_sel&lt;&gt;"",A2680=fiche_sel),COUNTIF(A$6:A2680,fiche_sel),"")</f>
        <v/>
      </c>
    </row>
    <row r="2681">
      <c r="A2681" s="60" t="n"/>
      <c r="B2681" s="60" t="n"/>
      <c r="C2681" s="71" t="str">
        <f>IF(B2681="","",IFERROR(INDEX(mat_des,MATCH(B2681,mat_ref,0))&amp;"","Matière inconnue"))</f>
        <v/>
      </c>
      <c r="D2681" s="69" t="str">
        <f>IF(B2681="","",IFERROR(INDEX(mat_unit,MATCH(B2681,mat_ref,0))&amp;"",""))</f>
        <v/>
      </c>
      <c r="E2681" s="72" t="n"/>
      <c r="F2681" s="65" t="n"/>
      <c r="G2681" s="68" t="str">
        <f>IF(J2681&lt;&gt;"OK","",IF(F2681="",N(INDEX(mat_loss,MATCH(B2681,mat_ref,0))),F2681))</f>
        <v/>
      </c>
      <c r="H2681" s="66" t="str">
        <f>IF(J2681&lt;&gt;"OK","",INDEX(mat_price,MATCH(B2681,mat_ref,0)))</f>
        <v/>
      </c>
      <c r="I2681" s="66" t="str">
        <f>IF(J2681&lt;&gt;"OK","",E2681*(1+G2681)*H2681)</f>
        <v/>
      </c>
      <c r="J2681" s="69" t="str">
        <f>IF(AND(A2681="",B2681=""),"",IF(A2681="","Produit manquant",IF(COUNTIF(prod_ref,A2681)=0,"Produit inconnu",IF(B2681="","Matière manquante",IF(ISNA(MATCH(B2681,mat_ref,0)),"Matière inconnue",IF(INDEX(mat_check,MATCH(B2681,mat_ref,0))&lt;&gt;"OK","Matière à corriger",IF(OR(NOT(ISNUMBER(E2681)),N(E2681)&lt;=0),"Quantité invalide",IF(AND(F2681&lt;&gt;"",OR(NOT(ISNUMBER(F2681)),N(F2681)&lt;0,N(F2681)&gt;=1)),"Perte entre 0 et 99 %",IF(COUNTIFS(bom_prod,A2681,bom_mat,B2681)&gt;1,"Matière en double","OK")))))))))</f>
        <v/>
      </c>
      <c r="K2681" s="71" t="str">
        <f>IF(AND(fiche_sel&lt;&gt;"",A2681=fiche_sel),COUNTIF(A$6:A2681,fiche_sel),"")</f>
        <v/>
      </c>
    </row>
    <row r="2682">
      <c r="A2682" s="60" t="n"/>
      <c r="B2682" s="60" t="n"/>
      <c r="C2682" s="71" t="str">
        <f>IF(B2682="","",IFERROR(INDEX(mat_des,MATCH(B2682,mat_ref,0))&amp;"","Matière inconnue"))</f>
        <v/>
      </c>
      <c r="D2682" s="69" t="str">
        <f>IF(B2682="","",IFERROR(INDEX(mat_unit,MATCH(B2682,mat_ref,0))&amp;"",""))</f>
        <v/>
      </c>
      <c r="E2682" s="72" t="n"/>
      <c r="F2682" s="65" t="n"/>
      <c r="G2682" s="68" t="str">
        <f>IF(J2682&lt;&gt;"OK","",IF(F2682="",N(INDEX(mat_loss,MATCH(B2682,mat_ref,0))),F2682))</f>
        <v/>
      </c>
      <c r="H2682" s="66" t="str">
        <f>IF(J2682&lt;&gt;"OK","",INDEX(mat_price,MATCH(B2682,mat_ref,0)))</f>
        <v/>
      </c>
      <c r="I2682" s="66" t="str">
        <f>IF(J2682&lt;&gt;"OK","",E2682*(1+G2682)*H2682)</f>
        <v/>
      </c>
      <c r="J2682" s="69" t="str">
        <f>IF(AND(A2682="",B2682=""),"",IF(A2682="","Produit manquant",IF(COUNTIF(prod_ref,A2682)=0,"Produit inconnu",IF(B2682="","Matière manquante",IF(ISNA(MATCH(B2682,mat_ref,0)),"Matière inconnue",IF(INDEX(mat_check,MATCH(B2682,mat_ref,0))&lt;&gt;"OK","Matière à corriger",IF(OR(NOT(ISNUMBER(E2682)),N(E2682)&lt;=0),"Quantité invalide",IF(AND(F2682&lt;&gt;"",OR(NOT(ISNUMBER(F2682)),N(F2682)&lt;0,N(F2682)&gt;=1)),"Perte entre 0 et 99 %",IF(COUNTIFS(bom_prod,A2682,bom_mat,B2682)&gt;1,"Matière en double","OK")))))))))</f>
        <v/>
      </c>
      <c r="K2682" s="71" t="str">
        <f>IF(AND(fiche_sel&lt;&gt;"",A2682=fiche_sel),COUNTIF(A$6:A2682,fiche_sel),"")</f>
        <v/>
      </c>
    </row>
    <row r="2683">
      <c r="A2683" s="60" t="n"/>
      <c r="B2683" s="60" t="n"/>
      <c r="C2683" s="71" t="str">
        <f>IF(B2683="","",IFERROR(INDEX(mat_des,MATCH(B2683,mat_ref,0))&amp;"","Matière inconnue"))</f>
        <v/>
      </c>
      <c r="D2683" s="69" t="str">
        <f>IF(B2683="","",IFERROR(INDEX(mat_unit,MATCH(B2683,mat_ref,0))&amp;"",""))</f>
        <v/>
      </c>
      <c r="E2683" s="72" t="n"/>
      <c r="F2683" s="65" t="n"/>
      <c r="G2683" s="68" t="str">
        <f>IF(J2683&lt;&gt;"OK","",IF(F2683="",N(INDEX(mat_loss,MATCH(B2683,mat_ref,0))),F2683))</f>
        <v/>
      </c>
      <c r="H2683" s="66" t="str">
        <f>IF(J2683&lt;&gt;"OK","",INDEX(mat_price,MATCH(B2683,mat_ref,0)))</f>
        <v/>
      </c>
      <c r="I2683" s="66" t="str">
        <f>IF(J2683&lt;&gt;"OK","",E2683*(1+G2683)*H2683)</f>
        <v/>
      </c>
      <c r="J2683" s="69" t="str">
        <f>IF(AND(A2683="",B2683=""),"",IF(A2683="","Produit manquant",IF(COUNTIF(prod_ref,A2683)=0,"Produit inconnu",IF(B2683="","Matière manquante",IF(ISNA(MATCH(B2683,mat_ref,0)),"Matière inconnue",IF(INDEX(mat_check,MATCH(B2683,mat_ref,0))&lt;&gt;"OK","Matière à corriger",IF(OR(NOT(ISNUMBER(E2683)),N(E2683)&lt;=0),"Quantité invalide",IF(AND(F2683&lt;&gt;"",OR(NOT(ISNUMBER(F2683)),N(F2683)&lt;0,N(F2683)&gt;=1)),"Perte entre 0 et 99 %",IF(COUNTIFS(bom_prod,A2683,bom_mat,B2683)&gt;1,"Matière en double","OK")))))))))</f>
        <v/>
      </c>
      <c r="K2683" s="71" t="str">
        <f>IF(AND(fiche_sel&lt;&gt;"",A2683=fiche_sel),COUNTIF(A$6:A2683,fiche_sel),"")</f>
        <v/>
      </c>
    </row>
    <row r="2684">
      <c r="A2684" s="60" t="n"/>
      <c r="B2684" s="60" t="n"/>
      <c r="C2684" s="71" t="str">
        <f>IF(B2684="","",IFERROR(INDEX(mat_des,MATCH(B2684,mat_ref,0))&amp;"","Matière inconnue"))</f>
        <v/>
      </c>
      <c r="D2684" s="69" t="str">
        <f>IF(B2684="","",IFERROR(INDEX(mat_unit,MATCH(B2684,mat_ref,0))&amp;"",""))</f>
        <v/>
      </c>
      <c r="E2684" s="72" t="n"/>
      <c r="F2684" s="65" t="n"/>
      <c r="G2684" s="68" t="str">
        <f>IF(J2684&lt;&gt;"OK","",IF(F2684="",N(INDEX(mat_loss,MATCH(B2684,mat_ref,0))),F2684))</f>
        <v/>
      </c>
      <c r="H2684" s="66" t="str">
        <f>IF(J2684&lt;&gt;"OK","",INDEX(mat_price,MATCH(B2684,mat_ref,0)))</f>
        <v/>
      </c>
      <c r="I2684" s="66" t="str">
        <f>IF(J2684&lt;&gt;"OK","",E2684*(1+G2684)*H2684)</f>
        <v/>
      </c>
      <c r="J2684" s="69" t="str">
        <f>IF(AND(A2684="",B2684=""),"",IF(A2684="","Produit manquant",IF(COUNTIF(prod_ref,A2684)=0,"Produit inconnu",IF(B2684="","Matière manquante",IF(ISNA(MATCH(B2684,mat_ref,0)),"Matière inconnue",IF(INDEX(mat_check,MATCH(B2684,mat_ref,0))&lt;&gt;"OK","Matière à corriger",IF(OR(NOT(ISNUMBER(E2684)),N(E2684)&lt;=0),"Quantité invalide",IF(AND(F2684&lt;&gt;"",OR(NOT(ISNUMBER(F2684)),N(F2684)&lt;0,N(F2684)&gt;=1)),"Perte entre 0 et 99 %",IF(COUNTIFS(bom_prod,A2684,bom_mat,B2684)&gt;1,"Matière en double","OK")))))))))</f>
        <v/>
      </c>
      <c r="K2684" s="71" t="str">
        <f>IF(AND(fiche_sel&lt;&gt;"",A2684=fiche_sel),COUNTIF(A$6:A2684,fiche_sel),"")</f>
        <v/>
      </c>
    </row>
    <row r="2685">
      <c r="A2685" s="60" t="n"/>
      <c r="B2685" s="60" t="n"/>
      <c r="C2685" s="71" t="str">
        <f>IF(B2685="","",IFERROR(INDEX(mat_des,MATCH(B2685,mat_ref,0))&amp;"","Matière inconnue"))</f>
        <v/>
      </c>
      <c r="D2685" s="69" t="str">
        <f>IF(B2685="","",IFERROR(INDEX(mat_unit,MATCH(B2685,mat_ref,0))&amp;"",""))</f>
        <v/>
      </c>
      <c r="E2685" s="72" t="n"/>
      <c r="F2685" s="65" t="n"/>
      <c r="G2685" s="68" t="str">
        <f>IF(J2685&lt;&gt;"OK","",IF(F2685="",N(INDEX(mat_loss,MATCH(B2685,mat_ref,0))),F2685))</f>
        <v/>
      </c>
      <c r="H2685" s="66" t="str">
        <f>IF(J2685&lt;&gt;"OK","",INDEX(mat_price,MATCH(B2685,mat_ref,0)))</f>
        <v/>
      </c>
      <c r="I2685" s="66" t="str">
        <f>IF(J2685&lt;&gt;"OK","",E2685*(1+G2685)*H2685)</f>
        <v/>
      </c>
      <c r="J2685" s="69" t="str">
        <f>IF(AND(A2685="",B2685=""),"",IF(A2685="","Produit manquant",IF(COUNTIF(prod_ref,A2685)=0,"Produit inconnu",IF(B2685="","Matière manquante",IF(ISNA(MATCH(B2685,mat_ref,0)),"Matière inconnue",IF(INDEX(mat_check,MATCH(B2685,mat_ref,0))&lt;&gt;"OK","Matière à corriger",IF(OR(NOT(ISNUMBER(E2685)),N(E2685)&lt;=0),"Quantité invalide",IF(AND(F2685&lt;&gt;"",OR(NOT(ISNUMBER(F2685)),N(F2685)&lt;0,N(F2685)&gt;=1)),"Perte entre 0 et 99 %",IF(COUNTIFS(bom_prod,A2685,bom_mat,B2685)&gt;1,"Matière en double","OK")))))))))</f>
        <v/>
      </c>
      <c r="K2685" s="71" t="str">
        <f>IF(AND(fiche_sel&lt;&gt;"",A2685=fiche_sel),COUNTIF(A$6:A2685,fiche_sel),"")</f>
        <v/>
      </c>
    </row>
    <row r="2686">
      <c r="A2686" s="60" t="n"/>
      <c r="B2686" s="60" t="n"/>
      <c r="C2686" s="71" t="str">
        <f>IF(B2686="","",IFERROR(INDEX(mat_des,MATCH(B2686,mat_ref,0))&amp;"","Matière inconnue"))</f>
        <v/>
      </c>
      <c r="D2686" s="69" t="str">
        <f>IF(B2686="","",IFERROR(INDEX(mat_unit,MATCH(B2686,mat_ref,0))&amp;"",""))</f>
        <v/>
      </c>
      <c r="E2686" s="72" t="n"/>
      <c r="F2686" s="65" t="n"/>
      <c r="G2686" s="68" t="str">
        <f>IF(J2686&lt;&gt;"OK","",IF(F2686="",N(INDEX(mat_loss,MATCH(B2686,mat_ref,0))),F2686))</f>
        <v/>
      </c>
      <c r="H2686" s="66" t="str">
        <f>IF(J2686&lt;&gt;"OK","",INDEX(mat_price,MATCH(B2686,mat_ref,0)))</f>
        <v/>
      </c>
      <c r="I2686" s="66" t="str">
        <f>IF(J2686&lt;&gt;"OK","",E2686*(1+G2686)*H2686)</f>
        <v/>
      </c>
      <c r="J2686" s="69" t="str">
        <f>IF(AND(A2686="",B2686=""),"",IF(A2686="","Produit manquant",IF(COUNTIF(prod_ref,A2686)=0,"Produit inconnu",IF(B2686="","Matière manquante",IF(ISNA(MATCH(B2686,mat_ref,0)),"Matière inconnue",IF(INDEX(mat_check,MATCH(B2686,mat_ref,0))&lt;&gt;"OK","Matière à corriger",IF(OR(NOT(ISNUMBER(E2686)),N(E2686)&lt;=0),"Quantité invalide",IF(AND(F2686&lt;&gt;"",OR(NOT(ISNUMBER(F2686)),N(F2686)&lt;0,N(F2686)&gt;=1)),"Perte entre 0 et 99 %",IF(COUNTIFS(bom_prod,A2686,bom_mat,B2686)&gt;1,"Matière en double","OK")))))))))</f>
        <v/>
      </c>
      <c r="K2686" s="71" t="str">
        <f>IF(AND(fiche_sel&lt;&gt;"",A2686=fiche_sel),COUNTIF(A$6:A2686,fiche_sel),"")</f>
        <v/>
      </c>
    </row>
    <row r="2687">
      <c r="A2687" s="60" t="n"/>
      <c r="B2687" s="60" t="n"/>
      <c r="C2687" s="71" t="str">
        <f>IF(B2687="","",IFERROR(INDEX(mat_des,MATCH(B2687,mat_ref,0))&amp;"","Matière inconnue"))</f>
        <v/>
      </c>
      <c r="D2687" s="69" t="str">
        <f>IF(B2687="","",IFERROR(INDEX(mat_unit,MATCH(B2687,mat_ref,0))&amp;"",""))</f>
        <v/>
      </c>
      <c r="E2687" s="72" t="n"/>
      <c r="F2687" s="65" t="n"/>
      <c r="G2687" s="68" t="str">
        <f>IF(J2687&lt;&gt;"OK","",IF(F2687="",N(INDEX(mat_loss,MATCH(B2687,mat_ref,0))),F2687))</f>
        <v/>
      </c>
      <c r="H2687" s="66" t="str">
        <f>IF(J2687&lt;&gt;"OK","",INDEX(mat_price,MATCH(B2687,mat_ref,0)))</f>
        <v/>
      </c>
      <c r="I2687" s="66" t="str">
        <f>IF(J2687&lt;&gt;"OK","",E2687*(1+G2687)*H2687)</f>
        <v/>
      </c>
      <c r="J2687" s="69" t="str">
        <f>IF(AND(A2687="",B2687=""),"",IF(A2687="","Produit manquant",IF(COUNTIF(prod_ref,A2687)=0,"Produit inconnu",IF(B2687="","Matière manquante",IF(ISNA(MATCH(B2687,mat_ref,0)),"Matière inconnue",IF(INDEX(mat_check,MATCH(B2687,mat_ref,0))&lt;&gt;"OK","Matière à corriger",IF(OR(NOT(ISNUMBER(E2687)),N(E2687)&lt;=0),"Quantité invalide",IF(AND(F2687&lt;&gt;"",OR(NOT(ISNUMBER(F2687)),N(F2687)&lt;0,N(F2687)&gt;=1)),"Perte entre 0 et 99 %",IF(COUNTIFS(bom_prod,A2687,bom_mat,B2687)&gt;1,"Matière en double","OK")))))))))</f>
        <v/>
      </c>
      <c r="K2687" s="71" t="str">
        <f>IF(AND(fiche_sel&lt;&gt;"",A2687=fiche_sel),COUNTIF(A$6:A2687,fiche_sel),"")</f>
        <v/>
      </c>
    </row>
    <row r="2688">
      <c r="A2688" s="60" t="n"/>
      <c r="B2688" s="60" t="n"/>
      <c r="C2688" s="71" t="str">
        <f>IF(B2688="","",IFERROR(INDEX(mat_des,MATCH(B2688,mat_ref,0))&amp;"","Matière inconnue"))</f>
        <v/>
      </c>
      <c r="D2688" s="69" t="str">
        <f>IF(B2688="","",IFERROR(INDEX(mat_unit,MATCH(B2688,mat_ref,0))&amp;"",""))</f>
        <v/>
      </c>
      <c r="E2688" s="72" t="n"/>
      <c r="F2688" s="65" t="n"/>
      <c r="G2688" s="68" t="str">
        <f>IF(J2688&lt;&gt;"OK","",IF(F2688="",N(INDEX(mat_loss,MATCH(B2688,mat_ref,0))),F2688))</f>
        <v/>
      </c>
      <c r="H2688" s="66" t="str">
        <f>IF(J2688&lt;&gt;"OK","",INDEX(mat_price,MATCH(B2688,mat_ref,0)))</f>
        <v/>
      </c>
      <c r="I2688" s="66" t="str">
        <f>IF(J2688&lt;&gt;"OK","",E2688*(1+G2688)*H2688)</f>
        <v/>
      </c>
      <c r="J2688" s="69" t="str">
        <f>IF(AND(A2688="",B2688=""),"",IF(A2688="","Produit manquant",IF(COUNTIF(prod_ref,A2688)=0,"Produit inconnu",IF(B2688="","Matière manquante",IF(ISNA(MATCH(B2688,mat_ref,0)),"Matière inconnue",IF(INDEX(mat_check,MATCH(B2688,mat_ref,0))&lt;&gt;"OK","Matière à corriger",IF(OR(NOT(ISNUMBER(E2688)),N(E2688)&lt;=0),"Quantité invalide",IF(AND(F2688&lt;&gt;"",OR(NOT(ISNUMBER(F2688)),N(F2688)&lt;0,N(F2688)&gt;=1)),"Perte entre 0 et 99 %",IF(COUNTIFS(bom_prod,A2688,bom_mat,B2688)&gt;1,"Matière en double","OK")))))))))</f>
        <v/>
      </c>
      <c r="K2688" s="71" t="str">
        <f>IF(AND(fiche_sel&lt;&gt;"",A2688=fiche_sel),COUNTIF(A$6:A2688,fiche_sel),"")</f>
        <v/>
      </c>
    </row>
    <row r="2689">
      <c r="A2689" s="60" t="n"/>
      <c r="B2689" s="60" t="n"/>
      <c r="C2689" s="71" t="str">
        <f>IF(B2689="","",IFERROR(INDEX(mat_des,MATCH(B2689,mat_ref,0))&amp;"","Matière inconnue"))</f>
        <v/>
      </c>
      <c r="D2689" s="69" t="str">
        <f>IF(B2689="","",IFERROR(INDEX(mat_unit,MATCH(B2689,mat_ref,0))&amp;"",""))</f>
        <v/>
      </c>
      <c r="E2689" s="72" t="n"/>
      <c r="F2689" s="65" t="n"/>
      <c r="G2689" s="68" t="str">
        <f>IF(J2689&lt;&gt;"OK","",IF(F2689="",N(INDEX(mat_loss,MATCH(B2689,mat_ref,0))),F2689))</f>
        <v/>
      </c>
      <c r="H2689" s="66" t="str">
        <f>IF(J2689&lt;&gt;"OK","",INDEX(mat_price,MATCH(B2689,mat_ref,0)))</f>
        <v/>
      </c>
      <c r="I2689" s="66" t="str">
        <f>IF(J2689&lt;&gt;"OK","",E2689*(1+G2689)*H2689)</f>
        <v/>
      </c>
      <c r="J2689" s="69" t="str">
        <f>IF(AND(A2689="",B2689=""),"",IF(A2689="","Produit manquant",IF(COUNTIF(prod_ref,A2689)=0,"Produit inconnu",IF(B2689="","Matière manquante",IF(ISNA(MATCH(B2689,mat_ref,0)),"Matière inconnue",IF(INDEX(mat_check,MATCH(B2689,mat_ref,0))&lt;&gt;"OK","Matière à corriger",IF(OR(NOT(ISNUMBER(E2689)),N(E2689)&lt;=0),"Quantité invalide",IF(AND(F2689&lt;&gt;"",OR(NOT(ISNUMBER(F2689)),N(F2689)&lt;0,N(F2689)&gt;=1)),"Perte entre 0 et 99 %",IF(COUNTIFS(bom_prod,A2689,bom_mat,B2689)&gt;1,"Matière en double","OK")))))))))</f>
        <v/>
      </c>
      <c r="K2689" s="71" t="str">
        <f>IF(AND(fiche_sel&lt;&gt;"",A2689=fiche_sel),COUNTIF(A$6:A2689,fiche_sel),"")</f>
        <v/>
      </c>
    </row>
    <row r="2690">
      <c r="A2690" s="60" t="n"/>
      <c r="B2690" s="60" t="n"/>
      <c r="C2690" s="71" t="str">
        <f>IF(B2690="","",IFERROR(INDEX(mat_des,MATCH(B2690,mat_ref,0))&amp;"","Matière inconnue"))</f>
        <v/>
      </c>
      <c r="D2690" s="69" t="str">
        <f>IF(B2690="","",IFERROR(INDEX(mat_unit,MATCH(B2690,mat_ref,0))&amp;"",""))</f>
        <v/>
      </c>
      <c r="E2690" s="72" t="n"/>
      <c r="F2690" s="65" t="n"/>
      <c r="G2690" s="68" t="str">
        <f>IF(J2690&lt;&gt;"OK","",IF(F2690="",N(INDEX(mat_loss,MATCH(B2690,mat_ref,0))),F2690))</f>
        <v/>
      </c>
      <c r="H2690" s="66" t="str">
        <f>IF(J2690&lt;&gt;"OK","",INDEX(mat_price,MATCH(B2690,mat_ref,0)))</f>
        <v/>
      </c>
      <c r="I2690" s="66" t="str">
        <f>IF(J2690&lt;&gt;"OK","",E2690*(1+G2690)*H2690)</f>
        <v/>
      </c>
      <c r="J2690" s="69" t="str">
        <f>IF(AND(A2690="",B2690=""),"",IF(A2690="","Produit manquant",IF(COUNTIF(prod_ref,A2690)=0,"Produit inconnu",IF(B2690="","Matière manquante",IF(ISNA(MATCH(B2690,mat_ref,0)),"Matière inconnue",IF(INDEX(mat_check,MATCH(B2690,mat_ref,0))&lt;&gt;"OK","Matière à corriger",IF(OR(NOT(ISNUMBER(E2690)),N(E2690)&lt;=0),"Quantité invalide",IF(AND(F2690&lt;&gt;"",OR(NOT(ISNUMBER(F2690)),N(F2690)&lt;0,N(F2690)&gt;=1)),"Perte entre 0 et 99 %",IF(COUNTIFS(bom_prod,A2690,bom_mat,B2690)&gt;1,"Matière en double","OK")))))))))</f>
        <v/>
      </c>
      <c r="K2690" s="71" t="str">
        <f>IF(AND(fiche_sel&lt;&gt;"",A2690=fiche_sel),COUNTIF(A$6:A2690,fiche_sel),"")</f>
        <v/>
      </c>
    </row>
    <row r="2691">
      <c r="A2691" s="60" t="n"/>
      <c r="B2691" s="60" t="n"/>
      <c r="C2691" s="71" t="str">
        <f>IF(B2691="","",IFERROR(INDEX(mat_des,MATCH(B2691,mat_ref,0))&amp;"","Matière inconnue"))</f>
        <v/>
      </c>
      <c r="D2691" s="69" t="str">
        <f>IF(B2691="","",IFERROR(INDEX(mat_unit,MATCH(B2691,mat_ref,0))&amp;"",""))</f>
        <v/>
      </c>
      <c r="E2691" s="72" t="n"/>
      <c r="F2691" s="65" t="n"/>
      <c r="G2691" s="68" t="str">
        <f>IF(J2691&lt;&gt;"OK","",IF(F2691="",N(INDEX(mat_loss,MATCH(B2691,mat_ref,0))),F2691))</f>
        <v/>
      </c>
      <c r="H2691" s="66" t="str">
        <f>IF(J2691&lt;&gt;"OK","",INDEX(mat_price,MATCH(B2691,mat_ref,0)))</f>
        <v/>
      </c>
      <c r="I2691" s="66" t="str">
        <f>IF(J2691&lt;&gt;"OK","",E2691*(1+G2691)*H2691)</f>
        <v/>
      </c>
      <c r="J2691" s="69" t="str">
        <f>IF(AND(A2691="",B2691=""),"",IF(A2691="","Produit manquant",IF(COUNTIF(prod_ref,A2691)=0,"Produit inconnu",IF(B2691="","Matière manquante",IF(ISNA(MATCH(B2691,mat_ref,0)),"Matière inconnue",IF(INDEX(mat_check,MATCH(B2691,mat_ref,0))&lt;&gt;"OK","Matière à corriger",IF(OR(NOT(ISNUMBER(E2691)),N(E2691)&lt;=0),"Quantité invalide",IF(AND(F2691&lt;&gt;"",OR(NOT(ISNUMBER(F2691)),N(F2691)&lt;0,N(F2691)&gt;=1)),"Perte entre 0 et 99 %",IF(COUNTIFS(bom_prod,A2691,bom_mat,B2691)&gt;1,"Matière en double","OK")))))))))</f>
        <v/>
      </c>
      <c r="K2691" s="71" t="str">
        <f>IF(AND(fiche_sel&lt;&gt;"",A2691=fiche_sel),COUNTIF(A$6:A2691,fiche_sel),"")</f>
        <v/>
      </c>
    </row>
    <row r="2692">
      <c r="A2692" s="60" t="n"/>
      <c r="B2692" s="60" t="n"/>
      <c r="C2692" s="71" t="str">
        <f>IF(B2692="","",IFERROR(INDEX(mat_des,MATCH(B2692,mat_ref,0))&amp;"","Matière inconnue"))</f>
        <v/>
      </c>
      <c r="D2692" s="69" t="str">
        <f>IF(B2692="","",IFERROR(INDEX(mat_unit,MATCH(B2692,mat_ref,0))&amp;"",""))</f>
        <v/>
      </c>
      <c r="E2692" s="72" t="n"/>
      <c r="F2692" s="65" t="n"/>
      <c r="G2692" s="68" t="str">
        <f>IF(J2692&lt;&gt;"OK","",IF(F2692="",N(INDEX(mat_loss,MATCH(B2692,mat_ref,0))),F2692))</f>
        <v/>
      </c>
      <c r="H2692" s="66" t="str">
        <f>IF(J2692&lt;&gt;"OK","",INDEX(mat_price,MATCH(B2692,mat_ref,0)))</f>
        <v/>
      </c>
      <c r="I2692" s="66" t="str">
        <f>IF(J2692&lt;&gt;"OK","",E2692*(1+G2692)*H2692)</f>
        <v/>
      </c>
      <c r="J2692" s="69" t="str">
        <f>IF(AND(A2692="",B2692=""),"",IF(A2692="","Produit manquant",IF(COUNTIF(prod_ref,A2692)=0,"Produit inconnu",IF(B2692="","Matière manquante",IF(ISNA(MATCH(B2692,mat_ref,0)),"Matière inconnue",IF(INDEX(mat_check,MATCH(B2692,mat_ref,0))&lt;&gt;"OK","Matière à corriger",IF(OR(NOT(ISNUMBER(E2692)),N(E2692)&lt;=0),"Quantité invalide",IF(AND(F2692&lt;&gt;"",OR(NOT(ISNUMBER(F2692)),N(F2692)&lt;0,N(F2692)&gt;=1)),"Perte entre 0 et 99 %",IF(COUNTIFS(bom_prod,A2692,bom_mat,B2692)&gt;1,"Matière en double","OK")))))))))</f>
        <v/>
      </c>
      <c r="K2692" s="71" t="str">
        <f>IF(AND(fiche_sel&lt;&gt;"",A2692=fiche_sel),COUNTIF(A$6:A2692,fiche_sel),"")</f>
        <v/>
      </c>
    </row>
    <row r="2693">
      <c r="A2693" s="60" t="n"/>
      <c r="B2693" s="60" t="n"/>
      <c r="C2693" s="71" t="str">
        <f>IF(B2693="","",IFERROR(INDEX(mat_des,MATCH(B2693,mat_ref,0))&amp;"","Matière inconnue"))</f>
        <v/>
      </c>
      <c r="D2693" s="69" t="str">
        <f>IF(B2693="","",IFERROR(INDEX(mat_unit,MATCH(B2693,mat_ref,0))&amp;"",""))</f>
        <v/>
      </c>
      <c r="E2693" s="72" t="n"/>
      <c r="F2693" s="65" t="n"/>
      <c r="G2693" s="68" t="str">
        <f>IF(J2693&lt;&gt;"OK","",IF(F2693="",N(INDEX(mat_loss,MATCH(B2693,mat_ref,0))),F2693))</f>
        <v/>
      </c>
      <c r="H2693" s="66" t="str">
        <f>IF(J2693&lt;&gt;"OK","",INDEX(mat_price,MATCH(B2693,mat_ref,0)))</f>
        <v/>
      </c>
      <c r="I2693" s="66" t="str">
        <f>IF(J2693&lt;&gt;"OK","",E2693*(1+G2693)*H2693)</f>
        <v/>
      </c>
      <c r="J2693" s="69" t="str">
        <f>IF(AND(A2693="",B2693=""),"",IF(A2693="","Produit manquant",IF(COUNTIF(prod_ref,A2693)=0,"Produit inconnu",IF(B2693="","Matière manquante",IF(ISNA(MATCH(B2693,mat_ref,0)),"Matière inconnue",IF(INDEX(mat_check,MATCH(B2693,mat_ref,0))&lt;&gt;"OK","Matière à corriger",IF(OR(NOT(ISNUMBER(E2693)),N(E2693)&lt;=0),"Quantité invalide",IF(AND(F2693&lt;&gt;"",OR(NOT(ISNUMBER(F2693)),N(F2693)&lt;0,N(F2693)&gt;=1)),"Perte entre 0 et 99 %",IF(COUNTIFS(bom_prod,A2693,bom_mat,B2693)&gt;1,"Matière en double","OK")))))))))</f>
        <v/>
      </c>
      <c r="K2693" s="71" t="str">
        <f>IF(AND(fiche_sel&lt;&gt;"",A2693=fiche_sel),COUNTIF(A$6:A2693,fiche_sel),"")</f>
        <v/>
      </c>
    </row>
    <row r="2694">
      <c r="A2694" s="60" t="n"/>
      <c r="B2694" s="60" t="n"/>
      <c r="C2694" s="71" t="str">
        <f>IF(B2694="","",IFERROR(INDEX(mat_des,MATCH(B2694,mat_ref,0))&amp;"","Matière inconnue"))</f>
        <v/>
      </c>
      <c r="D2694" s="69" t="str">
        <f>IF(B2694="","",IFERROR(INDEX(mat_unit,MATCH(B2694,mat_ref,0))&amp;"",""))</f>
        <v/>
      </c>
      <c r="E2694" s="72" t="n"/>
      <c r="F2694" s="65" t="n"/>
      <c r="G2694" s="68" t="str">
        <f>IF(J2694&lt;&gt;"OK","",IF(F2694="",N(INDEX(mat_loss,MATCH(B2694,mat_ref,0))),F2694))</f>
        <v/>
      </c>
      <c r="H2694" s="66" t="str">
        <f>IF(J2694&lt;&gt;"OK","",INDEX(mat_price,MATCH(B2694,mat_ref,0)))</f>
        <v/>
      </c>
      <c r="I2694" s="66" t="str">
        <f>IF(J2694&lt;&gt;"OK","",E2694*(1+G2694)*H2694)</f>
        <v/>
      </c>
      <c r="J2694" s="69" t="str">
        <f>IF(AND(A2694="",B2694=""),"",IF(A2694="","Produit manquant",IF(COUNTIF(prod_ref,A2694)=0,"Produit inconnu",IF(B2694="","Matière manquante",IF(ISNA(MATCH(B2694,mat_ref,0)),"Matière inconnue",IF(INDEX(mat_check,MATCH(B2694,mat_ref,0))&lt;&gt;"OK","Matière à corriger",IF(OR(NOT(ISNUMBER(E2694)),N(E2694)&lt;=0),"Quantité invalide",IF(AND(F2694&lt;&gt;"",OR(NOT(ISNUMBER(F2694)),N(F2694)&lt;0,N(F2694)&gt;=1)),"Perte entre 0 et 99 %",IF(COUNTIFS(bom_prod,A2694,bom_mat,B2694)&gt;1,"Matière en double","OK")))))))))</f>
        <v/>
      </c>
      <c r="K2694" s="71" t="str">
        <f>IF(AND(fiche_sel&lt;&gt;"",A2694=fiche_sel),COUNTIF(A$6:A2694,fiche_sel),"")</f>
        <v/>
      </c>
    </row>
    <row r="2695">
      <c r="A2695" s="60" t="n"/>
      <c r="B2695" s="60" t="n"/>
      <c r="C2695" s="71" t="str">
        <f>IF(B2695="","",IFERROR(INDEX(mat_des,MATCH(B2695,mat_ref,0))&amp;"","Matière inconnue"))</f>
        <v/>
      </c>
      <c r="D2695" s="69" t="str">
        <f>IF(B2695="","",IFERROR(INDEX(mat_unit,MATCH(B2695,mat_ref,0))&amp;"",""))</f>
        <v/>
      </c>
      <c r="E2695" s="72" t="n"/>
      <c r="F2695" s="65" t="n"/>
      <c r="G2695" s="68" t="str">
        <f>IF(J2695&lt;&gt;"OK","",IF(F2695="",N(INDEX(mat_loss,MATCH(B2695,mat_ref,0))),F2695))</f>
        <v/>
      </c>
      <c r="H2695" s="66" t="str">
        <f>IF(J2695&lt;&gt;"OK","",INDEX(mat_price,MATCH(B2695,mat_ref,0)))</f>
        <v/>
      </c>
      <c r="I2695" s="66" t="str">
        <f>IF(J2695&lt;&gt;"OK","",E2695*(1+G2695)*H2695)</f>
        <v/>
      </c>
      <c r="J2695" s="69" t="str">
        <f>IF(AND(A2695="",B2695=""),"",IF(A2695="","Produit manquant",IF(COUNTIF(prod_ref,A2695)=0,"Produit inconnu",IF(B2695="","Matière manquante",IF(ISNA(MATCH(B2695,mat_ref,0)),"Matière inconnue",IF(INDEX(mat_check,MATCH(B2695,mat_ref,0))&lt;&gt;"OK","Matière à corriger",IF(OR(NOT(ISNUMBER(E2695)),N(E2695)&lt;=0),"Quantité invalide",IF(AND(F2695&lt;&gt;"",OR(NOT(ISNUMBER(F2695)),N(F2695)&lt;0,N(F2695)&gt;=1)),"Perte entre 0 et 99 %",IF(COUNTIFS(bom_prod,A2695,bom_mat,B2695)&gt;1,"Matière en double","OK")))))))))</f>
        <v/>
      </c>
      <c r="K2695" s="71" t="str">
        <f>IF(AND(fiche_sel&lt;&gt;"",A2695=fiche_sel),COUNTIF(A$6:A2695,fiche_sel),"")</f>
        <v/>
      </c>
    </row>
    <row r="2696">
      <c r="A2696" s="60" t="n"/>
      <c r="B2696" s="60" t="n"/>
      <c r="C2696" s="71" t="str">
        <f>IF(B2696="","",IFERROR(INDEX(mat_des,MATCH(B2696,mat_ref,0))&amp;"","Matière inconnue"))</f>
        <v/>
      </c>
      <c r="D2696" s="69" t="str">
        <f>IF(B2696="","",IFERROR(INDEX(mat_unit,MATCH(B2696,mat_ref,0))&amp;"",""))</f>
        <v/>
      </c>
      <c r="E2696" s="72" t="n"/>
      <c r="F2696" s="65" t="n"/>
      <c r="G2696" s="68" t="str">
        <f>IF(J2696&lt;&gt;"OK","",IF(F2696="",N(INDEX(mat_loss,MATCH(B2696,mat_ref,0))),F2696))</f>
        <v/>
      </c>
      <c r="H2696" s="66" t="str">
        <f>IF(J2696&lt;&gt;"OK","",INDEX(mat_price,MATCH(B2696,mat_ref,0)))</f>
        <v/>
      </c>
      <c r="I2696" s="66" t="str">
        <f>IF(J2696&lt;&gt;"OK","",E2696*(1+G2696)*H2696)</f>
        <v/>
      </c>
      <c r="J2696" s="69" t="str">
        <f>IF(AND(A2696="",B2696=""),"",IF(A2696="","Produit manquant",IF(COUNTIF(prod_ref,A2696)=0,"Produit inconnu",IF(B2696="","Matière manquante",IF(ISNA(MATCH(B2696,mat_ref,0)),"Matière inconnue",IF(INDEX(mat_check,MATCH(B2696,mat_ref,0))&lt;&gt;"OK","Matière à corriger",IF(OR(NOT(ISNUMBER(E2696)),N(E2696)&lt;=0),"Quantité invalide",IF(AND(F2696&lt;&gt;"",OR(NOT(ISNUMBER(F2696)),N(F2696)&lt;0,N(F2696)&gt;=1)),"Perte entre 0 et 99 %",IF(COUNTIFS(bom_prod,A2696,bom_mat,B2696)&gt;1,"Matière en double","OK")))))))))</f>
        <v/>
      </c>
      <c r="K2696" s="71" t="str">
        <f>IF(AND(fiche_sel&lt;&gt;"",A2696=fiche_sel),COUNTIF(A$6:A2696,fiche_sel),"")</f>
        <v/>
      </c>
    </row>
    <row r="2697">
      <c r="A2697" s="60" t="n"/>
      <c r="B2697" s="60" t="n"/>
      <c r="C2697" s="71" t="str">
        <f>IF(B2697="","",IFERROR(INDEX(mat_des,MATCH(B2697,mat_ref,0))&amp;"","Matière inconnue"))</f>
        <v/>
      </c>
      <c r="D2697" s="69" t="str">
        <f>IF(B2697="","",IFERROR(INDEX(mat_unit,MATCH(B2697,mat_ref,0))&amp;"",""))</f>
        <v/>
      </c>
      <c r="E2697" s="72" t="n"/>
      <c r="F2697" s="65" t="n"/>
      <c r="G2697" s="68" t="str">
        <f>IF(J2697&lt;&gt;"OK","",IF(F2697="",N(INDEX(mat_loss,MATCH(B2697,mat_ref,0))),F2697))</f>
        <v/>
      </c>
      <c r="H2697" s="66" t="str">
        <f>IF(J2697&lt;&gt;"OK","",INDEX(mat_price,MATCH(B2697,mat_ref,0)))</f>
        <v/>
      </c>
      <c r="I2697" s="66" t="str">
        <f>IF(J2697&lt;&gt;"OK","",E2697*(1+G2697)*H2697)</f>
        <v/>
      </c>
      <c r="J2697" s="69" t="str">
        <f>IF(AND(A2697="",B2697=""),"",IF(A2697="","Produit manquant",IF(COUNTIF(prod_ref,A2697)=0,"Produit inconnu",IF(B2697="","Matière manquante",IF(ISNA(MATCH(B2697,mat_ref,0)),"Matière inconnue",IF(INDEX(mat_check,MATCH(B2697,mat_ref,0))&lt;&gt;"OK","Matière à corriger",IF(OR(NOT(ISNUMBER(E2697)),N(E2697)&lt;=0),"Quantité invalide",IF(AND(F2697&lt;&gt;"",OR(NOT(ISNUMBER(F2697)),N(F2697)&lt;0,N(F2697)&gt;=1)),"Perte entre 0 et 99 %",IF(COUNTIFS(bom_prod,A2697,bom_mat,B2697)&gt;1,"Matière en double","OK")))))))))</f>
        <v/>
      </c>
      <c r="K2697" s="71" t="str">
        <f>IF(AND(fiche_sel&lt;&gt;"",A2697=fiche_sel),COUNTIF(A$6:A2697,fiche_sel),"")</f>
        <v/>
      </c>
    </row>
    <row r="2698">
      <c r="A2698" s="60" t="n"/>
      <c r="B2698" s="60" t="n"/>
      <c r="C2698" s="71" t="str">
        <f>IF(B2698="","",IFERROR(INDEX(mat_des,MATCH(B2698,mat_ref,0))&amp;"","Matière inconnue"))</f>
        <v/>
      </c>
      <c r="D2698" s="69" t="str">
        <f>IF(B2698="","",IFERROR(INDEX(mat_unit,MATCH(B2698,mat_ref,0))&amp;"",""))</f>
        <v/>
      </c>
      <c r="E2698" s="72" t="n"/>
      <c r="F2698" s="65" t="n"/>
      <c r="G2698" s="68" t="str">
        <f>IF(J2698&lt;&gt;"OK","",IF(F2698="",N(INDEX(mat_loss,MATCH(B2698,mat_ref,0))),F2698))</f>
        <v/>
      </c>
      <c r="H2698" s="66" t="str">
        <f>IF(J2698&lt;&gt;"OK","",INDEX(mat_price,MATCH(B2698,mat_ref,0)))</f>
        <v/>
      </c>
      <c r="I2698" s="66" t="str">
        <f>IF(J2698&lt;&gt;"OK","",E2698*(1+G2698)*H2698)</f>
        <v/>
      </c>
      <c r="J2698" s="69" t="str">
        <f>IF(AND(A2698="",B2698=""),"",IF(A2698="","Produit manquant",IF(COUNTIF(prod_ref,A2698)=0,"Produit inconnu",IF(B2698="","Matière manquante",IF(ISNA(MATCH(B2698,mat_ref,0)),"Matière inconnue",IF(INDEX(mat_check,MATCH(B2698,mat_ref,0))&lt;&gt;"OK","Matière à corriger",IF(OR(NOT(ISNUMBER(E2698)),N(E2698)&lt;=0),"Quantité invalide",IF(AND(F2698&lt;&gt;"",OR(NOT(ISNUMBER(F2698)),N(F2698)&lt;0,N(F2698)&gt;=1)),"Perte entre 0 et 99 %",IF(COUNTIFS(bom_prod,A2698,bom_mat,B2698)&gt;1,"Matière en double","OK")))))))))</f>
        <v/>
      </c>
      <c r="K2698" s="71" t="str">
        <f>IF(AND(fiche_sel&lt;&gt;"",A2698=fiche_sel),COUNTIF(A$6:A2698,fiche_sel),"")</f>
        <v/>
      </c>
    </row>
    <row r="2699">
      <c r="A2699" s="60" t="n"/>
      <c r="B2699" s="60" t="n"/>
      <c r="C2699" s="71" t="str">
        <f>IF(B2699="","",IFERROR(INDEX(mat_des,MATCH(B2699,mat_ref,0))&amp;"","Matière inconnue"))</f>
        <v/>
      </c>
      <c r="D2699" s="69" t="str">
        <f>IF(B2699="","",IFERROR(INDEX(mat_unit,MATCH(B2699,mat_ref,0))&amp;"",""))</f>
        <v/>
      </c>
      <c r="E2699" s="72" t="n"/>
      <c r="F2699" s="65" t="n"/>
      <c r="G2699" s="68" t="str">
        <f>IF(J2699&lt;&gt;"OK","",IF(F2699="",N(INDEX(mat_loss,MATCH(B2699,mat_ref,0))),F2699))</f>
        <v/>
      </c>
      <c r="H2699" s="66" t="str">
        <f>IF(J2699&lt;&gt;"OK","",INDEX(mat_price,MATCH(B2699,mat_ref,0)))</f>
        <v/>
      </c>
      <c r="I2699" s="66" t="str">
        <f>IF(J2699&lt;&gt;"OK","",E2699*(1+G2699)*H2699)</f>
        <v/>
      </c>
      <c r="J2699" s="69" t="str">
        <f>IF(AND(A2699="",B2699=""),"",IF(A2699="","Produit manquant",IF(COUNTIF(prod_ref,A2699)=0,"Produit inconnu",IF(B2699="","Matière manquante",IF(ISNA(MATCH(B2699,mat_ref,0)),"Matière inconnue",IF(INDEX(mat_check,MATCH(B2699,mat_ref,0))&lt;&gt;"OK","Matière à corriger",IF(OR(NOT(ISNUMBER(E2699)),N(E2699)&lt;=0),"Quantité invalide",IF(AND(F2699&lt;&gt;"",OR(NOT(ISNUMBER(F2699)),N(F2699)&lt;0,N(F2699)&gt;=1)),"Perte entre 0 et 99 %",IF(COUNTIFS(bom_prod,A2699,bom_mat,B2699)&gt;1,"Matière en double","OK")))))))))</f>
        <v/>
      </c>
      <c r="K2699" s="71" t="str">
        <f>IF(AND(fiche_sel&lt;&gt;"",A2699=fiche_sel),COUNTIF(A$6:A2699,fiche_sel),"")</f>
        <v/>
      </c>
    </row>
    <row r="2700">
      <c r="A2700" s="60" t="n"/>
      <c r="B2700" s="60" t="n"/>
      <c r="C2700" s="71" t="str">
        <f>IF(B2700="","",IFERROR(INDEX(mat_des,MATCH(B2700,mat_ref,0))&amp;"","Matière inconnue"))</f>
        <v/>
      </c>
      <c r="D2700" s="69" t="str">
        <f>IF(B2700="","",IFERROR(INDEX(mat_unit,MATCH(B2700,mat_ref,0))&amp;"",""))</f>
        <v/>
      </c>
      <c r="E2700" s="72" t="n"/>
      <c r="F2700" s="65" t="n"/>
      <c r="G2700" s="68" t="str">
        <f>IF(J2700&lt;&gt;"OK","",IF(F2700="",N(INDEX(mat_loss,MATCH(B2700,mat_ref,0))),F2700))</f>
        <v/>
      </c>
      <c r="H2700" s="66" t="str">
        <f>IF(J2700&lt;&gt;"OK","",INDEX(mat_price,MATCH(B2700,mat_ref,0)))</f>
        <v/>
      </c>
      <c r="I2700" s="66" t="str">
        <f>IF(J2700&lt;&gt;"OK","",E2700*(1+G2700)*H2700)</f>
        <v/>
      </c>
      <c r="J2700" s="69" t="str">
        <f>IF(AND(A2700="",B2700=""),"",IF(A2700="","Produit manquant",IF(COUNTIF(prod_ref,A2700)=0,"Produit inconnu",IF(B2700="","Matière manquante",IF(ISNA(MATCH(B2700,mat_ref,0)),"Matière inconnue",IF(INDEX(mat_check,MATCH(B2700,mat_ref,0))&lt;&gt;"OK","Matière à corriger",IF(OR(NOT(ISNUMBER(E2700)),N(E2700)&lt;=0),"Quantité invalide",IF(AND(F2700&lt;&gt;"",OR(NOT(ISNUMBER(F2700)),N(F2700)&lt;0,N(F2700)&gt;=1)),"Perte entre 0 et 99 %",IF(COUNTIFS(bom_prod,A2700,bom_mat,B2700)&gt;1,"Matière en double","OK")))))))))</f>
        <v/>
      </c>
      <c r="K2700" s="71" t="str">
        <f>IF(AND(fiche_sel&lt;&gt;"",A2700=fiche_sel),COUNTIF(A$6:A2700,fiche_sel),"")</f>
        <v/>
      </c>
    </row>
    <row r="2701">
      <c r="A2701" s="60" t="n"/>
      <c r="B2701" s="60" t="n"/>
      <c r="C2701" s="71" t="str">
        <f>IF(B2701="","",IFERROR(INDEX(mat_des,MATCH(B2701,mat_ref,0))&amp;"","Matière inconnue"))</f>
        <v/>
      </c>
      <c r="D2701" s="69" t="str">
        <f>IF(B2701="","",IFERROR(INDEX(mat_unit,MATCH(B2701,mat_ref,0))&amp;"",""))</f>
        <v/>
      </c>
      <c r="E2701" s="72" t="n"/>
      <c r="F2701" s="65" t="n"/>
      <c r="G2701" s="68" t="str">
        <f>IF(J2701&lt;&gt;"OK","",IF(F2701="",N(INDEX(mat_loss,MATCH(B2701,mat_ref,0))),F2701))</f>
        <v/>
      </c>
      <c r="H2701" s="66" t="str">
        <f>IF(J2701&lt;&gt;"OK","",INDEX(mat_price,MATCH(B2701,mat_ref,0)))</f>
        <v/>
      </c>
      <c r="I2701" s="66" t="str">
        <f>IF(J2701&lt;&gt;"OK","",E2701*(1+G2701)*H2701)</f>
        <v/>
      </c>
      <c r="J2701" s="69" t="str">
        <f>IF(AND(A2701="",B2701=""),"",IF(A2701="","Produit manquant",IF(COUNTIF(prod_ref,A2701)=0,"Produit inconnu",IF(B2701="","Matière manquante",IF(ISNA(MATCH(B2701,mat_ref,0)),"Matière inconnue",IF(INDEX(mat_check,MATCH(B2701,mat_ref,0))&lt;&gt;"OK","Matière à corriger",IF(OR(NOT(ISNUMBER(E2701)),N(E2701)&lt;=0),"Quantité invalide",IF(AND(F2701&lt;&gt;"",OR(NOT(ISNUMBER(F2701)),N(F2701)&lt;0,N(F2701)&gt;=1)),"Perte entre 0 et 99 %",IF(COUNTIFS(bom_prod,A2701,bom_mat,B2701)&gt;1,"Matière en double","OK")))))))))</f>
        <v/>
      </c>
      <c r="K2701" s="71" t="str">
        <f>IF(AND(fiche_sel&lt;&gt;"",A2701=fiche_sel),COUNTIF(A$6:A2701,fiche_sel),"")</f>
        <v/>
      </c>
    </row>
    <row r="2702">
      <c r="A2702" s="60" t="n"/>
      <c r="B2702" s="60" t="n"/>
      <c r="C2702" s="71" t="str">
        <f>IF(B2702="","",IFERROR(INDEX(mat_des,MATCH(B2702,mat_ref,0))&amp;"","Matière inconnue"))</f>
        <v/>
      </c>
      <c r="D2702" s="69" t="str">
        <f>IF(B2702="","",IFERROR(INDEX(mat_unit,MATCH(B2702,mat_ref,0))&amp;"",""))</f>
        <v/>
      </c>
      <c r="E2702" s="72" t="n"/>
      <c r="F2702" s="65" t="n"/>
      <c r="G2702" s="68" t="str">
        <f>IF(J2702&lt;&gt;"OK","",IF(F2702="",N(INDEX(mat_loss,MATCH(B2702,mat_ref,0))),F2702))</f>
        <v/>
      </c>
      <c r="H2702" s="66" t="str">
        <f>IF(J2702&lt;&gt;"OK","",INDEX(mat_price,MATCH(B2702,mat_ref,0)))</f>
        <v/>
      </c>
      <c r="I2702" s="66" t="str">
        <f>IF(J2702&lt;&gt;"OK","",E2702*(1+G2702)*H2702)</f>
        <v/>
      </c>
      <c r="J2702" s="69" t="str">
        <f>IF(AND(A2702="",B2702=""),"",IF(A2702="","Produit manquant",IF(COUNTIF(prod_ref,A2702)=0,"Produit inconnu",IF(B2702="","Matière manquante",IF(ISNA(MATCH(B2702,mat_ref,0)),"Matière inconnue",IF(INDEX(mat_check,MATCH(B2702,mat_ref,0))&lt;&gt;"OK","Matière à corriger",IF(OR(NOT(ISNUMBER(E2702)),N(E2702)&lt;=0),"Quantité invalide",IF(AND(F2702&lt;&gt;"",OR(NOT(ISNUMBER(F2702)),N(F2702)&lt;0,N(F2702)&gt;=1)),"Perte entre 0 et 99 %",IF(COUNTIFS(bom_prod,A2702,bom_mat,B2702)&gt;1,"Matière en double","OK")))))))))</f>
        <v/>
      </c>
      <c r="K2702" s="71" t="str">
        <f>IF(AND(fiche_sel&lt;&gt;"",A2702=fiche_sel),COUNTIF(A$6:A2702,fiche_sel),"")</f>
        <v/>
      </c>
    </row>
    <row r="2703">
      <c r="A2703" s="60" t="n"/>
      <c r="B2703" s="60" t="n"/>
      <c r="C2703" s="71" t="str">
        <f>IF(B2703="","",IFERROR(INDEX(mat_des,MATCH(B2703,mat_ref,0))&amp;"","Matière inconnue"))</f>
        <v/>
      </c>
      <c r="D2703" s="69" t="str">
        <f>IF(B2703="","",IFERROR(INDEX(mat_unit,MATCH(B2703,mat_ref,0))&amp;"",""))</f>
        <v/>
      </c>
      <c r="E2703" s="72" t="n"/>
      <c r="F2703" s="65" t="n"/>
      <c r="G2703" s="68" t="str">
        <f>IF(J2703&lt;&gt;"OK","",IF(F2703="",N(INDEX(mat_loss,MATCH(B2703,mat_ref,0))),F2703))</f>
        <v/>
      </c>
      <c r="H2703" s="66" t="str">
        <f>IF(J2703&lt;&gt;"OK","",INDEX(mat_price,MATCH(B2703,mat_ref,0)))</f>
        <v/>
      </c>
      <c r="I2703" s="66" t="str">
        <f>IF(J2703&lt;&gt;"OK","",E2703*(1+G2703)*H2703)</f>
        <v/>
      </c>
      <c r="J2703" s="69" t="str">
        <f>IF(AND(A2703="",B2703=""),"",IF(A2703="","Produit manquant",IF(COUNTIF(prod_ref,A2703)=0,"Produit inconnu",IF(B2703="","Matière manquante",IF(ISNA(MATCH(B2703,mat_ref,0)),"Matière inconnue",IF(INDEX(mat_check,MATCH(B2703,mat_ref,0))&lt;&gt;"OK","Matière à corriger",IF(OR(NOT(ISNUMBER(E2703)),N(E2703)&lt;=0),"Quantité invalide",IF(AND(F2703&lt;&gt;"",OR(NOT(ISNUMBER(F2703)),N(F2703)&lt;0,N(F2703)&gt;=1)),"Perte entre 0 et 99 %",IF(COUNTIFS(bom_prod,A2703,bom_mat,B2703)&gt;1,"Matière en double","OK")))))))))</f>
        <v/>
      </c>
      <c r="K2703" s="71" t="str">
        <f>IF(AND(fiche_sel&lt;&gt;"",A2703=fiche_sel),COUNTIF(A$6:A2703,fiche_sel),"")</f>
        <v/>
      </c>
    </row>
    <row r="2704">
      <c r="A2704" s="60" t="n"/>
      <c r="B2704" s="60" t="n"/>
      <c r="C2704" s="71" t="str">
        <f>IF(B2704="","",IFERROR(INDEX(mat_des,MATCH(B2704,mat_ref,0))&amp;"","Matière inconnue"))</f>
        <v/>
      </c>
      <c r="D2704" s="69" t="str">
        <f>IF(B2704="","",IFERROR(INDEX(mat_unit,MATCH(B2704,mat_ref,0))&amp;"",""))</f>
        <v/>
      </c>
      <c r="E2704" s="72" t="n"/>
      <c r="F2704" s="65" t="n"/>
      <c r="G2704" s="68" t="str">
        <f>IF(J2704&lt;&gt;"OK","",IF(F2704="",N(INDEX(mat_loss,MATCH(B2704,mat_ref,0))),F2704))</f>
        <v/>
      </c>
      <c r="H2704" s="66" t="str">
        <f>IF(J2704&lt;&gt;"OK","",INDEX(mat_price,MATCH(B2704,mat_ref,0)))</f>
        <v/>
      </c>
      <c r="I2704" s="66" t="str">
        <f>IF(J2704&lt;&gt;"OK","",E2704*(1+G2704)*H2704)</f>
        <v/>
      </c>
      <c r="J2704" s="69" t="str">
        <f>IF(AND(A2704="",B2704=""),"",IF(A2704="","Produit manquant",IF(COUNTIF(prod_ref,A2704)=0,"Produit inconnu",IF(B2704="","Matière manquante",IF(ISNA(MATCH(B2704,mat_ref,0)),"Matière inconnue",IF(INDEX(mat_check,MATCH(B2704,mat_ref,0))&lt;&gt;"OK","Matière à corriger",IF(OR(NOT(ISNUMBER(E2704)),N(E2704)&lt;=0),"Quantité invalide",IF(AND(F2704&lt;&gt;"",OR(NOT(ISNUMBER(F2704)),N(F2704)&lt;0,N(F2704)&gt;=1)),"Perte entre 0 et 99 %",IF(COUNTIFS(bom_prod,A2704,bom_mat,B2704)&gt;1,"Matière en double","OK")))))))))</f>
        <v/>
      </c>
      <c r="K2704" s="71" t="str">
        <f>IF(AND(fiche_sel&lt;&gt;"",A2704=fiche_sel),COUNTIF(A$6:A2704,fiche_sel),"")</f>
        <v/>
      </c>
    </row>
    <row r="2705">
      <c r="A2705" s="60" t="n"/>
      <c r="B2705" s="60" t="n"/>
      <c r="C2705" s="71" t="str">
        <f>IF(B2705="","",IFERROR(INDEX(mat_des,MATCH(B2705,mat_ref,0))&amp;"","Matière inconnue"))</f>
        <v/>
      </c>
      <c r="D2705" s="69" t="str">
        <f>IF(B2705="","",IFERROR(INDEX(mat_unit,MATCH(B2705,mat_ref,0))&amp;"",""))</f>
        <v/>
      </c>
      <c r="E2705" s="72" t="n"/>
      <c r="F2705" s="65" t="n"/>
      <c r="G2705" s="68" t="str">
        <f>IF(J2705&lt;&gt;"OK","",IF(F2705="",N(INDEX(mat_loss,MATCH(B2705,mat_ref,0))),F2705))</f>
        <v/>
      </c>
      <c r="H2705" s="66" t="str">
        <f>IF(J2705&lt;&gt;"OK","",INDEX(mat_price,MATCH(B2705,mat_ref,0)))</f>
        <v/>
      </c>
      <c r="I2705" s="66" t="str">
        <f>IF(J2705&lt;&gt;"OK","",E2705*(1+G2705)*H2705)</f>
        <v/>
      </c>
      <c r="J2705" s="69" t="str">
        <f>IF(AND(A2705="",B2705=""),"",IF(A2705="","Produit manquant",IF(COUNTIF(prod_ref,A2705)=0,"Produit inconnu",IF(B2705="","Matière manquante",IF(ISNA(MATCH(B2705,mat_ref,0)),"Matière inconnue",IF(INDEX(mat_check,MATCH(B2705,mat_ref,0))&lt;&gt;"OK","Matière à corriger",IF(OR(NOT(ISNUMBER(E2705)),N(E2705)&lt;=0),"Quantité invalide",IF(AND(F2705&lt;&gt;"",OR(NOT(ISNUMBER(F2705)),N(F2705)&lt;0,N(F2705)&gt;=1)),"Perte entre 0 et 99 %",IF(COUNTIFS(bom_prod,A2705,bom_mat,B2705)&gt;1,"Matière en double","OK")))))))))</f>
        <v/>
      </c>
      <c r="K2705" s="71" t="str">
        <f>IF(AND(fiche_sel&lt;&gt;"",A2705=fiche_sel),COUNTIF(A$6:A2705,fiche_sel),"")</f>
        <v/>
      </c>
    </row>
    <row r="2706">
      <c r="A2706" s="60" t="n"/>
      <c r="B2706" s="60" t="n"/>
      <c r="C2706" s="71" t="str">
        <f>IF(B2706="","",IFERROR(INDEX(mat_des,MATCH(B2706,mat_ref,0))&amp;"","Matière inconnue"))</f>
        <v/>
      </c>
      <c r="D2706" s="69" t="str">
        <f>IF(B2706="","",IFERROR(INDEX(mat_unit,MATCH(B2706,mat_ref,0))&amp;"",""))</f>
        <v/>
      </c>
      <c r="E2706" s="72" t="n"/>
      <c r="F2706" s="65" t="n"/>
      <c r="G2706" s="68" t="str">
        <f>IF(J2706&lt;&gt;"OK","",IF(F2706="",N(INDEX(mat_loss,MATCH(B2706,mat_ref,0))),F2706))</f>
        <v/>
      </c>
      <c r="H2706" s="66" t="str">
        <f>IF(J2706&lt;&gt;"OK","",INDEX(mat_price,MATCH(B2706,mat_ref,0)))</f>
        <v/>
      </c>
      <c r="I2706" s="66" t="str">
        <f>IF(J2706&lt;&gt;"OK","",E2706*(1+G2706)*H2706)</f>
        <v/>
      </c>
      <c r="J2706" s="69" t="str">
        <f>IF(AND(A2706="",B2706=""),"",IF(A2706="","Produit manquant",IF(COUNTIF(prod_ref,A2706)=0,"Produit inconnu",IF(B2706="","Matière manquante",IF(ISNA(MATCH(B2706,mat_ref,0)),"Matière inconnue",IF(INDEX(mat_check,MATCH(B2706,mat_ref,0))&lt;&gt;"OK","Matière à corriger",IF(OR(NOT(ISNUMBER(E2706)),N(E2706)&lt;=0),"Quantité invalide",IF(AND(F2706&lt;&gt;"",OR(NOT(ISNUMBER(F2706)),N(F2706)&lt;0,N(F2706)&gt;=1)),"Perte entre 0 et 99 %",IF(COUNTIFS(bom_prod,A2706,bom_mat,B2706)&gt;1,"Matière en double","OK")))))))))</f>
        <v/>
      </c>
      <c r="K2706" s="71" t="str">
        <f>IF(AND(fiche_sel&lt;&gt;"",A2706=fiche_sel),COUNTIF(A$6:A2706,fiche_sel),"")</f>
        <v/>
      </c>
    </row>
    <row r="2707">
      <c r="A2707" s="60" t="n"/>
      <c r="B2707" s="60" t="n"/>
      <c r="C2707" s="71" t="str">
        <f>IF(B2707="","",IFERROR(INDEX(mat_des,MATCH(B2707,mat_ref,0))&amp;"","Matière inconnue"))</f>
        <v/>
      </c>
      <c r="D2707" s="69" t="str">
        <f>IF(B2707="","",IFERROR(INDEX(mat_unit,MATCH(B2707,mat_ref,0))&amp;"",""))</f>
        <v/>
      </c>
      <c r="E2707" s="72" t="n"/>
      <c r="F2707" s="65" t="n"/>
      <c r="G2707" s="68" t="str">
        <f>IF(J2707&lt;&gt;"OK","",IF(F2707="",N(INDEX(mat_loss,MATCH(B2707,mat_ref,0))),F2707))</f>
        <v/>
      </c>
      <c r="H2707" s="66" t="str">
        <f>IF(J2707&lt;&gt;"OK","",INDEX(mat_price,MATCH(B2707,mat_ref,0)))</f>
        <v/>
      </c>
      <c r="I2707" s="66" t="str">
        <f>IF(J2707&lt;&gt;"OK","",E2707*(1+G2707)*H2707)</f>
        <v/>
      </c>
      <c r="J2707" s="69" t="str">
        <f>IF(AND(A2707="",B2707=""),"",IF(A2707="","Produit manquant",IF(COUNTIF(prod_ref,A2707)=0,"Produit inconnu",IF(B2707="","Matière manquante",IF(ISNA(MATCH(B2707,mat_ref,0)),"Matière inconnue",IF(INDEX(mat_check,MATCH(B2707,mat_ref,0))&lt;&gt;"OK","Matière à corriger",IF(OR(NOT(ISNUMBER(E2707)),N(E2707)&lt;=0),"Quantité invalide",IF(AND(F2707&lt;&gt;"",OR(NOT(ISNUMBER(F2707)),N(F2707)&lt;0,N(F2707)&gt;=1)),"Perte entre 0 et 99 %",IF(COUNTIFS(bom_prod,A2707,bom_mat,B2707)&gt;1,"Matière en double","OK")))))))))</f>
        <v/>
      </c>
      <c r="K2707" s="71" t="str">
        <f>IF(AND(fiche_sel&lt;&gt;"",A2707=fiche_sel),COUNTIF(A$6:A2707,fiche_sel),"")</f>
        <v/>
      </c>
    </row>
    <row r="2708">
      <c r="A2708" s="60" t="n"/>
      <c r="B2708" s="60" t="n"/>
      <c r="C2708" s="71" t="str">
        <f>IF(B2708="","",IFERROR(INDEX(mat_des,MATCH(B2708,mat_ref,0))&amp;"","Matière inconnue"))</f>
        <v/>
      </c>
      <c r="D2708" s="69" t="str">
        <f>IF(B2708="","",IFERROR(INDEX(mat_unit,MATCH(B2708,mat_ref,0))&amp;"",""))</f>
        <v/>
      </c>
      <c r="E2708" s="72" t="n"/>
      <c r="F2708" s="65" t="n"/>
      <c r="G2708" s="68" t="str">
        <f>IF(J2708&lt;&gt;"OK","",IF(F2708="",N(INDEX(mat_loss,MATCH(B2708,mat_ref,0))),F2708))</f>
        <v/>
      </c>
      <c r="H2708" s="66" t="str">
        <f>IF(J2708&lt;&gt;"OK","",INDEX(mat_price,MATCH(B2708,mat_ref,0)))</f>
        <v/>
      </c>
      <c r="I2708" s="66" t="str">
        <f>IF(J2708&lt;&gt;"OK","",E2708*(1+G2708)*H2708)</f>
        <v/>
      </c>
      <c r="J2708" s="69" t="str">
        <f>IF(AND(A2708="",B2708=""),"",IF(A2708="","Produit manquant",IF(COUNTIF(prod_ref,A2708)=0,"Produit inconnu",IF(B2708="","Matière manquante",IF(ISNA(MATCH(B2708,mat_ref,0)),"Matière inconnue",IF(INDEX(mat_check,MATCH(B2708,mat_ref,0))&lt;&gt;"OK","Matière à corriger",IF(OR(NOT(ISNUMBER(E2708)),N(E2708)&lt;=0),"Quantité invalide",IF(AND(F2708&lt;&gt;"",OR(NOT(ISNUMBER(F2708)),N(F2708)&lt;0,N(F2708)&gt;=1)),"Perte entre 0 et 99 %",IF(COUNTIFS(bom_prod,A2708,bom_mat,B2708)&gt;1,"Matière en double","OK")))))))))</f>
        <v/>
      </c>
      <c r="K2708" s="71" t="str">
        <f>IF(AND(fiche_sel&lt;&gt;"",A2708=fiche_sel),COUNTIF(A$6:A2708,fiche_sel),"")</f>
        <v/>
      </c>
    </row>
    <row r="2709">
      <c r="A2709" s="60" t="n"/>
      <c r="B2709" s="60" t="n"/>
      <c r="C2709" s="71" t="str">
        <f>IF(B2709="","",IFERROR(INDEX(mat_des,MATCH(B2709,mat_ref,0))&amp;"","Matière inconnue"))</f>
        <v/>
      </c>
      <c r="D2709" s="69" t="str">
        <f>IF(B2709="","",IFERROR(INDEX(mat_unit,MATCH(B2709,mat_ref,0))&amp;"",""))</f>
        <v/>
      </c>
      <c r="E2709" s="72" t="n"/>
      <c r="F2709" s="65" t="n"/>
      <c r="G2709" s="68" t="str">
        <f>IF(J2709&lt;&gt;"OK","",IF(F2709="",N(INDEX(mat_loss,MATCH(B2709,mat_ref,0))),F2709))</f>
        <v/>
      </c>
      <c r="H2709" s="66" t="str">
        <f>IF(J2709&lt;&gt;"OK","",INDEX(mat_price,MATCH(B2709,mat_ref,0)))</f>
        <v/>
      </c>
      <c r="I2709" s="66" t="str">
        <f>IF(J2709&lt;&gt;"OK","",E2709*(1+G2709)*H2709)</f>
        <v/>
      </c>
      <c r="J2709" s="69" t="str">
        <f>IF(AND(A2709="",B2709=""),"",IF(A2709="","Produit manquant",IF(COUNTIF(prod_ref,A2709)=0,"Produit inconnu",IF(B2709="","Matière manquante",IF(ISNA(MATCH(B2709,mat_ref,0)),"Matière inconnue",IF(INDEX(mat_check,MATCH(B2709,mat_ref,0))&lt;&gt;"OK","Matière à corriger",IF(OR(NOT(ISNUMBER(E2709)),N(E2709)&lt;=0),"Quantité invalide",IF(AND(F2709&lt;&gt;"",OR(NOT(ISNUMBER(F2709)),N(F2709)&lt;0,N(F2709)&gt;=1)),"Perte entre 0 et 99 %",IF(COUNTIFS(bom_prod,A2709,bom_mat,B2709)&gt;1,"Matière en double","OK")))))))))</f>
        <v/>
      </c>
      <c r="K2709" s="71" t="str">
        <f>IF(AND(fiche_sel&lt;&gt;"",A2709=fiche_sel),COUNTIF(A$6:A2709,fiche_sel),"")</f>
        <v/>
      </c>
    </row>
    <row r="2710">
      <c r="A2710" s="60" t="n"/>
      <c r="B2710" s="60" t="n"/>
      <c r="C2710" s="71" t="str">
        <f>IF(B2710="","",IFERROR(INDEX(mat_des,MATCH(B2710,mat_ref,0))&amp;"","Matière inconnue"))</f>
        <v/>
      </c>
      <c r="D2710" s="69" t="str">
        <f>IF(B2710="","",IFERROR(INDEX(mat_unit,MATCH(B2710,mat_ref,0))&amp;"",""))</f>
        <v/>
      </c>
      <c r="E2710" s="72" t="n"/>
      <c r="F2710" s="65" t="n"/>
      <c r="G2710" s="68" t="str">
        <f>IF(J2710&lt;&gt;"OK","",IF(F2710="",N(INDEX(mat_loss,MATCH(B2710,mat_ref,0))),F2710))</f>
        <v/>
      </c>
      <c r="H2710" s="66" t="str">
        <f>IF(J2710&lt;&gt;"OK","",INDEX(mat_price,MATCH(B2710,mat_ref,0)))</f>
        <v/>
      </c>
      <c r="I2710" s="66" t="str">
        <f>IF(J2710&lt;&gt;"OK","",E2710*(1+G2710)*H2710)</f>
        <v/>
      </c>
      <c r="J2710" s="69" t="str">
        <f>IF(AND(A2710="",B2710=""),"",IF(A2710="","Produit manquant",IF(COUNTIF(prod_ref,A2710)=0,"Produit inconnu",IF(B2710="","Matière manquante",IF(ISNA(MATCH(B2710,mat_ref,0)),"Matière inconnue",IF(INDEX(mat_check,MATCH(B2710,mat_ref,0))&lt;&gt;"OK","Matière à corriger",IF(OR(NOT(ISNUMBER(E2710)),N(E2710)&lt;=0),"Quantité invalide",IF(AND(F2710&lt;&gt;"",OR(NOT(ISNUMBER(F2710)),N(F2710)&lt;0,N(F2710)&gt;=1)),"Perte entre 0 et 99 %",IF(COUNTIFS(bom_prod,A2710,bom_mat,B2710)&gt;1,"Matière en double","OK")))))))))</f>
        <v/>
      </c>
      <c r="K2710" s="71" t="str">
        <f>IF(AND(fiche_sel&lt;&gt;"",A2710=fiche_sel),COUNTIF(A$6:A2710,fiche_sel),"")</f>
        <v/>
      </c>
    </row>
    <row r="2711">
      <c r="A2711" s="60" t="n"/>
      <c r="B2711" s="60" t="n"/>
      <c r="C2711" s="71" t="str">
        <f>IF(B2711="","",IFERROR(INDEX(mat_des,MATCH(B2711,mat_ref,0))&amp;"","Matière inconnue"))</f>
        <v/>
      </c>
      <c r="D2711" s="69" t="str">
        <f>IF(B2711="","",IFERROR(INDEX(mat_unit,MATCH(B2711,mat_ref,0))&amp;"",""))</f>
        <v/>
      </c>
      <c r="E2711" s="72" t="n"/>
      <c r="F2711" s="65" t="n"/>
      <c r="G2711" s="68" t="str">
        <f>IF(J2711&lt;&gt;"OK","",IF(F2711="",N(INDEX(mat_loss,MATCH(B2711,mat_ref,0))),F2711))</f>
        <v/>
      </c>
      <c r="H2711" s="66" t="str">
        <f>IF(J2711&lt;&gt;"OK","",INDEX(mat_price,MATCH(B2711,mat_ref,0)))</f>
        <v/>
      </c>
      <c r="I2711" s="66" t="str">
        <f>IF(J2711&lt;&gt;"OK","",E2711*(1+G2711)*H2711)</f>
        <v/>
      </c>
      <c r="J2711" s="69" t="str">
        <f>IF(AND(A2711="",B2711=""),"",IF(A2711="","Produit manquant",IF(COUNTIF(prod_ref,A2711)=0,"Produit inconnu",IF(B2711="","Matière manquante",IF(ISNA(MATCH(B2711,mat_ref,0)),"Matière inconnue",IF(INDEX(mat_check,MATCH(B2711,mat_ref,0))&lt;&gt;"OK","Matière à corriger",IF(OR(NOT(ISNUMBER(E2711)),N(E2711)&lt;=0),"Quantité invalide",IF(AND(F2711&lt;&gt;"",OR(NOT(ISNUMBER(F2711)),N(F2711)&lt;0,N(F2711)&gt;=1)),"Perte entre 0 et 99 %",IF(COUNTIFS(bom_prod,A2711,bom_mat,B2711)&gt;1,"Matière en double","OK")))))))))</f>
        <v/>
      </c>
      <c r="K2711" s="71" t="str">
        <f>IF(AND(fiche_sel&lt;&gt;"",A2711=fiche_sel),COUNTIF(A$6:A2711,fiche_sel),"")</f>
        <v/>
      </c>
    </row>
    <row r="2712">
      <c r="A2712" s="60" t="n"/>
      <c r="B2712" s="60" t="n"/>
      <c r="C2712" s="71" t="str">
        <f>IF(B2712="","",IFERROR(INDEX(mat_des,MATCH(B2712,mat_ref,0))&amp;"","Matière inconnue"))</f>
        <v/>
      </c>
      <c r="D2712" s="69" t="str">
        <f>IF(B2712="","",IFERROR(INDEX(mat_unit,MATCH(B2712,mat_ref,0))&amp;"",""))</f>
        <v/>
      </c>
      <c r="E2712" s="72" t="n"/>
      <c r="F2712" s="65" t="n"/>
      <c r="G2712" s="68" t="str">
        <f>IF(J2712&lt;&gt;"OK","",IF(F2712="",N(INDEX(mat_loss,MATCH(B2712,mat_ref,0))),F2712))</f>
        <v/>
      </c>
      <c r="H2712" s="66" t="str">
        <f>IF(J2712&lt;&gt;"OK","",INDEX(mat_price,MATCH(B2712,mat_ref,0)))</f>
        <v/>
      </c>
      <c r="I2712" s="66" t="str">
        <f>IF(J2712&lt;&gt;"OK","",E2712*(1+G2712)*H2712)</f>
        <v/>
      </c>
      <c r="J2712" s="69" t="str">
        <f>IF(AND(A2712="",B2712=""),"",IF(A2712="","Produit manquant",IF(COUNTIF(prod_ref,A2712)=0,"Produit inconnu",IF(B2712="","Matière manquante",IF(ISNA(MATCH(B2712,mat_ref,0)),"Matière inconnue",IF(INDEX(mat_check,MATCH(B2712,mat_ref,0))&lt;&gt;"OK","Matière à corriger",IF(OR(NOT(ISNUMBER(E2712)),N(E2712)&lt;=0),"Quantité invalide",IF(AND(F2712&lt;&gt;"",OR(NOT(ISNUMBER(F2712)),N(F2712)&lt;0,N(F2712)&gt;=1)),"Perte entre 0 et 99 %",IF(COUNTIFS(bom_prod,A2712,bom_mat,B2712)&gt;1,"Matière en double","OK")))))))))</f>
        <v/>
      </c>
      <c r="K2712" s="71" t="str">
        <f>IF(AND(fiche_sel&lt;&gt;"",A2712=fiche_sel),COUNTIF(A$6:A2712,fiche_sel),"")</f>
        <v/>
      </c>
    </row>
    <row r="2713">
      <c r="A2713" s="60" t="n"/>
      <c r="B2713" s="60" t="n"/>
      <c r="C2713" s="71" t="str">
        <f>IF(B2713="","",IFERROR(INDEX(mat_des,MATCH(B2713,mat_ref,0))&amp;"","Matière inconnue"))</f>
        <v/>
      </c>
      <c r="D2713" s="69" t="str">
        <f>IF(B2713="","",IFERROR(INDEX(mat_unit,MATCH(B2713,mat_ref,0))&amp;"",""))</f>
        <v/>
      </c>
      <c r="E2713" s="72" t="n"/>
      <c r="F2713" s="65" t="n"/>
      <c r="G2713" s="68" t="str">
        <f>IF(J2713&lt;&gt;"OK","",IF(F2713="",N(INDEX(mat_loss,MATCH(B2713,mat_ref,0))),F2713))</f>
        <v/>
      </c>
      <c r="H2713" s="66" t="str">
        <f>IF(J2713&lt;&gt;"OK","",INDEX(mat_price,MATCH(B2713,mat_ref,0)))</f>
        <v/>
      </c>
      <c r="I2713" s="66" t="str">
        <f>IF(J2713&lt;&gt;"OK","",E2713*(1+G2713)*H2713)</f>
        <v/>
      </c>
      <c r="J2713" s="69" t="str">
        <f>IF(AND(A2713="",B2713=""),"",IF(A2713="","Produit manquant",IF(COUNTIF(prod_ref,A2713)=0,"Produit inconnu",IF(B2713="","Matière manquante",IF(ISNA(MATCH(B2713,mat_ref,0)),"Matière inconnue",IF(INDEX(mat_check,MATCH(B2713,mat_ref,0))&lt;&gt;"OK","Matière à corriger",IF(OR(NOT(ISNUMBER(E2713)),N(E2713)&lt;=0),"Quantité invalide",IF(AND(F2713&lt;&gt;"",OR(NOT(ISNUMBER(F2713)),N(F2713)&lt;0,N(F2713)&gt;=1)),"Perte entre 0 et 99 %",IF(COUNTIFS(bom_prod,A2713,bom_mat,B2713)&gt;1,"Matière en double","OK")))))))))</f>
        <v/>
      </c>
      <c r="K2713" s="71" t="str">
        <f>IF(AND(fiche_sel&lt;&gt;"",A2713=fiche_sel),COUNTIF(A$6:A2713,fiche_sel),"")</f>
        <v/>
      </c>
    </row>
    <row r="2714">
      <c r="A2714" s="60" t="n"/>
      <c r="B2714" s="60" t="n"/>
      <c r="C2714" s="71" t="str">
        <f>IF(B2714="","",IFERROR(INDEX(mat_des,MATCH(B2714,mat_ref,0))&amp;"","Matière inconnue"))</f>
        <v/>
      </c>
      <c r="D2714" s="69" t="str">
        <f>IF(B2714="","",IFERROR(INDEX(mat_unit,MATCH(B2714,mat_ref,0))&amp;"",""))</f>
        <v/>
      </c>
      <c r="E2714" s="72" t="n"/>
      <c r="F2714" s="65" t="n"/>
      <c r="G2714" s="68" t="str">
        <f>IF(J2714&lt;&gt;"OK","",IF(F2714="",N(INDEX(mat_loss,MATCH(B2714,mat_ref,0))),F2714))</f>
        <v/>
      </c>
      <c r="H2714" s="66" t="str">
        <f>IF(J2714&lt;&gt;"OK","",INDEX(mat_price,MATCH(B2714,mat_ref,0)))</f>
        <v/>
      </c>
      <c r="I2714" s="66" t="str">
        <f>IF(J2714&lt;&gt;"OK","",E2714*(1+G2714)*H2714)</f>
        <v/>
      </c>
      <c r="J2714" s="69" t="str">
        <f>IF(AND(A2714="",B2714=""),"",IF(A2714="","Produit manquant",IF(COUNTIF(prod_ref,A2714)=0,"Produit inconnu",IF(B2714="","Matière manquante",IF(ISNA(MATCH(B2714,mat_ref,0)),"Matière inconnue",IF(INDEX(mat_check,MATCH(B2714,mat_ref,0))&lt;&gt;"OK","Matière à corriger",IF(OR(NOT(ISNUMBER(E2714)),N(E2714)&lt;=0),"Quantité invalide",IF(AND(F2714&lt;&gt;"",OR(NOT(ISNUMBER(F2714)),N(F2714)&lt;0,N(F2714)&gt;=1)),"Perte entre 0 et 99 %",IF(COUNTIFS(bom_prod,A2714,bom_mat,B2714)&gt;1,"Matière en double","OK")))))))))</f>
        <v/>
      </c>
      <c r="K2714" s="71" t="str">
        <f>IF(AND(fiche_sel&lt;&gt;"",A2714=fiche_sel),COUNTIF(A$6:A2714,fiche_sel),"")</f>
        <v/>
      </c>
    </row>
    <row r="2715">
      <c r="A2715" s="60" t="n"/>
      <c r="B2715" s="60" t="n"/>
      <c r="C2715" s="71" t="str">
        <f>IF(B2715="","",IFERROR(INDEX(mat_des,MATCH(B2715,mat_ref,0))&amp;"","Matière inconnue"))</f>
        <v/>
      </c>
      <c r="D2715" s="69" t="str">
        <f>IF(B2715="","",IFERROR(INDEX(mat_unit,MATCH(B2715,mat_ref,0))&amp;"",""))</f>
        <v/>
      </c>
      <c r="E2715" s="72" t="n"/>
      <c r="F2715" s="65" t="n"/>
      <c r="G2715" s="68" t="str">
        <f>IF(J2715&lt;&gt;"OK","",IF(F2715="",N(INDEX(mat_loss,MATCH(B2715,mat_ref,0))),F2715))</f>
        <v/>
      </c>
      <c r="H2715" s="66" t="str">
        <f>IF(J2715&lt;&gt;"OK","",INDEX(mat_price,MATCH(B2715,mat_ref,0)))</f>
        <v/>
      </c>
      <c r="I2715" s="66" t="str">
        <f>IF(J2715&lt;&gt;"OK","",E2715*(1+G2715)*H2715)</f>
        <v/>
      </c>
      <c r="J2715" s="69" t="str">
        <f>IF(AND(A2715="",B2715=""),"",IF(A2715="","Produit manquant",IF(COUNTIF(prod_ref,A2715)=0,"Produit inconnu",IF(B2715="","Matière manquante",IF(ISNA(MATCH(B2715,mat_ref,0)),"Matière inconnue",IF(INDEX(mat_check,MATCH(B2715,mat_ref,0))&lt;&gt;"OK","Matière à corriger",IF(OR(NOT(ISNUMBER(E2715)),N(E2715)&lt;=0),"Quantité invalide",IF(AND(F2715&lt;&gt;"",OR(NOT(ISNUMBER(F2715)),N(F2715)&lt;0,N(F2715)&gt;=1)),"Perte entre 0 et 99 %",IF(COUNTIFS(bom_prod,A2715,bom_mat,B2715)&gt;1,"Matière en double","OK")))))))))</f>
        <v/>
      </c>
      <c r="K2715" s="71" t="str">
        <f>IF(AND(fiche_sel&lt;&gt;"",A2715=fiche_sel),COUNTIF(A$6:A2715,fiche_sel),"")</f>
        <v/>
      </c>
    </row>
    <row r="2716">
      <c r="A2716" s="60" t="n"/>
      <c r="B2716" s="60" t="n"/>
      <c r="C2716" s="71" t="str">
        <f>IF(B2716="","",IFERROR(INDEX(mat_des,MATCH(B2716,mat_ref,0))&amp;"","Matière inconnue"))</f>
        <v/>
      </c>
      <c r="D2716" s="69" t="str">
        <f>IF(B2716="","",IFERROR(INDEX(mat_unit,MATCH(B2716,mat_ref,0))&amp;"",""))</f>
        <v/>
      </c>
      <c r="E2716" s="72" t="n"/>
      <c r="F2716" s="65" t="n"/>
      <c r="G2716" s="68" t="str">
        <f>IF(J2716&lt;&gt;"OK","",IF(F2716="",N(INDEX(mat_loss,MATCH(B2716,mat_ref,0))),F2716))</f>
        <v/>
      </c>
      <c r="H2716" s="66" t="str">
        <f>IF(J2716&lt;&gt;"OK","",INDEX(mat_price,MATCH(B2716,mat_ref,0)))</f>
        <v/>
      </c>
      <c r="I2716" s="66" t="str">
        <f>IF(J2716&lt;&gt;"OK","",E2716*(1+G2716)*H2716)</f>
        <v/>
      </c>
      <c r="J2716" s="69" t="str">
        <f>IF(AND(A2716="",B2716=""),"",IF(A2716="","Produit manquant",IF(COUNTIF(prod_ref,A2716)=0,"Produit inconnu",IF(B2716="","Matière manquante",IF(ISNA(MATCH(B2716,mat_ref,0)),"Matière inconnue",IF(INDEX(mat_check,MATCH(B2716,mat_ref,0))&lt;&gt;"OK","Matière à corriger",IF(OR(NOT(ISNUMBER(E2716)),N(E2716)&lt;=0),"Quantité invalide",IF(AND(F2716&lt;&gt;"",OR(NOT(ISNUMBER(F2716)),N(F2716)&lt;0,N(F2716)&gt;=1)),"Perte entre 0 et 99 %",IF(COUNTIFS(bom_prod,A2716,bom_mat,B2716)&gt;1,"Matière en double","OK")))))))))</f>
        <v/>
      </c>
      <c r="K2716" s="71" t="str">
        <f>IF(AND(fiche_sel&lt;&gt;"",A2716=fiche_sel),COUNTIF(A$6:A2716,fiche_sel),"")</f>
        <v/>
      </c>
    </row>
    <row r="2717">
      <c r="A2717" s="60" t="n"/>
      <c r="B2717" s="60" t="n"/>
      <c r="C2717" s="71" t="str">
        <f>IF(B2717="","",IFERROR(INDEX(mat_des,MATCH(B2717,mat_ref,0))&amp;"","Matière inconnue"))</f>
        <v/>
      </c>
      <c r="D2717" s="69" t="str">
        <f>IF(B2717="","",IFERROR(INDEX(mat_unit,MATCH(B2717,mat_ref,0))&amp;"",""))</f>
        <v/>
      </c>
      <c r="E2717" s="72" t="n"/>
      <c r="F2717" s="65" t="n"/>
      <c r="G2717" s="68" t="str">
        <f>IF(J2717&lt;&gt;"OK","",IF(F2717="",N(INDEX(mat_loss,MATCH(B2717,mat_ref,0))),F2717))</f>
        <v/>
      </c>
      <c r="H2717" s="66" t="str">
        <f>IF(J2717&lt;&gt;"OK","",INDEX(mat_price,MATCH(B2717,mat_ref,0)))</f>
        <v/>
      </c>
      <c r="I2717" s="66" t="str">
        <f>IF(J2717&lt;&gt;"OK","",E2717*(1+G2717)*H2717)</f>
        <v/>
      </c>
      <c r="J2717" s="69" t="str">
        <f>IF(AND(A2717="",B2717=""),"",IF(A2717="","Produit manquant",IF(COUNTIF(prod_ref,A2717)=0,"Produit inconnu",IF(B2717="","Matière manquante",IF(ISNA(MATCH(B2717,mat_ref,0)),"Matière inconnue",IF(INDEX(mat_check,MATCH(B2717,mat_ref,0))&lt;&gt;"OK","Matière à corriger",IF(OR(NOT(ISNUMBER(E2717)),N(E2717)&lt;=0),"Quantité invalide",IF(AND(F2717&lt;&gt;"",OR(NOT(ISNUMBER(F2717)),N(F2717)&lt;0,N(F2717)&gt;=1)),"Perte entre 0 et 99 %",IF(COUNTIFS(bom_prod,A2717,bom_mat,B2717)&gt;1,"Matière en double","OK")))))))))</f>
        <v/>
      </c>
      <c r="K2717" s="71" t="str">
        <f>IF(AND(fiche_sel&lt;&gt;"",A2717=fiche_sel),COUNTIF(A$6:A2717,fiche_sel),"")</f>
        <v/>
      </c>
    </row>
    <row r="2718">
      <c r="A2718" s="60" t="n"/>
      <c r="B2718" s="60" t="n"/>
      <c r="C2718" s="71" t="str">
        <f>IF(B2718="","",IFERROR(INDEX(mat_des,MATCH(B2718,mat_ref,0))&amp;"","Matière inconnue"))</f>
        <v/>
      </c>
      <c r="D2718" s="69" t="str">
        <f>IF(B2718="","",IFERROR(INDEX(mat_unit,MATCH(B2718,mat_ref,0))&amp;"",""))</f>
        <v/>
      </c>
      <c r="E2718" s="72" t="n"/>
      <c r="F2718" s="65" t="n"/>
      <c r="G2718" s="68" t="str">
        <f>IF(J2718&lt;&gt;"OK","",IF(F2718="",N(INDEX(mat_loss,MATCH(B2718,mat_ref,0))),F2718))</f>
        <v/>
      </c>
      <c r="H2718" s="66" t="str">
        <f>IF(J2718&lt;&gt;"OK","",INDEX(mat_price,MATCH(B2718,mat_ref,0)))</f>
        <v/>
      </c>
      <c r="I2718" s="66" t="str">
        <f>IF(J2718&lt;&gt;"OK","",E2718*(1+G2718)*H2718)</f>
        <v/>
      </c>
      <c r="J2718" s="69" t="str">
        <f>IF(AND(A2718="",B2718=""),"",IF(A2718="","Produit manquant",IF(COUNTIF(prod_ref,A2718)=0,"Produit inconnu",IF(B2718="","Matière manquante",IF(ISNA(MATCH(B2718,mat_ref,0)),"Matière inconnue",IF(INDEX(mat_check,MATCH(B2718,mat_ref,0))&lt;&gt;"OK","Matière à corriger",IF(OR(NOT(ISNUMBER(E2718)),N(E2718)&lt;=0),"Quantité invalide",IF(AND(F2718&lt;&gt;"",OR(NOT(ISNUMBER(F2718)),N(F2718)&lt;0,N(F2718)&gt;=1)),"Perte entre 0 et 99 %",IF(COUNTIFS(bom_prod,A2718,bom_mat,B2718)&gt;1,"Matière en double","OK")))))))))</f>
        <v/>
      </c>
      <c r="K2718" s="71" t="str">
        <f>IF(AND(fiche_sel&lt;&gt;"",A2718=fiche_sel),COUNTIF(A$6:A2718,fiche_sel),"")</f>
        <v/>
      </c>
    </row>
    <row r="2719">
      <c r="A2719" s="60" t="n"/>
      <c r="B2719" s="60" t="n"/>
      <c r="C2719" s="71" t="str">
        <f>IF(B2719="","",IFERROR(INDEX(mat_des,MATCH(B2719,mat_ref,0))&amp;"","Matière inconnue"))</f>
        <v/>
      </c>
      <c r="D2719" s="69" t="str">
        <f>IF(B2719="","",IFERROR(INDEX(mat_unit,MATCH(B2719,mat_ref,0))&amp;"",""))</f>
        <v/>
      </c>
      <c r="E2719" s="72" t="n"/>
      <c r="F2719" s="65" t="n"/>
      <c r="G2719" s="68" t="str">
        <f>IF(J2719&lt;&gt;"OK","",IF(F2719="",N(INDEX(mat_loss,MATCH(B2719,mat_ref,0))),F2719))</f>
        <v/>
      </c>
      <c r="H2719" s="66" t="str">
        <f>IF(J2719&lt;&gt;"OK","",INDEX(mat_price,MATCH(B2719,mat_ref,0)))</f>
        <v/>
      </c>
      <c r="I2719" s="66" t="str">
        <f>IF(J2719&lt;&gt;"OK","",E2719*(1+G2719)*H2719)</f>
        <v/>
      </c>
      <c r="J2719" s="69" t="str">
        <f>IF(AND(A2719="",B2719=""),"",IF(A2719="","Produit manquant",IF(COUNTIF(prod_ref,A2719)=0,"Produit inconnu",IF(B2719="","Matière manquante",IF(ISNA(MATCH(B2719,mat_ref,0)),"Matière inconnue",IF(INDEX(mat_check,MATCH(B2719,mat_ref,0))&lt;&gt;"OK","Matière à corriger",IF(OR(NOT(ISNUMBER(E2719)),N(E2719)&lt;=0),"Quantité invalide",IF(AND(F2719&lt;&gt;"",OR(NOT(ISNUMBER(F2719)),N(F2719)&lt;0,N(F2719)&gt;=1)),"Perte entre 0 et 99 %",IF(COUNTIFS(bom_prod,A2719,bom_mat,B2719)&gt;1,"Matière en double","OK")))))))))</f>
        <v/>
      </c>
      <c r="K2719" s="71" t="str">
        <f>IF(AND(fiche_sel&lt;&gt;"",A2719=fiche_sel),COUNTIF(A$6:A2719,fiche_sel),"")</f>
        <v/>
      </c>
    </row>
    <row r="2720">
      <c r="A2720" s="60" t="n"/>
      <c r="B2720" s="60" t="n"/>
      <c r="C2720" s="71" t="str">
        <f>IF(B2720="","",IFERROR(INDEX(mat_des,MATCH(B2720,mat_ref,0))&amp;"","Matière inconnue"))</f>
        <v/>
      </c>
      <c r="D2720" s="69" t="str">
        <f>IF(B2720="","",IFERROR(INDEX(mat_unit,MATCH(B2720,mat_ref,0))&amp;"",""))</f>
        <v/>
      </c>
      <c r="E2720" s="72" t="n"/>
      <c r="F2720" s="65" t="n"/>
      <c r="G2720" s="68" t="str">
        <f>IF(J2720&lt;&gt;"OK","",IF(F2720="",N(INDEX(mat_loss,MATCH(B2720,mat_ref,0))),F2720))</f>
        <v/>
      </c>
      <c r="H2720" s="66" t="str">
        <f>IF(J2720&lt;&gt;"OK","",INDEX(mat_price,MATCH(B2720,mat_ref,0)))</f>
        <v/>
      </c>
      <c r="I2720" s="66" t="str">
        <f>IF(J2720&lt;&gt;"OK","",E2720*(1+G2720)*H2720)</f>
        <v/>
      </c>
      <c r="J2720" s="69" t="str">
        <f>IF(AND(A2720="",B2720=""),"",IF(A2720="","Produit manquant",IF(COUNTIF(prod_ref,A2720)=0,"Produit inconnu",IF(B2720="","Matière manquante",IF(ISNA(MATCH(B2720,mat_ref,0)),"Matière inconnue",IF(INDEX(mat_check,MATCH(B2720,mat_ref,0))&lt;&gt;"OK","Matière à corriger",IF(OR(NOT(ISNUMBER(E2720)),N(E2720)&lt;=0),"Quantité invalide",IF(AND(F2720&lt;&gt;"",OR(NOT(ISNUMBER(F2720)),N(F2720)&lt;0,N(F2720)&gt;=1)),"Perte entre 0 et 99 %",IF(COUNTIFS(bom_prod,A2720,bom_mat,B2720)&gt;1,"Matière en double","OK")))))))))</f>
        <v/>
      </c>
      <c r="K2720" s="71" t="str">
        <f>IF(AND(fiche_sel&lt;&gt;"",A2720=fiche_sel),COUNTIF(A$6:A2720,fiche_sel),"")</f>
        <v/>
      </c>
    </row>
    <row r="2721">
      <c r="A2721" s="60" t="n"/>
      <c r="B2721" s="60" t="n"/>
      <c r="C2721" s="71" t="str">
        <f>IF(B2721="","",IFERROR(INDEX(mat_des,MATCH(B2721,mat_ref,0))&amp;"","Matière inconnue"))</f>
        <v/>
      </c>
      <c r="D2721" s="69" t="str">
        <f>IF(B2721="","",IFERROR(INDEX(mat_unit,MATCH(B2721,mat_ref,0))&amp;"",""))</f>
        <v/>
      </c>
      <c r="E2721" s="72" t="n"/>
      <c r="F2721" s="65" t="n"/>
      <c r="G2721" s="68" t="str">
        <f>IF(J2721&lt;&gt;"OK","",IF(F2721="",N(INDEX(mat_loss,MATCH(B2721,mat_ref,0))),F2721))</f>
        <v/>
      </c>
      <c r="H2721" s="66" t="str">
        <f>IF(J2721&lt;&gt;"OK","",INDEX(mat_price,MATCH(B2721,mat_ref,0)))</f>
        <v/>
      </c>
      <c r="I2721" s="66" t="str">
        <f>IF(J2721&lt;&gt;"OK","",E2721*(1+G2721)*H2721)</f>
        <v/>
      </c>
      <c r="J2721" s="69" t="str">
        <f>IF(AND(A2721="",B2721=""),"",IF(A2721="","Produit manquant",IF(COUNTIF(prod_ref,A2721)=0,"Produit inconnu",IF(B2721="","Matière manquante",IF(ISNA(MATCH(B2721,mat_ref,0)),"Matière inconnue",IF(INDEX(mat_check,MATCH(B2721,mat_ref,0))&lt;&gt;"OK","Matière à corriger",IF(OR(NOT(ISNUMBER(E2721)),N(E2721)&lt;=0),"Quantité invalide",IF(AND(F2721&lt;&gt;"",OR(NOT(ISNUMBER(F2721)),N(F2721)&lt;0,N(F2721)&gt;=1)),"Perte entre 0 et 99 %",IF(COUNTIFS(bom_prod,A2721,bom_mat,B2721)&gt;1,"Matière en double","OK")))))))))</f>
        <v/>
      </c>
      <c r="K2721" s="71" t="str">
        <f>IF(AND(fiche_sel&lt;&gt;"",A2721=fiche_sel),COUNTIF(A$6:A2721,fiche_sel),"")</f>
        <v/>
      </c>
    </row>
    <row r="2722">
      <c r="A2722" s="60" t="n"/>
      <c r="B2722" s="60" t="n"/>
      <c r="C2722" s="71" t="str">
        <f>IF(B2722="","",IFERROR(INDEX(mat_des,MATCH(B2722,mat_ref,0))&amp;"","Matière inconnue"))</f>
        <v/>
      </c>
      <c r="D2722" s="69" t="str">
        <f>IF(B2722="","",IFERROR(INDEX(mat_unit,MATCH(B2722,mat_ref,0))&amp;"",""))</f>
        <v/>
      </c>
      <c r="E2722" s="72" t="n"/>
      <c r="F2722" s="65" t="n"/>
      <c r="G2722" s="68" t="str">
        <f>IF(J2722&lt;&gt;"OK","",IF(F2722="",N(INDEX(mat_loss,MATCH(B2722,mat_ref,0))),F2722))</f>
        <v/>
      </c>
      <c r="H2722" s="66" t="str">
        <f>IF(J2722&lt;&gt;"OK","",INDEX(mat_price,MATCH(B2722,mat_ref,0)))</f>
        <v/>
      </c>
      <c r="I2722" s="66" t="str">
        <f>IF(J2722&lt;&gt;"OK","",E2722*(1+G2722)*H2722)</f>
        <v/>
      </c>
      <c r="J2722" s="69" t="str">
        <f>IF(AND(A2722="",B2722=""),"",IF(A2722="","Produit manquant",IF(COUNTIF(prod_ref,A2722)=0,"Produit inconnu",IF(B2722="","Matière manquante",IF(ISNA(MATCH(B2722,mat_ref,0)),"Matière inconnue",IF(INDEX(mat_check,MATCH(B2722,mat_ref,0))&lt;&gt;"OK","Matière à corriger",IF(OR(NOT(ISNUMBER(E2722)),N(E2722)&lt;=0),"Quantité invalide",IF(AND(F2722&lt;&gt;"",OR(NOT(ISNUMBER(F2722)),N(F2722)&lt;0,N(F2722)&gt;=1)),"Perte entre 0 et 99 %",IF(COUNTIFS(bom_prod,A2722,bom_mat,B2722)&gt;1,"Matière en double","OK")))))))))</f>
        <v/>
      </c>
      <c r="K2722" s="71" t="str">
        <f>IF(AND(fiche_sel&lt;&gt;"",A2722=fiche_sel),COUNTIF(A$6:A2722,fiche_sel),"")</f>
        <v/>
      </c>
    </row>
    <row r="2723">
      <c r="A2723" s="60" t="n"/>
      <c r="B2723" s="60" t="n"/>
      <c r="C2723" s="71" t="str">
        <f>IF(B2723="","",IFERROR(INDEX(mat_des,MATCH(B2723,mat_ref,0))&amp;"","Matière inconnue"))</f>
        <v/>
      </c>
      <c r="D2723" s="69" t="str">
        <f>IF(B2723="","",IFERROR(INDEX(mat_unit,MATCH(B2723,mat_ref,0))&amp;"",""))</f>
        <v/>
      </c>
      <c r="E2723" s="72" t="n"/>
      <c r="F2723" s="65" t="n"/>
      <c r="G2723" s="68" t="str">
        <f>IF(J2723&lt;&gt;"OK","",IF(F2723="",N(INDEX(mat_loss,MATCH(B2723,mat_ref,0))),F2723))</f>
        <v/>
      </c>
      <c r="H2723" s="66" t="str">
        <f>IF(J2723&lt;&gt;"OK","",INDEX(mat_price,MATCH(B2723,mat_ref,0)))</f>
        <v/>
      </c>
      <c r="I2723" s="66" t="str">
        <f>IF(J2723&lt;&gt;"OK","",E2723*(1+G2723)*H2723)</f>
        <v/>
      </c>
      <c r="J2723" s="69" t="str">
        <f>IF(AND(A2723="",B2723=""),"",IF(A2723="","Produit manquant",IF(COUNTIF(prod_ref,A2723)=0,"Produit inconnu",IF(B2723="","Matière manquante",IF(ISNA(MATCH(B2723,mat_ref,0)),"Matière inconnue",IF(INDEX(mat_check,MATCH(B2723,mat_ref,0))&lt;&gt;"OK","Matière à corriger",IF(OR(NOT(ISNUMBER(E2723)),N(E2723)&lt;=0),"Quantité invalide",IF(AND(F2723&lt;&gt;"",OR(NOT(ISNUMBER(F2723)),N(F2723)&lt;0,N(F2723)&gt;=1)),"Perte entre 0 et 99 %",IF(COUNTIFS(bom_prod,A2723,bom_mat,B2723)&gt;1,"Matière en double","OK")))))))))</f>
        <v/>
      </c>
      <c r="K2723" s="71" t="str">
        <f>IF(AND(fiche_sel&lt;&gt;"",A2723=fiche_sel),COUNTIF(A$6:A2723,fiche_sel),"")</f>
        <v/>
      </c>
    </row>
    <row r="2724">
      <c r="A2724" s="60" t="n"/>
      <c r="B2724" s="60" t="n"/>
      <c r="C2724" s="71" t="str">
        <f>IF(B2724="","",IFERROR(INDEX(mat_des,MATCH(B2724,mat_ref,0))&amp;"","Matière inconnue"))</f>
        <v/>
      </c>
      <c r="D2724" s="69" t="str">
        <f>IF(B2724="","",IFERROR(INDEX(mat_unit,MATCH(B2724,mat_ref,0))&amp;"",""))</f>
        <v/>
      </c>
      <c r="E2724" s="72" t="n"/>
      <c r="F2724" s="65" t="n"/>
      <c r="G2724" s="68" t="str">
        <f>IF(J2724&lt;&gt;"OK","",IF(F2724="",N(INDEX(mat_loss,MATCH(B2724,mat_ref,0))),F2724))</f>
        <v/>
      </c>
      <c r="H2724" s="66" t="str">
        <f>IF(J2724&lt;&gt;"OK","",INDEX(mat_price,MATCH(B2724,mat_ref,0)))</f>
        <v/>
      </c>
      <c r="I2724" s="66" t="str">
        <f>IF(J2724&lt;&gt;"OK","",E2724*(1+G2724)*H2724)</f>
        <v/>
      </c>
      <c r="J2724" s="69" t="str">
        <f>IF(AND(A2724="",B2724=""),"",IF(A2724="","Produit manquant",IF(COUNTIF(prod_ref,A2724)=0,"Produit inconnu",IF(B2724="","Matière manquante",IF(ISNA(MATCH(B2724,mat_ref,0)),"Matière inconnue",IF(INDEX(mat_check,MATCH(B2724,mat_ref,0))&lt;&gt;"OK","Matière à corriger",IF(OR(NOT(ISNUMBER(E2724)),N(E2724)&lt;=0),"Quantité invalide",IF(AND(F2724&lt;&gt;"",OR(NOT(ISNUMBER(F2724)),N(F2724)&lt;0,N(F2724)&gt;=1)),"Perte entre 0 et 99 %",IF(COUNTIFS(bom_prod,A2724,bom_mat,B2724)&gt;1,"Matière en double","OK")))))))))</f>
        <v/>
      </c>
      <c r="K2724" s="71" t="str">
        <f>IF(AND(fiche_sel&lt;&gt;"",A2724=fiche_sel),COUNTIF(A$6:A2724,fiche_sel),"")</f>
        <v/>
      </c>
    </row>
    <row r="2725">
      <c r="A2725" s="60" t="n"/>
      <c r="B2725" s="60" t="n"/>
      <c r="C2725" s="71" t="str">
        <f>IF(B2725="","",IFERROR(INDEX(mat_des,MATCH(B2725,mat_ref,0))&amp;"","Matière inconnue"))</f>
        <v/>
      </c>
      <c r="D2725" s="69" t="str">
        <f>IF(B2725="","",IFERROR(INDEX(mat_unit,MATCH(B2725,mat_ref,0))&amp;"",""))</f>
        <v/>
      </c>
      <c r="E2725" s="72" t="n"/>
      <c r="F2725" s="65" t="n"/>
      <c r="G2725" s="68" t="str">
        <f>IF(J2725&lt;&gt;"OK","",IF(F2725="",N(INDEX(mat_loss,MATCH(B2725,mat_ref,0))),F2725))</f>
        <v/>
      </c>
      <c r="H2725" s="66" t="str">
        <f>IF(J2725&lt;&gt;"OK","",INDEX(mat_price,MATCH(B2725,mat_ref,0)))</f>
        <v/>
      </c>
      <c r="I2725" s="66" t="str">
        <f>IF(J2725&lt;&gt;"OK","",E2725*(1+G2725)*H2725)</f>
        <v/>
      </c>
      <c r="J2725" s="69" t="str">
        <f>IF(AND(A2725="",B2725=""),"",IF(A2725="","Produit manquant",IF(COUNTIF(prod_ref,A2725)=0,"Produit inconnu",IF(B2725="","Matière manquante",IF(ISNA(MATCH(B2725,mat_ref,0)),"Matière inconnue",IF(INDEX(mat_check,MATCH(B2725,mat_ref,0))&lt;&gt;"OK","Matière à corriger",IF(OR(NOT(ISNUMBER(E2725)),N(E2725)&lt;=0),"Quantité invalide",IF(AND(F2725&lt;&gt;"",OR(NOT(ISNUMBER(F2725)),N(F2725)&lt;0,N(F2725)&gt;=1)),"Perte entre 0 et 99 %",IF(COUNTIFS(bom_prod,A2725,bom_mat,B2725)&gt;1,"Matière en double","OK")))))))))</f>
        <v/>
      </c>
      <c r="K2725" s="71" t="str">
        <f>IF(AND(fiche_sel&lt;&gt;"",A2725=fiche_sel),COUNTIF(A$6:A2725,fiche_sel),"")</f>
        <v/>
      </c>
    </row>
    <row r="2726">
      <c r="A2726" s="60" t="n"/>
      <c r="B2726" s="60" t="n"/>
      <c r="C2726" s="71" t="str">
        <f>IF(B2726="","",IFERROR(INDEX(mat_des,MATCH(B2726,mat_ref,0))&amp;"","Matière inconnue"))</f>
        <v/>
      </c>
      <c r="D2726" s="69" t="str">
        <f>IF(B2726="","",IFERROR(INDEX(mat_unit,MATCH(B2726,mat_ref,0))&amp;"",""))</f>
        <v/>
      </c>
      <c r="E2726" s="72" t="n"/>
      <c r="F2726" s="65" t="n"/>
      <c r="G2726" s="68" t="str">
        <f>IF(J2726&lt;&gt;"OK","",IF(F2726="",N(INDEX(mat_loss,MATCH(B2726,mat_ref,0))),F2726))</f>
        <v/>
      </c>
      <c r="H2726" s="66" t="str">
        <f>IF(J2726&lt;&gt;"OK","",INDEX(mat_price,MATCH(B2726,mat_ref,0)))</f>
        <v/>
      </c>
      <c r="I2726" s="66" t="str">
        <f>IF(J2726&lt;&gt;"OK","",E2726*(1+G2726)*H2726)</f>
        <v/>
      </c>
      <c r="J2726" s="69" t="str">
        <f>IF(AND(A2726="",B2726=""),"",IF(A2726="","Produit manquant",IF(COUNTIF(prod_ref,A2726)=0,"Produit inconnu",IF(B2726="","Matière manquante",IF(ISNA(MATCH(B2726,mat_ref,0)),"Matière inconnue",IF(INDEX(mat_check,MATCH(B2726,mat_ref,0))&lt;&gt;"OK","Matière à corriger",IF(OR(NOT(ISNUMBER(E2726)),N(E2726)&lt;=0),"Quantité invalide",IF(AND(F2726&lt;&gt;"",OR(NOT(ISNUMBER(F2726)),N(F2726)&lt;0,N(F2726)&gt;=1)),"Perte entre 0 et 99 %",IF(COUNTIFS(bom_prod,A2726,bom_mat,B2726)&gt;1,"Matière en double","OK")))))))))</f>
        <v/>
      </c>
      <c r="K2726" s="71" t="str">
        <f>IF(AND(fiche_sel&lt;&gt;"",A2726=fiche_sel),COUNTIF(A$6:A2726,fiche_sel),"")</f>
        <v/>
      </c>
    </row>
    <row r="2727">
      <c r="A2727" s="60" t="n"/>
      <c r="B2727" s="60" t="n"/>
      <c r="C2727" s="71" t="str">
        <f>IF(B2727="","",IFERROR(INDEX(mat_des,MATCH(B2727,mat_ref,0))&amp;"","Matière inconnue"))</f>
        <v/>
      </c>
      <c r="D2727" s="69" t="str">
        <f>IF(B2727="","",IFERROR(INDEX(mat_unit,MATCH(B2727,mat_ref,0))&amp;"",""))</f>
        <v/>
      </c>
      <c r="E2727" s="72" t="n"/>
      <c r="F2727" s="65" t="n"/>
      <c r="G2727" s="68" t="str">
        <f>IF(J2727&lt;&gt;"OK","",IF(F2727="",N(INDEX(mat_loss,MATCH(B2727,mat_ref,0))),F2727))</f>
        <v/>
      </c>
      <c r="H2727" s="66" t="str">
        <f>IF(J2727&lt;&gt;"OK","",INDEX(mat_price,MATCH(B2727,mat_ref,0)))</f>
        <v/>
      </c>
      <c r="I2727" s="66" t="str">
        <f>IF(J2727&lt;&gt;"OK","",E2727*(1+G2727)*H2727)</f>
        <v/>
      </c>
      <c r="J2727" s="69" t="str">
        <f>IF(AND(A2727="",B2727=""),"",IF(A2727="","Produit manquant",IF(COUNTIF(prod_ref,A2727)=0,"Produit inconnu",IF(B2727="","Matière manquante",IF(ISNA(MATCH(B2727,mat_ref,0)),"Matière inconnue",IF(INDEX(mat_check,MATCH(B2727,mat_ref,0))&lt;&gt;"OK","Matière à corriger",IF(OR(NOT(ISNUMBER(E2727)),N(E2727)&lt;=0),"Quantité invalide",IF(AND(F2727&lt;&gt;"",OR(NOT(ISNUMBER(F2727)),N(F2727)&lt;0,N(F2727)&gt;=1)),"Perte entre 0 et 99 %",IF(COUNTIFS(bom_prod,A2727,bom_mat,B2727)&gt;1,"Matière en double","OK")))))))))</f>
        <v/>
      </c>
      <c r="K2727" s="71" t="str">
        <f>IF(AND(fiche_sel&lt;&gt;"",A2727=fiche_sel),COUNTIF(A$6:A2727,fiche_sel),"")</f>
        <v/>
      </c>
    </row>
    <row r="2728">
      <c r="A2728" s="60" t="n"/>
      <c r="B2728" s="60" t="n"/>
      <c r="C2728" s="71" t="str">
        <f>IF(B2728="","",IFERROR(INDEX(mat_des,MATCH(B2728,mat_ref,0))&amp;"","Matière inconnue"))</f>
        <v/>
      </c>
      <c r="D2728" s="69" t="str">
        <f>IF(B2728="","",IFERROR(INDEX(mat_unit,MATCH(B2728,mat_ref,0))&amp;"",""))</f>
        <v/>
      </c>
      <c r="E2728" s="72" t="n"/>
      <c r="F2728" s="65" t="n"/>
      <c r="G2728" s="68" t="str">
        <f>IF(J2728&lt;&gt;"OK","",IF(F2728="",N(INDEX(mat_loss,MATCH(B2728,mat_ref,0))),F2728))</f>
        <v/>
      </c>
      <c r="H2728" s="66" t="str">
        <f>IF(J2728&lt;&gt;"OK","",INDEX(mat_price,MATCH(B2728,mat_ref,0)))</f>
        <v/>
      </c>
      <c r="I2728" s="66" t="str">
        <f>IF(J2728&lt;&gt;"OK","",E2728*(1+G2728)*H2728)</f>
        <v/>
      </c>
      <c r="J2728" s="69" t="str">
        <f>IF(AND(A2728="",B2728=""),"",IF(A2728="","Produit manquant",IF(COUNTIF(prod_ref,A2728)=0,"Produit inconnu",IF(B2728="","Matière manquante",IF(ISNA(MATCH(B2728,mat_ref,0)),"Matière inconnue",IF(INDEX(mat_check,MATCH(B2728,mat_ref,0))&lt;&gt;"OK","Matière à corriger",IF(OR(NOT(ISNUMBER(E2728)),N(E2728)&lt;=0),"Quantité invalide",IF(AND(F2728&lt;&gt;"",OR(NOT(ISNUMBER(F2728)),N(F2728)&lt;0,N(F2728)&gt;=1)),"Perte entre 0 et 99 %",IF(COUNTIFS(bom_prod,A2728,bom_mat,B2728)&gt;1,"Matière en double","OK")))))))))</f>
        <v/>
      </c>
      <c r="K2728" s="71" t="str">
        <f>IF(AND(fiche_sel&lt;&gt;"",A2728=fiche_sel),COUNTIF(A$6:A2728,fiche_sel),"")</f>
        <v/>
      </c>
    </row>
    <row r="2729">
      <c r="A2729" s="60" t="n"/>
      <c r="B2729" s="60" t="n"/>
      <c r="C2729" s="71" t="str">
        <f>IF(B2729="","",IFERROR(INDEX(mat_des,MATCH(B2729,mat_ref,0))&amp;"","Matière inconnue"))</f>
        <v/>
      </c>
      <c r="D2729" s="69" t="str">
        <f>IF(B2729="","",IFERROR(INDEX(mat_unit,MATCH(B2729,mat_ref,0))&amp;"",""))</f>
        <v/>
      </c>
      <c r="E2729" s="72" t="n"/>
      <c r="F2729" s="65" t="n"/>
      <c r="G2729" s="68" t="str">
        <f>IF(J2729&lt;&gt;"OK","",IF(F2729="",N(INDEX(mat_loss,MATCH(B2729,mat_ref,0))),F2729))</f>
        <v/>
      </c>
      <c r="H2729" s="66" t="str">
        <f>IF(J2729&lt;&gt;"OK","",INDEX(mat_price,MATCH(B2729,mat_ref,0)))</f>
        <v/>
      </c>
      <c r="I2729" s="66" t="str">
        <f>IF(J2729&lt;&gt;"OK","",E2729*(1+G2729)*H2729)</f>
        <v/>
      </c>
      <c r="J2729" s="69" t="str">
        <f>IF(AND(A2729="",B2729=""),"",IF(A2729="","Produit manquant",IF(COUNTIF(prod_ref,A2729)=0,"Produit inconnu",IF(B2729="","Matière manquante",IF(ISNA(MATCH(B2729,mat_ref,0)),"Matière inconnue",IF(INDEX(mat_check,MATCH(B2729,mat_ref,0))&lt;&gt;"OK","Matière à corriger",IF(OR(NOT(ISNUMBER(E2729)),N(E2729)&lt;=0),"Quantité invalide",IF(AND(F2729&lt;&gt;"",OR(NOT(ISNUMBER(F2729)),N(F2729)&lt;0,N(F2729)&gt;=1)),"Perte entre 0 et 99 %",IF(COUNTIFS(bom_prod,A2729,bom_mat,B2729)&gt;1,"Matière en double","OK")))))))))</f>
        <v/>
      </c>
      <c r="K2729" s="71" t="str">
        <f>IF(AND(fiche_sel&lt;&gt;"",A2729=fiche_sel),COUNTIF(A$6:A2729,fiche_sel),"")</f>
        <v/>
      </c>
    </row>
    <row r="2730">
      <c r="A2730" s="60" t="n"/>
      <c r="B2730" s="60" t="n"/>
      <c r="C2730" s="71" t="str">
        <f>IF(B2730="","",IFERROR(INDEX(mat_des,MATCH(B2730,mat_ref,0))&amp;"","Matière inconnue"))</f>
        <v/>
      </c>
      <c r="D2730" s="69" t="str">
        <f>IF(B2730="","",IFERROR(INDEX(mat_unit,MATCH(B2730,mat_ref,0))&amp;"",""))</f>
        <v/>
      </c>
      <c r="E2730" s="72" t="n"/>
      <c r="F2730" s="65" t="n"/>
      <c r="G2730" s="68" t="str">
        <f>IF(J2730&lt;&gt;"OK","",IF(F2730="",N(INDEX(mat_loss,MATCH(B2730,mat_ref,0))),F2730))</f>
        <v/>
      </c>
      <c r="H2730" s="66" t="str">
        <f>IF(J2730&lt;&gt;"OK","",INDEX(mat_price,MATCH(B2730,mat_ref,0)))</f>
        <v/>
      </c>
      <c r="I2730" s="66" t="str">
        <f>IF(J2730&lt;&gt;"OK","",E2730*(1+G2730)*H2730)</f>
        <v/>
      </c>
      <c r="J2730" s="69" t="str">
        <f>IF(AND(A2730="",B2730=""),"",IF(A2730="","Produit manquant",IF(COUNTIF(prod_ref,A2730)=0,"Produit inconnu",IF(B2730="","Matière manquante",IF(ISNA(MATCH(B2730,mat_ref,0)),"Matière inconnue",IF(INDEX(mat_check,MATCH(B2730,mat_ref,0))&lt;&gt;"OK","Matière à corriger",IF(OR(NOT(ISNUMBER(E2730)),N(E2730)&lt;=0),"Quantité invalide",IF(AND(F2730&lt;&gt;"",OR(NOT(ISNUMBER(F2730)),N(F2730)&lt;0,N(F2730)&gt;=1)),"Perte entre 0 et 99 %",IF(COUNTIFS(bom_prod,A2730,bom_mat,B2730)&gt;1,"Matière en double","OK")))))))))</f>
        <v/>
      </c>
      <c r="K2730" s="71" t="str">
        <f>IF(AND(fiche_sel&lt;&gt;"",A2730=fiche_sel),COUNTIF(A$6:A2730,fiche_sel),"")</f>
        <v/>
      </c>
    </row>
    <row r="2731">
      <c r="A2731" s="60" t="n"/>
      <c r="B2731" s="60" t="n"/>
      <c r="C2731" s="71" t="str">
        <f>IF(B2731="","",IFERROR(INDEX(mat_des,MATCH(B2731,mat_ref,0))&amp;"","Matière inconnue"))</f>
        <v/>
      </c>
      <c r="D2731" s="69" t="str">
        <f>IF(B2731="","",IFERROR(INDEX(mat_unit,MATCH(B2731,mat_ref,0))&amp;"",""))</f>
        <v/>
      </c>
      <c r="E2731" s="72" t="n"/>
      <c r="F2731" s="65" t="n"/>
      <c r="G2731" s="68" t="str">
        <f>IF(J2731&lt;&gt;"OK","",IF(F2731="",N(INDEX(mat_loss,MATCH(B2731,mat_ref,0))),F2731))</f>
        <v/>
      </c>
      <c r="H2731" s="66" t="str">
        <f>IF(J2731&lt;&gt;"OK","",INDEX(mat_price,MATCH(B2731,mat_ref,0)))</f>
        <v/>
      </c>
      <c r="I2731" s="66" t="str">
        <f>IF(J2731&lt;&gt;"OK","",E2731*(1+G2731)*H2731)</f>
        <v/>
      </c>
      <c r="J2731" s="69" t="str">
        <f>IF(AND(A2731="",B2731=""),"",IF(A2731="","Produit manquant",IF(COUNTIF(prod_ref,A2731)=0,"Produit inconnu",IF(B2731="","Matière manquante",IF(ISNA(MATCH(B2731,mat_ref,0)),"Matière inconnue",IF(INDEX(mat_check,MATCH(B2731,mat_ref,0))&lt;&gt;"OK","Matière à corriger",IF(OR(NOT(ISNUMBER(E2731)),N(E2731)&lt;=0),"Quantité invalide",IF(AND(F2731&lt;&gt;"",OR(NOT(ISNUMBER(F2731)),N(F2731)&lt;0,N(F2731)&gt;=1)),"Perte entre 0 et 99 %",IF(COUNTIFS(bom_prod,A2731,bom_mat,B2731)&gt;1,"Matière en double","OK")))))))))</f>
        <v/>
      </c>
      <c r="K2731" s="71" t="str">
        <f>IF(AND(fiche_sel&lt;&gt;"",A2731=fiche_sel),COUNTIF(A$6:A2731,fiche_sel),"")</f>
        <v/>
      </c>
    </row>
    <row r="2732">
      <c r="A2732" s="60" t="n"/>
      <c r="B2732" s="60" t="n"/>
      <c r="C2732" s="71" t="str">
        <f>IF(B2732="","",IFERROR(INDEX(mat_des,MATCH(B2732,mat_ref,0))&amp;"","Matière inconnue"))</f>
        <v/>
      </c>
      <c r="D2732" s="69" t="str">
        <f>IF(B2732="","",IFERROR(INDEX(mat_unit,MATCH(B2732,mat_ref,0))&amp;"",""))</f>
        <v/>
      </c>
      <c r="E2732" s="72" t="n"/>
      <c r="F2732" s="65" t="n"/>
      <c r="G2732" s="68" t="str">
        <f>IF(J2732&lt;&gt;"OK","",IF(F2732="",N(INDEX(mat_loss,MATCH(B2732,mat_ref,0))),F2732))</f>
        <v/>
      </c>
      <c r="H2732" s="66" t="str">
        <f>IF(J2732&lt;&gt;"OK","",INDEX(mat_price,MATCH(B2732,mat_ref,0)))</f>
        <v/>
      </c>
      <c r="I2732" s="66" t="str">
        <f>IF(J2732&lt;&gt;"OK","",E2732*(1+G2732)*H2732)</f>
        <v/>
      </c>
      <c r="J2732" s="69" t="str">
        <f>IF(AND(A2732="",B2732=""),"",IF(A2732="","Produit manquant",IF(COUNTIF(prod_ref,A2732)=0,"Produit inconnu",IF(B2732="","Matière manquante",IF(ISNA(MATCH(B2732,mat_ref,0)),"Matière inconnue",IF(INDEX(mat_check,MATCH(B2732,mat_ref,0))&lt;&gt;"OK","Matière à corriger",IF(OR(NOT(ISNUMBER(E2732)),N(E2732)&lt;=0),"Quantité invalide",IF(AND(F2732&lt;&gt;"",OR(NOT(ISNUMBER(F2732)),N(F2732)&lt;0,N(F2732)&gt;=1)),"Perte entre 0 et 99 %",IF(COUNTIFS(bom_prod,A2732,bom_mat,B2732)&gt;1,"Matière en double","OK")))))))))</f>
        <v/>
      </c>
      <c r="K2732" s="71" t="str">
        <f>IF(AND(fiche_sel&lt;&gt;"",A2732=fiche_sel),COUNTIF(A$6:A2732,fiche_sel),"")</f>
        <v/>
      </c>
    </row>
    <row r="2733">
      <c r="A2733" s="60" t="n"/>
      <c r="B2733" s="60" t="n"/>
      <c r="C2733" s="71" t="str">
        <f>IF(B2733="","",IFERROR(INDEX(mat_des,MATCH(B2733,mat_ref,0))&amp;"","Matière inconnue"))</f>
        <v/>
      </c>
      <c r="D2733" s="69" t="str">
        <f>IF(B2733="","",IFERROR(INDEX(mat_unit,MATCH(B2733,mat_ref,0))&amp;"",""))</f>
        <v/>
      </c>
      <c r="E2733" s="72" t="n"/>
      <c r="F2733" s="65" t="n"/>
      <c r="G2733" s="68" t="str">
        <f>IF(J2733&lt;&gt;"OK","",IF(F2733="",N(INDEX(mat_loss,MATCH(B2733,mat_ref,0))),F2733))</f>
        <v/>
      </c>
      <c r="H2733" s="66" t="str">
        <f>IF(J2733&lt;&gt;"OK","",INDEX(mat_price,MATCH(B2733,mat_ref,0)))</f>
        <v/>
      </c>
      <c r="I2733" s="66" t="str">
        <f>IF(J2733&lt;&gt;"OK","",E2733*(1+G2733)*H2733)</f>
        <v/>
      </c>
      <c r="J2733" s="69" t="str">
        <f>IF(AND(A2733="",B2733=""),"",IF(A2733="","Produit manquant",IF(COUNTIF(prod_ref,A2733)=0,"Produit inconnu",IF(B2733="","Matière manquante",IF(ISNA(MATCH(B2733,mat_ref,0)),"Matière inconnue",IF(INDEX(mat_check,MATCH(B2733,mat_ref,0))&lt;&gt;"OK","Matière à corriger",IF(OR(NOT(ISNUMBER(E2733)),N(E2733)&lt;=0),"Quantité invalide",IF(AND(F2733&lt;&gt;"",OR(NOT(ISNUMBER(F2733)),N(F2733)&lt;0,N(F2733)&gt;=1)),"Perte entre 0 et 99 %",IF(COUNTIFS(bom_prod,A2733,bom_mat,B2733)&gt;1,"Matière en double","OK")))))))))</f>
        <v/>
      </c>
      <c r="K2733" s="71" t="str">
        <f>IF(AND(fiche_sel&lt;&gt;"",A2733=fiche_sel),COUNTIF(A$6:A2733,fiche_sel),"")</f>
        <v/>
      </c>
    </row>
    <row r="2734">
      <c r="A2734" s="60" t="n"/>
      <c r="B2734" s="60" t="n"/>
      <c r="C2734" s="71" t="str">
        <f>IF(B2734="","",IFERROR(INDEX(mat_des,MATCH(B2734,mat_ref,0))&amp;"","Matière inconnue"))</f>
        <v/>
      </c>
      <c r="D2734" s="69" t="str">
        <f>IF(B2734="","",IFERROR(INDEX(mat_unit,MATCH(B2734,mat_ref,0))&amp;"",""))</f>
        <v/>
      </c>
      <c r="E2734" s="72" t="n"/>
      <c r="F2734" s="65" t="n"/>
      <c r="G2734" s="68" t="str">
        <f>IF(J2734&lt;&gt;"OK","",IF(F2734="",N(INDEX(mat_loss,MATCH(B2734,mat_ref,0))),F2734))</f>
        <v/>
      </c>
      <c r="H2734" s="66" t="str">
        <f>IF(J2734&lt;&gt;"OK","",INDEX(mat_price,MATCH(B2734,mat_ref,0)))</f>
        <v/>
      </c>
      <c r="I2734" s="66" t="str">
        <f>IF(J2734&lt;&gt;"OK","",E2734*(1+G2734)*H2734)</f>
        <v/>
      </c>
      <c r="J2734" s="69" t="str">
        <f>IF(AND(A2734="",B2734=""),"",IF(A2734="","Produit manquant",IF(COUNTIF(prod_ref,A2734)=0,"Produit inconnu",IF(B2734="","Matière manquante",IF(ISNA(MATCH(B2734,mat_ref,0)),"Matière inconnue",IF(INDEX(mat_check,MATCH(B2734,mat_ref,0))&lt;&gt;"OK","Matière à corriger",IF(OR(NOT(ISNUMBER(E2734)),N(E2734)&lt;=0),"Quantité invalide",IF(AND(F2734&lt;&gt;"",OR(NOT(ISNUMBER(F2734)),N(F2734)&lt;0,N(F2734)&gt;=1)),"Perte entre 0 et 99 %",IF(COUNTIFS(bom_prod,A2734,bom_mat,B2734)&gt;1,"Matière en double","OK")))))))))</f>
        <v/>
      </c>
      <c r="K2734" s="71" t="str">
        <f>IF(AND(fiche_sel&lt;&gt;"",A2734=fiche_sel),COUNTIF(A$6:A2734,fiche_sel),"")</f>
        <v/>
      </c>
    </row>
    <row r="2735">
      <c r="A2735" s="60" t="n"/>
      <c r="B2735" s="60" t="n"/>
      <c r="C2735" s="71" t="str">
        <f>IF(B2735="","",IFERROR(INDEX(mat_des,MATCH(B2735,mat_ref,0))&amp;"","Matière inconnue"))</f>
        <v/>
      </c>
      <c r="D2735" s="69" t="str">
        <f>IF(B2735="","",IFERROR(INDEX(mat_unit,MATCH(B2735,mat_ref,0))&amp;"",""))</f>
        <v/>
      </c>
      <c r="E2735" s="72" t="n"/>
      <c r="F2735" s="65" t="n"/>
      <c r="G2735" s="68" t="str">
        <f>IF(J2735&lt;&gt;"OK","",IF(F2735="",N(INDEX(mat_loss,MATCH(B2735,mat_ref,0))),F2735))</f>
        <v/>
      </c>
      <c r="H2735" s="66" t="str">
        <f>IF(J2735&lt;&gt;"OK","",INDEX(mat_price,MATCH(B2735,mat_ref,0)))</f>
        <v/>
      </c>
      <c r="I2735" s="66" t="str">
        <f>IF(J2735&lt;&gt;"OK","",E2735*(1+G2735)*H2735)</f>
        <v/>
      </c>
      <c r="J2735" s="69" t="str">
        <f>IF(AND(A2735="",B2735=""),"",IF(A2735="","Produit manquant",IF(COUNTIF(prod_ref,A2735)=0,"Produit inconnu",IF(B2735="","Matière manquante",IF(ISNA(MATCH(B2735,mat_ref,0)),"Matière inconnue",IF(INDEX(mat_check,MATCH(B2735,mat_ref,0))&lt;&gt;"OK","Matière à corriger",IF(OR(NOT(ISNUMBER(E2735)),N(E2735)&lt;=0),"Quantité invalide",IF(AND(F2735&lt;&gt;"",OR(NOT(ISNUMBER(F2735)),N(F2735)&lt;0,N(F2735)&gt;=1)),"Perte entre 0 et 99 %",IF(COUNTIFS(bom_prod,A2735,bom_mat,B2735)&gt;1,"Matière en double","OK")))))))))</f>
        <v/>
      </c>
      <c r="K2735" s="71" t="str">
        <f>IF(AND(fiche_sel&lt;&gt;"",A2735=fiche_sel),COUNTIF(A$6:A2735,fiche_sel),"")</f>
        <v/>
      </c>
    </row>
    <row r="2736">
      <c r="A2736" s="60" t="n"/>
      <c r="B2736" s="60" t="n"/>
      <c r="C2736" s="71" t="str">
        <f>IF(B2736="","",IFERROR(INDEX(mat_des,MATCH(B2736,mat_ref,0))&amp;"","Matière inconnue"))</f>
        <v/>
      </c>
      <c r="D2736" s="69" t="str">
        <f>IF(B2736="","",IFERROR(INDEX(mat_unit,MATCH(B2736,mat_ref,0))&amp;"",""))</f>
        <v/>
      </c>
      <c r="E2736" s="72" t="n"/>
      <c r="F2736" s="65" t="n"/>
      <c r="G2736" s="68" t="str">
        <f>IF(J2736&lt;&gt;"OK","",IF(F2736="",N(INDEX(mat_loss,MATCH(B2736,mat_ref,0))),F2736))</f>
        <v/>
      </c>
      <c r="H2736" s="66" t="str">
        <f>IF(J2736&lt;&gt;"OK","",INDEX(mat_price,MATCH(B2736,mat_ref,0)))</f>
        <v/>
      </c>
      <c r="I2736" s="66" t="str">
        <f>IF(J2736&lt;&gt;"OK","",E2736*(1+G2736)*H2736)</f>
        <v/>
      </c>
      <c r="J2736" s="69" t="str">
        <f>IF(AND(A2736="",B2736=""),"",IF(A2736="","Produit manquant",IF(COUNTIF(prod_ref,A2736)=0,"Produit inconnu",IF(B2736="","Matière manquante",IF(ISNA(MATCH(B2736,mat_ref,0)),"Matière inconnue",IF(INDEX(mat_check,MATCH(B2736,mat_ref,0))&lt;&gt;"OK","Matière à corriger",IF(OR(NOT(ISNUMBER(E2736)),N(E2736)&lt;=0),"Quantité invalide",IF(AND(F2736&lt;&gt;"",OR(NOT(ISNUMBER(F2736)),N(F2736)&lt;0,N(F2736)&gt;=1)),"Perte entre 0 et 99 %",IF(COUNTIFS(bom_prod,A2736,bom_mat,B2736)&gt;1,"Matière en double","OK")))))))))</f>
        <v/>
      </c>
      <c r="K2736" s="71" t="str">
        <f>IF(AND(fiche_sel&lt;&gt;"",A2736=fiche_sel),COUNTIF(A$6:A2736,fiche_sel),"")</f>
        <v/>
      </c>
    </row>
    <row r="2737">
      <c r="A2737" s="60" t="n"/>
      <c r="B2737" s="60" t="n"/>
      <c r="C2737" s="71" t="str">
        <f>IF(B2737="","",IFERROR(INDEX(mat_des,MATCH(B2737,mat_ref,0))&amp;"","Matière inconnue"))</f>
        <v/>
      </c>
      <c r="D2737" s="69" t="str">
        <f>IF(B2737="","",IFERROR(INDEX(mat_unit,MATCH(B2737,mat_ref,0))&amp;"",""))</f>
        <v/>
      </c>
      <c r="E2737" s="72" t="n"/>
      <c r="F2737" s="65" t="n"/>
      <c r="G2737" s="68" t="str">
        <f>IF(J2737&lt;&gt;"OK","",IF(F2737="",N(INDEX(mat_loss,MATCH(B2737,mat_ref,0))),F2737))</f>
        <v/>
      </c>
      <c r="H2737" s="66" t="str">
        <f>IF(J2737&lt;&gt;"OK","",INDEX(mat_price,MATCH(B2737,mat_ref,0)))</f>
        <v/>
      </c>
      <c r="I2737" s="66" t="str">
        <f>IF(J2737&lt;&gt;"OK","",E2737*(1+G2737)*H2737)</f>
        <v/>
      </c>
      <c r="J2737" s="69" t="str">
        <f>IF(AND(A2737="",B2737=""),"",IF(A2737="","Produit manquant",IF(COUNTIF(prod_ref,A2737)=0,"Produit inconnu",IF(B2737="","Matière manquante",IF(ISNA(MATCH(B2737,mat_ref,0)),"Matière inconnue",IF(INDEX(mat_check,MATCH(B2737,mat_ref,0))&lt;&gt;"OK","Matière à corriger",IF(OR(NOT(ISNUMBER(E2737)),N(E2737)&lt;=0),"Quantité invalide",IF(AND(F2737&lt;&gt;"",OR(NOT(ISNUMBER(F2737)),N(F2737)&lt;0,N(F2737)&gt;=1)),"Perte entre 0 et 99 %",IF(COUNTIFS(bom_prod,A2737,bom_mat,B2737)&gt;1,"Matière en double","OK")))))))))</f>
        <v/>
      </c>
      <c r="K2737" s="71" t="str">
        <f>IF(AND(fiche_sel&lt;&gt;"",A2737=fiche_sel),COUNTIF(A$6:A2737,fiche_sel),"")</f>
        <v/>
      </c>
    </row>
    <row r="2738">
      <c r="A2738" s="60" t="n"/>
      <c r="B2738" s="60" t="n"/>
      <c r="C2738" s="71" t="str">
        <f>IF(B2738="","",IFERROR(INDEX(mat_des,MATCH(B2738,mat_ref,0))&amp;"","Matière inconnue"))</f>
        <v/>
      </c>
      <c r="D2738" s="69" t="str">
        <f>IF(B2738="","",IFERROR(INDEX(mat_unit,MATCH(B2738,mat_ref,0))&amp;"",""))</f>
        <v/>
      </c>
      <c r="E2738" s="72" t="n"/>
      <c r="F2738" s="65" t="n"/>
      <c r="G2738" s="68" t="str">
        <f>IF(J2738&lt;&gt;"OK","",IF(F2738="",N(INDEX(mat_loss,MATCH(B2738,mat_ref,0))),F2738))</f>
        <v/>
      </c>
      <c r="H2738" s="66" t="str">
        <f>IF(J2738&lt;&gt;"OK","",INDEX(mat_price,MATCH(B2738,mat_ref,0)))</f>
        <v/>
      </c>
      <c r="I2738" s="66" t="str">
        <f>IF(J2738&lt;&gt;"OK","",E2738*(1+G2738)*H2738)</f>
        <v/>
      </c>
      <c r="J2738" s="69" t="str">
        <f>IF(AND(A2738="",B2738=""),"",IF(A2738="","Produit manquant",IF(COUNTIF(prod_ref,A2738)=0,"Produit inconnu",IF(B2738="","Matière manquante",IF(ISNA(MATCH(B2738,mat_ref,0)),"Matière inconnue",IF(INDEX(mat_check,MATCH(B2738,mat_ref,0))&lt;&gt;"OK","Matière à corriger",IF(OR(NOT(ISNUMBER(E2738)),N(E2738)&lt;=0),"Quantité invalide",IF(AND(F2738&lt;&gt;"",OR(NOT(ISNUMBER(F2738)),N(F2738)&lt;0,N(F2738)&gt;=1)),"Perte entre 0 et 99 %",IF(COUNTIFS(bom_prod,A2738,bom_mat,B2738)&gt;1,"Matière en double","OK")))))))))</f>
        <v/>
      </c>
      <c r="K2738" s="71" t="str">
        <f>IF(AND(fiche_sel&lt;&gt;"",A2738=fiche_sel),COUNTIF(A$6:A2738,fiche_sel),"")</f>
        <v/>
      </c>
    </row>
    <row r="2739">
      <c r="A2739" s="60" t="n"/>
      <c r="B2739" s="60" t="n"/>
      <c r="C2739" s="71" t="str">
        <f>IF(B2739="","",IFERROR(INDEX(mat_des,MATCH(B2739,mat_ref,0))&amp;"","Matière inconnue"))</f>
        <v/>
      </c>
      <c r="D2739" s="69" t="str">
        <f>IF(B2739="","",IFERROR(INDEX(mat_unit,MATCH(B2739,mat_ref,0))&amp;"",""))</f>
        <v/>
      </c>
      <c r="E2739" s="72" t="n"/>
      <c r="F2739" s="65" t="n"/>
      <c r="G2739" s="68" t="str">
        <f>IF(J2739&lt;&gt;"OK","",IF(F2739="",N(INDEX(mat_loss,MATCH(B2739,mat_ref,0))),F2739))</f>
        <v/>
      </c>
      <c r="H2739" s="66" t="str">
        <f>IF(J2739&lt;&gt;"OK","",INDEX(mat_price,MATCH(B2739,mat_ref,0)))</f>
        <v/>
      </c>
      <c r="I2739" s="66" t="str">
        <f>IF(J2739&lt;&gt;"OK","",E2739*(1+G2739)*H2739)</f>
        <v/>
      </c>
      <c r="J2739" s="69" t="str">
        <f>IF(AND(A2739="",B2739=""),"",IF(A2739="","Produit manquant",IF(COUNTIF(prod_ref,A2739)=0,"Produit inconnu",IF(B2739="","Matière manquante",IF(ISNA(MATCH(B2739,mat_ref,0)),"Matière inconnue",IF(INDEX(mat_check,MATCH(B2739,mat_ref,0))&lt;&gt;"OK","Matière à corriger",IF(OR(NOT(ISNUMBER(E2739)),N(E2739)&lt;=0),"Quantité invalide",IF(AND(F2739&lt;&gt;"",OR(NOT(ISNUMBER(F2739)),N(F2739)&lt;0,N(F2739)&gt;=1)),"Perte entre 0 et 99 %",IF(COUNTIFS(bom_prod,A2739,bom_mat,B2739)&gt;1,"Matière en double","OK")))))))))</f>
        <v/>
      </c>
      <c r="K2739" s="71" t="str">
        <f>IF(AND(fiche_sel&lt;&gt;"",A2739=fiche_sel),COUNTIF(A$6:A2739,fiche_sel),"")</f>
        <v/>
      </c>
    </row>
    <row r="2740">
      <c r="A2740" s="60" t="n"/>
      <c r="B2740" s="60" t="n"/>
      <c r="C2740" s="71" t="str">
        <f>IF(B2740="","",IFERROR(INDEX(mat_des,MATCH(B2740,mat_ref,0))&amp;"","Matière inconnue"))</f>
        <v/>
      </c>
      <c r="D2740" s="69" t="str">
        <f>IF(B2740="","",IFERROR(INDEX(mat_unit,MATCH(B2740,mat_ref,0))&amp;"",""))</f>
        <v/>
      </c>
      <c r="E2740" s="72" t="n"/>
      <c r="F2740" s="65" t="n"/>
      <c r="G2740" s="68" t="str">
        <f>IF(J2740&lt;&gt;"OK","",IF(F2740="",N(INDEX(mat_loss,MATCH(B2740,mat_ref,0))),F2740))</f>
        <v/>
      </c>
      <c r="H2740" s="66" t="str">
        <f>IF(J2740&lt;&gt;"OK","",INDEX(mat_price,MATCH(B2740,mat_ref,0)))</f>
        <v/>
      </c>
      <c r="I2740" s="66" t="str">
        <f>IF(J2740&lt;&gt;"OK","",E2740*(1+G2740)*H2740)</f>
        <v/>
      </c>
      <c r="J2740" s="69" t="str">
        <f>IF(AND(A2740="",B2740=""),"",IF(A2740="","Produit manquant",IF(COUNTIF(prod_ref,A2740)=0,"Produit inconnu",IF(B2740="","Matière manquante",IF(ISNA(MATCH(B2740,mat_ref,0)),"Matière inconnue",IF(INDEX(mat_check,MATCH(B2740,mat_ref,0))&lt;&gt;"OK","Matière à corriger",IF(OR(NOT(ISNUMBER(E2740)),N(E2740)&lt;=0),"Quantité invalide",IF(AND(F2740&lt;&gt;"",OR(NOT(ISNUMBER(F2740)),N(F2740)&lt;0,N(F2740)&gt;=1)),"Perte entre 0 et 99 %",IF(COUNTIFS(bom_prod,A2740,bom_mat,B2740)&gt;1,"Matière en double","OK")))))))))</f>
        <v/>
      </c>
      <c r="K2740" s="71" t="str">
        <f>IF(AND(fiche_sel&lt;&gt;"",A2740=fiche_sel),COUNTIF(A$6:A2740,fiche_sel),"")</f>
        <v/>
      </c>
    </row>
    <row r="2741">
      <c r="A2741" s="60" t="n"/>
      <c r="B2741" s="60" t="n"/>
      <c r="C2741" s="71" t="str">
        <f>IF(B2741="","",IFERROR(INDEX(mat_des,MATCH(B2741,mat_ref,0))&amp;"","Matière inconnue"))</f>
        <v/>
      </c>
      <c r="D2741" s="69" t="str">
        <f>IF(B2741="","",IFERROR(INDEX(mat_unit,MATCH(B2741,mat_ref,0))&amp;"",""))</f>
        <v/>
      </c>
      <c r="E2741" s="72" t="n"/>
      <c r="F2741" s="65" t="n"/>
      <c r="G2741" s="68" t="str">
        <f>IF(J2741&lt;&gt;"OK","",IF(F2741="",N(INDEX(mat_loss,MATCH(B2741,mat_ref,0))),F2741))</f>
        <v/>
      </c>
      <c r="H2741" s="66" t="str">
        <f>IF(J2741&lt;&gt;"OK","",INDEX(mat_price,MATCH(B2741,mat_ref,0)))</f>
        <v/>
      </c>
      <c r="I2741" s="66" t="str">
        <f>IF(J2741&lt;&gt;"OK","",E2741*(1+G2741)*H2741)</f>
        <v/>
      </c>
      <c r="J2741" s="69" t="str">
        <f>IF(AND(A2741="",B2741=""),"",IF(A2741="","Produit manquant",IF(COUNTIF(prod_ref,A2741)=0,"Produit inconnu",IF(B2741="","Matière manquante",IF(ISNA(MATCH(B2741,mat_ref,0)),"Matière inconnue",IF(INDEX(mat_check,MATCH(B2741,mat_ref,0))&lt;&gt;"OK","Matière à corriger",IF(OR(NOT(ISNUMBER(E2741)),N(E2741)&lt;=0),"Quantité invalide",IF(AND(F2741&lt;&gt;"",OR(NOT(ISNUMBER(F2741)),N(F2741)&lt;0,N(F2741)&gt;=1)),"Perte entre 0 et 99 %",IF(COUNTIFS(bom_prod,A2741,bom_mat,B2741)&gt;1,"Matière en double","OK")))))))))</f>
        <v/>
      </c>
      <c r="K2741" s="71" t="str">
        <f>IF(AND(fiche_sel&lt;&gt;"",A2741=fiche_sel),COUNTIF(A$6:A2741,fiche_sel),"")</f>
        <v/>
      </c>
    </row>
    <row r="2742">
      <c r="A2742" s="60" t="n"/>
      <c r="B2742" s="60" t="n"/>
      <c r="C2742" s="71" t="str">
        <f>IF(B2742="","",IFERROR(INDEX(mat_des,MATCH(B2742,mat_ref,0))&amp;"","Matière inconnue"))</f>
        <v/>
      </c>
      <c r="D2742" s="69" t="str">
        <f>IF(B2742="","",IFERROR(INDEX(mat_unit,MATCH(B2742,mat_ref,0))&amp;"",""))</f>
        <v/>
      </c>
      <c r="E2742" s="72" t="n"/>
      <c r="F2742" s="65" t="n"/>
      <c r="G2742" s="68" t="str">
        <f>IF(J2742&lt;&gt;"OK","",IF(F2742="",N(INDEX(mat_loss,MATCH(B2742,mat_ref,0))),F2742))</f>
        <v/>
      </c>
      <c r="H2742" s="66" t="str">
        <f>IF(J2742&lt;&gt;"OK","",INDEX(mat_price,MATCH(B2742,mat_ref,0)))</f>
        <v/>
      </c>
      <c r="I2742" s="66" t="str">
        <f>IF(J2742&lt;&gt;"OK","",E2742*(1+G2742)*H2742)</f>
        <v/>
      </c>
      <c r="J2742" s="69" t="str">
        <f>IF(AND(A2742="",B2742=""),"",IF(A2742="","Produit manquant",IF(COUNTIF(prod_ref,A2742)=0,"Produit inconnu",IF(B2742="","Matière manquante",IF(ISNA(MATCH(B2742,mat_ref,0)),"Matière inconnue",IF(INDEX(mat_check,MATCH(B2742,mat_ref,0))&lt;&gt;"OK","Matière à corriger",IF(OR(NOT(ISNUMBER(E2742)),N(E2742)&lt;=0),"Quantité invalide",IF(AND(F2742&lt;&gt;"",OR(NOT(ISNUMBER(F2742)),N(F2742)&lt;0,N(F2742)&gt;=1)),"Perte entre 0 et 99 %",IF(COUNTIFS(bom_prod,A2742,bom_mat,B2742)&gt;1,"Matière en double","OK")))))))))</f>
        <v/>
      </c>
      <c r="K2742" s="71" t="str">
        <f>IF(AND(fiche_sel&lt;&gt;"",A2742=fiche_sel),COUNTIF(A$6:A2742,fiche_sel),"")</f>
        <v/>
      </c>
    </row>
    <row r="2743">
      <c r="A2743" s="60" t="n"/>
      <c r="B2743" s="60" t="n"/>
      <c r="C2743" s="71" t="str">
        <f>IF(B2743="","",IFERROR(INDEX(mat_des,MATCH(B2743,mat_ref,0))&amp;"","Matière inconnue"))</f>
        <v/>
      </c>
      <c r="D2743" s="69" t="str">
        <f>IF(B2743="","",IFERROR(INDEX(mat_unit,MATCH(B2743,mat_ref,0))&amp;"",""))</f>
        <v/>
      </c>
      <c r="E2743" s="72" t="n"/>
      <c r="F2743" s="65" t="n"/>
      <c r="G2743" s="68" t="str">
        <f>IF(J2743&lt;&gt;"OK","",IF(F2743="",N(INDEX(mat_loss,MATCH(B2743,mat_ref,0))),F2743))</f>
        <v/>
      </c>
      <c r="H2743" s="66" t="str">
        <f>IF(J2743&lt;&gt;"OK","",INDEX(mat_price,MATCH(B2743,mat_ref,0)))</f>
        <v/>
      </c>
      <c r="I2743" s="66" t="str">
        <f>IF(J2743&lt;&gt;"OK","",E2743*(1+G2743)*H2743)</f>
        <v/>
      </c>
      <c r="J2743" s="69" t="str">
        <f>IF(AND(A2743="",B2743=""),"",IF(A2743="","Produit manquant",IF(COUNTIF(prod_ref,A2743)=0,"Produit inconnu",IF(B2743="","Matière manquante",IF(ISNA(MATCH(B2743,mat_ref,0)),"Matière inconnue",IF(INDEX(mat_check,MATCH(B2743,mat_ref,0))&lt;&gt;"OK","Matière à corriger",IF(OR(NOT(ISNUMBER(E2743)),N(E2743)&lt;=0),"Quantité invalide",IF(AND(F2743&lt;&gt;"",OR(NOT(ISNUMBER(F2743)),N(F2743)&lt;0,N(F2743)&gt;=1)),"Perte entre 0 et 99 %",IF(COUNTIFS(bom_prod,A2743,bom_mat,B2743)&gt;1,"Matière en double","OK")))))))))</f>
        <v/>
      </c>
      <c r="K2743" s="71" t="str">
        <f>IF(AND(fiche_sel&lt;&gt;"",A2743=fiche_sel),COUNTIF(A$6:A2743,fiche_sel),"")</f>
        <v/>
      </c>
    </row>
    <row r="2744">
      <c r="A2744" s="60" t="n"/>
      <c r="B2744" s="60" t="n"/>
      <c r="C2744" s="71" t="str">
        <f>IF(B2744="","",IFERROR(INDEX(mat_des,MATCH(B2744,mat_ref,0))&amp;"","Matière inconnue"))</f>
        <v/>
      </c>
      <c r="D2744" s="69" t="str">
        <f>IF(B2744="","",IFERROR(INDEX(mat_unit,MATCH(B2744,mat_ref,0))&amp;"",""))</f>
        <v/>
      </c>
      <c r="E2744" s="72" t="n"/>
      <c r="F2744" s="65" t="n"/>
      <c r="G2744" s="68" t="str">
        <f>IF(J2744&lt;&gt;"OK","",IF(F2744="",N(INDEX(mat_loss,MATCH(B2744,mat_ref,0))),F2744))</f>
        <v/>
      </c>
      <c r="H2744" s="66" t="str">
        <f>IF(J2744&lt;&gt;"OK","",INDEX(mat_price,MATCH(B2744,mat_ref,0)))</f>
        <v/>
      </c>
      <c r="I2744" s="66" t="str">
        <f>IF(J2744&lt;&gt;"OK","",E2744*(1+G2744)*H2744)</f>
        <v/>
      </c>
      <c r="J2744" s="69" t="str">
        <f>IF(AND(A2744="",B2744=""),"",IF(A2744="","Produit manquant",IF(COUNTIF(prod_ref,A2744)=0,"Produit inconnu",IF(B2744="","Matière manquante",IF(ISNA(MATCH(B2744,mat_ref,0)),"Matière inconnue",IF(INDEX(mat_check,MATCH(B2744,mat_ref,0))&lt;&gt;"OK","Matière à corriger",IF(OR(NOT(ISNUMBER(E2744)),N(E2744)&lt;=0),"Quantité invalide",IF(AND(F2744&lt;&gt;"",OR(NOT(ISNUMBER(F2744)),N(F2744)&lt;0,N(F2744)&gt;=1)),"Perte entre 0 et 99 %",IF(COUNTIFS(bom_prod,A2744,bom_mat,B2744)&gt;1,"Matière en double","OK")))))))))</f>
        <v/>
      </c>
      <c r="K2744" s="71" t="str">
        <f>IF(AND(fiche_sel&lt;&gt;"",A2744=fiche_sel),COUNTIF(A$6:A2744,fiche_sel),"")</f>
        <v/>
      </c>
    </row>
    <row r="2745">
      <c r="A2745" s="60" t="n"/>
      <c r="B2745" s="60" t="n"/>
      <c r="C2745" s="71" t="str">
        <f>IF(B2745="","",IFERROR(INDEX(mat_des,MATCH(B2745,mat_ref,0))&amp;"","Matière inconnue"))</f>
        <v/>
      </c>
      <c r="D2745" s="69" t="str">
        <f>IF(B2745="","",IFERROR(INDEX(mat_unit,MATCH(B2745,mat_ref,0))&amp;"",""))</f>
        <v/>
      </c>
      <c r="E2745" s="72" t="n"/>
      <c r="F2745" s="65" t="n"/>
      <c r="G2745" s="68" t="str">
        <f>IF(J2745&lt;&gt;"OK","",IF(F2745="",N(INDEX(mat_loss,MATCH(B2745,mat_ref,0))),F2745))</f>
        <v/>
      </c>
      <c r="H2745" s="66" t="str">
        <f>IF(J2745&lt;&gt;"OK","",INDEX(mat_price,MATCH(B2745,mat_ref,0)))</f>
        <v/>
      </c>
      <c r="I2745" s="66" t="str">
        <f>IF(J2745&lt;&gt;"OK","",E2745*(1+G2745)*H2745)</f>
        <v/>
      </c>
      <c r="J2745" s="69" t="str">
        <f>IF(AND(A2745="",B2745=""),"",IF(A2745="","Produit manquant",IF(COUNTIF(prod_ref,A2745)=0,"Produit inconnu",IF(B2745="","Matière manquante",IF(ISNA(MATCH(B2745,mat_ref,0)),"Matière inconnue",IF(INDEX(mat_check,MATCH(B2745,mat_ref,0))&lt;&gt;"OK","Matière à corriger",IF(OR(NOT(ISNUMBER(E2745)),N(E2745)&lt;=0),"Quantité invalide",IF(AND(F2745&lt;&gt;"",OR(NOT(ISNUMBER(F2745)),N(F2745)&lt;0,N(F2745)&gt;=1)),"Perte entre 0 et 99 %",IF(COUNTIFS(bom_prod,A2745,bom_mat,B2745)&gt;1,"Matière en double","OK")))))))))</f>
        <v/>
      </c>
      <c r="K2745" s="71" t="str">
        <f>IF(AND(fiche_sel&lt;&gt;"",A2745=fiche_sel),COUNTIF(A$6:A2745,fiche_sel),"")</f>
        <v/>
      </c>
    </row>
    <row r="2746">
      <c r="A2746" s="60" t="n"/>
      <c r="B2746" s="60" t="n"/>
      <c r="C2746" s="71" t="str">
        <f>IF(B2746="","",IFERROR(INDEX(mat_des,MATCH(B2746,mat_ref,0))&amp;"","Matière inconnue"))</f>
        <v/>
      </c>
      <c r="D2746" s="69" t="str">
        <f>IF(B2746="","",IFERROR(INDEX(mat_unit,MATCH(B2746,mat_ref,0))&amp;"",""))</f>
        <v/>
      </c>
      <c r="E2746" s="72" t="n"/>
      <c r="F2746" s="65" t="n"/>
      <c r="G2746" s="68" t="str">
        <f>IF(J2746&lt;&gt;"OK","",IF(F2746="",N(INDEX(mat_loss,MATCH(B2746,mat_ref,0))),F2746))</f>
        <v/>
      </c>
      <c r="H2746" s="66" t="str">
        <f>IF(J2746&lt;&gt;"OK","",INDEX(mat_price,MATCH(B2746,mat_ref,0)))</f>
        <v/>
      </c>
      <c r="I2746" s="66" t="str">
        <f>IF(J2746&lt;&gt;"OK","",E2746*(1+G2746)*H2746)</f>
        <v/>
      </c>
      <c r="J2746" s="69" t="str">
        <f>IF(AND(A2746="",B2746=""),"",IF(A2746="","Produit manquant",IF(COUNTIF(prod_ref,A2746)=0,"Produit inconnu",IF(B2746="","Matière manquante",IF(ISNA(MATCH(B2746,mat_ref,0)),"Matière inconnue",IF(INDEX(mat_check,MATCH(B2746,mat_ref,0))&lt;&gt;"OK","Matière à corriger",IF(OR(NOT(ISNUMBER(E2746)),N(E2746)&lt;=0),"Quantité invalide",IF(AND(F2746&lt;&gt;"",OR(NOT(ISNUMBER(F2746)),N(F2746)&lt;0,N(F2746)&gt;=1)),"Perte entre 0 et 99 %",IF(COUNTIFS(bom_prod,A2746,bom_mat,B2746)&gt;1,"Matière en double","OK")))))))))</f>
        <v/>
      </c>
      <c r="K2746" s="71" t="str">
        <f>IF(AND(fiche_sel&lt;&gt;"",A2746=fiche_sel),COUNTIF(A$6:A2746,fiche_sel),"")</f>
        <v/>
      </c>
    </row>
    <row r="2747">
      <c r="A2747" s="60" t="n"/>
      <c r="B2747" s="60" t="n"/>
      <c r="C2747" s="71" t="str">
        <f>IF(B2747="","",IFERROR(INDEX(mat_des,MATCH(B2747,mat_ref,0))&amp;"","Matière inconnue"))</f>
        <v/>
      </c>
      <c r="D2747" s="69" t="str">
        <f>IF(B2747="","",IFERROR(INDEX(mat_unit,MATCH(B2747,mat_ref,0))&amp;"",""))</f>
        <v/>
      </c>
      <c r="E2747" s="72" t="n"/>
      <c r="F2747" s="65" t="n"/>
      <c r="G2747" s="68" t="str">
        <f>IF(J2747&lt;&gt;"OK","",IF(F2747="",N(INDEX(mat_loss,MATCH(B2747,mat_ref,0))),F2747))</f>
        <v/>
      </c>
      <c r="H2747" s="66" t="str">
        <f>IF(J2747&lt;&gt;"OK","",INDEX(mat_price,MATCH(B2747,mat_ref,0)))</f>
        <v/>
      </c>
      <c r="I2747" s="66" t="str">
        <f>IF(J2747&lt;&gt;"OK","",E2747*(1+G2747)*H2747)</f>
        <v/>
      </c>
      <c r="J2747" s="69" t="str">
        <f>IF(AND(A2747="",B2747=""),"",IF(A2747="","Produit manquant",IF(COUNTIF(prod_ref,A2747)=0,"Produit inconnu",IF(B2747="","Matière manquante",IF(ISNA(MATCH(B2747,mat_ref,0)),"Matière inconnue",IF(INDEX(mat_check,MATCH(B2747,mat_ref,0))&lt;&gt;"OK","Matière à corriger",IF(OR(NOT(ISNUMBER(E2747)),N(E2747)&lt;=0),"Quantité invalide",IF(AND(F2747&lt;&gt;"",OR(NOT(ISNUMBER(F2747)),N(F2747)&lt;0,N(F2747)&gt;=1)),"Perte entre 0 et 99 %",IF(COUNTIFS(bom_prod,A2747,bom_mat,B2747)&gt;1,"Matière en double","OK")))))))))</f>
        <v/>
      </c>
      <c r="K2747" s="71" t="str">
        <f>IF(AND(fiche_sel&lt;&gt;"",A2747=fiche_sel),COUNTIF(A$6:A2747,fiche_sel),"")</f>
        <v/>
      </c>
    </row>
    <row r="2748">
      <c r="A2748" s="60" t="n"/>
      <c r="B2748" s="60" t="n"/>
      <c r="C2748" s="71" t="str">
        <f>IF(B2748="","",IFERROR(INDEX(mat_des,MATCH(B2748,mat_ref,0))&amp;"","Matière inconnue"))</f>
        <v/>
      </c>
      <c r="D2748" s="69" t="str">
        <f>IF(B2748="","",IFERROR(INDEX(mat_unit,MATCH(B2748,mat_ref,0))&amp;"",""))</f>
        <v/>
      </c>
      <c r="E2748" s="72" t="n"/>
      <c r="F2748" s="65" t="n"/>
      <c r="G2748" s="68" t="str">
        <f>IF(J2748&lt;&gt;"OK","",IF(F2748="",N(INDEX(mat_loss,MATCH(B2748,mat_ref,0))),F2748))</f>
        <v/>
      </c>
      <c r="H2748" s="66" t="str">
        <f>IF(J2748&lt;&gt;"OK","",INDEX(mat_price,MATCH(B2748,mat_ref,0)))</f>
        <v/>
      </c>
      <c r="I2748" s="66" t="str">
        <f>IF(J2748&lt;&gt;"OK","",E2748*(1+G2748)*H2748)</f>
        <v/>
      </c>
      <c r="J2748" s="69" t="str">
        <f>IF(AND(A2748="",B2748=""),"",IF(A2748="","Produit manquant",IF(COUNTIF(prod_ref,A2748)=0,"Produit inconnu",IF(B2748="","Matière manquante",IF(ISNA(MATCH(B2748,mat_ref,0)),"Matière inconnue",IF(INDEX(mat_check,MATCH(B2748,mat_ref,0))&lt;&gt;"OK","Matière à corriger",IF(OR(NOT(ISNUMBER(E2748)),N(E2748)&lt;=0),"Quantité invalide",IF(AND(F2748&lt;&gt;"",OR(NOT(ISNUMBER(F2748)),N(F2748)&lt;0,N(F2748)&gt;=1)),"Perte entre 0 et 99 %",IF(COUNTIFS(bom_prod,A2748,bom_mat,B2748)&gt;1,"Matière en double","OK")))))))))</f>
        <v/>
      </c>
      <c r="K2748" s="71" t="str">
        <f>IF(AND(fiche_sel&lt;&gt;"",A2748=fiche_sel),COUNTIF(A$6:A2748,fiche_sel),"")</f>
        <v/>
      </c>
    </row>
    <row r="2749">
      <c r="A2749" s="60" t="n"/>
      <c r="B2749" s="60" t="n"/>
      <c r="C2749" s="71" t="str">
        <f>IF(B2749="","",IFERROR(INDEX(mat_des,MATCH(B2749,mat_ref,0))&amp;"","Matière inconnue"))</f>
        <v/>
      </c>
      <c r="D2749" s="69" t="str">
        <f>IF(B2749="","",IFERROR(INDEX(mat_unit,MATCH(B2749,mat_ref,0))&amp;"",""))</f>
        <v/>
      </c>
      <c r="E2749" s="72" t="n"/>
      <c r="F2749" s="65" t="n"/>
      <c r="G2749" s="68" t="str">
        <f>IF(J2749&lt;&gt;"OK","",IF(F2749="",N(INDEX(mat_loss,MATCH(B2749,mat_ref,0))),F2749))</f>
        <v/>
      </c>
      <c r="H2749" s="66" t="str">
        <f>IF(J2749&lt;&gt;"OK","",INDEX(mat_price,MATCH(B2749,mat_ref,0)))</f>
        <v/>
      </c>
      <c r="I2749" s="66" t="str">
        <f>IF(J2749&lt;&gt;"OK","",E2749*(1+G2749)*H2749)</f>
        <v/>
      </c>
      <c r="J2749" s="69" t="str">
        <f>IF(AND(A2749="",B2749=""),"",IF(A2749="","Produit manquant",IF(COUNTIF(prod_ref,A2749)=0,"Produit inconnu",IF(B2749="","Matière manquante",IF(ISNA(MATCH(B2749,mat_ref,0)),"Matière inconnue",IF(INDEX(mat_check,MATCH(B2749,mat_ref,0))&lt;&gt;"OK","Matière à corriger",IF(OR(NOT(ISNUMBER(E2749)),N(E2749)&lt;=0),"Quantité invalide",IF(AND(F2749&lt;&gt;"",OR(NOT(ISNUMBER(F2749)),N(F2749)&lt;0,N(F2749)&gt;=1)),"Perte entre 0 et 99 %",IF(COUNTIFS(bom_prod,A2749,bom_mat,B2749)&gt;1,"Matière en double","OK")))))))))</f>
        <v/>
      </c>
      <c r="K2749" s="71" t="str">
        <f>IF(AND(fiche_sel&lt;&gt;"",A2749=fiche_sel),COUNTIF(A$6:A2749,fiche_sel),"")</f>
        <v/>
      </c>
    </row>
    <row r="2750">
      <c r="A2750" s="60" t="n"/>
      <c r="B2750" s="60" t="n"/>
      <c r="C2750" s="71" t="str">
        <f>IF(B2750="","",IFERROR(INDEX(mat_des,MATCH(B2750,mat_ref,0))&amp;"","Matière inconnue"))</f>
        <v/>
      </c>
      <c r="D2750" s="69" t="str">
        <f>IF(B2750="","",IFERROR(INDEX(mat_unit,MATCH(B2750,mat_ref,0))&amp;"",""))</f>
        <v/>
      </c>
      <c r="E2750" s="72" t="n"/>
      <c r="F2750" s="65" t="n"/>
      <c r="G2750" s="68" t="str">
        <f>IF(J2750&lt;&gt;"OK","",IF(F2750="",N(INDEX(mat_loss,MATCH(B2750,mat_ref,0))),F2750))</f>
        <v/>
      </c>
      <c r="H2750" s="66" t="str">
        <f>IF(J2750&lt;&gt;"OK","",INDEX(mat_price,MATCH(B2750,mat_ref,0)))</f>
        <v/>
      </c>
      <c r="I2750" s="66" t="str">
        <f>IF(J2750&lt;&gt;"OK","",E2750*(1+G2750)*H2750)</f>
        <v/>
      </c>
      <c r="J2750" s="69" t="str">
        <f>IF(AND(A2750="",B2750=""),"",IF(A2750="","Produit manquant",IF(COUNTIF(prod_ref,A2750)=0,"Produit inconnu",IF(B2750="","Matière manquante",IF(ISNA(MATCH(B2750,mat_ref,0)),"Matière inconnue",IF(INDEX(mat_check,MATCH(B2750,mat_ref,0))&lt;&gt;"OK","Matière à corriger",IF(OR(NOT(ISNUMBER(E2750)),N(E2750)&lt;=0),"Quantité invalide",IF(AND(F2750&lt;&gt;"",OR(NOT(ISNUMBER(F2750)),N(F2750)&lt;0,N(F2750)&gt;=1)),"Perte entre 0 et 99 %",IF(COUNTIFS(bom_prod,A2750,bom_mat,B2750)&gt;1,"Matière en double","OK")))))))))</f>
        <v/>
      </c>
      <c r="K2750" s="71" t="str">
        <f>IF(AND(fiche_sel&lt;&gt;"",A2750=fiche_sel),COUNTIF(A$6:A2750,fiche_sel),"")</f>
        <v/>
      </c>
    </row>
    <row r="2751">
      <c r="A2751" s="60" t="n"/>
      <c r="B2751" s="60" t="n"/>
      <c r="C2751" s="71" t="str">
        <f>IF(B2751="","",IFERROR(INDEX(mat_des,MATCH(B2751,mat_ref,0))&amp;"","Matière inconnue"))</f>
        <v/>
      </c>
      <c r="D2751" s="69" t="str">
        <f>IF(B2751="","",IFERROR(INDEX(mat_unit,MATCH(B2751,mat_ref,0))&amp;"",""))</f>
        <v/>
      </c>
      <c r="E2751" s="72" t="n"/>
      <c r="F2751" s="65" t="n"/>
      <c r="G2751" s="68" t="str">
        <f>IF(J2751&lt;&gt;"OK","",IF(F2751="",N(INDEX(mat_loss,MATCH(B2751,mat_ref,0))),F2751))</f>
        <v/>
      </c>
      <c r="H2751" s="66" t="str">
        <f>IF(J2751&lt;&gt;"OK","",INDEX(mat_price,MATCH(B2751,mat_ref,0)))</f>
        <v/>
      </c>
      <c r="I2751" s="66" t="str">
        <f>IF(J2751&lt;&gt;"OK","",E2751*(1+G2751)*H2751)</f>
        <v/>
      </c>
      <c r="J2751" s="69" t="str">
        <f>IF(AND(A2751="",B2751=""),"",IF(A2751="","Produit manquant",IF(COUNTIF(prod_ref,A2751)=0,"Produit inconnu",IF(B2751="","Matière manquante",IF(ISNA(MATCH(B2751,mat_ref,0)),"Matière inconnue",IF(INDEX(mat_check,MATCH(B2751,mat_ref,0))&lt;&gt;"OK","Matière à corriger",IF(OR(NOT(ISNUMBER(E2751)),N(E2751)&lt;=0),"Quantité invalide",IF(AND(F2751&lt;&gt;"",OR(NOT(ISNUMBER(F2751)),N(F2751)&lt;0,N(F2751)&gt;=1)),"Perte entre 0 et 99 %",IF(COUNTIFS(bom_prod,A2751,bom_mat,B2751)&gt;1,"Matière en double","OK")))))))))</f>
        <v/>
      </c>
      <c r="K2751" s="71" t="str">
        <f>IF(AND(fiche_sel&lt;&gt;"",A2751=fiche_sel),COUNTIF(A$6:A2751,fiche_sel),"")</f>
        <v/>
      </c>
    </row>
    <row r="2752">
      <c r="A2752" s="60" t="n"/>
      <c r="B2752" s="60" t="n"/>
      <c r="C2752" s="71" t="str">
        <f>IF(B2752="","",IFERROR(INDEX(mat_des,MATCH(B2752,mat_ref,0))&amp;"","Matière inconnue"))</f>
        <v/>
      </c>
      <c r="D2752" s="69" t="str">
        <f>IF(B2752="","",IFERROR(INDEX(mat_unit,MATCH(B2752,mat_ref,0))&amp;"",""))</f>
        <v/>
      </c>
      <c r="E2752" s="72" t="n"/>
      <c r="F2752" s="65" t="n"/>
      <c r="G2752" s="68" t="str">
        <f>IF(J2752&lt;&gt;"OK","",IF(F2752="",N(INDEX(mat_loss,MATCH(B2752,mat_ref,0))),F2752))</f>
        <v/>
      </c>
      <c r="H2752" s="66" t="str">
        <f>IF(J2752&lt;&gt;"OK","",INDEX(mat_price,MATCH(B2752,mat_ref,0)))</f>
        <v/>
      </c>
      <c r="I2752" s="66" t="str">
        <f>IF(J2752&lt;&gt;"OK","",E2752*(1+G2752)*H2752)</f>
        <v/>
      </c>
      <c r="J2752" s="69" t="str">
        <f>IF(AND(A2752="",B2752=""),"",IF(A2752="","Produit manquant",IF(COUNTIF(prod_ref,A2752)=0,"Produit inconnu",IF(B2752="","Matière manquante",IF(ISNA(MATCH(B2752,mat_ref,0)),"Matière inconnue",IF(INDEX(mat_check,MATCH(B2752,mat_ref,0))&lt;&gt;"OK","Matière à corriger",IF(OR(NOT(ISNUMBER(E2752)),N(E2752)&lt;=0),"Quantité invalide",IF(AND(F2752&lt;&gt;"",OR(NOT(ISNUMBER(F2752)),N(F2752)&lt;0,N(F2752)&gt;=1)),"Perte entre 0 et 99 %",IF(COUNTIFS(bom_prod,A2752,bom_mat,B2752)&gt;1,"Matière en double","OK")))))))))</f>
        <v/>
      </c>
      <c r="K2752" s="71" t="str">
        <f>IF(AND(fiche_sel&lt;&gt;"",A2752=fiche_sel),COUNTIF(A$6:A2752,fiche_sel),"")</f>
        <v/>
      </c>
    </row>
    <row r="2753">
      <c r="A2753" s="60" t="n"/>
      <c r="B2753" s="60" t="n"/>
      <c r="C2753" s="71" t="str">
        <f>IF(B2753="","",IFERROR(INDEX(mat_des,MATCH(B2753,mat_ref,0))&amp;"","Matière inconnue"))</f>
        <v/>
      </c>
      <c r="D2753" s="69" t="str">
        <f>IF(B2753="","",IFERROR(INDEX(mat_unit,MATCH(B2753,mat_ref,0))&amp;"",""))</f>
        <v/>
      </c>
      <c r="E2753" s="72" t="n"/>
      <c r="F2753" s="65" t="n"/>
      <c r="G2753" s="68" t="str">
        <f>IF(J2753&lt;&gt;"OK","",IF(F2753="",N(INDEX(mat_loss,MATCH(B2753,mat_ref,0))),F2753))</f>
        <v/>
      </c>
      <c r="H2753" s="66" t="str">
        <f>IF(J2753&lt;&gt;"OK","",INDEX(mat_price,MATCH(B2753,mat_ref,0)))</f>
        <v/>
      </c>
      <c r="I2753" s="66" t="str">
        <f>IF(J2753&lt;&gt;"OK","",E2753*(1+G2753)*H2753)</f>
        <v/>
      </c>
      <c r="J2753" s="69" t="str">
        <f>IF(AND(A2753="",B2753=""),"",IF(A2753="","Produit manquant",IF(COUNTIF(prod_ref,A2753)=0,"Produit inconnu",IF(B2753="","Matière manquante",IF(ISNA(MATCH(B2753,mat_ref,0)),"Matière inconnue",IF(INDEX(mat_check,MATCH(B2753,mat_ref,0))&lt;&gt;"OK","Matière à corriger",IF(OR(NOT(ISNUMBER(E2753)),N(E2753)&lt;=0),"Quantité invalide",IF(AND(F2753&lt;&gt;"",OR(NOT(ISNUMBER(F2753)),N(F2753)&lt;0,N(F2753)&gt;=1)),"Perte entre 0 et 99 %",IF(COUNTIFS(bom_prod,A2753,bom_mat,B2753)&gt;1,"Matière en double","OK")))))))))</f>
        <v/>
      </c>
      <c r="K2753" s="71" t="str">
        <f>IF(AND(fiche_sel&lt;&gt;"",A2753=fiche_sel),COUNTIF(A$6:A2753,fiche_sel),"")</f>
        <v/>
      </c>
    </row>
    <row r="2754">
      <c r="A2754" s="60" t="n"/>
      <c r="B2754" s="60" t="n"/>
      <c r="C2754" s="71" t="str">
        <f>IF(B2754="","",IFERROR(INDEX(mat_des,MATCH(B2754,mat_ref,0))&amp;"","Matière inconnue"))</f>
        <v/>
      </c>
      <c r="D2754" s="69" t="str">
        <f>IF(B2754="","",IFERROR(INDEX(mat_unit,MATCH(B2754,mat_ref,0))&amp;"",""))</f>
        <v/>
      </c>
      <c r="E2754" s="72" t="n"/>
      <c r="F2754" s="65" t="n"/>
      <c r="G2754" s="68" t="str">
        <f>IF(J2754&lt;&gt;"OK","",IF(F2754="",N(INDEX(mat_loss,MATCH(B2754,mat_ref,0))),F2754))</f>
        <v/>
      </c>
      <c r="H2754" s="66" t="str">
        <f>IF(J2754&lt;&gt;"OK","",INDEX(mat_price,MATCH(B2754,mat_ref,0)))</f>
        <v/>
      </c>
      <c r="I2754" s="66" t="str">
        <f>IF(J2754&lt;&gt;"OK","",E2754*(1+G2754)*H2754)</f>
        <v/>
      </c>
      <c r="J2754" s="69" t="str">
        <f>IF(AND(A2754="",B2754=""),"",IF(A2754="","Produit manquant",IF(COUNTIF(prod_ref,A2754)=0,"Produit inconnu",IF(B2754="","Matière manquante",IF(ISNA(MATCH(B2754,mat_ref,0)),"Matière inconnue",IF(INDEX(mat_check,MATCH(B2754,mat_ref,0))&lt;&gt;"OK","Matière à corriger",IF(OR(NOT(ISNUMBER(E2754)),N(E2754)&lt;=0),"Quantité invalide",IF(AND(F2754&lt;&gt;"",OR(NOT(ISNUMBER(F2754)),N(F2754)&lt;0,N(F2754)&gt;=1)),"Perte entre 0 et 99 %",IF(COUNTIFS(bom_prod,A2754,bom_mat,B2754)&gt;1,"Matière en double","OK")))))))))</f>
        <v/>
      </c>
      <c r="K2754" s="71" t="str">
        <f>IF(AND(fiche_sel&lt;&gt;"",A2754=fiche_sel),COUNTIF(A$6:A2754,fiche_sel),"")</f>
        <v/>
      </c>
    </row>
    <row r="2755">
      <c r="A2755" s="60" t="n"/>
      <c r="B2755" s="60" t="n"/>
      <c r="C2755" s="71" t="str">
        <f>IF(B2755="","",IFERROR(INDEX(mat_des,MATCH(B2755,mat_ref,0))&amp;"","Matière inconnue"))</f>
        <v/>
      </c>
      <c r="D2755" s="69" t="str">
        <f>IF(B2755="","",IFERROR(INDEX(mat_unit,MATCH(B2755,mat_ref,0))&amp;"",""))</f>
        <v/>
      </c>
      <c r="E2755" s="72" t="n"/>
      <c r="F2755" s="65" t="n"/>
      <c r="G2755" s="68" t="str">
        <f>IF(J2755&lt;&gt;"OK","",IF(F2755="",N(INDEX(mat_loss,MATCH(B2755,mat_ref,0))),F2755))</f>
        <v/>
      </c>
      <c r="H2755" s="66" t="str">
        <f>IF(J2755&lt;&gt;"OK","",INDEX(mat_price,MATCH(B2755,mat_ref,0)))</f>
        <v/>
      </c>
      <c r="I2755" s="66" t="str">
        <f>IF(J2755&lt;&gt;"OK","",E2755*(1+G2755)*H2755)</f>
        <v/>
      </c>
      <c r="J2755" s="69" t="str">
        <f>IF(AND(A2755="",B2755=""),"",IF(A2755="","Produit manquant",IF(COUNTIF(prod_ref,A2755)=0,"Produit inconnu",IF(B2755="","Matière manquante",IF(ISNA(MATCH(B2755,mat_ref,0)),"Matière inconnue",IF(INDEX(mat_check,MATCH(B2755,mat_ref,0))&lt;&gt;"OK","Matière à corriger",IF(OR(NOT(ISNUMBER(E2755)),N(E2755)&lt;=0),"Quantité invalide",IF(AND(F2755&lt;&gt;"",OR(NOT(ISNUMBER(F2755)),N(F2755)&lt;0,N(F2755)&gt;=1)),"Perte entre 0 et 99 %",IF(COUNTIFS(bom_prod,A2755,bom_mat,B2755)&gt;1,"Matière en double","OK")))))))))</f>
        <v/>
      </c>
      <c r="K2755" s="71" t="str">
        <f>IF(AND(fiche_sel&lt;&gt;"",A2755=fiche_sel),COUNTIF(A$6:A2755,fiche_sel),"")</f>
        <v/>
      </c>
    </row>
    <row r="2756">
      <c r="A2756" s="60" t="n"/>
      <c r="B2756" s="60" t="n"/>
      <c r="C2756" s="71" t="str">
        <f>IF(B2756="","",IFERROR(INDEX(mat_des,MATCH(B2756,mat_ref,0))&amp;"","Matière inconnue"))</f>
        <v/>
      </c>
      <c r="D2756" s="69" t="str">
        <f>IF(B2756="","",IFERROR(INDEX(mat_unit,MATCH(B2756,mat_ref,0))&amp;"",""))</f>
        <v/>
      </c>
      <c r="E2756" s="72" t="n"/>
      <c r="F2756" s="65" t="n"/>
      <c r="G2756" s="68" t="str">
        <f>IF(J2756&lt;&gt;"OK","",IF(F2756="",N(INDEX(mat_loss,MATCH(B2756,mat_ref,0))),F2756))</f>
        <v/>
      </c>
      <c r="H2756" s="66" t="str">
        <f>IF(J2756&lt;&gt;"OK","",INDEX(mat_price,MATCH(B2756,mat_ref,0)))</f>
        <v/>
      </c>
      <c r="I2756" s="66" t="str">
        <f>IF(J2756&lt;&gt;"OK","",E2756*(1+G2756)*H2756)</f>
        <v/>
      </c>
      <c r="J2756" s="69" t="str">
        <f>IF(AND(A2756="",B2756=""),"",IF(A2756="","Produit manquant",IF(COUNTIF(prod_ref,A2756)=0,"Produit inconnu",IF(B2756="","Matière manquante",IF(ISNA(MATCH(B2756,mat_ref,0)),"Matière inconnue",IF(INDEX(mat_check,MATCH(B2756,mat_ref,0))&lt;&gt;"OK","Matière à corriger",IF(OR(NOT(ISNUMBER(E2756)),N(E2756)&lt;=0),"Quantité invalide",IF(AND(F2756&lt;&gt;"",OR(NOT(ISNUMBER(F2756)),N(F2756)&lt;0,N(F2756)&gt;=1)),"Perte entre 0 et 99 %",IF(COUNTIFS(bom_prod,A2756,bom_mat,B2756)&gt;1,"Matière en double","OK")))))))))</f>
        <v/>
      </c>
      <c r="K2756" s="71" t="str">
        <f>IF(AND(fiche_sel&lt;&gt;"",A2756=fiche_sel),COUNTIF(A$6:A2756,fiche_sel),"")</f>
        <v/>
      </c>
    </row>
    <row r="2757">
      <c r="A2757" s="60" t="n"/>
      <c r="B2757" s="60" t="n"/>
      <c r="C2757" s="71" t="str">
        <f>IF(B2757="","",IFERROR(INDEX(mat_des,MATCH(B2757,mat_ref,0))&amp;"","Matière inconnue"))</f>
        <v/>
      </c>
      <c r="D2757" s="69" t="str">
        <f>IF(B2757="","",IFERROR(INDEX(mat_unit,MATCH(B2757,mat_ref,0))&amp;"",""))</f>
        <v/>
      </c>
      <c r="E2757" s="72" t="n"/>
      <c r="F2757" s="65" t="n"/>
      <c r="G2757" s="68" t="str">
        <f>IF(J2757&lt;&gt;"OK","",IF(F2757="",N(INDEX(mat_loss,MATCH(B2757,mat_ref,0))),F2757))</f>
        <v/>
      </c>
      <c r="H2757" s="66" t="str">
        <f>IF(J2757&lt;&gt;"OK","",INDEX(mat_price,MATCH(B2757,mat_ref,0)))</f>
        <v/>
      </c>
      <c r="I2757" s="66" t="str">
        <f>IF(J2757&lt;&gt;"OK","",E2757*(1+G2757)*H2757)</f>
        <v/>
      </c>
      <c r="J2757" s="69" t="str">
        <f>IF(AND(A2757="",B2757=""),"",IF(A2757="","Produit manquant",IF(COUNTIF(prod_ref,A2757)=0,"Produit inconnu",IF(B2757="","Matière manquante",IF(ISNA(MATCH(B2757,mat_ref,0)),"Matière inconnue",IF(INDEX(mat_check,MATCH(B2757,mat_ref,0))&lt;&gt;"OK","Matière à corriger",IF(OR(NOT(ISNUMBER(E2757)),N(E2757)&lt;=0),"Quantité invalide",IF(AND(F2757&lt;&gt;"",OR(NOT(ISNUMBER(F2757)),N(F2757)&lt;0,N(F2757)&gt;=1)),"Perte entre 0 et 99 %",IF(COUNTIFS(bom_prod,A2757,bom_mat,B2757)&gt;1,"Matière en double","OK")))))))))</f>
        <v/>
      </c>
      <c r="K2757" s="71" t="str">
        <f>IF(AND(fiche_sel&lt;&gt;"",A2757=fiche_sel),COUNTIF(A$6:A2757,fiche_sel),"")</f>
        <v/>
      </c>
    </row>
    <row r="2758">
      <c r="A2758" s="60" t="n"/>
      <c r="B2758" s="60" t="n"/>
      <c r="C2758" s="71" t="str">
        <f>IF(B2758="","",IFERROR(INDEX(mat_des,MATCH(B2758,mat_ref,0))&amp;"","Matière inconnue"))</f>
        <v/>
      </c>
      <c r="D2758" s="69" t="str">
        <f>IF(B2758="","",IFERROR(INDEX(mat_unit,MATCH(B2758,mat_ref,0))&amp;"",""))</f>
        <v/>
      </c>
      <c r="E2758" s="72" t="n"/>
      <c r="F2758" s="65" t="n"/>
      <c r="G2758" s="68" t="str">
        <f>IF(J2758&lt;&gt;"OK","",IF(F2758="",N(INDEX(mat_loss,MATCH(B2758,mat_ref,0))),F2758))</f>
        <v/>
      </c>
      <c r="H2758" s="66" t="str">
        <f>IF(J2758&lt;&gt;"OK","",INDEX(mat_price,MATCH(B2758,mat_ref,0)))</f>
        <v/>
      </c>
      <c r="I2758" s="66" t="str">
        <f>IF(J2758&lt;&gt;"OK","",E2758*(1+G2758)*H2758)</f>
        <v/>
      </c>
      <c r="J2758" s="69" t="str">
        <f>IF(AND(A2758="",B2758=""),"",IF(A2758="","Produit manquant",IF(COUNTIF(prod_ref,A2758)=0,"Produit inconnu",IF(B2758="","Matière manquante",IF(ISNA(MATCH(B2758,mat_ref,0)),"Matière inconnue",IF(INDEX(mat_check,MATCH(B2758,mat_ref,0))&lt;&gt;"OK","Matière à corriger",IF(OR(NOT(ISNUMBER(E2758)),N(E2758)&lt;=0),"Quantité invalide",IF(AND(F2758&lt;&gt;"",OR(NOT(ISNUMBER(F2758)),N(F2758)&lt;0,N(F2758)&gt;=1)),"Perte entre 0 et 99 %",IF(COUNTIFS(bom_prod,A2758,bom_mat,B2758)&gt;1,"Matière en double","OK")))))))))</f>
        <v/>
      </c>
      <c r="K2758" s="71" t="str">
        <f>IF(AND(fiche_sel&lt;&gt;"",A2758=fiche_sel),COUNTIF(A$6:A2758,fiche_sel),"")</f>
        <v/>
      </c>
    </row>
    <row r="2759">
      <c r="A2759" s="60" t="n"/>
      <c r="B2759" s="60" t="n"/>
      <c r="C2759" s="71" t="str">
        <f>IF(B2759="","",IFERROR(INDEX(mat_des,MATCH(B2759,mat_ref,0))&amp;"","Matière inconnue"))</f>
        <v/>
      </c>
      <c r="D2759" s="69" t="str">
        <f>IF(B2759="","",IFERROR(INDEX(mat_unit,MATCH(B2759,mat_ref,0))&amp;"",""))</f>
        <v/>
      </c>
      <c r="E2759" s="72" t="n"/>
      <c r="F2759" s="65" t="n"/>
      <c r="G2759" s="68" t="str">
        <f>IF(J2759&lt;&gt;"OK","",IF(F2759="",N(INDEX(mat_loss,MATCH(B2759,mat_ref,0))),F2759))</f>
        <v/>
      </c>
      <c r="H2759" s="66" t="str">
        <f>IF(J2759&lt;&gt;"OK","",INDEX(mat_price,MATCH(B2759,mat_ref,0)))</f>
        <v/>
      </c>
      <c r="I2759" s="66" t="str">
        <f>IF(J2759&lt;&gt;"OK","",E2759*(1+G2759)*H2759)</f>
        <v/>
      </c>
      <c r="J2759" s="69" t="str">
        <f>IF(AND(A2759="",B2759=""),"",IF(A2759="","Produit manquant",IF(COUNTIF(prod_ref,A2759)=0,"Produit inconnu",IF(B2759="","Matière manquante",IF(ISNA(MATCH(B2759,mat_ref,0)),"Matière inconnue",IF(INDEX(mat_check,MATCH(B2759,mat_ref,0))&lt;&gt;"OK","Matière à corriger",IF(OR(NOT(ISNUMBER(E2759)),N(E2759)&lt;=0),"Quantité invalide",IF(AND(F2759&lt;&gt;"",OR(NOT(ISNUMBER(F2759)),N(F2759)&lt;0,N(F2759)&gt;=1)),"Perte entre 0 et 99 %",IF(COUNTIFS(bom_prod,A2759,bom_mat,B2759)&gt;1,"Matière en double","OK")))))))))</f>
        <v/>
      </c>
      <c r="K2759" s="71" t="str">
        <f>IF(AND(fiche_sel&lt;&gt;"",A2759=fiche_sel),COUNTIF(A$6:A2759,fiche_sel),"")</f>
        <v/>
      </c>
    </row>
    <row r="2760">
      <c r="A2760" s="60" t="n"/>
      <c r="B2760" s="60" t="n"/>
      <c r="C2760" s="71" t="str">
        <f>IF(B2760="","",IFERROR(INDEX(mat_des,MATCH(B2760,mat_ref,0))&amp;"","Matière inconnue"))</f>
        <v/>
      </c>
      <c r="D2760" s="69" t="str">
        <f>IF(B2760="","",IFERROR(INDEX(mat_unit,MATCH(B2760,mat_ref,0))&amp;"",""))</f>
        <v/>
      </c>
      <c r="E2760" s="72" t="n"/>
      <c r="F2760" s="65" t="n"/>
      <c r="G2760" s="68" t="str">
        <f>IF(J2760&lt;&gt;"OK","",IF(F2760="",N(INDEX(mat_loss,MATCH(B2760,mat_ref,0))),F2760))</f>
        <v/>
      </c>
      <c r="H2760" s="66" t="str">
        <f>IF(J2760&lt;&gt;"OK","",INDEX(mat_price,MATCH(B2760,mat_ref,0)))</f>
        <v/>
      </c>
      <c r="I2760" s="66" t="str">
        <f>IF(J2760&lt;&gt;"OK","",E2760*(1+G2760)*H2760)</f>
        <v/>
      </c>
      <c r="J2760" s="69" t="str">
        <f>IF(AND(A2760="",B2760=""),"",IF(A2760="","Produit manquant",IF(COUNTIF(prod_ref,A2760)=0,"Produit inconnu",IF(B2760="","Matière manquante",IF(ISNA(MATCH(B2760,mat_ref,0)),"Matière inconnue",IF(INDEX(mat_check,MATCH(B2760,mat_ref,0))&lt;&gt;"OK","Matière à corriger",IF(OR(NOT(ISNUMBER(E2760)),N(E2760)&lt;=0),"Quantité invalide",IF(AND(F2760&lt;&gt;"",OR(NOT(ISNUMBER(F2760)),N(F2760)&lt;0,N(F2760)&gt;=1)),"Perte entre 0 et 99 %",IF(COUNTIFS(bom_prod,A2760,bom_mat,B2760)&gt;1,"Matière en double","OK")))))))))</f>
        <v/>
      </c>
      <c r="K2760" s="71" t="str">
        <f>IF(AND(fiche_sel&lt;&gt;"",A2760=fiche_sel),COUNTIF(A$6:A2760,fiche_sel),"")</f>
        <v/>
      </c>
    </row>
    <row r="2761">
      <c r="A2761" s="60" t="n"/>
      <c r="B2761" s="60" t="n"/>
      <c r="C2761" s="71" t="str">
        <f>IF(B2761="","",IFERROR(INDEX(mat_des,MATCH(B2761,mat_ref,0))&amp;"","Matière inconnue"))</f>
        <v/>
      </c>
      <c r="D2761" s="69" t="str">
        <f>IF(B2761="","",IFERROR(INDEX(mat_unit,MATCH(B2761,mat_ref,0))&amp;"",""))</f>
        <v/>
      </c>
      <c r="E2761" s="72" t="n"/>
      <c r="F2761" s="65" t="n"/>
      <c r="G2761" s="68" t="str">
        <f>IF(J2761&lt;&gt;"OK","",IF(F2761="",N(INDEX(mat_loss,MATCH(B2761,mat_ref,0))),F2761))</f>
        <v/>
      </c>
      <c r="H2761" s="66" t="str">
        <f>IF(J2761&lt;&gt;"OK","",INDEX(mat_price,MATCH(B2761,mat_ref,0)))</f>
        <v/>
      </c>
      <c r="I2761" s="66" t="str">
        <f>IF(J2761&lt;&gt;"OK","",E2761*(1+G2761)*H2761)</f>
        <v/>
      </c>
      <c r="J2761" s="69" t="str">
        <f>IF(AND(A2761="",B2761=""),"",IF(A2761="","Produit manquant",IF(COUNTIF(prod_ref,A2761)=0,"Produit inconnu",IF(B2761="","Matière manquante",IF(ISNA(MATCH(B2761,mat_ref,0)),"Matière inconnue",IF(INDEX(mat_check,MATCH(B2761,mat_ref,0))&lt;&gt;"OK","Matière à corriger",IF(OR(NOT(ISNUMBER(E2761)),N(E2761)&lt;=0),"Quantité invalide",IF(AND(F2761&lt;&gt;"",OR(NOT(ISNUMBER(F2761)),N(F2761)&lt;0,N(F2761)&gt;=1)),"Perte entre 0 et 99 %",IF(COUNTIFS(bom_prod,A2761,bom_mat,B2761)&gt;1,"Matière en double","OK")))))))))</f>
        <v/>
      </c>
      <c r="K2761" s="71" t="str">
        <f>IF(AND(fiche_sel&lt;&gt;"",A2761=fiche_sel),COUNTIF(A$6:A2761,fiche_sel),"")</f>
        <v/>
      </c>
    </row>
    <row r="2762">
      <c r="A2762" s="60" t="n"/>
      <c r="B2762" s="60" t="n"/>
      <c r="C2762" s="71" t="str">
        <f>IF(B2762="","",IFERROR(INDEX(mat_des,MATCH(B2762,mat_ref,0))&amp;"","Matière inconnue"))</f>
        <v/>
      </c>
      <c r="D2762" s="69" t="str">
        <f>IF(B2762="","",IFERROR(INDEX(mat_unit,MATCH(B2762,mat_ref,0))&amp;"",""))</f>
        <v/>
      </c>
      <c r="E2762" s="72" t="n"/>
      <c r="F2762" s="65" t="n"/>
      <c r="G2762" s="68" t="str">
        <f>IF(J2762&lt;&gt;"OK","",IF(F2762="",N(INDEX(mat_loss,MATCH(B2762,mat_ref,0))),F2762))</f>
        <v/>
      </c>
      <c r="H2762" s="66" t="str">
        <f>IF(J2762&lt;&gt;"OK","",INDEX(mat_price,MATCH(B2762,mat_ref,0)))</f>
        <v/>
      </c>
      <c r="I2762" s="66" t="str">
        <f>IF(J2762&lt;&gt;"OK","",E2762*(1+G2762)*H2762)</f>
        <v/>
      </c>
      <c r="J2762" s="69" t="str">
        <f>IF(AND(A2762="",B2762=""),"",IF(A2762="","Produit manquant",IF(COUNTIF(prod_ref,A2762)=0,"Produit inconnu",IF(B2762="","Matière manquante",IF(ISNA(MATCH(B2762,mat_ref,0)),"Matière inconnue",IF(INDEX(mat_check,MATCH(B2762,mat_ref,0))&lt;&gt;"OK","Matière à corriger",IF(OR(NOT(ISNUMBER(E2762)),N(E2762)&lt;=0),"Quantité invalide",IF(AND(F2762&lt;&gt;"",OR(NOT(ISNUMBER(F2762)),N(F2762)&lt;0,N(F2762)&gt;=1)),"Perte entre 0 et 99 %",IF(COUNTIFS(bom_prod,A2762,bom_mat,B2762)&gt;1,"Matière en double","OK")))))))))</f>
        <v/>
      </c>
      <c r="K2762" s="71" t="str">
        <f>IF(AND(fiche_sel&lt;&gt;"",A2762=fiche_sel),COUNTIF(A$6:A2762,fiche_sel),"")</f>
        <v/>
      </c>
    </row>
    <row r="2763">
      <c r="A2763" s="60" t="n"/>
      <c r="B2763" s="60" t="n"/>
      <c r="C2763" s="71" t="str">
        <f>IF(B2763="","",IFERROR(INDEX(mat_des,MATCH(B2763,mat_ref,0))&amp;"","Matière inconnue"))</f>
        <v/>
      </c>
      <c r="D2763" s="69" t="str">
        <f>IF(B2763="","",IFERROR(INDEX(mat_unit,MATCH(B2763,mat_ref,0))&amp;"",""))</f>
        <v/>
      </c>
      <c r="E2763" s="72" t="n"/>
      <c r="F2763" s="65" t="n"/>
      <c r="G2763" s="68" t="str">
        <f>IF(J2763&lt;&gt;"OK","",IF(F2763="",N(INDEX(mat_loss,MATCH(B2763,mat_ref,0))),F2763))</f>
        <v/>
      </c>
      <c r="H2763" s="66" t="str">
        <f>IF(J2763&lt;&gt;"OK","",INDEX(mat_price,MATCH(B2763,mat_ref,0)))</f>
        <v/>
      </c>
      <c r="I2763" s="66" t="str">
        <f>IF(J2763&lt;&gt;"OK","",E2763*(1+G2763)*H2763)</f>
        <v/>
      </c>
      <c r="J2763" s="69" t="str">
        <f>IF(AND(A2763="",B2763=""),"",IF(A2763="","Produit manquant",IF(COUNTIF(prod_ref,A2763)=0,"Produit inconnu",IF(B2763="","Matière manquante",IF(ISNA(MATCH(B2763,mat_ref,0)),"Matière inconnue",IF(INDEX(mat_check,MATCH(B2763,mat_ref,0))&lt;&gt;"OK","Matière à corriger",IF(OR(NOT(ISNUMBER(E2763)),N(E2763)&lt;=0),"Quantité invalide",IF(AND(F2763&lt;&gt;"",OR(NOT(ISNUMBER(F2763)),N(F2763)&lt;0,N(F2763)&gt;=1)),"Perte entre 0 et 99 %",IF(COUNTIFS(bom_prod,A2763,bom_mat,B2763)&gt;1,"Matière en double","OK")))))))))</f>
        <v/>
      </c>
      <c r="K2763" s="71" t="str">
        <f>IF(AND(fiche_sel&lt;&gt;"",A2763=fiche_sel),COUNTIF(A$6:A2763,fiche_sel),"")</f>
        <v/>
      </c>
    </row>
    <row r="2764">
      <c r="A2764" s="60" t="n"/>
      <c r="B2764" s="60" t="n"/>
      <c r="C2764" s="71" t="str">
        <f>IF(B2764="","",IFERROR(INDEX(mat_des,MATCH(B2764,mat_ref,0))&amp;"","Matière inconnue"))</f>
        <v/>
      </c>
      <c r="D2764" s="69" t="str">
        <f>IF(B2764="","",IFERROR(INDEX(mat_unit,MATCH(B2764,mat_ref,0))&amp;"",""))</f>
        <v/>
      </c>
      <c r="E2764" s="72" t="n"/>
      <c r="F2764" s="65" t="n"/>
      <c r="G2764" s="68" t="str">
        <f>IF(J2764&lt;&gt;"OK","",IF(F2764="",N(INDEX(mat_loss,MATCH(B2764,mat_ref,0))),F2764))</f>
        <v/>
      </c>
      <c r="H2764" s="66" t="str">
        <f>IF(J2764&lt;&gt;"OK","",INDEX(mat_price,MATCH(B2764,mat_ref,0)))</f>
        <v/>
      </c>
      <c r="I2764" s="66" t="str">
        <f>IF(J2764&lt;&gt;"OK","",E2764*(1+G2764)*H2764)</f>
        <v/>
      </c>
      <c r="J2764" s="69" t="str">
        <f>IF(AND(A2764="",B2764=""),"",IF(A2764="","Produit manquant",IF(COUNTIF(prod_ref,A2764)=0,"Produit inconnu",IF(B2764="","Matière manquante",IF(ISNA(MATCH(B2764,mat_ref,0)),"Matière inconnue",IF(INDEX(mat_check,MATCH(B2764,mat_ref,0))&lt;&gt;"OK","Matière à corriger",IF(OR(NOT(ISNUMBER(E2764)),N(E2764)&lt;=0),"Quantité invalide",IF(AND(F2764&lt;&gt;"",OR(NOT(ISNUMBER(F2764)),N(F2764)&lt;0,N(F2764)&gt;=1)),"Perte entre 0 et 99 %",IF(COUNTIFS(bom_prod,A2764,bom_mat,B2764)&gt;1,"Matière en double","OK")))))))))</f>
        <v/>
      </c>
      <c r="K2764" s="71" t="str">
        <f>IF(AND(fiche_sel&lt;&gt;"",A2764=fiche_sel),COUNTIF(A$6:A2764,fiche_sel),"")</f>
        <v/>
      </c>
    </row>
    <row r="2765">
      <c r="A2765" s="60" t="n"/>
      <c r="B2765" s="60" t="n"/>
      <c r="C2765" s="71" t="str">
        <f>IF(B2765="","",IFERROR(INDEX(mat_des,MATCH(B2765,mat_ref,0))&amp;"","Matière inconnue"))</f>
        <v/>
      </c>
      <c r="D2765" s="69" t="str">
        <f>IF(B2765="","",IFERROR(INDEX(mat_unit,MATCH(B2765,mat_ref,0))&amp;"",""))</f>
        <v/>
      </c>
      <c r="E2765" s="72" t="n"/>
      <c r="F2765" s="65" t="n"/>
      <c r="G2765" s="68" t="str">
        <f>IF(J2765&lt;&gt;"OK","",IF(F2765="",N(INDEX(mat_loss,MATCH(B2765,mat_ref,0))),F2765))</f>
        <v/>
      </c>
      <c r="H2765" s="66" t="str">
        <f>IF(J2765&lt;&gt;"OK","",INDEX(mat_price,MATCH(B2765,mat_ref,0)))</f>
        <v/>
      </c>
      <c r="I2765" s="66" t="str">
        <f>IF(J2765&lt;&gt;"OK","",E2765*(1+G2765)*H2765)</f>
        <v/>
      </c>
      <c r="J2765" s="69" t="str">
        <f>IF(AND(A2765="",B2765=""),"",IF(A2765="","Produit manquant",IF(COUNTIF(prod_ref,A2765)=0,"Produit inconnu",IF(B2765="","Matière manquante",IF(ISNA(MATCH(B2765,mat_ref,0)),"Matière inconnue",IF(INDEX(mat_check,MATCH(B2765,mat_ref,0))&lt;&gt;"OK","Matière à corriger",IF(OR(NOT(ISNUMBER(E2765)),N(E2765)&lt;=0),"Quantité invalide",IF(AND(F2765&lt;&gt;"",OR(NOT(ISNUMBER(F2765)),N(F2765)&lt;0,N(F2765)&gt;=1)),"Perte entre 0 et 99 %",IF(COUNTIFS(bom_prod,A2765,bom_mat,B2765)&gt;1,"Matière en double","OK")))))))))</f>
        <v/>
      </c>
      <c r="K2765" s="71" t="str">
        <f>IF(AND(fiche_sel&lt;&gt;"",A2765=fiche_sel),COUNTIF(A$6:A2765,fiche_sel),"")</f>
        <v/>
      </c>
    </row>
    <row r="2766">
      <c r="A2766" s="60" t="n"/>
      <c r="B2766" s="60" t="n"/>
      <c r="C2766" s="71" t="str">
        <f>IF(B2766="","",IFERROR(INDEX(mat_des,MATCH(B2766,mat_ref,0))&amp;"","Matière inconnue"))</f>
        <v/>
      </c>
      <c r="D2766" s="69" t="str">
        <f>IF(B2766="","",IFERROR(INDEX(mat_unit,MATCH(B2766,mat_ref,0))&amp;"",""))</f>
        <v/>
      </c>
      <c r="E2766" s="72" t="n"/>
      <c r="F2766" s="65" t="n"/>
      <c r="G2766" s="68" t="str">
        <f>IF(J2766&lt;&gt;"OK","",IF(F2766="",N(INDEX(mat_loss,MATCH(B2766,mat_ref,0))),F2766))</f>
        <v/>
      </c>
      <c r="H2766" s="66" t="str">
        <f>IF(J2766&lt;&gt;"OK","",INDEX(mat_price,MATCH(B2766,mat_ref,0)))</f>
        <v/>
      </c>
      <c r="I2766" s="66" t="str">
        <f>IF(J2766&lt;&gt;"OK","",E2766*(1+G2766)*H2766)</f>
        <v/>
      </c>
      <c r="J2766" s="69" t="str">
        <f>IF(AND(A2766="",B2766=""),"",IF(A2766="","Produit manquant",IF(COUNTIF(prod_ref,A2766)=0,"Produit inconnu",IF(B2766="","Matière manquante",IF(ISNA(MATCH(B2766,mat_ref,0)),"Matière inconnue",IF(INDEX(mat_check,MATCH(B2766,mat_ref,0))&lt;&gt;"OK","Matière à corriger",IF(OR(NOT(ISNUMBER(E2766)),N(E2766)&lt;=0),"Quantité invalide",IF(AND(F2766&lt;&gt;"",OR(NOT(ISNUMBER(F2766)),N(F2766)&lt;0,N(F2766)&gt;=1)),"Perte entre 0 et 99 %",IF(COUNTIFS(bom_prod,A2766,bom_mat,B2766)&gt;1,"Matière en double","OK")))))))))</f>
        <v/>
      </c>
      <c r="K2766" s="71" t="str">
        <f>IF(AND(fiche_sel&lt;&gt;"",A2766=fiche_sel),COUNTIF(A$6:A2766,fiche_sel),"")</f>
        <v/>
      </c>
    </row>
    <row r="2767">
      <c r="A2767" s="60" t="n"/>
      <c r="B2767" s="60" t="n"/>
      <c r="C2767" s="71" t="str">
        <f>IF(B2767="","",IFERROR(INDEX(mat_des,MATCH(B2767,mat_ref,0))&amp;"","Matière inconnue"))</f>
        <v/>
      </c>
      <c r="D2767" s="69" t="str">
        <f>IF(B2767="","",IFERROR(INDEX(mat_unit,MATCH(B2767,mat_ref,0))&amp;"",""))</f>
        <v/>
      </c>
      <c r="E2767" s="72" t="n"/>
      <c r="F2767" s="65" t="n"/>
      <c r="G2767" s="68" t="str">
        <f>IF(J2767&lt;&gt;"OK","",IF(F2767="",N(INDEX(mat_loss,MATCH(B2767,mat_ref,0))),F2767))</f>
        <v/>
      </c>
      <c r="H2767" s="66" t="str">
        <f>IF(J2767&lt;&gt;"OK","",INDEX(mat_price,MATCH(B2767,mat_ref,0)))</f>
        <v/>
      </c>
      <c r="I2767" s="66" t="str">
        <f>IF(J2767&lt;&gt;"OK","",E2767*(1+G2767)*H2767)</f>
        <v/>
      </c>
      <c r="J2767" s="69" t="str">
        <f>IF(AND(A2767="",B2767=""),"",IF(A2767="","Produit manquant",IF(COUNTIF(prod_ref,A2767)=0,"Produit inconnu",IF(B2767="","Matière manquante",IF(ISNA(MATCH(B2767,mat_ref,0)),"Matière inconnue",IF(INDEX(mat_check,MATCH(B2767,mat_ref,0))&lt;&gt;"OK","Matière à corriger",IF(OR(NOT(ISNUMBER(E2767)),N(E2767)&lt;=0),"Quantité invalide",IF(AND(F2767&lt;&gt;"",OR(NOT(ISNUMBER(F2767)),N(F2767)&lt;0,N(F2767)&gt;=1)),"Perte entre 0 et 99 %",IF(COUNTIFS(bom_prod,A2767,bom_mat,B2767)&gt;1,"Matière en double","OK")))))))))</f>
        <v/>
      </c>
      <c r="K2767" s="71" t="str">
        <f>IF(AND(fiche_sel&lt;&gt;"",A2767=fiche_sel),COUNTIF(A$6:A2767,fiche_sel),"")</f>
        <v/>
      </c>
    </row>
    <row r="2768">
      <c r="A2768" s="60" t="n"/>
      <c r="B2768" s="60" t="n"/>
      <c r="C2768" s="71" t="str">
        <f>IF(B2768="","",IFERROR(INDEX(mat_des,MATCH(B2768,mat_ref,0))&amp;"","Matière inconnue"))</f>
        <v/>
      </c>
      <c r="D2768" s="69" t="str">
        <f>IF(B2768="","",IFERROR(INDEX(mat_unit,MATCH(B2768,mat_ref,0))&amp;"",""))</f>
        <v/>
      </c>
      <c r="E2768" s="72" t="n"/>
      <c r="F2768" s="65" t="n"/>
      <c r="G2768" s="68" t="str">
        <f>IF(J2768&lt;&gt;"OK","",IF(F2768="",N(INDEX(mat_loss,MATCH(B2768,mat_ref,0))),F2768))</f>
        <v/>
      </c>
      <c r="H2768" s="66" t="str">
        <f>IF(J2768&lt;&gt;"OK","",INDEX(mat_price,MATCH(B2768,mat_ref,0)))</f>
        <v/>
      </c>
      <c r="I2768" s="66" t="str">
        <f>IF(J2768&lt;&gt;"OK","",E2768*(1+G2768)*H2768)</f>
        <v/>
      </c>
      <c r="J2768" s="69" t="str">
        <f>IF(AND(A2768="",B2768=""),"",IF(A2768="","Produit manquant",IF(COUNTIF(prod_ref,A2768)=0,"Produit inconnu",IF(B2768="","Matière manquante",IF(ISNA(MATCH(B2768,mat_ref,0)),"Matière inconnue",IF(INDEX(mat_check,MATCH(B2768,mat_ref,0))&lt;&gt;"OK","Matière à corriger",IF(OR(NOT(ISNUMBER(E2768)),N(E2768)&lt;=0),"Quantité invalide",IF(AND(F2768&lt;&gt;"",OR(NOT(ISNUMBER(F2768)),N(F2768)&lt;0,N(F2768)&gt;=1)),"Perte entre 0 et 99 %",IF(COUNTIFS(bom_prod,A2768,bom_mat,B2768)&gt;1,"Matière en double","OK")))))))))</f>
        <v/>
      </c>
      <c r="K2768" s="71" t="str">
        <f>IF(AND(fiche_sel&lt;&gt;"",A2768=fiche_sel),COUNTIF(A$6:A2768,fiche_sel),"")</f>
        <v/>
      </c>
    </row>
    <row r="2769">
      <c r="A2769" s="60" t="n"/>
      <c r="B2769" s="60" t="n"/>
      <c r="C2769" s="71" t="str">
        <f>IF(B2769="","",IFERROR(INDEX(mat_des,MATCH(B2769,mat_ref,0))&amp;"","Matière inconnue"))</f>
        <v/>
      </c>
      <c r="D2769" s="69" t="str">
        <f>IF(B2769="","",IFERROR(INDEX(mat_unit,MATCH(B2769,mat_ref,0))&amp;"",""))</f>
        <v/>
      </c>
      <c r="E2769" s="72" t="n"/>
      <c r="F2769" s="65" t="n"/>
      <c r="G2769" s="68" t="str">
        <f>IF(J2769&lt;&gt;"OK","",IF(F2769="",N(INDEX(mat_loss,MATCH(B2769,mat_ref,0))),F2769))</f>
        <v/>
      </c>
      <c r="H2769" s="66" t="str">
        <f>IF(J2769&lt;&gt;"OK","",INDEX(mat_price,MATCH(B2769,mat_ref,0)))</f>
        <v/>
      </c>
      <c r="I2769" s="66" t="str">
        <f>IF(J2769&lt;&gt;"OK","",E2769*(1+G2769)*H2769)</f>
        <v/>
      </c>
      <c r="J2769" s="69" t="str">
        <f>IF(AND(A2769="",B2769=""),"",IF(A2769="","Produit manquant",IF(COUNTIF(prod_ref,A2769)=0,"Produit inconnu",IF(B2769="","Matière manquante",IF(ISNA(MATCH(B2769,mat_ref,0)),"Matière inconnue",IF(INDEX(mat_check,MATCH(B2769,mat_ref,0))&lt;&gt;"OK","Matière à corriger",IF(OR(NOT(ISNUMBER(E2769)),N(E2769)&lt;=0),"Quantité invalide",IF(AND(F2769&lt;&gt;"",OR(NOT(ISNUMBER(F2769)),N(F2769)&lt;0,N(F2769)&gt;=1)),"Perte entre 0 et 99 %",IF(COUNTIFS(bom_prod,A2769,bom_mat,B2769)&gt;1,"Matière en double","OK")))))))))</f>
        <v/>
      </c>
      <c r="K2769" s="71" t="str">
        <f>IF(AND(fiche_sel&lt;&gt;"",A2769=fiche_sel),COUNTIF(A$6:A2769,fiche_sel),"")</f>
        <v/>
      </c>
    </row>
    <row r="2770">
      <c r="A2770" s="60" t="n"/>
      <c r="B2770" s="60" t="n"/>
      <c r="C2770" s="71" t="str">
        <f>IF(B2770="","",IFERROR(INDEX(mat_des,MATCH(B2770,mat_ref,0))&amp;"","Matière inconnue"))</f>
        <v/>
      </c>
      <c r="D2770" s="69" t="str">
        <f>IF(B2770="","",IFERROR(INDEX(mat_unit,MATCH(B2770,mat_ref,0))&amp;"",""))</f>
        <v/>
      </c>
      <c r="E2770" s="72" t="n"/>
      <c r="F2770" s="65" t="n"/>
      <c r="G2770" s="68" t="str">
        <f>IF(J2770&lt;&gt;"OK","",IF(F2770="",N(INDEX(mat_loss,MATCH(B2770,mat_ref,0))),F2770))</f>
        <v/>
      </c>
      <c r="H2770" s="66" t="str">
        <f>IF(J2770&lt;&gt;"OK","",INDEX(mat_price,MATCH(B2770,mat_ref,0)))</f>
        <v/>
      </c>
      <c r="I2770" s="66" t="str">
        <f>IF(J2770&lt;&gt;"OK","",E2770*(1+G2770)*H2770)</f>
        <v/>
      </c>
      <c r="J2770" s="69" t="str">
        <f>IF(AND(A2770="",B2770=""),"",IF(A2770="","Produit manquant",IF(COUNTIF(prod_ref,A2770)=0,"Produit inconnu",IF(B2770="","Matière manquante",IF(ISNA(MATCH(B2770,mat_ref,0)),"Matière inconnue",IF(INDEX(mat_check,MATCH(B2770,mat_ref,0))&lt;&gt;"OK","Matière à corriger",IF(OR(NOT(ISNUMBER(E2770)),N(E2770)&lt;=0),"Quantité invalide",IF(AND(F2770&lt;&gt;"",OR(NOT(ISNUMBER(F2770)),N(F2770)&lt;0,N(F2770)&gt;=1)),"Perte entre 0 et 99 %",IF(COUNTIFS(bom_prod,A2770,bom_mat,B2770)&gt;1,"Matière en double","OK")))))))))</f>
        <v/>
      </c>
      <c r="K2770" s="71" t="str">
        <f>IF(AND(fiche_sel&lt;&gt;"",A2770=fiche_sel),COUNTIF(A$6:A2770,fiche_sel),"")</f>
        <v/>
      </c>
    </row>
    <row r="2771">
      <c r="A2771" s="60" t="n"/>
      <c r="B2771" s="60" t="n"/>
      <c r="C2771" s="71" t="str">
        <f>IF(B2771="","",IFERROR(INDEX(mat_des,MATCH(B2771,mat_ref,0))&amp;"","Matière inconnue"))</f>
        <v/>
      </c>
      <c r="D2771" s="69" t="str">
        <f>IF(B2771="","",IFERROR(INDEX(mat_unit,MATCH(B2771,mat_ref,0))&amp;"",""))</f>
        <v/>
      </c>
      <c r="E2771" s="72" t="n"/>
      <c r="F2771" s="65" t="n"/>
      <c r="G2771" s="68" t="str">
        <f>IF(J2771&lt;&gt;"OK","",IF(F2771="",N(INDEX(mat_loss,MATCH(B2771,mat_ref,0))),F2771))</f>
        <v/>
      </c>
      <c r="H2771" s="66" t="str">
        <f>IF(J2771&lt;&gt;"OK","",INDEX(mat_price,MATCH(B2771,mat_ref,0)))</f>
        <v/>
      </c>
      <c r="I2771" s="66" t="str">
        <f>IF(J2771&lt;&gt;"OK","",E2771*(1+G2771)*H2771)</f>
        <v/>
      </c>
      <c r="J2771" s="69" t="str">
        <f>IF(AND(A2771="",B2771=""),"",IF(A2771="","Produit manquant",IF(COUNTIF(prod_ref,A2771)=0,"Produit inconnu",IF(B2771="","Matière manquante",IF(ISNA(MATCH(B2771,mat_ref,0)),"Matière inconnue",IF(INDEX(mat_check,MATCH(B2771,mat_ref,0))&lt;&gt;"OK","Matière à corriger",IF(OR(NOT(ISNUMBER(E2771)),N(E2771)&lt;=0),"Quantité invalide",IF(AND(F2771&lt;&gt;"",OR(NOT(ISNUMBER(F2771)),N(F2771)&lt;0,N(F2771)&gt;=1)),"Perte entre 0 et 99 %",IF(COUNTIFS(bom_prod,A2771,bom_mat,B2771)&gt;1,"Matière en double","OK")))))))))</f>
        <v/>
      </c>
      <c r="K2771" s="71" t="str">
        <f>IF(AND(fiche_sel&lt;&gt;"",A2771=fiche_sel),COUNTIF(A$6:A2771,fiche_sel),"")</f>
        <v/>
      </c>
    </row>
    <row r="2772">
      <c r="A2772" s="60" t="n"/>
      <c r="B2772" s="60" t="n"/>
      <c r="C2772" s="71" t="str">
        <f>IF(B2772="","",IFERROR(INDEX(mat_des,MATCH(B2772,mat_ref,0))&amp;"","Matière inconnue"))</f>
        <v/>
      </c>
      <c r="D2772" s="69" t="str">
        <f>IF(B2772="","",IFERROR(INDEX(mat_unit,MATCH(B2772,mat_ref,0))&amp;"",""))</f>
        <v/>
      </c>
      <c r="E2772" s="72" t="n"/>
      <c r="F2772" s="65" t="n"/>
      <c r="G2772" s="68" t="str">
        <f>IF(J2772&lt;&gt;"OK","",IF(F2772="",N(INDEX(mat_loss,MATCH(B2772,mat_ref,0))),F2772))</f>
        <v/>
      </c>
      <c r="H2772" s="66" t="str">
        <f>IF(J2772&lt;&gt;"OK","",INDEX(mat_price,MATCH(B2772,mat_ref,0)))</f>
        <v/>
      </c>
      <c r="I2772" s="66" t="str">
        <f>IF(J2772&lt;&gt;"OK","",E2772*(1+G2772)*H2772)</f>
        <v/>
      </c>
      <c r="J2772" s="69" t="str">
        <f>IF(AND(A2772="",B2772=""),"",IF(A2772="","Produit manquant",IF(COUNTIF(prod_ref,A2772)=0,"Produit inconnu",IF(B2772="","Matière manquante",IF(ISNA(MATCH(B2772,mat_ref,0)),"Matière inconnue",IF(INDEX(mat_check,MATCH(B2772,mat_ref,0))&lt;&gt;"OK","Matière à corriger",IF(OR(NOT(ISNUMBER(E2772)),N(E2772)&lt;=0),"Quantité invalide",IF(AND(F2772&lt;&gt;"",OR(NOT(ISNUMBER(F2772)),N(F2772)&lt;0,N(F2772)&gt;=1)),"Perte entre 0 et 99 %",IF(COUNTIFS(bom_prod,A2772,bom_mat,B2772)&gt;1,"Matière en double","OK")))))))))</f>
        <v/>
      </c>
      <c r="K2772" s="71" t="str">
        <f>IF(AND(fiche_sel&lt;&gt;"",A2772=fiche_sel),COUNTIF(A$6:A2772,fiche_sel),"")</f>
        <v/>
      </c>
    </row>
    <row r="2773">
      <c r="A2773" s="60" t="n"/>
      <c r="B2773" s="60" t="n"/>
      <c r="C2773" s="71" t="str">
        <f>IF(B2773="","",IFERROR(INDEX(mat_des,MATCH(B2773,mat_ref,0))&amp;"","Matière inconnue"))</f>
        <v/>
      </c>
      <c r="D2773" s="69" t="str">
        <f>IF(B2773="","",IFERROR(INDEX(mat_unit,MATCH(B2773,mat_ref,0))&amp;"",""))</f>
        <v/>
      </c>
      <c r="E2773" s="72" t="n"/>
      <c r="F2773" s="65" t="n"/>
      <c r="G2773" s="68" t="str">
        <f>IF(J2773&lt;&gt;"OK","",IF(F2773="",N(INDEX(mat_loss,MATCH(B2773,mat_ref,0))),F2773))</f>
        <v/>
      </c>
      <c r="H2773" s="66" t="str">
        <f>IF(J2773&lt;&gt;"OK","",INDEX(mat_price,MATCH(B2773,mat_ref,0)))</f>
        <v/>
      </c>
      <c r="I2773" s="66" t="str">
        <f>IF(J2773&lt;&gt;"OK","",E2773*(1+G2773)*H2773)</f>
        <v/>
      </c>
      <c r="J2773" s="69" t="str">
        <f>IF(AND(A2773="",B2773=""),"",IF(A2773="","Produit manquant",IF(COUNTIF(prod_ref,A2773)=0,"Produit inconnu",IF(B2773="","Matière manquante",IF(ISNA(MATCH(B2773,mat_ref,0)),"Matière inconnue",IF(INDEX(mat_check,MATCH(B2773,mat_ref,0))&lt;&gt;"OK","Matière à corriger",IF(OR(NOT(ISNUMBER(E2773)),N(E2773)&lt;=0),"Quantité invalide",IF(AND(F2773&lt;&gt;"",OR(NOT(ISNUMBER(F2773)),N(F2773)&lt;0,N(F2773)&gt;=1)),"Perte entre 0 et 99 %",IF(COUNTIFS(bom_prod,A2773,bom_mat,B2773)&gt;1,"Matière en double","OK")))))))))</f>
        <v/>
      </c>
      <c r="K2773" s="71" t="str">
        <f>IF(AND(fiche_sel&lt;&gt;"",A2773=fiche_sel),COUNTIF(A$6:A2773,fiche_sel),"")</f>
        <v/>
      </c>
    </row>
    <row r="2774">
      <c r="A2774" s="60" t="n"/>
      <c r="B2774" s="60" t="n"/>
      <c r="C2774" s="71" t="str">
        <f>IF(B2774="","",IFERROR(INDEX(mat_des,MATCH(B2774,mat_ref,0))&amp;"","Matière inconnue"))</f>
        <v/>
      </c>
      <c r="D2774" s="69" t="str">
        <f>IF(B2774="","",IFERROR(INDEX(mat_unit,MATCH(B2774,mat_ref,0))&amp;"",""))</f>
        <v/>
      </c>
      <c r="E2774" s="72" t="n"/>
      <c r="F2774" s="65" t="n"/>
      <c r="G2774" s="68" t="str">
        <f>IF(J2774&lt;&gt;"OK","",IF(F2774="",N(INDEX(mat_loss,MATCH(B2774,mat_ref,0))),F2774))</f>
        <v/>
      </c>
      <c r="H2774" s="66" t="str">
        <f>IF(J2774&lt;&gt;"OK","",INDEX(mat_price,MATCH(B2774,mat_ref,0)))</f>
        <v/>
      </c>
      <c r="I2774" s="66" t="str">
        <f>IF(J2774&lt;&gt;"OK","",E2774*(1+G2774)*H2774)</f>
        <v/>
      </c>
      <c r="J2774" s="69" t="str">
        <f>IF(AND(A2774="",B2774=""),"",IF(A2774="","Produit manquant",IF(COUNTIF(prod_ref,A2774)=0,"Produit inconnu",IF(B2774="","Matière manquante",IF(ISNA(MATCH(B2774,mat_ref,0)),"Matière inconnue",IF(INDEX(mat_check,MATCH(B2774,mat_ref,0))&lt;&gt;"OK","Matière à corriger",IF(OR(NOT(ISNUMBER(E2774)),N(E2774)&lt;=0),"Quantité invalide",IF(AND(F2774&lt;&gt;"",OR(NOT(ISNUMBER(F2774)),N(F2774)&lt;0,N(F2774)&gt;=1)),"Perte entre 0 et 99 %",IF(COUNTIFS(bom_prod,A2774,bom_mat,B2774)&gt;1,"Matière en double","OK")))))))))</f>
        <v/>
      </c>
      <c r="K2774" s="71" t="str">
        <f>IF(AND(fiche_sel&lt;&gt;"",A2774=fiche_sel),COUNTIF(A$6:A2774,fiche_sel),"")</f>
        <v/>
      </c>
    </row>
    <row r="2775">
      <c r="A2775" s="60" t="n"/>
      <c r="B2775" s="60" t="n"/>
      <c r="C2775" s="71" t="str">
        <f>IF(B2775="","",IFERROR(INDEX(mat_des,MATCH(B2775,mat_ref,0))&amp;"","Matière inconnue"))</f>
        <v/>
      </c>
      <c r="D2775" s="69" t="str">
        <f>IF(B2775="","",IFERROR(INDEX(mat_unit,MATCH(B2775,mat_ref,0))&amp;"",""))</f>
        <v/>
      </c>
      <c r="E2775" s="72" t="n"/>
      <c r="F2775" s="65" t="n"/>
      <c r="G2775" s="68" t="str">
        <f>IF(J2775&lt;&gt;"OK","",IF(F2775="",N(INDEX(mat_loss,MATCH(B2775,mat_ref,0))),F2775))</f>
        <v/>
      </c>
      <c r="H2775" s="66" t="str">
        <f>IF(J2775&lt;&gt;"OK","",INDEX(mat_price,MATCH(B2775,mat_ref,0)))</f>
        <v/>
      </c>
      <c r="I2775" s="66" t="str">
        <f>IF(J2775&lt;&gt;"OK","",E2775*(1+G2775)*H2775)</f>
        <v/>
      </c>
      <c r="J2775" s="69" t="str">
        <f>IF(AND(A2775="",B2775=""),"",IF(A2775="","Produit manquant",IF(COUNTIF(prod_ref,A2775)=0,"Produit inconnu",IF(B2775="","Matière manquante",IF(ISNA(MATCH(B2775,mat_ref,0)),"Matière inconnue",IF(INDEX(mat_check,MATCH(B2775,mat_ref,0))&lt;&gt;"OK","Matière à corriger",IF(OR(NOT(ISNUMBER(E2775)),N(E2775)&lt;=0),"Quantité invalide",IF(AND(F2775&lt;&gt;"",OR(NOT(ISNUMBER(F2775)),N(F2775)&lt;0,N(F2775)&gt;=1)),"Perte entre 0 et 99 %",IF(COUNTIFS(bom_prod,A2775,bom_mat,B2775)&gt;1,"Matière en double","OK")))))))))</f>
        <v/>
      </c>
      <c r="K2775" s="71" t="str">
        <f>IF(AND(fiche_sel&lt;&gt;"",A2775=fiche_sel),COUNTIF(A$6:A2775,fiche_sel),"")</f>
        <v/>
      </c>
    </row>
    <row r="2776">
      <c r="A2776" s="60" t="n"/>
      <c r="B2776" s="60" t="n"/>
      <c r="C2776" s="71" t="str">
        <f>IF(B2776="","",IFERROR(INDEX(mat_des,MATCH(B2776,mat_ref,0))&amp;"","Matière inconnue"))</f>
        <v/>
      </c>
      <c r="D2776" s="69" t="str">
        <f>IF(B2776="","",IFERROR(INDEX(mat_unit,MATCH(B2776,mat_ref,0))&amp;"",""))</f>
        <v/>
      </c>
      <c r="E2776" s="72" t="n"/>
      <c r="F2776" s="65" t="n"/>
      <c r="G2776" s="68" t="str">
        <f>IF(J2776&lt;&gt;"OK","",IF(F2776="",N(INDEX(mat_loss,MATCH(B2776,mat_ref,0))),F2776))</f>
        <v/>
      </c>
      <c r="H2776" s="66" t="str">
        <f>IF(J2776&lt;&gt;"OK","",INDEX(mat_price,MATCH(B2776,mat_ref,0)))</f>
        <v/>
      </c>
      <c r="I2776" s="66" t="str">
        <f>IF(J2776&lt;&gt;"OK","",E2776*(1+G2776)*H2776)</f>
        <v/>
      </c>
      <c r="J2776" s="69" t="str">
        <f>IF(AND(A2776="",B2776=""),"",IF(A2776="","Produit manquant",IF(COUNTIF(prod_ref,A2776)=0,"Produit inconnu",IF(B2776="","Matière manquante",IF(ISNA(MATCH(B2776,mat_ref,0)),"Matière inconnue",IF(INDEX(mat_check,MATCH(B2776,mat_ref,0))&lt;&gt;"OK","Matière à corriger",IF(OR(NOT(ISNUMBER(E2776)),N(E2776)&lt;=0),"Quantité invalide",IF(AND(F2776&lt;&gt;"",OR(NOT(ISNUMBER(F2776)),N(F2776)&lt;0,N(F2776)&gt;=1)),"Perte entre 0 et 99 %",IF(COUNTIFS(bom_prod,A2776,bom_mat,B2776)&gt;1,"Matière en double","OK")))))))))</f>
        <v/>
      </c>
      <c r="K2776" s="71" t="str">
        <f>IF(AND(fiche_sel&lt;&gt;"",A2776=fiche_sel),COUNTIF(A$6:A2776,fiche_sel),"")</f>
        <v/>
      </c>
    </row>
    <row r="2777">
      <c r="A2777" s="60" t="n"/>
      <c r="B2777" s="60" t="n"/>
      <c r="C2777" s="71" t="str">
        <f>IF(B2777="","",IFERROR(INDEX(mat_des,MATCH(B2777,mat_ref,0))&amp;"","Matière inconnue"))</f>
        <v/>
      </c>
      <c r="D2777" s="69" t="str">
        <f>IF(B2777="","",IFERROR(INDEX(mat_unit,MATCH(B2777,mat_ref,0))&amp;"",""))</f>
        <v/>
      </c>
      <c r="E2777" s="72" t="n"/>
      <c r="F2777" s="65" t="n"/>
      <c r="G2777" s="68" t="str">
        <f>IF(J2777&lt;&gt;"OK","",IF(F2777="",N(INDEX(mat_loss,MATCH(B2777,mat_ref,0))),F2777))</f>
        <v/>
      </c>
      <c r="H2777" s="66" t="str">
        <f>IF(J2777&lt;&gt;"OK","",INDEX(mat_price,MATCH(B2777,mat_ref,0)))</f>
        <v/>
      </c>
      <c r="I2777" s="66" t="str">
        <f>IF(J2777&lt;&gt;"OK","",E2777*(1+G2777)*H2777)</f>
        <v/>
      </c>
      <c r="J2777" s="69" t="str">
        <f>IF(AND(A2777="",B2777=""),"",IF(A2777="","Produit manquant",IF(COUNTIF(prod_ref,A2777)=0,"Produit inconnu",IF(B2777="","Matière manquante",IF(ISNA(MATCH(B2777,mat_ref,0)),"Matière inconnue",IF(INDEX(mat_check,MATCH(B2777,mat_ref,0))&lt;&gt;"OK","Matière à corriger",IF(OR(NOT(ISNUMBER(E2777)),N(E2777)&lt;=0),"Quantité invalide",IF(AND(F2777&lt;&gt;"",OR(NOT(ISNUMBER(F2777)),N(F2777)&lt;0,N(F2777)&gt;=1)),"Perte entre 0 et 99 %",IF(COUNTIFS(bom_prod,A2777,bom_mat,B2777)&gt;1,"Matière en double","OK")))))))))</f>
        <v/>
      </c>
      <c r="K2777" s="71" t="str">
        <f>IF(AND(fiche_sel&lt;&gt;"",A2777=fiche_sel),COUNTIF(A$6:A2777,fiche_sel),"")</f>
        <v/>
      </c>
    </row>
    <row r="2778">
      <c r="A2778" s="60" t="n"/>
      <c r="B2778" s="60" t="n"/>
      <c r="C2778" s="71" t="str">
        <f>IF(B2778="","",IFERROR(INDEX(mat_des,MATCH(B2778,mat_ref,0))&amp;"","Matière inconnue"))</f>
        <v/>
      </c>
      <c r="D2778" s="69" t="str">
        <f>IF(B2778="","",IFERROR(INDEX(mat_unit,MATCH(B2778,mat_ref,0))&amp;"",""))</f>
        <v/>
      </c>
      <c r="E2778" s="72" t="n"/>
      <c r="F2778" s="65" t="n"/>
      <c r="G2778" s="68" t="str">
        <f>IF(J2778&lt;&gt;"OK","",IF(F2778="",N(INDEX(mat_loss,MATCH(B2778,mat_ref,0))),F2778))</f>
        <v/>
      </c>
      <c r="H2778" s="66" t="str">
        <f>IF(J2778&lt;&gt;"OK","",INDEX(mat_price,MATCH(B2778,mat_ref,0)))</f>
        <v/>
      </c>
      <c r="I2778" s="66" t="str">
        <f>IF(J2778&lt;&gt;"OK","",E2778*(1+G2778)*H2778)</f>
        <v/>
      </c>
      <c r="J2778" s="69" t="str">
        <f>IF(AND(A2778="",B2778=""),"",IF(A2778="","Produit manquant",IF(COUNTIF(prod_ref,A2778)=0,"Produit inconnu",IF(B2778="","Matière manquante",IF(ISNA(MATCH(B2778,mat_ref,0)),"Matière inconnue",IF(INDEX(mat_check,MATCH(B2778,mat_ref,0))&lt;&gt;"OK","Matière à corriger",IF(OR(NOT(ISNUMBER(E2778)),N(E2778)&lt;=0),"Quantité invalide",IF(AND(F2778&lt;&gt;"",OR(NOT(ISNUMBER(F2778)),N(F2778)&lt;0,N(F2778)&gt;=1)),"Perte entre 0 et 99 %",IF(COUNTIFS(bom_prod,A2778,bom_mat,B2778)&gt;1,"Matière en double","OK")))))))))</f>
        <v/>
      </c>
      <c r="K2778" s="71" t="str">
        <f>IF(AND(fiche_sel&lt;&gt;"",A2778=fiche_sel),COUNTIF(A$6:A2778,fiche_sel),"")</f>
        <v/>
      </c>
    </row>
    <row r="2779">
      <c r="A2779" s="60" t="n"/>
      <c r="B2779" s="60" t="n"/>
      <c r="C2779" s="71" t="str">
        <f>IF(B2779="","",IFERROR(INDEX(mat_des,MATCH(B2779,mat_ref,0))&amp;"","Matière inconnue"))</f>
        <v/>
      </c>
      <c r="D2779" s="69" t="str">
        <f>IF(B2779="","",IFERROR(INDEX(mat_unit,MATCH(B2779,mat_ref,0))&amp;"",""))</f>
        <v/>
      </c>
      <c r="E2779" s="72" t="n"/>
      <c r="F2779" s="65" t="n"/>
      <c r="G2779" s="68" t="str">
        <f>IF(J2779&lt;&gt;"OK","",IF(F2779="",N(INDEX(mat_loss,MATCH(B2779,mat_ref,0))),F2779))</f>
        <v/>
      </c>
      <c r="H2779" s="66" t="str">
        <f>IF(J2779&lt;&gt;"OK","",INDEX(mat_price,MATCH(B2779,mat_ref,0)))</f>
        <v/>
      </c>
      <c r="I2779" s="66" t="str">
        <f>IF(J2779&lt;&gt;"OK","",E2779*(1+G2779)*H2779)</f>
        <v/>
      </c>
      <c r="J2779" s="69" t="str">
        <f>IF(AND(A2779="",B2779=""),"",IF(A2779="","Produit manquant",IF(COUNTIF(prod_ref,A2779)=0,"Produit inconnu",IF(B2779="","Matière manquante",IF(ISNA(MATCH(B2779,mat_ref,0)),"Matière inconnue",IF(INDEX(mat_check,MATCH(B2779,mat_ref,0))&lt;&gt;"OK","Matière à corriger",IF(OR(NOT(ISNUMBER(E2779)),N(E2779)&lt;=0),"Quantité invalide",IF(AND(F2779&lt;&gt;"",OR(NOT(ISNUMBER(F2779)),N(F2779)&lt;0,N(F2779)&gt;=1)),"Perte entre 0 et 99 %",IF(COUNTIFS(bom_prod,A2779,bom_mat,B2779)&gt;1,"Matière en double","OK")))))))))</f>
        <v/>
      </c>
      <c r="K2779" s="71" t="str">
        <f>IF(AND(fiche_sel&lt;&gt;"",A2779=fiche_sel),COUNTIF(A$6:A2779,fiche_sel),"")</f>
        <v/>
      </c>
    </row>
    <row r="2780">
      <c r="A2780" s="60" t="n"/>
      <c r="B2780" s="60" t="n"/>
      <c r="C2780" s="71" t="str">
        <f>IF(B2780="","",IFERROR(INDEX(mat_des,MATCH(B2780,mat_ref,0))&amp;"","Matière inconnue"))</f>
        <v/>
      </c>
      <c r="D2780" s="69" t="str">
        <f>IF(B2780="","",IFERROR(INDEX(mat_unit,MATCH(B2780,mat_ref,0))&amp;"",""))</f>
        <v/>
      </c>
      <c r="E2780" s="72" t="n"/>
      <c r="F2780" s="65" t="n"/>
      <c r="G2780" s="68" t="str">
        <f>IF(J2780&lt;&gt;"OK","",IF(F2780="",N(INDEX(mat_loss,MATCH(B2780,mat_ref,0))),F2780))</f>
        <v/>
      </c>
      <c r="H2780" s="66" t="str">
        <f>IF(J2780&lt;&gt;"OK","",INDEX(mat_price,MATCH(B2780,mat_ref,0)))</f>
        <v/>
      </c>
      <c r="I2780" s="66" t="str">
        <f>IF(J2780&lt;&gt;"OK","",E2780*(1+G2780)*H2780)</f>
        <v/>
      </c>
      <c r="J2780" s="69" t="str">
        <f>IF(AND(A2780="",B2780=""),"",IF(A2780="","Produit manquant",IF(COUNTIF(prod_ref,A2780)=0,"Produit inconnu",IF(B2780="","Matière manquante",IF(ISNA(MATCH(B2780,mat_ref,0)),"Matière inconnue",IF(INDEX(mat_check,MATCH(B2780,mat_ref,0))&lt;&gt;"OK","Matière à corriger",IF(OR(NOT(ISNUMBER(E2780)),N(E2780)&lt;=0),"Quantité invalide",IF(AND(F2780&lt;&gt;"",OR(NOT(ISNUMBER(F2780)),N(F2780)&lt;0,N(F2780)&gt;=1)),"Perte entre 0 et 99 %",IF(COUNTIFS(bom_prod,A2780,bom_mat,B2780)&gt;1,"Matière en double","OK")))))))))</f>
        <v/>
      </c>
      <c r="K2780" s="71" t="str">
        <f>IF(AND(fiche_sel&lt;&gt;"",A2780=fiche_sel),COUNTIF(A$6:A2780,fiche_sel),"")</f>
        <v/>
      </c>
    </row>
    <row r="2781">
      <c r="A2781" s="60" t="n"/>
      <c r="B2781" s="60" t="n"/>
      <c r="C2781" s="71" t="str">
        <f>IF(B2781="","",IFERROR(INDEX(mat_des,MATCH(B2781,mat_ref,0))&amp;"","Matière inconnue"))</f>
        <v/>
      </c>
      <c r="D2781" s="69" t="str">
        <f>IF(B2781="","",IFERROR(INDEX(mat_unit,MATCH(B2781,mat_ref,0))&amp;"",""))</f>
        <v/>
      </c>
      <c r="E2781" s="72" t="n"/>
      <c r="F2781" s="65" t="n"/>
      <c r="G2781" s="68" t="str">
        <f>IF(J2781&lt;&gt;"OK","",IF(F2781="",N(INDEX(mat_loss,MATCH(B2781,mat_ref,0))),F2781))</f>
        <v/>
      </c>
      <c r="H2781" s="66" t="str">
        <f>IF(J2781&lt;&gt;"OK","",INDEX(mat_price,MATCH(B2781,mat_ref,0)))</f>
        <v/>
      </c>
      <c r="I2781" s="66" t="str">
        <f>IF(J2781&lt;&gt;"OK","",E2781*(1+G2781)*H2781)</f>
        <v/>
      </c>
      <c r="J2781" s="69" t="str">
        <f>IF(AND(A2781="",B2781=""),"",IF(A2781="","Produit manquant",IF(COUNTIF(prod_ref,A2781)=0,"Produit inconnu",IF(B2781="","Matière manquante",IF(ISNA(MATCH(B2781,mat_ref,0)),"Matière inconnue",IF(INDEX(mat_check,MATCH(B2781,mat_ref,0))&lt;&gt;"OK","Matière à corriger",IF(OR(NOT(ISNUMBER(E2781)),N(E2781)&lt;=0),"Quantité invalide",IF(AND(F2781&lt;&gt;"",OR(NOT(ISNUMBER(F2781)),N(F2781)&lt;0,N(F2781)&gt;=1)),"Perte entre 0 et 99 %",IF(COUNTIFS(bom_prod,A2781,bom_mat,B2781)&gt;1,"Matière en double","OK")))))))))</f>
        <v/>
      </c>
      <c r="K2781" s="71" t="str">
        <f>IF(AND(fiche_sel&lt;&gt;"",A2781=fiche_sel),COUNTIF(A$6:A2781,fiche_sel),"")</f>
        <v/>
      </c>
    </row>
    <row r="2782">
      <c r="A2782" s="60" t="n"/>
      <c r="B2782" s="60" t="n"/>
      <c r="C2782" s="71" t="str">
        <f>IF(B2782="","",IFERROR(INDEX(mat_des,MATCH(B2782,mat_ref,0))&amp;"","Matière inconnue"))</f>
        <v/>
      </c>
      <c r="D2782" s="69" t="str">
        <f>IF(B2782="","",IFERROR(INDEX(mat_unit,MATCH(B2782,mat_ref,0))&amp;"",""))</f>
        <v/>
      </c>
      <c r="E2782" s="72" t="n"/>
      <c r="F2782" s="65" t="n"/>
      <c r="G2782" s="68" t="str">
        <f>IF(J2782&lt;&gt;"OK","",IF(F2782="",N(INDEX(mat_loss,MATCH(B2782,mat_ref,0))),F2782))</f>
        <v/>
      </c>
      <c r="H2782" s="66" t="str">
        <f>IF(J2782&lt;&gt;"OK","",INDEX(mat_price,MATCH(B2782,mat_ref,0)))</f>
        <v/>
      </c>
      <c r="I2782" s="66" t="str">
        <f>IF(J2782&lt;&gt;"OK","",E2782*(1+G2782)*H2782)</f>
        <v/>
      </c>
      <c r="J2782" s="69" t="str">
        <f>IF(AND(A2782="",B2782=""),"",IF(A2782="","Produit manquant",IF(COUNTIF(prod_ref,A2782)=0,"Produit inconnu",IF(B2782="","Matière manquante",IF(ISNA(MATCH(B2782,mat_ref,0)),"Matière inconnue",IF(INDEX(mat_check,MATCH(B2782,mat_ref,0))&lt;&gt;"OK","Matière à corriger",IF(OR(NOT(ISNUMBER(E2782)),N(E2782)&lt;=0),"Quantité invalide",IF(AND(F2782&lt;&gt;"",OR(NOT(ISNUMBER(F2782)),N(F2782)&lt;0,N(F2782)&gt;=1)),"Perte entre 0 et 99 %",IF(COUNTIFS(bom_prod,A2782,bom_mat,B2782)&gt;1,"Matière en double","OK")))))))))</f>
        <v/>
      </c>
      <c r="K2782" s="71" t="str">
        <f>IF(AND(fiche_sel&lt;&gt;"",A2782=fiche_sel),COUNTIF(A$6:A2782,fiche_sel),"")</f>
        <v/>
      </c>
    </row>
    <row r="2783">
      <c r="A2783" s="60" t="n"/>
      <c r="B2783" s="60" t="n"/>
      <c r="C2783" s="71" t="str">
        <f>IF(B2783="","",IFERROR(INDEX(mat_des,MATCH(B2783,mat_ref,0))&amp;"","Matière inconnue"))</f>
        <v/>
      </c>
      <c r="D2783" s="69" t="str">
        <f>IF(B2783="","",IFERROR(INDEX(mat_unit,MATCH(B2783,mat_ref,0))&amp;"",""))</f>
        <v/>
      </c>
      <c r="E2783" s="72" t="n"/>
      <c r="F2783" s="65" t="n"/>
      <c r="G2783" s="68" t="str">
        <f>IF(J2783&lt;&gt;"OK","",IF(F2783="",N(INDEX(mat_loss,MATCH(B2783,mat_ref,0))),F2783))</f>
        <v/>
      </c>
      <c r="H2783" s="66" t="str">
        <f>IF(J2783&lt;&gt;"OK","",INDEX(mat_price,MATCH(B2783,mat_ref,0)))</f>
        <v/>
      </c>
      <c r="I2783" s="66" t="str">
        <f>IF(J2783&lt;&gt;"OK","",E2783*(1+G2783)*H2783)</f>
        <v/>
      </c>
      <c r="J2783" s="69" t="str">
        <f>IF(AND(A2783="",B2783=""),"",IF(A2783="","Produit manquant",IF(COUNTIF(prod_ref,A2783)=0,"Produit inconnu",IF(B2783="","Matière manquante",IF(ISNA(MATCH(B2783,mat_ref,0)),"Matière inconnue",IF(INDEX(mat_check,MATCH(B2783,mat_ref,0))&lt;&gt;"OK","Matière à corriger",IF(OR(NOT(ISNUMBER(E2783)),N(E2783)&lt;=0),"Quantité invalide",IF(AND(F2783&lt;&gt;"",OR(NOT(ISNUMBER(F2783)),N(F2783)&lt;0,N(F2783)&gt;=1)),"Perte entre 0 et 99 %",IF(COUNTIFS(bom_prod,A2783,bom_mat,B2783)&gt;1,"Matière en double","OK")))))))))</f>
        <v/>
      </c>
      <c r="K2783" s="71" t="str">
        <f>IF(AND(fiche_sel&lt;&gt;"",A2783=fiche_sel),COUNTIF(A$6:A2783,fiche_sel),"")</f>
        <v/>
      </c>
    </row>
    <row r="2784">
      <c r="A2784" s="60" t="n"/>
      <c r="B2784" s="60" t="n"/>
      <c r="C2784" s="71" t="str">
        <f>IF(B2784="","",IFERROR(INDEX(mat_des,MATCH(B2784,mat_ref,0))&amp;"","Matière inconnue"))</f>
        <v/>
      </c>
      <c r="D2784" s="69" t="str">
        <f>IF(B2784="","",IFERROR(INDEX(mat_unit,MATCH(B2784,mat_ref,0))&amp;"",""))</f>
        <v/>
      </c>
      <c r="E2784" s="72" t="n"/>
      <c r="F2784" s="65" t="n"/>
      <c r="G2784" s="68" t="str">
        <f>IF(J2784&lt;&gt;"OK","",IF(F2784="",N(INDEX(mat_loss,MATCH(B2784,mat_ref,0))),F2784))</f>
        <v/>
      </c>
      <c r="H2784" s="66" t="str">
        <f>IF(J2784&lt;&gt;"OK","",INDEX(mat_price,MATCH(B2784,mat_ref,0)))</f>
        <v/>
      </c>
      <c r="I2784" s="66" t="str">
        <f>IF(J2784&lt;&gt;"OK","",E2784*(1+G2784)*H2784)</f>
        <v/>
      </c>
      <c r="J2784" s="69" t="str">
        <f>IF(AND(A2784="",B2784=""),"",IF(A2784="","Produit manquant",IF(COUNTIF(prod_ref,A2784)=0,"Produit inconnu",IF(B2784="","Matière manquante",IF(ISNA(MATCH(B2784,mat_ref,0)),"Matière inconnue",IF(INDEX(mat_check,MATCH(B2784,mat_ref,0))&lt;&gt;"OK","Matière à corriger",IF(OR(NOT(ISNUMBER(E2784)),N(E2784)&lt;=0),"Quantité invalide",IF(AND(F2784&lt;&gt;"",OR(NOT(ISNUMBER(F2784)),N(F2784)&lt;0,N(F2784)&gt;=1)),"Perte entre 0 et 99 %",IF(COUNTIFS(bom_prod,A2784,bom_mat,B2784)&gt;1,"Matière en double","OK")))))))))</f>
        <v/>
      </c>
      <c r="K2784" s="71" t="str">
        <f>IF(AND(fiche_sel&lt;&gt;"",A2784=fiche_sel),COUNTIF(A$6:A2784,fiche_sel),"")</f>
        <v/>
      </c>
    </row>
    <row r="2785">
      <c r="A2785" s="60" t="n"/>
      <c r="B2785" s="60" t="n"/>
      <c r="C2785" s="71" t="str">
        <f>IF(B2785="","",IFERROR(INDEX(mat_des,MATCH(B2785,mat_ref,0))&amp;"","Matière inconnue"))</f>
        <v/>
      </c>
      <c r="D2785" s="69" t="str">
        <f>IF(B2785="","",IFERROR(INDEX(mat_unit,MATCH(B2785,mat_ref,0))&amp;"",""))</f>
        <v/>
      </c>
      <c r="E2785" s="72" t="n"/>
      <c r="F2785" s="65" t="n"/>
      <c r="G2785" s="68" t="str">
        <f>IF(J2785&lt;&gt;"OK","",IF(F2785="",N(INDEX(mat_loss,MATCH(B2785,mat_ref,0))),F2785))</f>
        <v/>
      </c>
      <c r="H2785" s="66" t="str">
        <f>IF(J2785&lt;&gt;"OK","",INDEX(mat_price,MATCH(B2785,mat_ref,0)))</f>
        <v/>
      </c>
      <c r="I2785" s="66" t="str">
        <f>IF(J2785&lt;&gt;"OK","",E2785*(1+G2785)*H2785)</f>
        <v/>
      </c>
      <c r="J2785" s="69" t="str">
        <f>IF(AND(A2785="",B2785=""),"",IF(A2785="","Produit manquant",IF(COUNTIF(prod_ref,A2785)=0,"Produit inconnu",IF(B2785="","Matière manquante",IF(ISNA(MATCH(B2785,mat_ref,0)),"Matière inconnue",IF(INDEX(mat_check,MATCH(B2785,mat_ref,0))&lt;&gt;"OK","Matière à corriger",IF(OR(NOT(ISNUMBER(E2785)),N(E2785)&lt;=0),"Quantité invalide",IF(AND(F2785&lt;&gt;"",OR(NOT(ISNUMBER(F2785)),N(F2785)&lt;0,N(F2785)&gt;=1)),"Perte entre 0 et 99 %",IF(COUNTIFS(bom_prod,A2785,bom_mat,B2785)&gt;1,"Matière en double","OK")))))))))</f>
        <v/>
      </c>
      <c r="K2785" s="71" t="str">
        <f>IF(AND(fiche_sel&lt;&gt;"",A2785=fiche_sel),COUNTIF(A$6:A2785,fiche_sel),"")</f>
        <v/>
      </c>
    </row>
    <row r="2786">
      <c r="A2786" s="60" t="n"/>
      <c r="B2786" s="60" t="n"/>
      <c r="C2786" s="71" t="str">
        <f>IF(B2786="","",IFERROR(INDEX(mat_des,MATCH(B2786,mat_ref,0))&amp;"","Matière inconnue"))</f>
        <v/>
      </c>
      <c r="D2786" s="69" t="str">
        <f>IF(B2786="","",IFERROR(INDEX(mat_unit,MATCH(B2786,mat_ref,0))&amp;"",""))</f>
        <v/>
      </c>
      <c r="E2786" s="72" t="n"/>
      <c r="F2786" s="65" t="n"/>
      <c r="G2786" s="68" t="str">
        <f>IF(J2786&lt;&gt;"OK","",IF(F2786="",N(INDEX(mat_loss,MATCH(B2786,mat_ref,0))),F2786))</f>
        <v/>
      </c>
      <c r="H2786" s="66" t="str">
        <f>IF(J2786&lt;&gt;"OK","",INDEX(mat_price,MATCH(B2786,mat_ref,0)))</f>
        <v/>
      </c>
      <c r="I2786" s="66" t="str">
        <f>IF(J2786&lt;&gt;"OK","",E2786*(1+G2786)*H2786)</f>
        <v/>
      </c>
      <c r="J2786" s="69" t="str">
        <f>IF(AND(A2786="",B2786=""),"",IF(A2786="","Produit manquant",IF(COUNTIF(prod_ref,A2786)=0,"Produit inconnu",IF(B2786="","Matière manquante",IF(ISNA(MATCH(B2786,mat_ref,0)),"Matière inconnue",IF(INDEX(mat_check,MATCH(B2786,mat_ref,0))&lt;&gt;"OK","Matière à corriger",IF(OR(NOT(ISNUMBER(E2786)),N(E2786)&lt;=0),"Quantité invalide",IF(AND(F2786&lt;&gt;"",OR(NOT(ISNUMBER(F2786)),N(F2786)&lt;0,N(F2786)&gt;=1)),"Perte entre 0 et 99 %",IF(COUNTIFS(bom_prod,A2786,bom_mat,B2786)&gt;1,"Matière en double","OK")))))))))</f>
        <v/>
      </c>
      <c r="K2786" s="71" t="str">
        <f>IF(AND(fiche_sel&lt;&gt;"",A2786=fiche_sel),COUNTIF(A$6:A2786,fiche_sel),"")</f>
        <v/>
      </c>
    </row>
    <row r="2787">
      <c r="A2787" s="60" t="n"/>
      <c r="B2787" s="60" t="n"/>
      <c r="C2787" s="71" t="str">
        <f>IF(B2787="","",IFERROR(INDEX(mat_des,MATCH(B2787,mat_ref,0))&amp;"","Matière inconnue"))</f>
        <v/>
      </c>
      <c r="D2787" s="69" t="str">
        <f>IF(B2787="","",IFERROR(INDEX(mat_unit,MATCH(B2787,mat_ref,0))&amp;"",""))</f>
        <v/>
      </c>
      <c r="E2787" s="72" t="n"/>
      <c r="F2787" s="65" t="n"/>
      <c r="G2787" s="68" t="str">
        <f>IF(J2787&lt;&gt;"OK","",IF(F2787="",N(INDEX(mat_loss,MATCH(B2787,mat_ref,0))),F2787))</f>
        <v/>
      </c>
      <c r="H2787" s="66" t="str">
        <f>IF(J2787&lt;&gt;"OK","",INDEX(mat_price,MATCH(B2787,mat_ref,0)))</f>
        <v/>
      </c>
      <c r="I2787" s="66" t="str">
        <f>IF(J2787&lt;&gt;"OK","",E2787*(1+G2787)*H2787)</f>
        <v/>
      </c>
      <c r="J2787" s="69" t="str">
        <f>IF(AND(A2787="",B2787=""),"",IF(A2787="","Produit manquant",IF(COUNTIF(prod_ref,A2787)=0,"Produit inconnu",IF(B2787="","Matière manquante",IF(ISNA(MATCH(B2787,mat_ref,0)),"Matière inconnue",IF(INDEX(mat_check,MATCH(B2787,mat_ref,0))&lt;&gt;"OK","Matière à corriger",IF(OR(NOT(ISNUMBER(E2787)),N(E2787)&lt;=0),"Quantité invalide",IF(AND(F2787&lt;&gt;"",OR(NOT(ISNUMBER(F2787)),N(F2787)&lt;0,N(F2787)&gt;=1)),"Perte entre 0 et 99 %",IF(COUNTIFS(bom_prod,A2787,bom_mat,B2787)&gt;1,"Matière en double","OK")))))))))</f>
        <v/>
      </c>
      <c r="K2787" s="71" t="str">
        <f>IF(AND(fiche_sel&lt;&gt;"",A2787=fiche_sel),COUNTIF(A$6:A2787,fiche_sel),"")</f>
        <v/>
      </c>
    </row>
    <row r="2788">
      <c r="A2788" s="60" t="n"/>
      <c r="B2788" s="60" t="n"/>
      <c r="C2788" s="71" t="str">
        <f>IF(B2788="","",IFERROR(INDEX(mat_des,MATCH(B2788,mat_ref,0))&amp;"","Matière inconnue"))</f>
        <v/>
      </c>
      <c r="D2788" s="69" t="str">
        <f>IF(B2788="","",IFERROR(INDEX(mat_unit,MATCH(B2788,mat_ref,0))&amp;"",""))</f>
        <v/>
      </c>
      <c r="E2788" s="72" t="n"/>
      <c r="F2788" s="65" t="n"/>
      <c r="G2788" s="68" t="str">
        <f>IF(J2788&lt;&gt;"OK","",IF(F2788="",N(INDEX(mat_loss,MATCH(B2788,mat_ref,0))),F2788))</f>
        <v/>
      </c>
      <c r="H2788" s="66" t="str">
        <f>IF(J2788&lt;&gt;"OK","",INDEX(mat_price,MATCH(B2788,mat_ref,0)))</f>
        <v/>
      </c>
      <c r="I2788" s="66" t="str">
        <f>IF(J2788&lt;&gt;"OK","",E2788*(1+G2788)*H2788)</f>
        <v/>
      </c>
      <c r="J2788" s="69" t="str">
        <f>IF(AND(A2788="",B2788=""),"",IF(A2788="","Produit manquant",IF(COUNTIF(prod_ref,A2788)=0,"Produit inconnu",IF(B2788="","Matière manquante",IF(ISNA(MATCH(B2788,mat_ref,0)),"Matière inconnue",IF(INDEX(mat_check,MATCH(B2788,mat_ref,0))&lt;&gt;"OK","Matière à corriger",IF(OR(NOT(ISNUMBER(E2788)),N(E2788)&lt;=0),"Quantité invalide",IF(AND(F2788&lt;&gt;"",OR(NOT(ISNUMBER(F2788)),N(F2788)&lt;0,N(F2788)&gt;=1)),"Perte entre 0 et 99 %",IF(COUNTIFS(bom_prod,A2788,bom_mat,B2788)&gt;1,"Matière en double","OK")))))))))</f>
        <v/>
      </c>
      <c r="K2788" s="71" t="str">
        <f>IF(AND(fiche_sel&lt;&gt;"",A2788=fiche_sel),COUNTIF(A$6:A2788,fiche_sel),"")</f>
        <v/>
      </c>
    </row>
    <row r="2789">
      <c r="A2789" s="60" t="n"/>
      <c r="B2789" s="60" t="n"/>
      <c r="C2789" s="71" t="str">
        <f>IF(B2789="","",IFERROR(INDEX(mat_des,MATCH(B2789,mat_ref,0))&amp;"","Matière inconnue"))</f>
        <v/>
      </c>
      <c r="D2789" s="69" t="str">
        <f>IF(B2789="","",IFERROR(INDEX(mat_unit,MATCH(B2789,mat_ref,0))&amp;"",""))</f>
        <v/>
      </c>
      <c r="E2789" s="72" t="n"/>
      <c r="F2789" s="65" t="n"/>
      <c r="G2789" s="68" t="str">
        <f>IF(J2789&lt;&gt;"OK","",IF(F2789="",N(INDEX(mat_loss,MATCH(B2789,mat_ref,0))),F2789))</f>
        <v/>
      </c>
      <c r="H2789" s="66" t="str">
        <f>IF(J2789&lt;&gt;"OK","",INDEX(mat_price,MATCH(B2789,mat_ref,0)))</f>
        <v/>
      </c>
      <c r="I2789" s="66" t="str">
        <f>IF(J2789&lt;&gt;"OK","",E2789*(1+G2789)*H2789)</f>
        <v/>
      </c>
      <c r="J2789" s="69" t="str">
        <f>IF(AND(A2789="",B2789=""),"",IF(A2789="","Produit manquant",IF(COUNTIF(prod_ref,A2789)=0,"Produit inconnu",IF(B2789="","Matière manquante",IF(ISNA(MATCH(B2789,mat_ref,0)),"Matière inconnue",IF(INDEX(mat_check,MATCH(B2789,mat_ref,0))&lt;&gt;"OK","Matière à corriger",IF(OR(NOT(ISNUMBER(E2789)),N(E2789)&lt;=0),"Quantité invalide",IF(AND(F2789&lt;&gt;"",OR(NOT(ISNUMBER(F2789)),N(F2789)&lt;0,N(F2789)&gt;=1)),"Perte entre 0 et 99 %",IF(COUNTIFS(bom_prod,A2789,bom_mat,B2789)&gt;1,"Matière en double","OK")))))))))</f>
        <v/>
      </c>
      <c r="K2789" s="71" t="str">
        <f>IF(AND(fiche_sel&lt;&gt;"",A2789=fiche_sel),COUNTIF(A$6:A2789,fiche_sel),"")</f>
        <v/>
      </c>
    </row>
    <row r="2790">
      <c r="A2790" s="60" t="n"/>
      <c r="B2790" s="60" t="n"/>
      <c r="C2790" s="71" t="str">
        <f>IF(B2790="","",IFERROR(INDEX(mat_des,MATCH(B2790,mat_ref,0))&amp;"","Matière inconnue"))</f>
        <v/>
      </c>
      <c r="D2790" s="69" t="str">
        <f>IF(B2790="","",IFERROR(INDEX(mat_unit,MATCH(B2790,mat_ref,0))&amp;"",""))</f>
        <v/>
      </c>
      <c r="E2790" s="72" t="n"/>
      <c r="F2790" s="65" t="n"/>
      <c r="G2790" s="68" t="str">
        <f>IF(J2790&lt;&gt;"OK","",IF(F2790="",N(INDEX(mat_loss,MATCH(B2790,mat_ref,0))),F2790))</f>
        <v/>
      </c>
      <c r="H2790" s="66" t="str">
        <f>IF(J2790&lt;&gt;"OK","",INDEX(mat_price,MATCH(B2790,mat_ref,0)))</f>
        <v/>
      </c>
      <c r="I2790" s="66" t="str">
        <f>IF(J2790&lt;&gt;"OK","",E2790*(1+G2790)*H2790)</f>
        <v/>
      </c>
      <c r="J2790" s="69" t="str">
        <f>IF(AND(A2790="",B2790=""),"",IF(A2790="","Produit manquant",IF(COUNTIF(prod_ref,A2790)=0,"Produit inconnu",IF(B2790="","Matière manquante",IF(ISNA(MATCH(B2790,mat_ref,0)),"Matière inconnue",IF(INDEX(mat_check,MATCH(B2790,mat_ref,0))&lt;&gt;"OK","Matière à corriger",IF(OR(NOT(ISNUMBER(E2790)),N(E2790)&lt;=0),"Quantité invalide",IF(AND(F2790&lt;&gt;"",OR(NOT(ISNUMBER(F2790)),N(F2790)&lt;0,N(F2790)&gt;=1)),"Perte entre 0 et 99 %",IF(COUNTIFS(bom_prod,A2790,bom_mat,B2790)&gt;1,"Matière en double","OK")))))))))</f>
        <v/>
      </c>
      <c r="K2790" s="71" t="str">
        <f>IF(AND(fiche_sel&lt;&gt;"",A2790=fiche_sel),COUNTIF(A$6:A2790,fiche_sel),"")</f>
        <v/>
      </c>
    </row>
    <row r="2791">
      <c r="A2791" s="60" t="n"/>
      <c r="B2791" s="60" t="n"/>
      <c r="C2791" s="71" t="str">
        <f>IF(B2791="","",IFERROR(INDEX(mat_des,MATCH(B2791,mat_ref,0))&amp;"","Matière inconnue"))</f>
        <v/>
      </c>
      <c r="D2791" s="69" t="str">
        <f>IF(B2791="","",IFERROR(INDEX(mat_unit,MATCH(B2791,mat_ref,0))&amp;"",""))</f>
        <v/>
      </c>
      <c r="E2791" s="72" t="n"/>
      <c r="F2791" s="65" t="n"/>
      <c r="G2791" s="68" t="str">
        <f>IF(J2791&lt;&gt;"OK","",IF(F2791="",N(INDEX(mat_loss,MATCH(B2791,mat_ref,0))),F2791))</f>
        <v/>
      </c>
      <c r="H2791" s="66" t="str">
        <f>IF(J2791&lt;&gt;"OK","",INDEX(mat_price,MATCH(B2791,mat_ref,0)))</f>
        <v/>
      </c>
      <c r="I2791" s="66" t="str">
        <f>IF(J2791&lt;&gt;"OK","",E2791*(1+G2791)*H2791)</f>
        <v/>
      </c>
      <c r="J2791" s="69" t="str">
        <f>IF(AND(A2791="",B2791=""),"",IF(A2791="","Produit manquant",IF(COUNTIF(prod_ref,A2791)=0,"Produit inconnu",IF(B2791="","Matière manquante",IF(ISNA(MATCH(B2791,mat_ref,0)),"Matière inconnue",IF(INDEX(mat_check,MATCH(B2791,mat_ref,0))&lt;&gt;"OK","Matière à corriger",IF(OR(NOT(ISNUMBER(E2791)),N(E2791)&lt;=0),"Quantité invalide",IF(AND(F2791&lt;&gt;"",OR(NOT(ISNUMBER(F2791)),N(F2791)&lt;0,N(F2791)&gt;=1)),"Perte entre 0 et 99 %",IF(COUNTIFS(bom_prod,A2791,bom_mat,B2791)&gt;1,"Matière en double","OK")))))))))</f>
        <v/>
      </c>
      <c r="K2791" s="71" t="str">
        <f>IF(AND(fiche_sel&lt;&gt;"",A2791=fiche_sel),COUNTIF(A$6:A2791,fiche_sel),"")</f>
        <v/>
      </c>
    </row>
    <row r="2792">
      <c r="A2792" s="60" t="n"/>
      <c r="B2792" s="60" t="n"/>
      <c r="C2792" s="71" t="str">
        <f>IF(B2792="","",IFERROR(INDEX(mat_des,MATCH(B2792,mat_ref,0))&amp;"","Matière inconnue"))</f>
        <v/>
      </c>
      <c r="D2792" s="69" t="str">
        <f>IF(B2792="","",IFERROR(INDEX(mat_unit,MATCH(B2792,mat_ref,0))&amp;"",""))</f>
        <v/>
      </c>
      <c r="E2792" s="72" t="n"/>
      <c r="F2792" s="65" t="n"/>
      <c r="G2792" s="68" t="str">
        <f>IF(J2792&lt;&gt;"OK","",IF(F2792="",N(INDEX(mat_loss,MATCH(B2792,mat_ref,0))),F2792))</f>
        <v/>
      </c>
      <c r="H2792" s="66" t="str">
        <f>IF(J2792&lt;&gt;"OK","",INDEX(mat_price,MATCH(B2792,mat_ref,0)))</f>
        <v/>
      </c>
      <c r="I2792" s="66" t="str">
        <f>IF(J2792&lt;&gt;"OK","",E2792*(1+G2792)*H2792)</f>
        <v/>
      </c>
      <c r="J2792" s="69" t="str">
        <f>IF(AND(A2792="",B2792=""),"",IF(A2792="","Produit manquant",IF(COUNTIF(prod_ref,A2792)=0,"Produit inconnu",IF(B2792="","Matière manquante",IF(ISNA(MATCH(B2792,mat_ref,0)),"Matière inconnue",IF(INDEX(mat_check,MATCH(B2792,mat_ref,0))&lt;&gt;"OK","Matière à corriger",IF(OR(NOT(ISNUMBER(E2792)),N(E2792)&lt;=0),"Quantité invalide",IF(AND(F2792&lt;&gt;"",OR(NOT(ISNUMBER(F2792)),N(F2792)&lt;0,N(F2792)&gt;=1)),"Perte entre 0 et 99 %",IF(COUNTIFS(bom_prod,A2792,bom_mat,B2792)&gt;1,"Matière en double","OK")))))))))</f>
        <v/>
      </c>
      <c r="K2792" s="71" t="str">
        <f>IF(AND(fiche_sel&lt;&gt;"",A2792=fiche_sel),COUNTIF(A$6:A2792,fiche_sel),"")</f>
        <v/>
      </c>
    </row>
    <row r="2793">
      <c r="A2793" s="60" t="n"/>
      <c r="B2793" s="60" t="n"/>
      <c r="C2793" s="71" t="str">
        <f>IF(B2793="","",IFERROR(INDEX(mat_des,MATCH(B2793,mat_ref,0))&amp;"","Matière inconnue"))</f>
        <v/>
      </c>
      <c r="D2793" s="69" t="str">
        <f>IF(B2793="","",IFERROR(INDEX(mat_unit,MATCH(B2793,mat_ref,0))&amp;"",""))</f>
        <v/>
      </c>
      <c r="E2793" s="72" t="n"/>
      <c r="F2793" s="65" t="n"/>
      <c r="G2793" s="68" t="str">
        <f>IF(J2793&lt;&gt;"OK","",IF(F2793="",N(INDEX(mat_loss,MATCH(B2793,mat_ref,0))),F2793))</f>
        <v/>
      </c>
      <c r="H2793" s="66" t="str">
        <f>IF(J2793&lt;&gt;"OK","",INDEX(mat_price,MATCH(B2793,mat_ref,0)))</f>
        <v/>
      </c>
      <c r="I2793" s="66" t="str">
        <f>IF(J2793&lt;&gt;"OK","",E2793*(1+G2793)*H2793)</f>
        <v/>
      </c>
      <c r="J2793" s="69" t="str">
        <f>IF(AND(A2793="",B2793=""),"",IF(A2793="","Produit manquant",IF(COUNTIF(prod_ref,A2793)=0,"Produit inconnu",IF(B2793="","Matière manquante",IF(ISNA(MATCH(B2793,mat_ref,0)),"Matière inconnue",IF(INDEX(mat_check,MATCH(B2793,mat_ref,0))&lt;&gt;"OK","Matière à corriger",IF(OR(NOT(ISNUMBER(E2793)),N(E2793)&lt;=0),"Quantité invalide",IF(AND(F2793&lt;&gt;"",OR(NOT(ISNUMBER(F2793)),N(F2793)&lt;0,N(F2793)&gt;=1)),"Perte entre 0 et 99 %",IF(COUNTIFS(bom_prod,A2793,bom_mat,B2793)&gt;1,"Matière en double","OK")))))))))</f>
        <v/>
      </c>
      <c r="K2793" s="71" t="str">
        <f>IF(AND(fiche_sel&lt;&gt;"",A2793=fiche_sel),COUNTIF(A$6:A2793,fiche_sel),"")</f>
        <v/>
      </c>
    </row>
    <row r="2794">
      <c r="A2794" s="60" t="n"/>
      <c r="B2794" s="60" t="n"/>
      <c r="C2794" s="71" t="str">
        <f>IF(B2794="","",IFERROR(INDEX(mat_des,MATCH(B2794,mat_ref,0))&amp;"","Matière inconnue"))</f>
        <v/>
      </c>
      <c r="D2794" s="69" t="str">
        <f>IF(B2794="","",IFERROR(INDEX(mat_unit,MATCH(B2794,mat_ref,0))&amp;"",""))</f>
        <v/>
      </c>
      <c r="E2794" s="72" t="n"/>
      <c r="F2794" s="65" t="n"/>
      <c r="G2794" s="68" t="str">
        <f>IF(J2794&lt;&gt;"OK","",IF(F2794="",N(INDEX(mat_loss,MATCH(B2794,mat_ref,0))),F2794))</f>
        <v/>
      </c>
      <c r="H2794" s="66" t="str">
        <f>IF(J2794&lt;&gt;"OK","",INDEX(mat_price,MATCH(B2794,mat_ref,0)))</f>
        <v/>
      </c>
      <c r="I2794" s="66" t="str">
        <f>IF(J2794&lt;&gt;"OK","",E2794*(1+G2794)*H2794)</f>
        <v/>
      </c>
      <c r="J2794" s="69" t="str">
        <f>IF(AND(A2794="",B2794=""),"",IF(A2794="","Produit manquant",IF(COUNTIF(prod_ref,A2794)=0,"Produit inconnu",IF(B2794="","Matière manquante",IF(ISNA(MATCH(B2794,mat_ref,0)),"Matière inconnue",IF(INDEX(mat_check,MATCH(B2794,mat_ref,0))&lt;&gt;"OK","Matière à corriger",IF(OR(NOT(ISNUMBER(E2794)),N(E2794)&lt;=0),"Quantité invalide",IF(AND(F2794&lt;&gt;"",OR(NOT(ISNUMBER(F2794)),N(F2794)&lt;0,N(F2794)&gt;=1)),"Perte entre 0 et 99 %",IF(COUNTIFS(bom_prod,A2794,bom_mat,B2794)&gt;1,"Matière en double","OK")))))))))</f>
        <v/>
      </c>
      <c r="K2794" s="71" t="str">
        <f>IF(AND(fiche_sel&lt;&gt;"",A2794=fiche_sel),COUNTIF(A$6:A2794,fiche_sel),"")</f>
        <v/>
      </c>
    </row>
    <row r="2795">
      <c r="A2795" s="60" t="n"/>
      <c r="B2795" s="60" t="n"/>
      <c r="C2795" s="71" t="str">
        <f>IF(B2795="","",IFERROR(INDEX(mat_des,MATCH(B2795,mat_ref,0))&amp;"","Matière inconnue"))</f>
        <v/>
      </c>
      <c r="D2795" s="69" t="str">
        <f>IF(B2795="","",IFERROR(INDEX(mat_unit,MATCH(B2795,mat_ref,0))&amp;"",""))</f>
        <v/>
      </c>
      <c r="E2795" s="72" t="n"/>
      <c r="F2795" s="65" t="n"/>
      <c r="G2795" s="68" t="str">
        <f>IF(J2795&lt;&gt;"OK","",IF(F2795="",N(INDEX(mat_loss,MATCH(B2795,mat_ref,0))),F2795))</f>
        <v/>
      </c>
      <c r="H2795" s="66" t="str">
        <f>IF(J2795&lt;&gt;"OK","",INDEX(mat_price,MATCH(B2795,mat_ref,0)))</f>
        <v/>
      </c>
      <c r="I2795" s="66" t="str">
        <f>IF(J2795&lt;&gt;"OK","",E2795*(1+G2795)*H2795)</f>
        <v/>
      </c>
      <c r="J2795" s="69" t="str">
        <f>IF(AND(A2795="",B2795=""),"",IF(A2795="","Produit manquant",IF(COUNTIF(prod_ref,A2795)=0,"Produit inconnu",IF(B2795="","Matière manquante",IF(ISNA(MATCH(B2795,mat_ref,0)),"Matière inconnue",IF(INDEX(mat_check,MATCH(B2795,mat_ref,0))&lt;&gt;"OK","Matière à corriger",IF(OR(NOT(ISNUMBER(E2795)),N(E2795)&lt;=0),"Quantité invalide",IF(AND(F2795&lt;&gt;"",OR(NOT(ISNUMBER(F2795)),N(F2795)&lt;0,N(F2795)&gt;=1)),"Perte entre 0 et 99 %",IF(COUNTIFS(bom_prod,A2795,bom_mat,B2795)&gt;1,"Matière en double","OK")))))))))</f>
        <v/>
      </c>
      <c r="K2795" s="71" t="str">
        <f>IF(AND(fiche_sel&lt;&gt;"",A2795=fiche_sel),COUNTIF(A$6:A2795,fiche_sel),"")</f>
        <v/>
      </c>
    </row>
    <row r="2796">
      <c r="A2796" s="60" t="n"/>
      <c r="B2796" s="60" t="n"/>
      <c r="C2796" s="71" t="str">
        <f>IF(B2796="","",IFERROR(INDEX(mat_des,MATCH(B2796,mat_ref,0))&amp;"","Matière inconnue"))</f>
        <v/>
      </c>
      <c r="D2796" s="69" t="str">
        <f>IF(B2796="","",IFERROR(INDEX(mat_unit,MATCH(B2796,mat_ref,0))&amp;"",""))</f>
        <v/>
      </c>
      <c r="E2796" s="72" t="n"/>
      <c r="F2796" s="65" t="n"/>
      <c r="G2796" s="68" t="str">
        <f>IF(J2796&lt;&gt;"OK","",IF(F2796="",N(INDEX(mat_loss,MATCH(B2796,mat_ref,0))),F2796))</f>
        <v/>
      </c>
      <c r="H2796" s="66" t="str">
        <f>IF(J2796&lt;&gt;"OK","",INDEX(mat_price,MATCH(B2796,mat_ref,0)))</f>
        <v/>
      </c>
      <c r="I2796" s="66" t="str">
        <f>IF(J2796&lt;&gt;"OK","",E2796*(1+G2796)*H2796)</f>
        <v/>
      </c>
      <c r="J2796" s="69" t="str">
        <f>IF(AND(A2796="",B2796=""),"",IF(A2796="","Produit manquant",IF(COUNTIF(prod_ref,A2796)=0,"Produit inconnu",IF(B2796="","Matière manquante",IF(ISNA(MATCH(B2796,mat_ref,0)),"Matière inconnue",IF(INDEX(mat_check,MATCH(B2796,mat_ref,0))&lt;&gt;"OK","Matière à corriger",IF(OR(NOT(ISNUMBER(E2796)),N(E2796)&lt;=0),"Quantité invalide",IF(AND(F2796&lt;&gt;"",OR(NOT(ISNUMBER(F2796)),N(F2796)&lt;0,N(F2796)&gt;=1)),"Perte entre 0 et 99 %",IF(COUNTIFS(bom_prod,A2796,bom_mat,B2796)&gt;1,"Matière en double","OK")))))))))</f>
        <v/>
      </c>
      <c r="K2796" s="71" t="str">
        <f>IF(AND(fiche_sel&lt;&gt;"",A2796=fiche_sel),COUNTIF(A$6:A2796,fiche_sel),"")</f>
        <v/>
      </c>
    </row>
    <row r="2797">
      <c r="A2797" s="60" t="n"/>
      <c r="B2797" s="60" t="n"/>
      <c r="C2797" s="71" t="str">
        <f>IF(B2797="","",IFERROR(INDEX(mat_des,MATCH(B2797,mat_ref,0))&amp;"","Matière inconnue"))</f>
        <v/>
      </c>
      <c r="D2797" s="69" t="str">
        <f>IF(B2797="","",IFERROR(INDEX(mat_unit,MATCH(B2797,mat_ref,0))&amp;"",""))</f>
        <v/>
      </c>
      <c r="E2797" s="72" t="n"/>
      <c r="F2797" s="65" t="n"/>
      <c r="G2797" s="68" t="str">
        <f>IF(J2797&lt;&gt;"OK","",IF(F2797="",N(INDEX(mat_loss,MATCH(B2797,mat_ref,0))),F2797))</f>
        <v/>
      </c>
      <c r="H2797" s="66" t="str">
        <f>IF(J2797&lt;&gt;"OK","",INDEX(mat_price,MATCH(B2797,mat_ref,0)))</f>
        <v/>
      </c>
      <c r="I2797" s="66" t="str">
        <f>IF(J2797&lt;&gt;"OK","",E2797*(1+G2797)*H2797)</f>
        <v/>
      </c>
      <c r="J2797" s="69" t="str">
        <f>IF(AND(A2797="",B2797=""),"",IF(A2797="","Produit manquant",IF(COUNTIF(prod_ref,A2797)=0,"Produit inconnu",IF(B2797="","Matière manquante",IF(ISNA(MATCH(B2797,mat_ref,0)),"Matière inconnue",IF(INDEX(mat_check,MATCH(B2797,mat_ref,0))&lt;&gt;"OK","Matière à corriger",IF(OR(NOT(ISNUMBER(E2797)),N(E2797)&lt;=0),"Quantité invalide",IF(AND(F2797&lt;&gt;"",OR(NOT(ISNUMBER(F2797)),N(F2797)&lt;0,N(F2797)&gt;=1)),"Perte entre 0 et 99 %",IF(COUNTIFS(bom_prod,A2797,bom_mat,B2797)&gt;1,"Matière en double","OK")))))))))</f>
        <v/>
      </c>
      <c r="K2797" s="71" t="str">
        <f>IF(AND(fiche_sel&lt;&gt;"",A2797=fiche_sel),COUNTIF(A$6:A2797,fiche_sel),"")</f>
        <v/>
      </c>
    </row>
    <row r="2798">
      <c r="A2798" s="60" t="n"/>
      <c r="B2798" s="60" t="n"/>
      <c r="C2798" s="71" t="str">
        <f>IF(B2798="","",IFERROR(INDEX(mat_des,MATCH(B2798,mat_ref,0))&amp;"","Matière inconnue"))</f>
        <v/>
      </c>
      <c r="D2798" s="69" t="str">
        <f>IF(B2798="","",IFERROR(INDEX(mat_unit,MATCH(B2798,mat_ref,0))&amp;"",""))</f>
        <v/>
      </c>
      <c r="E2798" s="72" t="n"/>
      <c r="F2798" s="65" t="n"/>
      <c r="G2798" s="68" t="str">
        <f>IF(J2798&lt;&gt;"OK","",IF(F2798="",N(INDEX(mat_loss,MATCH(B2798,mat_ref,0))),F2798))</f>
        <v/>
      </c>
      <c r="H2798" s="66" t="str">
        <f>IF(J2798&lt;&gt;"OK","",INDEX(mat_price,MATCH(B2798,mat_ref,0)))</f>
        <v/>
      </c>
      <c r="I2798" s="66" t="str">
        <f>IF(J2798&lt;&gt;"OK","",E2798*(1+G2798)*H2798)</f>
        <v/>
      </c>
      <c r="J2798" s="69" t="str">
        <f>IF(AND(A2798="",B2798=""),"",IF(A2798="","Produit manquant",IF(COUNTIF(prod_ref,A2798)=0,"Produit inconnu",IF(B2798="","Matière manquante",IF(ISNA(MATCH(B2798,mat_ref,0)),"Matière inconnue",IF(INDEX(mat_check,MATCH(B2798,mat_ref,0))&lt;&gt;"OK","Matière à corriger",IF(OR(NOT(ISNUMBER(E2798)),N(E2798)&lt;=0),"Quantité invalide",IF(AND(F2798&lt;&gt;"",OR(NOT(ISNUMBER(F2798)),N(F2798)&lt;0,N(F2798)&gt;=1)),"Perte entre 0 et 99 %",IF(COUNTIFS(bom_prod,A2798,bom_mat,B2798)&gt;1,"Matière en double","OK")))))))))</f>
        <v/>
      </c>
      <c r="K2798" s="71" t="str">
        <f>IF(AND(fiche_sel&lt;&gt;"",A2798=fiche_sel),COUNTIF(A$6:A2798,fiche_sel),"")</f>
        <v/>
      </c>
    </row>
    <row r="2799">
      <c r="A2799" s="60" t="n"/>
      <c r="B2799" s="60" t="n"/>
      <c r="C2799" s="71" t="str">
        <f>IF(B2799="","",IFERROR(INDEX(mat_des,MATCH(B2799,mat_ref,0))&amp;"","Matière inconnue"))</f>
        <v/>
      </c>
      <c r="D2799" s="69" t="str">
        <f>IF(B2799="","",IFERROR(INDEX(mat_unit,MATCH(B2799,mat_ref,0))&amp;"",""))</f>
        <v/>
      </c>
      <c r="E2799" s="72" t="n"/>
      <c r="F2799" s="65" t="n"/>
      <c r="G2799" s="68" t="str">
        <f>IF(J2799&lt;&gt;"OK","",IF(F2799="",N(INDEX(mat_loss,MATCH(B2799,mat_ref,0))),F2799))</f>
        <v/>
      </c>
      <c r="H2799" s="66" t="str">
        <f>IF(J2799&lt;&gt;"OK","",INDEX(mat_price,MATCH(B2799,mat_ref,0)))</f>
        <v/>
      </c>
      <c r="I2799" s="66" t="str">
        <f>IF(J2799&lt;&gt;"OK","",E2799*(1+G2799)*H2799)</f>
        <v/>
      </c>
      <c r="J2799" s="69" t="str">
        <f>IF(AND(A2799="",B2799=""),"",IF(A2799="","Produit manquant",IF(COUNTIF(prod_ref,A2799)=0,"Produit inconnu",IF(B2799="","Matière manquante",IF(ISNA(MATCH(B2799,mat_ref,0)),"Matière inconnue",IF(INDEX(mat_check,MATCH(B2799,mat_ref,0))&lt;&gt;"OK","Matière à corriger",IF(OR(NOT(ISNUMBER(E2799)),N(E2799)&lt;=0),"Quantité invalide",IF(AND(F2799&lt;&gt;"",OR(NOT(ISNUMBER(F2799)),N(F2799)&lt;0,N(F2799)&gt;=1)),"Perte entre 0 et 99 %",IF(COUNTIFS(bom_prod,A2799,bom_mat,B2799)&gt;1,"Matière en double","OK")))))))))</f>
        <v/>
      </c>
      <c r="K2799" s="71" t="str">
        <f>IF(AND(fiche_sel&lt;&gt;"",A2799=fiche_sel),COUNTIF(A$6:A2799,fiche_sel),"")</f>
        <v/>
      </c>
    </row>
    <row r="2800">
      <c r="A2800" s="60" t="n"/>
      <c r="B2800" s="60" t="n"/>
      <c r="C2800" s="71" t="str">
        <f>IF(B2800="","",IFERROR(INDEX(mat_des,MATCH(B2800,mat_ref,0))&amp;"","Matière inconnue"))</f>
        <v/>
      </c>
      <c r="D2800" s="69" t="str">
        <f>IF(B2800="","",IFERROR(INDEX(mat_unit,MATCH(B2800,mat_ref,0))&amp;"",""))</f>
        <v/>
      </c>
      <c r="E2800" s="72" t="n"/>
      <c r="F2800" s="65" t="n"/>
      <c r="G2800" s="68" t="str">
        <f>IF(J2800&lt;&gt;"OK","",IF(F2800="",N(INDEX(mat_loss,MATCH(B2800,mat_ref,0))),F2800))</f>
        <v/>
      </c>
      <c r="H2800" s="66" t="str">
        <f>IF(J2800&lt;&gt;"OK","",INDEX(mat_price,MATCH(B2800,mat_ref,0)))</f>
        <v/>
      </c>
      <c r="I2800" s="66" t="str">
        <f>IF(J2800&lt;&gt;"OK","",E2800*(1+G2800)*H2800)</f>
        <v/>
      </c>
      <c r="J2800" s="69" t="str">
        <f>IF(AND(A2800="",B2800=""),"",IF(A2800="","Produit manquant",IF(COUNTIF(prod_ref,A2800)=0,"Produit inconnu",IF(B2800="","Matière manquante",IF(ISNA(MATCH(B2800,mat_ref,0)),"Matière inconnue",IF(INDEX(mat_check,MATCH(B2800,mat_ref,0))&lt;&gt;"OK","Matière à corriger",IF(OR(NOT(ISNUMBER(E2800)),N(E2800)&lt;=0),"Quantité invalide",IF(AND(F2800&lt;&gt;"",OR(NOT(ISNUMBER(F2800)),N(F2800)&lt;0,N(F2800)&gt;=1)),"Perte entre 0 et 99 %",IF(COUNTIFS(bom_prod,A2800,bom_mat,B2800)&gt;1,"Matière en double","OK")))))))))</f>
        <v/>
      </c>
      <c r="K2800" s="71" t="str">
        <f>IF(AND(fiche_sel&lt;&gt;"",A2800=fiche_sel),COUNTIF(A$6:A2800,fiche_sel),"")</f>
        <v/>
      </c>
    </row>
    <row r="2801">
      <c r="A2801" s="60" t="n"/>
      <c r="B2801" s="60" t="n"/>
      <c r="C2801" s="71" t="str">
        <f>IF(B2801="","",IFERROR(INDEX(mat_des,MATCH(B2801,mat_ref,0))&amp;"","Matière inconnue"))</f>
        <v/>
      </c>
      <c r="D2801" s="69" t="str">
        <f>IF(B2801="","",IFERROR(INDEX(mat_unit,MATCH(B2801,mat_ref,0))&amp;"",""))</f>
        <v/>
      </c>
      <c r="E2801" s="72" t="n"/>
      <c r="F2801" s="65" t="n"/>
      <c r="G2801" s="68" t="str">
        <f>IF(J2801&lt;&gt;"OK","",IF(F2801="",N(INDEX(mat_loss,MATCH(B2801,mat_ref,0))),F2801))</f>
        <v/>
      </c>
      <c r="H2801" s="66" t="str">
        <f>IF(J2801&lt;&gt;"OK","",INDEX(mat_price,MATCH(B2801,mat_ref,0)))</f>
        <v/>
      </c>
      <c r="I2801" s="66" t="str">
        <f>IF(J2801&lt;&gt;"OK","",E2801*(1+G2801)*H2801)</f>
        <v/>
      </c>
      <c r="J2801" s="69" t="str">
        <f>IF(AND(A2801="",B2801=""),"",IF(A2801="","Produit manquant",IF(COUNTIF(prod_ref,A2801)=0,"Produit inconnu",IF(B2801="","Matière manquante",IF(ISNA(MATCH(B2801,mat_ref,0)),"Matière inconnue",IF(INDEX(mat_check,MATCH(B2801,mat_ref,0))&lt;&gt;"OK","Matière à corriger",IF(OR(NOT(ISNUMBER(E2801)),N(E2801)&lt;=0),"Quantité invalide",IF(AND(F2801&lt;&gt;"",OR(NOT(ISNUMBER(F2801)),N(F2801)&lt;0,N(F2801)&gt;=1)),"Perte entre 0 et 99 %",IF(COUNTIFS(bom_prod,A2801,bom_mat,B2801)&gt;1,"Matière en double","OK")))))))))</f>
        <v/>
      </c>
      <c r="K2801" s="71" t="str">
        <f>IF(AND(fiche_sel&lt;&gt;"",A2801=fiche_sel),COUNTIF(A$6:A2801,fiche_sel),"")</f>
        <v/>
      </c>
    </row>
    <row r="2802">
      <c r="A2802" s="60" t="n"/>
      <c r="B2802" s="60" t="n"/>
      <c r="C2802" s="71" t="str">
        <f>IF(B2802="","",IFERROR(INDEX(mat_des,MATCH(B2802,mat_ref,0))&amp;"","Matière inconnue"))</f>
        <v/>
      </c>
      <c r="D2802" s="69" t="str">
        <f>IF(B2802="","",IFERROR(INDEX(mat_unit,MATCH(B2802,mat_ref,0))&amp;"",""))</f>
        <v/>
      </c>
      <c r="E2802" s="72" t="n"/>
      <c r="F2802" s="65" t="n"/>
      <c r="G2802" s="68" t="str">
        <f>IF(J2802&lt;&gt;"OK","",IF(F2802="",N(INDEX(mat_loss,MATCH(B2802,mat_ref,0))),F2802))</f>
        <v/>
      </c>
      <c r="H2802" s="66" t="str">
        <f>IF(J2802&lt;&gt;"OK","",INDEX(mat_price,MATCH(B2802,mat_ref,0)))</f>
        <v/>
      </c>
      <c r="I2802" s="66" t="str">
        <f>IF(J2802&lt;&gt;"OK","",E2802*(1+G2802)*H2802)</f>
        <v/>
      </c>
      <c r="J2802" s="69" t="str">
        <f>IF(AND(A2802="",B2802=""),"",IF(A2802="","Produit manquant",IF(COUNTIF(prod_ref,A2802)=0,"Produit inconnu",IF(B2802="","Matière manquante",IF(ISNA(MATCH(B2802,mat_ref,0)),"Matière inconnue",IF(INDEX(mat_check,MATCH(B2802,mat_ref,0))&lt;&gt;"OK","Matière à corriger",IF(OR(NOT(ISNUMBER(E2802)),N(E2802)&lt;=0),"Quantité invalide",IF(AND(F2802&lt;&gt;"",OR(NOT(ISNUMBER(F2802)),N(F2802)&lt;0,N(F2802)&gt;=1)),"Perte entre 0 et 99 %",IF(COUNTIFS(bom_prod,A2802,bom_mat,B2802)&gt;1,"Matière en double","OK")))))))))</f>
        <v/>
      </c>
      <c r="K2802" s="71" t="str">
        <f>IF(AND(fiche_sel&lt;&gt;"",A2802=fiche_sel),COUNTIF(A$6:A2802,fiche_sel),"")</f>
        <v/>
      </c>
    </row>
    <row r="2803">
      <c r="A2803" s="60" t="n"/>
      <c r="B2803" s="60" t="n"/>
      <c r="C2803" s="71" t="str">
        <f>IF(B2803="","",IFERROR(INDEX(mat_des,MATCH(B2803,mat_ref,0))&amp;"","Matière inconnue"))</f>
        <v/>
      </c>
      <c r="D2803" s="69" t="str">
        <f>IF(B2803="","",IFERROR(INDEX(mat_unit,MATCH(B2803,mat_ref,0))&amp;"",""))</f>
        <v/>
      </c>
      <c r="E2803" s="72" t="n"/>
      <c r="F2803" s="65" t="n"/>
      <c r="G2803" s="68" t="str">
        <f>IF(J2803&lt;&gt;"OK","",IF(F2803="",N(INDEX(mat_loss,MATCH(B2803,mat_ref,0))),F2803))</f>
        <v/>
      </c>
      <c r="H2803" s="66" t="str">
        <f>IF(J2803&lt;&gt;"OK","",INDEX(mat_price,MATCH(B2803,mat_ref,0)))</f>
        <v/>
      </c>
      <c r="I2803" s="66" t="str">
        <f>IF(J2803&lt;&gt;"OK","",E2803*(1+G2803)*H2803)</f>
        <v/>
      </c>
      <c r="J2803" s="69" t="str">
        <f>IF(AND(A2803="",B2803=""),"",IF(A2803="","Produit manquant",IF(COUNTIF(prod_ref,A2803)=0,"Produit inconnu",IF(B2803="","Matière manquante",IF(ISNA(MATCH(B2803,mat_ref,0)),"Matière inconnue",IF(INDEX(mat_check,MATCH(B2803,mat_ref,0))&lt;&gt;"OK","Matière à corriger",IF(OR(NOT(ISNUMBER(E2803)),N(E2803)&lt;=0),"Quantité invalide",IF(AND(F2803&lt;&gt;"",OR(NOT(ISNUMBER(F2803)),N(F2803)&lt;0,N(F2803)&gt;=1)),"Perte entre 0 et 99 %",IF(COUNTIFS(bom_prod,A2803,bom_mat,B2803)&gt;1,"Matière en double","OK")))))))))</f>
        <v/>
      </c>
      <c r="K2803" s="71" t="str">
        <f>IF(AND(fiche_sel&lt;&gt;"",A2803=fiche_sel),COUNTIF(A$6:A2803,fiche_sel),"")</f>
        <v/>
      </c>
    </row>
    <row r="2804">
      <c r="A2804" s="60" t="n"/>
      <c r="B2804" s="60" t="n"/>
      <c r="C2804" s="71" t="str">
        <f>IF(B2804="","",IFERROR(INDEX(mat_des,MATCH(B2804,mat_ref,0))&amp;"","Matière inconnue"))</f>
        <v/>
      </c>
      <c r="D2804" s="69" t="str">
        <f>IF(B2804="","",IFERROR(INDEX(mat_unit,MATCH(B2804,mat_ref,0))&amp;"",""))</f>
        <v/>
      </c>
      <c r="E2804" s="72" t="n"/>
      <c r="F2804" s="65" t="n"/>
      <c r="G2804" s="68" t="str">
        <f>IF(J2804&lt;&gt;"OK","",IF(F2804="",N(INDEX(mat_loss,MATCH(B2804,mat_ref,0))),F2804))</f>
        <v/>
      </c>
      <c r="H2804" s="66" t="str">
        <f>IF(J2804&lt;&gt;"OK","",INDEX(mat_price,MATCH(B2804,mat_ref,0)))</f>
        <v/>
      </c>
      <c r="I2804" s="66" t="str">
        <f>IF(J2804&lt;&gt;"OK","",E2804*(1+G2804)*H2804)</f>
        <v/>
      </c>
      <c r="J2804" s="69" t="str">
        <f>IF(AND(A2804="",B2804=""),"",IF(A2804="","Produit manquant",IF(COUNTIF(prod_ref,A2804)=0,"Produit inconnu",IF(B2804="","Matière manquante",IF(ISNA(MATCH(B2804,mat_ref,0)),"Matière inconnue",IF(INDEX(mat_check,MATCH(B2804,mat_ref,0))&lt;&gt;"OK","Matière à corriger",IF(OR(NOT(ISNUMBER(E2804)),N(E2804)&lt;=0),"Quantité invalide",IF(AND(F2804&lt;&gt;"",OR(NOT(ISNUMBER(F2804)),N(F2804)&lt;0,N(F2804)&gt;=1)),"Perte entre 0 et 99 %",IF(COUNTIFS(bom_prod,A2804,bom_mat,B2804)&gt;1,"Matière en double","OK")))))))))</f>
        <v/>
      </c>
      <c r="K2804" s="71" t="str">
        <f>IF(AND(fiche_sel&lt;&gt;"",A2804=fiche_sel),COUNTIF(A$6:A2804,fiche_sel),"")</f>
        <v/>
      </c>
    </row>
    <row r="2805">
      <c r="A2805" s="60" t="n"/>
      <c r="B2805" s="60" t="n"/>
      <c r="C2805" s="71" t="str">
        <f>IF(B2805="","",IFERROR(INDEX(mat_des,MATCH(B2805,mat_ref,0))&amp;"","Matière inconnue"))</f>
        <v/>
      </c>
      <c r="D2805" s="69" t="str">
        <f>IF(B2805="","",IFERROR(INDEX(mat_unit,MATCH(B2805,mat_ref,0))&amp;"",""))</f>
        <v/>
      </c>
      <c r="E2805" s="72" t="n"/>
      <c r="F2805" s="65" t="n"/>
      <c r="G2805" s="68" t="str">
        <f>IF(J2805&lt;&gt;"OK","",IF(F2805="",N(INDEX(mat_loss,MATCH(B2805,mat_ref,0))),F2805))</f>
        <v/>
      </c>
      <c r="H2805" s="66" t="str">
        <f>IF(J2805&lt;&gt;"OK","",INDEX(mat_price,MATCH(B2805,mat_ref,0)))</f>
        <v/>
      </c>
      <c r="I2805" s="66" t="str">
        <f>IF(J2805&lt;&gt;"OK","",E2805*(1+G2805)*H2805)</f>
        <v/>
      </c>
      <c r="J2805" s="69" t="str">
        <f>IF(AND(A2805="",B2805=""),"",IF(A2805="","Produit manquant",IF(COUNTIF(prod_ref,A2805)=0,"Produit inconnu",IF(B2805="","Matière manquante",IF(ISNA(MATCH(B2805,mat_ref,0)),"Matière inconnue",IF(INDEX(mat_check,MATCH(B2805,mat_ref,0))&lt;&gt;"OK","Matière à corriger",IF(OR(NOT(ISNUMBER(E2805)),N(E2805)&lt;=0),"Quantité invalide",IF(AND(F2805&lt;&gt;"",OR(NOT(ISNUMBER(F2805)),N(F2805)&lt;0,N(F2805)&gt;=1)),"Perte entre 0 et 99 %",IF(COUNTIFS(bom_prod,A2805,bom_mat,B2805)&gt;1,"Matière en double","OK")))))))))</f>
        <v/>
      </c>
      <c r="K2805" s="71" t="str">
        <f>IF(AND(fiche_sel&lt;&gt;"",A2805=fiche_sel),COUNTIF(A$6:A2805,fiche_sel),"")</f>
        <v/>
      </c>
    </row>
    <row r="2806">
      <c r="A2806" s="60" t="n"/>
      <c r="B2806" s="60" t="n"/>
      <c r="C2806" s="71" t="str">
        <f>IF(B2806="","",IFERROR(INDEX(mat_des,MATCH(B2806,mat_ref,0))&amp;"","Matière inconnue"))</f>
        <v/>
      </c>
      <c r="D2806" s="69" t="str">
        <f>IF(B2806="","",IFERROR(INDEX(mat_unit,MATCH(B2806,mat_ref,0))&amp;"",""))</f>
        <v/>
      </c>
      <c r="E2806" s="72" t="n"/>
      <c r="F2806" s="65" t="n"/>
      <c r="G2806" s="68" t="str">
        <f>IF(J2806&lt;&gt;"OK","",IF(F2806="",N(INDEX(mat_loss,MATCH(B2806,mat_ref,0))),F2806))</f>
        <v/>
      </c>
      <c r="H2806" s="66" t="str">
        <f>IF(J2806&lt;&gt;"OK","",INDEX(mat_price,MATCH(B2806,mat_ref,0)))</f>
        <v/>
      </c>
      <c r="I2806" s="66" t="str">
        <f>IF(J2806&lt;&gt;"OK","",E2806*(1+G2806)*H2806)</f>
        <v/>
      </c>
      <c r="J2806" s="69" t="str">
        <f>IF(AND(A2806="",B2806=""),"",IF(A2806="","Produit manquant",IF(COUNTIF(prod_ref,A2806)=0,"Produit inconnu",IF(B2806="","Matière manquante",IF(ISNA(MATCH(B2806,mat_ref,0)),"Matière inconnue",IF(INDEX(mat_check,MATCH(B2806,mat_ref,0))&lt;&gt;"OK","Matière à corriger",IF(OR(NOT(ISNUMBER(E2806)),N(E2806)&lt;=0),"Quantité invalide",IF(AND(F2806&lt;&gt;"",OR(NOT(ISNUMBER(F2806)),N(F2806)&lt;0,N(F2806)&gt;=1)),"Perte entre 0 et 99 %",IF(COUNTIFS(bom_prod,A2806,bom_mat,B2806)&gt;1,"Matière en double","OK")))))))))</f>
        <v/>
      </c>
      <c r="K2806" s="71" t="str">
        <f>IF(AND(fiche_sel&lt;&gt;"",A2806=fiche_sel),COUNTIF(A$6:A2806,fiche_sel),"")</f>
        <v/>
      </c>
    </row>
    <row r="2807">
      <c r="A2807" s="60" t="n"/>
      <c r="B2807" s="60" t="n"/>
      <c r="C2807" s="71" t="str">
        <f>IF(B2807="","",IFERROR(INDEX(mat_des,MATCH(B2807,mat_ref,0))&amp;"","Matière inconnue"))</f>
        <v/>
      </c>
      <c r="D2807" s="69" t="str">
        <f>IF(B2807="","",IFERROR(INDEX(mat_unit,MATCH(B2807,mat_ref,0))&amp;"",""))</f>
        <v/>
      </c>
      <c r="E2807" s="72" t="n"/>
      <c r="F2807" s="65" t="n"/>
      <c r="G2807" s="68" t="str">
        <f>IF(J2807&lt;&gt;"OK","",IF(F2807="",N(INDEX(mat_loss,MATCH(B2807,mat_ref,0))),F2807))</f>
        <v/>
      </c>
      <c r="H2807" s="66" t="str">
        <f>IF(J2807&lt;&gt;"OK","",INDEX(mat_price,MATCH(B2807,mat_ref,0)))</f>
        <v/>
      </c>
      <c r="I2807" s="66" t="str">
        <f>IF(J2807&lt;&gt;"OK","",E2807*(1+G2807)*H2807)</f>
        <v/>
      </c>
      <c r="J2807" s="69" t="str">
        <f>IF(AND(A2807="",B2807=""),"",IF(A2807="","Produit manquant",IF(COUNTIF(prod_ref,A2807)=0,"Produit inconnu",IF(B2807="","Matière manquante",IF(ISNA(MATCH(B2807,mat_ref,0)),"Matière inconnue",IF(INDEX(mat_check,MATCH(B2807,mat_ref,0))&lt;&gt;"OK","Matière à corriger",IF(OR(NOT(ISNUMBER(E2807)),N(E2807)&lt;=0),"Quantité invalide",IF(AND(F2807&lt;&gt;"",OR(NOT(ISNUMBER(F2807)),N(F2807)&lt;0,N(F2807)&gt;=1)),"Perte entre 0 et 99 %",IF(COUNTIFS(bom_prod,A2807,bom_mat,B2807)&gt;1,"Matière en double","OK")))))))))</f>
        <v/>
      </c>
      <c r="K2807" s="71" t="str">
        <f>IF(AND(fiche_sel&lt;&gt;"",A2807=fiche_sel),COUNTIF(A$6:A2807,fiche_sel),"")</f>
        <v/>
      </c>
    </row>
    <row r="2808">
      <c r="A2808" s="60" t="n"/>
      <c r="B2808" s="60" t="n"/>
      <c r="C2808" s="71" t="str">
        <f>IF(B2808="","",IFERROR(INDEX(mat_des,MATCH(B2808,mat_ref,0))&amp;"","Matière inconnue"))</f>
        <v/>
      </c>
      <c r="D2808" s="69" t="str">
        <f>IF(B2808="","",IFERROR(INDEX(mat_unit,MATCH(B2808,mat_ref,0))&amp;"",""))</f>
        <v/>
      </c>
      <c r="E2808" s="72" t="n"/>
      <c r="F2808" s="65" t="n"/>
      <c r="G2808" s="68" t="str">
        <f>IF(J2808&lt;&gt;"OK","",IF(F2808="",N(INDEX(mat_loss,MATCH(B2808,mat_ref,0))),F2808))</f>
        <v/>
      </c>
      <c r="H2808" s="66" t="str">
        <f>IF(J2808&lt;&gt;"OK","",INDEX(mat_price,MATCH(B2808,mat_ref,0)))</f>
        <v/>
      </c>
      <c r="I2808" s="66" t="str">
        <f>IF(J2808&lt;&gt;"OK","",E2808*(1+G2808)*H2808)</f>
        <v/>
      </c>
      <c r="J2808" s="69" t="str">
        <f>IF(AND(A2808="",B2808=""),"",IF(A2808="","Produit manquant",IF(COUNTIF(prod_ref,A2808)=0,"Produit inconnu",IF(B2808="","Matière manquante",IF(ISNA(MATCH(B2808,mat_ref,0)),"Matière inconnue",IF(INDEX(mat_check,MATCH(B2808,mat_ref,0))&lt;&gt;"OK","Matière à corriger",IF(OR(NOT(ISNUMBER(E2808)),N(E2808)&lt;=0),"Quantité invalide",IF(AND(F2808&lt;&gt;"",OR(NOT(ISNUMBER(F2808)),N(F2808)&lt;0,N(F2808)&gt;=1)),"Perte entre 0 et 99 %",IF(COUNTIFS(bom_prod,A2808,bom_mat,B2808)&gt;1,"Matière en double","OK")))))))))</f>
        <v/>
      </c>
      <c r="K2808" s="71" t="str">
        <f>IF(AND(fiche_sel&lt;&gt;"",A2808=fiche_sel),COUNTIF(A$6:A2808,fiche_sel),"")</f>
        <v/>
      </c>
    </row>
    <row r="2809">
      <c r="A2809" s="60" t="n"/>
      <c r="B2809" s="60" t="n"/>
      <c r="C2809" s="71" t="str">
        <f>IF(B2809="","",IFERROR(INDEX(mat_des,MATCH(B2809,mat_ref,0))&amp;"","Matière inconnue"))</f>
        <v/>
      </c>
      <c r="D2809" s="69" t="str">
        <f>IF(B2809="","",IFERROR(INDEX(mat_unit,MATCH(B2809,mat_ref,0))&amp;"",""))</f>
        <v/>
      </c>
      <c r="E2809" s="72" t="n"/>
      <c r="F2809" s="65" t="n"/>
      <c r="G2809" s="68" t="str">
        <f>IF(J2809&lt;&gt;"OK","",IF(F2809="",N(INDEX(mat_loss,MATCH(B2809,mat_ref,0))),F2809))</f>
        <v/>
      </c>
      <c r="H2809" s="66" t="str">
        <f>IF(J2809&lt;&gt;"OK","",INDEX(mat_price,MATCH(B2809,mat_ref,0)))</f>
        <v/>
      </c>
      <c r="I2809" s="66" t="str">
        <f>IF(J2809&lt;&gt;"OK","",E2809*(1+G2809)*H2809)</f>
        <v/>
      </c>
      <c r="J2809" s="69" t="str">
        <f>IF(AND(A2809="",B2809=""),"",IF(A2809="","Produit manquant",IF(COUNTIF(prod_ref,A2809)=0,"Produit inconnu",IF(B2809="","Matière manquante",IF(ISNA(MATCH(B2809,mat_ref,0)),"Matière inconnue",IF(INDEX(mat_check,MATCH(B2809,mat_ref,0))&lt;&gt;"OK","Matière à corriger",IF(OR(NOT(ISNUMBER(E2809)),N(E2809)&lt;=0),"Quantité invalide",IF(AND(F2809&lt;&gt;"",OR(NOT(ISNUMBER(F2809)),N(F2809)&lt;0,N(F2809)&gt;=1)),"Perte entre 0 et 99 %",IF(COUNTIFS(bom_prod,A2809,bom_mat,B2809)&gt;1,"Matière en double","OK")))))))))</f>
        <v/>
      </c>
      <c r="K2809" s="71" t="str">
        <f>IF(AND(fiche_sel&lt;&gt;"",A2809=fiche_sel),COUNTIF(A$6:A2809,fiche_sel),"")</f>
        <v/>
      </c>
    </row>
    <row r="2810">
      <c r="A2810" s="60" t="n"/>
      <c r="B2810" s="60" t="n"/>
      <c r="C2810" s="71" t="str">
        <f>IF(B2810="","",IFERROR(INDEX(mat_des,MATCH(B2810,mat_ref,0))&amp;"","Matière inconnue"))</f>
        <v/>
      </c>
      <c r="D2810" s="69" t="str">
        <f>IF(B2810="","",IFERROR(INDEX(mat_unit,MATCH(B2810,mat_ref,0))&amp;"",""))</f>
        <v/>
      </c>
      <c r="E2810" s="72" t="n"/>
      <c r="F2810" s="65" t="n"/>
      <c r="G2810" s="68" t="str">
        <f>IF(J2810&lt;&gt;"OK","",IF(F2810="",N(INDEX(mat_loss,MATCH(B2810,mat_ref,0))),F2810))</f>
        <v/>
      </c>
      <c r="H2810" s="66" t="str">
        <f>IF(J2810&lt;&gt;"OK","",INDEX(mat_price,MATCH(B2810,mat_ref,0)))</f>
        <v/>
      </c>
      <c r="I2810" s="66" t="str">
        <f>IF(J2810&lt;&gt;"OK","",E2810*(1+G2810)*H2810)</f>
        <v/>
      </c>
      <c r="J2810" s="69" t="str">
        <f>IF(AND(A2810="",B2810=""),"",IF(A2810="","Produit manquant",IF(COUNTIF(prod_ref,A2810)=0,"Produit inconnu",IF(B2810="","Matière manquante",IF(ISNA(MATCH(B2810,mat_ref,0)),"Matière inconnue",IF(INDEX(mat_check,MATCH(B2810,mat_ref,0))&lt;&gt;"OK","Matière à corriger",IF(OR(NOT(ISNUMBER(E2810)),N(E2810)&lt;=0),"Quantité invalide",IF(AND(F2810&lt;&gt;"",OR(NOT(ISNUMBER(F2810)),N(F2810)&lt;0,N(F2810)&gt;=1)),"Perte entre 0 et 99 %",IF(COUNTIFS(bom_prod,A2810,bom_mat,B2810)&gt;1,"Matière en double","OK")))))))))</f>
        <v/>
      </c>
      <c r="K2810" s="71" t="str">
        <f>IF(AND(fiche_sel&lt;&gt;"",A2810=fiche_sel),COUNTIF(A$6:A2810,fiche_sel),"")</f>
        <v/>
      </c>
    </row>
    <row r="2811">
      <c r="A2811" s="60" t="n"/>
      <c r="B2811" s="60" t="n"/>
      <c r="C2811" s="71" t="str">
        <f>IF(B2811="","",IFERROR(INDEX(mat_des,MATCH(B2811,mat_ref,0))&amp;"","Matière inconnue"))</f>
        <v/>
      </c>
      <c r="D2811" s="69" t="str">
        <f>IF(B2811="","",IFERROR(INDEX(mat_unit,MATCH(B2811,mat_ref,0))&amp;"",""))</f>
        <v/>
      </c>
      <c r="E2811" s="72" t="n"/>
      <c r="F2811" s="65" t="n"/>
      <c r="G2811" s="68" t="str">
        <f>IF(J2811&lt;&gt;"OK","",IF(F2811="",N(INDEX(mat_loss,MATCH(B2811,mat_ref,0))),F2811))</f>
        <v/>
      </c>
      <c r="H2811" s="66" t="str">
        <f>IF(J2811&lt;&gt;"OK","",INDEX(mat_price,MATCH(B2811,mat_ref,0)))</f>
        <v/>
      </c>
      <c r="I2811" s="66" t="str">
        <f>IF(J2811&lt;&gt;"OK","",E2811*(1+G2811)*H2811)</f>
        <v/>
      </c>
      <c r="J2811" s="69" t="str">
        <f>IF(AND(A2811="",B2811=""),"",IF(A2811="","Produit manquant",IF(COUNTIF(prod_ref,A2811)=0,"Produit inconnu",IF(B2811="","Matière manquante",IF(ISNA(MATCH(B2811,mat_ref,0)),"Matière inconnue",IF(INDEX(mat_check,MATCH(B2811,mat_ref,0))&lt;&gt;"OK","Matière à corriger",IF(OR(NOT(ISNUMBER(E2811)),N(E2811)&lt;=0),"Quantité invalide",IF(AND(F2811&lt;&gt;"",OR(NOT(ISNUMBER(F2811)),N(F2811)&lt;0,N(F2811)&gt;=1)),"Perte entre 0 et 99 %",IF(COUNTIFS(bom_prod,A2811,bom_mat,B2811)&gt;1,"Matière en double","OK")))))))))</f>
        <v/>
      </c>
      <c r="K2811" s="71" t="str">
        <f>IF(AND(fiche_sel&lt;&gt;"",A2811=fiche_sel),COUNTIF(A$6:A2811,fiche_sel),"")</f>
        <v/>
      </c>
    </row>
    <row r="2812">
      <c r="A2812" s="60" t="n"/>
      <c r="B2812" s="60" t="n"/>
      <c r="C2812" s="71" t="str">
        <f>IF(B2812="","",IFERROR(INDEX(mat_des,MATCH(B2812,mat_ref,0))&amp;"","Matière inconnue"))</f>
        <v/>
      </c>
      <c r="D2812" s="69" t="str">
        <f>IF(B2812="","",IFERROR(INDEX(mat_unit,MATCH(B2812,mat_ref,0))&amp;"",""))</f>
        <v/>
      </c>
      <c r="E2812" s="72" t="n"/>
      <c r="F2812" s="65" t="n"/>
      <c r="G2812" s="68" t="str">
        <f>IF(J2812&lt;&gt;"OK","",IF(F2812="",N(INDEX(mat_loss,MATCH(B2812,mat_ref,0))),F2812))</f>
        <v/>
      </c>
      <c r="H2812" s="66" t="str">
        <f>IF(J2812&lt;&gt;"OK","",INDEX(mat_price,MATCH(B2812,mat_ref,0)))</f>
        <v/>
      </c>
      <c r="I2812" s="66" t="str">
        <f>IF(J2812&lt;&gt;"OK","",E2812*(1+G2812)*H2812)</f>
        <v/>
      </c>
      <c r="J2812" s="69" t="str">
        <f>IF(AND(A2812="",B2812=""),"",IF(A2812="","Produit manquant",IF(COUNTIF(prod_ref,A2812)=0,"Produit inconnu",IF(B2812="","Matière manquante",IF(ISNA(MATCH(B2812,mat_ref,0)),"Matière inconnue",IF(INDEX(mat_check,MATCH(B2812,mat_ref,0))&lt;&gt;"OK","Matière à corriger",IF(OR(NOT(ISNUMBER(E2812)),N(E2812)&lt;=0),"Quantité invalide",IF(AND(F2812&lt;&gt;"",OR(NOT(ISNUMBER(F2812)),N(F2812)&lt;0,N(F2812)&gt;=1)),"Perte entre 0 et 99 %",IF(COUNTIFS(bom_prod,A2812,bom_mat,B2812)&gt;1,"Matière en double","OK")))))))))</f>
        <v/>
      </c>
      <c r="K2812" s="71" t="str">
        <f>IF(AND(fiche_sel&lt;&gt;"",A2812=fiche_sel),COUNTIF(A$6:A2812,fiche_sel),"")</f>
        <v/>
      </c>
    </row>
    <row r="2813">
      <c r="A2813" s="60" t="n"/>
      <c r="B2813" s="60" t="n"/>
      <c r="C2813" s="71" t="str">
        <f>IF(B2813="","",IFERROR(INDEX(mat_des,MATCH(B2813,mat_ref,0))&amp;"","Matière inconnue"))</f>
        <v/>
      </c>
      <c r="D2813" s="69" t="str">
        <f>IF(B2813="","",IFERROR(INDEX(mat_unit,MATCH(B2813,mat_ref,0))&amp;"",""))</f>
        <v/>
      </c>
      <c r="E2813" s="72" t="n"/>
      <c r="F2813" s="65" t="n"/>
      <c r="G2813" s="68" t="str">
        <f>IF(J2813&lt;&gt;"OK","",IF(F2813="",N(INDEX(mat_loss,MATCH(B2813,mat_ref,0))),F2813))</f>
        <v/>
      </c>
      <c r="H2813" s="66" t="str">
        <f>IF(J2813&lt;&gt;"OK","",INDEX(mat_price,MATCH(B2813,mat_ref,0)))</f>
        <v/>
      </c>
      <c r="I2813" s="66" t="str">
        <f>IF(J2813&lt;&gt;"OK","",E2813*(1+G2813)*H2813)</f>
        <v/>
      </c>
      <c r="J2813" s="69" t="str">
        <f>IF(AND(A2813="",B2813=""),"",IF(A2813="","Produit manquant",IF(COUNTIF(prod_ref,A2813)=0,"Produit inconnu",IF(B2813="","Matière manquante",IF(ISNA(MATCH(B2813,mat_ref,0)),"Matière inconnue",IF(INDEX(mat_check,MATCH(B2813,mat_ref,0))&lt;&gt;"OK","Matière à corriger",IF(OR(NOT(ISNUMBER(E2813)),N(E2813)&lt;=0),"Quantité invalide",IF(AND(F2813&lt;&gt;"",OR(NOT(ISNUMBER(F2813)),N(F2813)&lt;0,N(F2813)&gt;=1)),"Perte entre 0 et 99 %",IF(COUNTIFS(bom_prod,A2813,bom_mat,B2813)&gt;1,"Matière en double","OK")))))))))</f>
        <v/>
      </c>
      <c r="K2813" s="71" t="str">
        <f>IF(AND(fiche_sel&lt;&gt;"",A2813=fiche_sel),COUNTIF(A$6:A2813,fiche_sel),"")</f>
        <v/>
      </c>
    </row>
    <row r="2814">
      <c r="A2814" s="60" t="n"/>
      <c r="B2814" s="60" t="n"/>
      <c r="C2814" s="71" t="str">
        <f>IF(B2814="","",IFERROR(INDEX(mat_des,MATCH(B2814,mat_ref,0))&amp;"","Matière inconnue"))</f>
        <v/>
      </c>
      <c r="D2814" s="69" t="str">
        <f>IF(B2814="","",IFERROR(INDEX(mat_unit,MATCH(B2814,mat_ref,0))&amp;"",""))</f>
        <v/>
      </c>
      <c r="E2814" s="72" t="n"/>
      <c r="F2814" s="65" t="n"/>
      <c r="G2814" s="68" t="str">
        <f>IF(J2814&lt;&gt;"OK","",IF(F2814="",N(INDEX(mat_loss,MATCH(B2814,mat_ref,0))),F2814))</f>
        <v/>
      </c>
      <c r="H2814" s="66" t="str">
        <f>IF(J2814&lt;&gt;"OK","",INDEX(mat_price,MATCH(B2814,mat_ref,0)))</f>
        <v/>
      </c>
      <c r="I2814" s="66" t="str">
        <f>IF(J2814&lt;&gt;"OK","",E2814*(1+G2814)*H2814)</f>
        <v/>
      </c>
      <c r="J2814" s="69" t="str">
        <f>IF(AND(A2814="",B2814=""),"",IF(A2814="","Produit manquant",IF(COUNTIF(prod_ref,A2814)=0,"Produit inconnu",IF(B2814="","Matière manquante",IF(ISNA(MATCH(B2814,mat_ref,0)),"Matière inconnue",IF(INDEX(mat_check,MATCH(B2814,mat_ref,0))&lt;&gt;"OK","Matière à corriger",IF(OR(NOT(ISNUMBER(E2814)),N(E2814)&lt;=0),"Quantité invalide",IF(AND(F2814&lt;&gt;"",OR(NOT(ISNUMBER(F2814)),N(F2814)&lt;0,N(F2814)&gt;=1)),"Perte entre 0 et 99 %",IF(COUNTIFS(bom_prod,A2814,bom_mat,B2814)&gt;1,"Matière en double","OK")))))))))</f>
        <v/>
      </c>
      <c r="K2814" s="71" t="str">
        <f>IF(AND(fiche_sel&lt;&gt;"",A2814=fiche_sel),COUNTIF(A$6:A2814,fiche_sel),"")</f>
        <v/>
      </c>
    </row>
    <row r="2815">
      <c r="A2815" s="60" t="n"/>
      <c r="B2815" s="60" t="n"/>
      <c r="C2815" s="71" t="str">
        <f>IF(B2815="","",IFERROR(INDEX(mat_des,MATCH(B2815,mat_ref,0))&amp;"","Matière inconnue"))</f>
        <v/>
      </c>
      <c r="D2815" s="69" t="str">
        <f>IF(B2815="","",IFERROR(INDEX(mat_unit,MATCH(B2815,mat_ref,0))&amp;"",""))</f>
        <v/>
      </c>
      <c r="E2815" s="72" t="n"/>
      <c r="F2815" s="65" t="n"/>
      <c r="G2815" s="68" t="str">
        <f>IF(J2815&lt;&gt;"OK","",IF(F2815="",N(INDEX(mat_loss,MATCH(B2815,mat_ref,0))),F2815))</f>
        <v/>
      </c>
      <c r="H2815" s="66" t="str">
        <f>IF(J2815&lt;&gt;"OK","",INDEX(mat_price,MATCH(B2815,mat_ref,0)))</f>
        <v/>
      </c>
      <c r="I2815" s="66" t="str">
        <f>IF(J2815&lt;&gt;"OK","",E2815*(1+G2815)*H2815)</f>
        <v/>
      </c>
      <c r="J2815" s="69" t="str">
        <f>IF(AND(A2815="",B2815=""),"",IF(A2815="","Produit manquant",IF(COUNTIF(prod_ref,A2815)=0,"Produit inconnu",IF(B2815="","Matière manquante",IF(ISNA(MATCH(B2815,mat_ref,0)),"Matière inconnue",IF(INDEX(mat_check,MATCH(B2815,mat_ref,0))&lt;&gt;"OK","Matière à corriger",IF(OR(NOT(ISNUMBER(E2815)),N(E2815)&lt;=0),"Quantité invalide",IF(AND(F2815&lt;&gt;"",OR(NOT(ISNUMBER(F2815)),N(F2815)&lt;0,N(F2815)&gt;=1)),"Perte entre 0 et 99 %",IF(COUNTIFS(bom_prod,A2815,bom_mat,B2815)&gt;1,"Matière en double","OK")))))))))</f>
        <v/>
      </c>
      <c r="K2815" s="71" t="str">
        <f>IF(AND(fiche_sel&lt;&gt;"",A2815=fiche_sel),COUNTIF(A$6:A2815,fiche_sel),"")</f>
        <v/>
      </c>
    </row>
    <row r="2816">
      <c r="A2816" s="60" t="n"/>
      <c r="B2816" s="60" t="n"/>
      <c r="C2816" s="71" t="str">
        <f>IF(B2816="","",IFERROR(INDEX(mat_des,MATCH(B2816,mat_ref,0))&amp;"","Matière inconnue"))</f>
        <v/>
      </c>
      <c r="D2816" s="69" t="str">
        <f>IF(B2816="","",IFERROR(INDEX(mat_unit,MATCH(B2816,mat_ref,0))&amp;"",""))</f>
        <v/>
      </c>
      <c r="E2816" s="72" t="n"/>
      <c r="F2816" s="65" t="n"/>
      <c r="G2816" s="68" t="str">
        <f>IF(J2816&lt;&gt;"OK","",IF(F2816="",N(INDEX(mat_loss,MATCH(B2816,mat_ref,0))),F2816))</f>
        <v/>
      </c>
      <c r="H2816" s="66" t="str">
        <f>IF(J2816&lt;&gt;"OK","",INDEX(mat_price,MATCH(B2816,mat_ref,0)))</f>
        <v/>
      </c>
      <c r="I2816" s="66" t="str">
        <f>IF(J2816&lt;&gt;"OK","",E2816*(1+G2816)*H2816)</f>
        <v/>
      </c>
      <c r="J2816" s="69" t="str">
        <f>IF(AND(A2816="",B2816=""),"",IF(A2816="","Produit manquant",IF(COUNTIF(prod_ref,A2816)=0,"Produit inconnu",IF(B2816="","Matière manquante",IF(ISNA(MATCH(B2816,mat_ref,0)),"Matière inconnue",IF(INDEX(mat_check,MATCH(B2816,mat_ref,0))&lt;&gt;"OK","Matière à corriger",IF(OR(NOT(ISNUMBER(E2816)),N(E2816)&lt;=0),"Quantité invalide",IF(AND(F2816&lt;&gt;"",OR(NOT(ISNUMBER(F2816)),N(F2816)&lt;0,N(F2816)&gt;=1)),"Perte entre 0 et 99 %",IF(COUNTIFS(bom_prod,A2816,bom_mat,B2816)&gt;1,"Matière en double","OK")))))))))</f>
        <v/>
      </c>
      <c r="K2816" s="71" t="str">
        <f>IF(AND(fiche_sel&lt;&gt;"",A2816=fiche_sel),COUNTIF(A$6:A2816,fiche_sel),"")</f>
        <v/>
      </c>
    </row>
    <row r="2817">
      <c r="A2817" s="60" t="n"/>
      <c r="B2817" s="60" t="n"/>
      <c r="C2817" s="71" t="str">
        <f>IF(B2817="","",IFERROR(INDEX(mat_des,MATCH(B2817,mat_ref,0))&amp;"","Matière inconnue"))</f>
        <v/>
      </c>
      <c r="D2817" s="69" t="str">
        <f>IF(B2817="","",IFERROR(INDEX(mat_unit,MATCH(B2817,mat_ref,0))&amp;"",""))</f>
        <v/>
      </c>
      <c r="E2817" s="72" t="n"/>
      <c r="F2817" s="65" t="n"/>
      <c r="G2817" s="68" t="str">
        <f>IF(J2817&lt;&gt;"OK","",IF(F2817="",N(INDEX(mat_loss,MATCH(B2817,mat_ref,0))),F2817))</f>
        <v/>
      </c>
      <c r="H2817" s="66" t="str">
        <f>IF(J2817&lt;&gt;"OK","",INDEX(mat_price,MATCH(B2817,mat_ref,0)))</f>
        <v/>
      </c>
      <c r="I2817" s="66" t="str">
        <f>IF(J2817&lt;&gt;"OK","",E2817*(1+G2817)*H2817)</f>
        <v/>
      </c>
      <c r="J2817" s="69" t="str">
        <f>IF(AND(A2817="",B2817=""),"",IF(A2817="","Produit manquant",IF(COUNTIF(prod_ref,A2817)=0,"Produit inconnu",IF(B2817="","Matière manquante",IF(ISNA(MATCH(B2817,mat_ref,0)),"Matière inconnue",IF(INDEX(mat_check,MATCH(B2817,mat_ref,0))&lt;&gt;"OK","Matière à corriger",IF(OR(NOT(ISNUMBER(E2817)),N(E2817)&lt;=0),"Quantité invalide",IF(AND(F2817&lt;&gt;"",OR(NOT(ISNUMBER(F2817)),N(F2817)&lt;0,N(F2817)&gt;=1)),"Perte entre 0 et 99 %",IF(COUNTIFS(bom_prod,A2817,bom_mat,B2817)&gt;1,"Matière en double","OK")))))))))</f>
        <v/>
      </c>
      <c r="K2817" s="71" t="str">
        <f>IF(AND(fiche_sel&lt;&gt;"",A2817=fiche_sel),COUNTIF(A$6:A2817,fiche_sel),"")</f>
        <v/>
      </c>
    </row>
    <row r="2818">
      <c r="A2818" s="60" t="n"/>
      <c r="B2818" s="60" t="n"/>
      <c r="C2818" s="71" t="str">
        <f>IF(B2818="","",IFERROR(INDEX(mat_des,MATCH(B2818,mat_ref,0))&amp;"","Matière inconnue"))</f>
        <v/>
      </c>
      <c r="D2818" s="69" t="str">
        <f>IF(B2818="","",IFERROR(INDEX(mat_unit,MATCH(B2818,mat_ref,0))&amp;"",""))</f>
        <v/>
      </c>
      <c r="E2818" s="72" t="n"/>
      <c r="F2818" s="65" t="n"/>
      <c r="G2818" s="68" t="str">
        <f>IF(J2818&lt;&gt;"OK","",IF(F2818="",N(INDEX(mat_loss,MATCH(B2818,mat_ref,0))),F2818))</f>
        <v/>
      </c>
      <c r="H2818" s="66" t="str">
        <f>IF(J2818&lt;&gt;"OK","",INDEX(mat_price,MATCH(B2818,mat_ref,0)))</f>
        <v/>
      </c>
      <c r="I2818" s="66" t="str">
        <f>IF(J2818&lt;&gt;"OK","",E2818*(1+G2818)*H2818)</f>
        <v/>
      </c>
      <c r="J2818" s="69" t="str">
        <f>IF(AND(A2818="",B2818=""),"",IF(A2818="","Produit manquant",IF(COUNTIF(prod_ref,A2818)=0,"Produit inconnu",IF(B2818="","Matière manquante",IF(ISNA(MATCH(B2818,mat_ref,0)),"Matière inconnue",IF(INDEX(mat_check,MATCH(B2818,mat_ref,0))&lt;&gt;"OK","Matière à corriger",IF(OR(NOT(ISNUMBER(E2818)),N(E2818)&lt;=0),"Quantité invalide",IF(AND(F2818&lt;&gt;"",OR(NOT(ISNUMBER(F2818)),N(F2818)&lt;0,N(F2818)&gt;=1)),"Perte entre 0 et 99 %",IF(COUNTIFS(bom_prod,A2818,bom_mat,B2818)&gt;1,"Matière en double","OK")))))))))</f>
        <v/>
      </c>
      <c r="K2818" s="71" t="str">
        <f>IF(AND(fiche_sel&lt;&gt;"",A2818=fiche_sel),COUNTIF(A$6:A2818,fiche_sel),"")</f>
        <v/>
      </c>
    </row>
    <row r="2819">
      <c r="A2819" s="60" t="n"/>
      <c r="B2819" s="60" t="n"/>
      <c r="C2819" s="71" t="str">
        <f>IF(B2819="","",IFERROR(INDEX(mat_des,MATCH(B2819,mat_ref,0))&amp;"","Matière inconnue"))</f>
        <v/>
      </c>
      <c r="D2819" s="69" t="str">
        <f>IF(B2819="","",IFERROR(INDEX(mat_unit,MATCH(B2819,mat_ref,0))&amp;"",""))</f>
        <v/>
      </c>
      <c r="E2819" s="72" t="n"/>
      <c r="F2819" s="65" t="n"/>
      <c r="G2819" s="68" t="str">
        <f>IF(J2819&lt;&gt;"OK","",IF(F2819="",N(INDEX(mat_loss,MATCH(B2819,mat_ref,0))),F2819))</f>
        <v/>
      </c>
      <c r="H2819" s="66" t="str">
        <f>IF(J2819&lt;&gt;"OK","",INDEX(mat_price,MATCH(B2819,mat_ref,0)))</f>
        <v/>
      </c>
      <c r="I2819" s="66" t="str">
        <f>IF(J2819&lt;&gt;"OK","",E2819*(1+G2819)*H2819)</f>
        <v/>
      </c>
      <c r="J2819" s="69" t="str">
        <f>IF(AND(A2819="",B2819=""),"",IF(A2819="","Produit manquant",IF(COUNTIF(prod_ref,A2819)=0,"Produit inconnu",IF(B2819="","Matière manquante",IF(ISNA(MATCH(B2819,mat_ref,0)),"Matière inconnue",IF(INDEX(mat_check,MATCH(B2819,mat_ref,0))&lt;&gt;"OK","Matière à corriger",IF(OR(NOT(ISNUMBER(E2819)),N(E2819)&lt;=0),"Quantité invalide",IF(AND(F2819&lt;&gt;"",OR(NOT(ISNUMBER(F2819)),N(F2819)&lt;0,N(F2819)&gt;=1)),"Perte entre 0 et 99 %",IF(COUNTIFS(bom_prod,A2819,bom_mat,B2819)&gt;1,"Matière en double","OK")))))))))</f>
        <v/>
      </c>
      <c r="K2819" s="71" t="str">
        <f>IF(AND(fiche_sel&lt;&gt;"",A2819=fiche_sel),COUNTIF(A$6:A2819,fiche_sel),"")</f>
        <v/>
      </c>
    </row>
    <row r="2820">
      <c r="A2820" s="60" t="n"/>
      <c r="B2820" s="60" t="n"/>
      <c r="C2820" s="71" t="str">
        <f>IF(B2820="","",IFERROR(INDEX(mat_des,MATCH(B2820,mat_ref,0))&amp;"","Matière inconnue"))</f>
        <v/>
      </c>
      <c r="D2820" s="69" t="str">
        <f>IF(B2820="","",IFERROR(INDEX(mat_unit,MATCH(B2820,mat_ref,0))&amp;"",""))</f>
        <v/>
      </c>
      <c r="E2820" s="72" t="n"/>
      <c r="F2820" s="65" t="n"/>
      <c r="G2820" s="68" t="str">
        <f>IF(J2820&lt;&gt;"OK","",IF(F2820="",N(INDEX(mat_loss,MATCH(B2820,mat_ref,0))),F2820))</f>
        <v/>
      </c>
      <c r="H2820" s="66" t="str">
        <f>IF(J2820&lt;&gt;"OK","",INDEX(mat_price,MATCH(B2820,mat_ref,0)))</f>
        <v/>
      </c>
      <c r="I2820" s="66" t="str">
        <f>IF(J2820&lt;&gt;"OK","",E2820*(1+G2820)*H2820)</f>
        <v/>
      </c>
      <c r="J2820" s="69" t="str">
        <f>IF(AND(A2820="",B2820=""),"",IF(A2820="","Produit manquant",IF(COUNTIF(prod_ref,A2820)=0,"Produit inconnu",IF(B2820="","Matière manquante",IF(ISNA(MATCH(B2820,mat_ref,0)),"Matière inconnue",IF(INDEX(mat_check,MATCH(B2820,mat_ref,0))&lt;&gt;"OK","Matière à corriger",IF(OR(NOT(ISNUMBER(E2820)),N(E2820)&lt;=0),"Quantité invalide",IF(AND(F2820&lt;&gt;"",OR(NOT(ISNUMBER(F2820)),N(F2820)&lt;0,N(F2820)&gt;=1)),"Perte entre 0 et 99 %",IF(COUNTIFS(bom_prod,A2820,bom_mat,B2820)&gt;1,"Matière en double","OK")))))))))</f>
        <v/>
      </c>
      <c r="K2820" s="71" t="str">
        <f>IF(AND(fiche_sel&lt;&gt;"",A2820=fiche_sel),COUNTIF(A$6:A2820,fiche_sel),"")</f>
        <v/>
      </c>
    </row>
    <row r="2821">
      <c r="A2821" s="60" t="n"/>
      <c r="B2821" s="60" t="n"/>
      <c r="C2821" s="71" t="str">
        <f>IF(B2821="","",IFERROR(INDEX(mat_des,MATCH(B2821,mat_ref,0))&amp;"","Matière inconnue"))</f>
        <v/>
      </c>
      <c r="D2821" s="69" t="str">
        <f>IF(B2821="","",IFERROR(INDEX(mat_unit,MATCH(B2821,mat_ref,0))&amp;"",""))</f>
        <v/>
      </c>
      <c r="E2821" s="72" t="n"/>
      <c r="F2821" s="65" t="n"/>
      <c r="G2821" s="68" t="str">
        <f>IF(J2821&lt;&gt;"OK","",IF(F2821="",N(INDEX(mat_loss,MATCH(B2821,mat_ref,0))),F2821))</f>
        <v/>
      </c>
      <c r="H2821" s="66" t="str">
        <f>IF(J2821&lt;&gt;"OK","",INDEX(mat_price,MATCH(B2821,mat_ref,0)))</f>
        <v/>
      </c>
      <c r="I2821" s="66" t="str">
        <f>IF(J2821&lt;&gt;"OK","",E2821*(1+G2821)*H2821)</f>
        <v/>
      </c>
      <c r="J2821" s="69" t="str">
        <f>IF(AND(A2821="",B2821=""),"",IF(A2821="","Produit manquant",IF(COUNTIF(prod_ref,A2821)=0,"Produit inconnu",IF(B2821="","Matière manquante",IF(ISNA(MATCH(B2821,mat_ref,0)),"Matière inconnue",IF(INDEX(mat_check,MATCH(B2821,mat_ref,0))&lt;&gt;"OK","Matière à corriger",IF(OR(NOT(ISNUMBER(E2821)),N(E2821)&lt;=0),"Quantité invalide",IF(AND(F2821&lt;&gt;"",OR(NOT(ISNUMBER(F2821)),N(F2821)&lt;0,N(F2821)&gt;=1)),"Perte entre 0 et 99 %",IF(COUNTIFS(bom_prod,A2821,bom_mat,B2821)&gt;1,"Matière en double","OK")))))))))</f>
        <v/>
      </c>
      <c r="K2821" s="71" t="str">
        <f>IF(AND(fiche_sel&lt;&gt;"",A2821=fiche_sel),COUNTIF(A$6:A2821,fiche_sel),"")</f>
        <v/>
      </c>
    </row>
    <row r="2822">
      <c r="A2822" s="60" t="n"/>
      <c r="B2822" s="60" t="n"/>
      <c r="C2822" s="71" t="str">
        <f>IF(B2822="","",IFERROR(INDEX(mat_des,MATCH(B2822,mat_ref,0))&amp;"","Matière inconnue"))</f>
        <v/>
      </c>
      <c r="D2822" s="69" t="str">
        <f>IF(B2822="","",IFERROR(INDEX(mat_unit,MATCH(B2822,mat_ref,0))&amp;"",""))</f>
        <v/>
      </c>
      <c r="E2822" s="72" t="n"/>
      <c r="F2822" s="65" t="n"/>
      <c r="G2822" s="68" t="str">
        <f>IF(J2822&lt;&gt;"OK","",IF(F2822="",N(INDEX(mat_loss,MATCH(B2822,mat_ref,0))),F2822))</f>
        <v/>
      </c>
      <c r="H2822" s="66" t="str">
        <f>IF(J2822&lt;&gt;"OK","",INDEX(mat_price,MATCH(B2822,mat_ref,0)))</f>
        <v/>
      </c>
      <c r="I2822" s="66" t="str">
        <f>IF(J2822&lt;&gt;"OK","",E2822*(1+G2822)*H2822)</f>
        <v/>
      </c>
      <c r="J2822" s="69" t="str">
        <f>IF(AND(A2822="",B2822=""),"",IF(A2822="","Produit manquant",IF(COUNTIF(prod_ref,A2822)=0,"Produit inconnu",IF(B2822="","Matière manquante",IF(ISNA(MATCH(B2822,mat_ref,0)),"Matière inconnue",IF(INDEX(mat_check,MATCH(B2822,mat_ref,0))&lt;&gt;"OK","Matière à corriger",IF(OR(NOT(ISNUMBER(E2822)),N(E2822)&lt;=0),"Quantité invalide",IF(AND(F2822&lt;&gt;"",OR(NOT(ISNUMBER(F2822)),N(F2822)&lt;0,N(F2822)&gt;=1)),"Perte entre 0 et 99 %",IF(COUNTIFS(bom_prod,A2822,bom_mat,B2822)&gt;1,"Matière en double","OK")))))))))</f>
        <v/>
      </c>
      <c r="K2822" s="71" t="str">
        <f>IF(AND(fiche_sel&lt;&gt;"",A2822=fiche_sel),COUNTIF(A$6:A2822,fiche_sel),"")</f>
        <v/>
      </c>
    </row>
    <row r="2823">
      <c r="A2823" s="60" t="n"/>
      <c r="B2823" s="60" t="n"/>
      <c r="C2823" s="71" t="str">
        <f>IF(B2823="","",IFERROR(INDEX(mat_des,MATCH(B2823,mat_ref,0))&amp;"","Matière inconnue"))</f>
        <v/>
      </c>
      <c r="D2823" s="69" t="str">
        <f>IF(B2823="","",IFERROR(INDEX(mat_unit,MATCH(B2823,mat_ref,0))&amp;"",""))</f>
        <v/>
      </c>
      <c r="E2823" s="72" t="n"/>
      <c r="F2823" s="65" t="n"/>
      <c r="G2823" s="68" t="str">
        <f>IF(J2823&lt;&gt;"OK","",IF(F2823="",N(INDEX(mat_loss,MATCH(B2823,mat_ref,0))),F2823))</f>
        <v/>
      </c>
      <c r="H2823" s="66" t="str">
        <f>IF(J2823&lt;&gt;"OK","",INDEX(mat_price,MATCH(B2823,mat_ref,0)))</f>
        <v/>
      </c>
      <c r="I2823" s="66" t="str">
        <f>IF(J2823&lt;&gt;"OK","",E2823*(1+G2823)*H2823)</f>
        <v/>
      </c>
      <c r="J2823" s="69" t="str">
        <f>IF(AND(A2823="",B2823=""),"",IF(A2823="","Produit manquant",IF(COUNTIF(prod_ref,A2823)=0,"Produit inconnu",IF(B2823="","Matière manquante",IF(ISNA(MATCH(B2823,mat_ref,0)),"Matière inconnue",IF(INDEX(mat_check,MATCH(B2823,mat_ref,0))&lt;&gt;"OK","Matière à corriger",IF(OR(NOT(ISNUMBER(E2823)),N(E2823)&lt;=0),"Quantité invalide",IF(AND(F2823&lt;&gt;"",OR(NOT(ISNUMBER(F2823)),N(F2823)&lt;0,N(F2823)&gt;=1)),"Perte entre 0 et 99 %",IF(COUNTIFS(bom_prod,A2823,bom_mat,B2823)&gt;1,"Matière en double","OK")))))))))</f>
        <v/>
      </c>
      <c r="K2823" s="71" t="str">
        <f>IF(AND(fiche_sel&lt;&gt;"",A2823=fiche_sel),COUNTIF(A$6:A2823,fiche_sel),"")</f>
        <v/>
      </c>
    </row>
    <row r="2824">
      <c r="A2824" s="60" t="n"/>
      <c r="B2824" s="60" t="n"/>
      <c r="C2824" s="71" t="str">
        <f>IF(B2824="","",IFERROR(INDEX(mat_des,MATCH(B2824,mat_ref,0))&amp;"","Matière inconnue"))</f>
        <v/>
      </c>
      <c r="D2824" s="69" t="str">
        <f>IF(B2824="","",IFERROR(INDEX(mat_unit,MATCH(B2824,mat_ref,0))&amp;"",""))</f>
        <v/>
      </c>
      <c r="E2824" s="72" t="n"/>
      <c r="F2824" s="65" t="n"/>
      <c r="G2824" s="68" t="str">
        <f>IF(J2824&lt;&gt;"OK","",IF(F2824="",N(INDEX(mat_loss,MATCH(B2824,mat_ref,0))),F2824))</f>
        <v/>
      </c>
      <c r="H2824" s="66" t="str">
        <f>IF(J2824&lt;&gt;"OK","",INDEX(mat_price,MATCH(B2824,mat_ref,0)))</f>
        <v/>
      </c>
      <c r="I2824" s="66" t="str">
        <f>IF(J2824&lt;&gt;"OK","",E2824*(1+G2824)*H2824)</f>
        <v/>
      </c>
      <c r="J2824" s="69" t="str">
        <f>IF(AND(A2824="",B2824=""),"",IF(A2824="","Produit manquant",IF(COUNTIF(prod_ref,A2824)=0,"Produit inconnu",IF(B2824="","Matière manquante",IF(ISNA(MATCH(B2824,mat_ref,0)),"Matière inconnue",IF(INDEX(mat_check,MATCH(B2824,mat_ref,0))&lt;&gt;"OK","Matière à corriger",IF(OR(NOT(ISNUMBER(E2824)),N(E2824)&lt;=0),"Quantité invalide",IF(AND(F2824&lt;&gt;"",OR(NOT(ISNUMBER(F2824)),N(F2824)&lt;0,N(F2824)&gt;=1)),"Perte entre 0 et 99 %",IF(COUNTIFS(bom_prod,A2824,bom_mat,B2824)&gt;1,"Matière en double","OK")))))))))</f>
        <v/>
      </c>
      <c r="K2824" s="71" t="str">
        <f>IF(AND(fiche_sel&lt;&gt;"",A2824=fiche_sel),COUNTIF(A$6:A2824,fiche_sel),"")</f>
        <v/>
      </c>
    </row>
    <row r="2825">
      <c r="A2825" s="60" t="n"/>
      <c r="B2825" s="60" t="n"/>
      <c r="C2825" s="71" t="str">
        <f>IF(B2825="","",IFERROR(INDEX(mat_des,MATCH(B2825,mat_ref,0))&amp;"","Matière inconnue"))</f>
        <v/>
      </c>
      <c r="D2825" s="69" t="str">
        <f>IF(B2825="","",IFERROR(INDEX(mat_unit,MATCH(B2825,mat_ref,0))&amp;"",""))</f>
        <v/>
      </c>
      <c r="E2825" s="72" t="n"/>
      <c r="F2825" s="65" t="n"/>
      <c r="G2825" s="68" t="str">
        <f>IF(J2825&lt;&gt;"OK","",IF(F2825="",N(INDEX(mat_loss,MATCH(B2825,mat_ref,0))),F2825))</f>
        <v/>
      </c>
      <c r="H2825" s="66" t="str">
        <f>IF(J2825&lt;&gt;"OK","",INDEX(mat_price,MATCH(B2825,mat_ref,0)))</f>
        <v/>
      </c>
      <c r="I2825" s="66" t="str">
        <f>IF(J2825&lt;&gt;"OK","",E2825*(1+G2825)*H2825)</f>
        <v/>
      </c>
      <c r="J2825" s="69" t="str">
        <f>IF(AND(A2825="",B2825=""),"",IF(A2825="","Produit manquant",IF(COUNTIF(prod_ref,A2825)=0,"Produit inconnu",IF(B2825="","Matière manquante",IF(ISNA(MATCH(B2825,mat_ref,0)),"Matière inconnue",IF(INDEX(mat_check,MATCH(B2825,mat_ref,0))&lt;&gt;"OK","Matière à corriger",IF(OR(NOT(ISNUMBER(E2825)),N(E2825)&lt;=0),"Quantité invalide",IF(AND(F2825&lt;&gt;"",OR(NOT(ISNUMBER(F2825)),N(F2825)&lt;0,N(F2825)&gt;=1)),"Perte entre 0 et 99 %",IF(COUNTIFS(bom_prod,A2825,bom_mat,B2825)&gt;1,"Matière en double","OK")))))))))</f>
        <v/>
      </c>
      <c r="K2825" s="71" t="str">
        <f>IF(AND(fiche_sel&lt;&gt;"",A2825=fiche_sel),COUNTIF(A$6:A2825,fiche_sel),"")</f>
        <v/>
      </c>
    </row>
    <row r="2826">
      <c r="A2826" s="60" t="n"/>
      <c r="B2826" s="60" t="n"/>
      <c r="C2826" s="71" t="str">
        <f>IF(B2826="","",IFERROR(INDEX(mat_des,MATCH(B2826,mat_ref,0))&amp;"","Matière inconnue"))</f>
        <v/>
      </c>
      <c r="D2826" s="69" t="str">
        <f>IF(B2826="","",IFERROR(INDEX(mat_unit,MATCH(B2826,mat_ref,0))&amp;"",""))</f>
        <v/>
      </c>
      <c r="E2826" s="72" t="n"/>
      <c r="F2826" s="65" t="n"/>
      <c r="G2826" s="68" t="str">
        <f>IF(J2826&lt;&gt;"OK","",IF(F2826="",N(INDEX(mat_loss,MATCH(B2826,mat_ref,0))),F2826))</f>
        <v/>
      </c>
      <c r="H2826" s="66" t="str">
        <f>IF(J2826&lt;&gt;"OK","",INDEX(mat_price,MATCH(B2826,mat_ref,0)))</f>
        <v/>
      </c>
      <c r="I2826" s="66" t="str">
        <f>IF(J2826&lt;&gt;"OK","",E2826*(1+G2826)*H2826)</f>
        <v/>
      </c>
      <c r="J2826" s="69" t="str">
        <f>IF(AND(A2826="",B2826=""),"",IF(A2826="","Produit manquant",IF(COUNTIF(prod_ref,A2826)=0,"Produit inconnu",IF(B2826="","Matière manquante",IF(ISNA(MATCH(B2826,mat_ref,0)),"Matière inconnue",IF(INDEX(mat_check,MATCH(B2826,mat_ref,0))&lt;&gt;"OK","Matière à corriger",IF(OR(NOT(ISNUMBER(E2826)),N(E2826)&lt;=0),"Quantité invalide",IF(AND(F2826&lt;&gt;"",OR(NOT(ISNUMBER(F2826)),N(F2826)&lt;0,N(F2826)&gt;=1)),"Perte entre 0 et 99 %",IF(COUNTIFS(bom_prod,A2826,bom_mat,B2826)&gt;1,"Matière en double","OK")))))))))</f>
        <v/>
      </c>
      <c r="K2826" s="71" t="str">
        <f>IF(AND(fiche_sel&lt;&gt;"",A2826=fiche_sel),COUNTIF(A$6:A2826,fiche_sel),"")</f>
        <v/>
      </c>
    </row>
    <row r="2827">
      <c r="A2827" s="60" t="n"/>
      <c r="B2827" s="60" t="n"/>
      <c r="C2827" s="71" t="str">
        <f>IF(B2827="","",IFERROR(INDEX(mat_des,MATCH(B2827,mat_ref,0))&amp;"","Matière inconnue"))</f>
        <v/>
      </c>
      <c r="D2827" s="69" t="str">
        <f>IF(B2827="","",IFERROR(INDEX(mat_unit,MATCH(B2827,mat_ref,0))&amp;"",""))</f>
        <v/>
      </c>
      <c r="E2827" s="72" t="n"/>
      <c r="F2827" s="65" t="n"/>
      <c r="G2827" s="68" t="str">
        <f>IF(J2827&lt;&gt;"OK","",IF(F2827="",N(INDEX(mat_loss,MATCH(B2827,mat_ref,0))),F2827))</f>
        <v/>
      </c>
      <c r="H2827" s="66" t="str">
        <f>IF(J2827&lt;&gt;"OK","",INDEX(mat_price,MATCH(B2827,mat_ref,0)))</f>
        <v/>
      </c>
      <c r="I2827" s="66" t="str">
        <f>IF(J2827&lt;&gt;"OK","",E2827*(1+G2827)*H2827)</f>
        <v/>
      </c>
      <c r="J2827" s="69" t="str">
        <f>IF(AND(A2827="",B2827=""),"",IF(A2827="","Produit manquant",IF(COUNTIF(prod_ref,A2827)=0,"Produit inconnu",IF(B2827="","Matière manquante",IF(ISNA(MATCH(B2827,mat_ref,0)),"Matière inconnue",IF(INDEX(mat_check,MATCH(B2827,mat_ref,0))&lt;&gt;"OK","Matière à corriger",IF(OR(NOT(ISNUMBER(E2827)),N(E2827)&lt;=0),"Quantité invalide",IF(AND(F2827&lt;&gt;"",OR(NOT(ISNUMBER(F2827)),N(F2827)&lt;0,N(F2827)&gt;=1)),"Perte entre 0 et 99 %",IF(COUNTIFS(bom_prod,A2827,bom_mat,B2827)&gt;1,"Matière en double","OK")))))))))</f>
        <v/>
      </c>
      <c r="K2827" s="71" t="str">
        <f>IF(AND(fiche_sel&lt;&gt;"",A2827=fiche_sel),COUNTIF(A$6:A2827,fiche_sel),"")</f>
        <v/>
      </c>
    </row>
    <row r="2828">
      <c r="A2828" s="60" t="n"/>
      <c r="B2828" s="60" t="n"/>
      <c r="C2828" s="71" t="str">
        <f>IF(B2828="","",IFERROR(INDEX(mat_des,MATCH(B2828,mat_ref,0))&amp;"","Matière inconnue"))</f>
        <v/>
      </c>
      <c r="D2828" s="69" t="str">
        <f>IF(B2828="","",IFERROR(INDEX(mat_unit,MATCH(B2828,mat_ref,0))&amp;"",""))</f>
        <v/>
      </c>
      <c r="E2828" s="72" t="n"/>
      <c r="F2828" s="65" t="n"/>
      <c r="G2828" s="68" t="str">
        <f>IF(J2828&lt;&gt;"OK","",IF(F2828="",N(INDEX(mat_loss,MATCH(B2828,mat_ref,0))),F2828))</f>
        <v/>
      </c>
      <c r="H2828" s="66" t="str">
        <f>IF(J2828&lt;&gt;"OK","",INDEX(mat_price,MATCH(B2828,mat_ref,0)))</f>
        <v/>
      </c>
      <c r="I2828" s="66" t="str">
        <f>IF(J2828&lt;&gt;"OK","",E2828*(1+G2828)*H2828)</f>
        <v/>
      </c>
      <c r="J2828" s="69" t="str">
        <f>IF(AND(A2828="",B2828=""),"",IF(A2828="","Produit manquant",IF(COUNTIF(prod_ref,A2828)=0,"Produit inconnu",IF(B2828="","Matière manquante",IF(ISNA(MATCH(B2828,mat_ref,0)),"Matière inconnue",IF(INDEX(mat_check,MATCH(B2828,mat_ref,0))&lt;&gt;"OK","Matière à corriger",IF(OR(NOT(ISNUMBER(E2828)),N(E2828)&lt;=0),"Quantité invalide",IF(AND(F2828&lt;&gt;"",OR(NOT(ISNUMBER(F2828)),N(F2828)&lt;0,N(F2828)&gt;=1)),"Perte entre 0 et 99 %",IF(COUNTIFS(bom_prod,A2828,bom_mat,B2828)&gt;1,"Matière en double","OK")))))))))</f>
        <v/>
      </c>
      <c r="K2828" s="71" t="str">
        <f>IF(AND(fiche_sel&lt;&gt;"",A2828=fiche_sel),COUNTIF(A$6:A2828,fiche_sel),"")</f>
        <v/>
      </c>
    </row>
    <row r="2829">
      <c r="A2829" s="60" t="n"/>
      <c r="B2829" s="60" t="n"/>
      <c r="C2829" s="71" t="str">
        <f>IF(B2829="","",IFERROR(INDEX(mat_des,MATCH(B2829,mat_ref,0))&amp;"","Matière inconnue"))</f>
        <v/>
      </c>
      <c r="D2829" s="69" t="str">
        <f>IF(B2829="","",IFERROR(INDEX(mat_unit,MATCH(B2829,mat_ref,0))&amp;"",""))</f>
        <v/>
      </c>
      <c r="E2829" s="72" t="n"/>
      <c r="F2829" s="65" t="n"/>
      <c r="G2829" s="68" t="str">
        <f>IF(J2829&lt;&gt;"OK","",IF(F2829="",N(INDEX(mat_loss,MATCH(B2829,mat_ref,0))),F2829))</f>
        <v/>
      </c>
      <c r="H2829" s="66" t="str">
        <f>IF(J2829&lt;&gt;"OK","",INDEX(mat_price,MATCH(B2829,mat_ref,0)))</f>
        <v/>
      </c>
      <c r="I2829" s="66" t="str">
        <f>IF(J2829&lt;&gt;"OK","",E2829*(1+G2829)*H2829)</f>
        <v/>
      </c>
      <c r="J2829" s="69" t="str">
        <f>IF(AND(A2829="",B2829=""),"",IF(A2829="","Produit manquant",IF(COUNTIF(prod_ref,A2829)=0,"Produit inconnu",IF(B2829="","Matière manquante",IF(ISNA(MATCH(B2829,mat_ref,0)),"Matière inconnue",IF(INDEX(mat_check,MATCH(B2829,mat_ref,0))&lt;&gt;"OK","Matière à corriger",IF(OR(NOT(ISNUMBER(E2829)),N(E2829)&lt;=0),"Quantité invalide",IF(AND(F2829&lt;&gt;"",OR(NOT(ISNUMBER(F2829)),N(F2829)&lt;0,N(F2829)&gt;=1)),"Perte entre 0 et 99 %",IF(COUNTIFS(bom_prod,A2829,bom_mat,B2829)&gt;1,"Matière en double","OK")))))))))</f>
        <v/>
      </c>
      <c r="K2829" s="71" t="str">
        <f>IF(AND(fiche_sel&lt;&gt;"",A2829=fiche_sel),COUNTIF(A$6:A2829,fiche_sel),"")</f>
        <v/>
      </c>
    </row>
    <row r="2830">
      <c r="A2830" s="60" t="n"/>
      <c r="B2830" s="60" t="n"/>
      <c r="C2830" s="71" t="str">
        <f>IF(B2830="","",IFERROR(INDEX(mat_des,MATCH(B2830,mat_ref,0))&amp;"","Matière inconnue"))</f>
        <v/>
      </c>
      <c r="D2830" s="69" t="str">
        <f>IF(B2830="","",IFERROR(INDEX(mat_unit,MATCH(B2830,mat_ref,0))&amp;"",""))</f>
        <v/>
      </c>
      <c r="E2830" s="72" t="n"/>
      <c r="F2830" s="65" t="n"/>
      <c r="G2830" s="68" t="str">
        <f>IF(J2830&lt;&gt;"OK","",IF(F2830="",N(INDEX(mat_loss,MATCH(B2830,mat_ref,0))),F2830))</f>
        <v/>
      </c>
      <c r="H2830" s="66" t="str">
        <f>IF(J2830&lt;&gt;"OK","",INDEX(mat_price,MATCH(B2830,mat_ref,0)))</f>
        <v/>
      </c>
      <c r="I2830" s="66" t="str">
        <f>IF(J2830&lt;&gt;"OK","",E2830*(1+G2830)*H2830)</f>
        <v/>
      </c>
      <c r="J2830" s="69" t="str">
        <f>IF(AND(A2830="",B2830=""),"",IF(A2830="","Produit manquant",IF(COUNTIF(prod_ref,A2830)=0,"Produit inconnu",IF(B2830="","Matière manquante",IF(ISNA(MATCH(B2830,mat_ref,0)),"Matière inconnue",IF(INDEX(mat_check,MATCH(B2830,mat_ref,0))&lt;&gt;"OK","Matière à corriger",IF(OR(NOT(ISNUMBER(E2830)),N(E2830)&lt;=0),"Quantité invalide",IF(AND(F2830&lt;&gt;"",OR(NOT(ISNUMBER(F2830)),N(F2830)&lt;0,N(F2830)&gt;=1)),"Perte entre 0 et 99 %",IF(COUNTIFS(bom_prod,A2830,bom_mat,B2830)&gt;1,"Matière en double","OK")))))))))</f>
        <v/>
      </c>
      <c r="K2830" s="71" t="str">
        <f>IF(AND(fiche_sel&lt;&gt;"",A2830=fiche_sel),COUNTIF(A$6:A2830,fiche_sel),"")</f>
        <v/>
      </c>
    </row>
    <row r="2831">
      <c r="A2831" s="60" t="n"/>
      <c r="B2831" s="60" t="n"/>
      <c r="C2831" s="71" t="str">
        <f>IF(B2831="","",IFERROR(INDEX(mat_des,MATCH(B2831,mat_ref,0))&amp;"","Matière inconnue"))</f>
        <v/>
      </c>
      <c r="D2831" s="69" t="str">
        <f>IF(B2831="","",IFERROR(INDEX(mat_unit,MATCH(B2831,mat_ref,0))&amp;"",""))</f>
        <v/>
      </c>
      <c r="E2831" s="72" t="n"/>
      <c r="F2831" s="65" t="n"/>
      <c r="G2831" s="68" t="str">
        <f>IF(J2831&lt;&gt;"OK","",IF(F2831="",N(INDEX(mat_loss,MATCH(B2831,mat_ref,0))),F2831))</f>
        <v/>
      </c>
      <c r="H2831" s="66" t="str">
        <f>IF(J2831&lt;&gt;"OK","",INDEX(mat_price,MATCH(B2831,mat_ref,0)))</f>
        <v/>
      </c>
      <c r="I2831" s="66" t="str">
        <f>IF(J2831&lt;&gt;"OK","",E2831*(1+G2831)*H2831)</f>
        <v/>
      </c>
      <c r="J2831" s="69" t="str">
        <f>IF(AND(A2831="",B2831=""),"",IF(A2831="","Produit manquant",IF(COUNTIF(prod_ref,A2831)=0,"Produit inconnu",IF(B2831="","Matière manquante",IF(ISNA(MATCH(B2831,mat_ref,0)),"Matière inconnue",IF(INDEX(mat_check,MATCH(B2831,mat_ref,0))&lt;&gt;"OK","Matière à corriger",IF(OR(NOT(ISNUMBER(E2831)),N(E2831)&lt;=0),"Quantité invalide",IF(AND(F2831&lt;&gt;"",OR(NOT(ISNUMBER(F2831)),N(F2831)&lt;0,N(F2831)&gt;=1)),"Perte entre 0 et 99 %",IF(COUNTIFS(bom_prod,A2831,bom_mat,B2831)&gt;1,"Matière en double","OK")))))))))</f>
        <v/>
      </c>
      <c r="K2831" s="71" t="str">
        <f>IF(AND(fiche_sel&lt;&gt;"",A2831=fiche_sel),COUNTIF(A$6:A2831,fiche_sel),"")</f>
        <v/>
      </c>
    </row>
    <row r="2832">
      <c r="A2832" s="60" t="n"/>
      <c r="B2832" s="60" t="n"/>
      <c r="C2832" s="71" t="str">
        <f>IF(B2832="","",IFERROR(INDEX(mat_des,MATCH(B2832,mat_ref,0))&amp;"","Matière inconnue"))</f>
        <v/>
      </c>
      <c r="D2832" s="69" t="str">
        <f>IF(B2832="","",IFERROR(INDEX(mat_unit,MATCH(B2832,mat_ref,0))&amp;"",""))</f>
        <v/>
      </c>
      <c r="E2832" s="72" t="n"/>
      <c r="F2832" s="65" t="n"/>
      <c r="G2832" s="68" t="str">
        <f>IF(J2832&lt;&gt;"OK","",IF(F2832="",N(INDEX(mat_loss,MATCH(B2832,mat_ref,0))),F2832))</f>
        <v/>
      </c>
      <c r="H2832" s="66" t="str">
        <f>IF(J2832&lt;&gt;"OK","",INDEX(mat_price,MATCH(B2832,mat_ref,0)))</f>
        <v/>
      </c>
      <c r="I2832" s="66" t="str">
        <f>IF(J2832&lt;&gt;"OK","",E2832*(1+G2832)*H2832)</f>
        <v/>
      </c>
      <c r="J2832" s="69" t="str">
        <f>IF(AND(A2832="",B2832=""),"",IF(A2832="","Produit manquant",IF(COUNTIF(prod_ref,A2832)=0,"Produit inconnu",IF(B2832="","Matière manquante",IF(ISNA(MATCH(B2832,mat_ref,0)),"Matière inconnue",IF(INDEX(mat_check,MATCH(B2832,mat_ref,0))&lt;&gt;"OK","Matière à corriger",IF(OR(NOT(ISNUMBER(E2832)),N(E2832)&lt;=0),"Quantité invalide",IF(AND(F2832&lt;&gt;"",OR(NOT(ISNUMBER(F2832)),N(F2832)&lt;0,N(F2832)&gt;=1)),"Perte entre 0 et 99 %",IF(COUNTIFS(bom_prod,A2832,bom_mat,B2832)&gt;1,"Matière en double","OK")))))))))</f>
        <v/>
      </c>
      <c r="K2832" s="71" t="str">
        <f>IF(AND(fiche_sel&lt;&gt;"",A2832=fiche_sel),COUNTIF(A$6:A2832,fiche_sel),"")</f>
        <v/>
      </c>
    </row>
    <row r="2833">
      <c r="A2833" s="60" t="n"/>
      <c r="B2833" s="60" t="n"/>
      <c r="C2833" s="71" t="str">
        <f>IF(B2833="","",IFERROR(INDEX(mat_des,MATCH(B2833,mat_ref,0))&amp;"","Matière inconnue"))</f>
        <v/>
      </c>
      <c r="D2833" s="69" t="str">
        <f>IF(B2833="","",IFERROR(INDEX(mat_unit,MATCH(B2833,mat_ref,0))&amp;"",""))</f>
        <v/>
      </c>
      <c r="E2833" s="72" t="n"/>
      <c r="F2833" s="65" t="n"/>
      <c r="G2833" s="68" t="str">
        <f>IF(J2833&lt;&gt;"OK","",IF(F2833="",N(INDEX(mat_loss,MATCH(B2833,mat_ref,0))),F2833))</f>
        <v/>
      </c>
      <c r="H2833" s="66" t="str">
        <f>IF(J2833&lt;&gt;"OK","",INDEX(mat_price,MATCH(B2833,mat_ref,0)))</f>
        <v/>
      </c>
      <c r="I2833" s="66" t="str">
        <f>IF(J2833&lt;&gt;"OK","",E2833*(1+G2833)*H2833)</f>
        <v/>
      </c>
      <c r="J2833" s="69" t="str">
        <f>IF(AND(A2833="",B2833=""),"",IF(A2833="","Produit manquant",IF(COUNTIF(prod_ref,A2833)=0,"Produit inconnu",IF(B2833="","Matière manquante",IF(ISNA(MATCH(B2833,mat_ref,0)),"Matière inconnue",IF(INDEX(mat_check,MATCH(B2833,mat_ref,0))&lt;&gt;"OK","Matière à corriger",IF(OR(NOT(ISNUMBER(E2833)),N(E2833)&lt;=0),"Quantité invalide",IF(AND(F2833&lt;&gt;"",OR(NOT(ISNUMBER(F2833)),N(F2833)&lt;0,N(F2833)&gt;=1)),"Perte entre 0 et 99 %",IF(COUNTIFS(bom_prod,A2833,bom_mat,B2833)&gt;1,"Matière en double","OK")))))))))</f>
        <v/>
      </c>
      <c r="K2833" s="71" t="str">
        <f>IF(AND(fiche_sel&lt;&gt;"",A2833=fiche_sel),COUNTIF(A$6:A2833,fiche_sel),"")</f>
        <v/>
      </c>
    </row>
    <row r="2834">
      <c r="A2834" s="60" t="n"/>
      <c r="B2834" s="60" t="n"/>
      <c r="C2834" s="71" t="str">
        <f>IF(B2834="","",IFERROR(INDEX(mat_des,MATCH(B2834,mat_ref,0))&amp;"","Matière inconnue"))</f>
        <v/>
      </c>
      <c r="D2834" s="69" t="str">
        <f>IF(B2834="","",IFERROR(INDEX(mat_unit,MATCH(B2834,mat_ref,0))&amp;"",""))</f>
        <v/>
      </c>
      <c r="E2834" s="72" t="n"/>
      <c r="F2834" s="65" t="n"/>
      <c r="G2834" s="68" t="str">
        <f>IF(J2834&lt;&gt;"OK","",IF(F2834="",N(INDEX(mat_loss,MATCH(B2834,mat_ref,0))),F2834))</f>
        <v/>
      </c>
      <c r="H2834" s="66" t="str">
        <f>IF(J2834&lt;&gt;"OK","",INDEX(mat_price,MATCH(B2834,mat_ref,0)))</f>
        <v/>
      </c>
      <c r="I2834" s="66" t="str">
        <f>IF(J2834&lt;&gt;"OK","",E2834*(1+G2834)*H2834)</f>
        <v/>
      </c>
      <c r="J2834" s="69" t="str">
        <f>IF(AND(A2834="",B2834=""),"",IF(A2834="","Produit manquant",IF(COUNTIF(prod_ref,A2834)=0,"Produit inconnu",IF(B2834="","Matière manquante",IF(ISNA(MATCH(B2834,mat_ref,0)),"Matière inconnue",IF(INDEX(mat_check,MATCH(B2834,mat_ref,0))&lt;&gt;"OK","Matière à corriger",IF(OR(NOT(ISNUMBER(E2834)),N(E2834)&lt;=0),"Quantité invalide",IF(AND(F2834&lt;&gt;"",OR(NOT(ISNUMBER(F2834)),N(F2834)&lt;0,N(F2834)&gt;=1)),"Perte entre 0 et 99 %",IF(COUNTIFS(bom_prod,A2834,bom_mat,B2834)&gt;1,"Matière en double","OK")))))))))</f>
        <v/>
      </c>
      <c r="K2834" s="71" t="str">
        <f>IF(AND(fiche_sel&lt;&gt;"",A2834=fiche_sel),COUNTIF(A$6:A2834,fiche_sel),"")</f>
        <v/>
      </c>
    </row>
    <row r="2835">
      <c r="A2835" s="60" t="n"/>
      <c r="B2835" s="60" t="n"/>
      <c r="C2835" s="71" t="str">
        <f>IF(B2835="","",IFERROR(INDEX(mat_des,MATCH(B2835,mat_ref,0))&amp;"","Matière inconnue"))</f>
        <v/>
      </c>
      <c r="D2835" s="69" t="str">
        <f>IF(B2835="","",IFERROR(INDEX(mat_unit,MATCH(B2835,mat_ref,0))&amp;"",""))</f>
        <v/>
      </c>
      <c r="E2835" s="72" t="n"/>
      <c r="F2835" s="65" t="n"/>
      <c r="G2835" s="68" t="str">
        <f>IF(J2835&lt;&gt;"OK","",IF(F2835="",N(INDEX(mat_loss,MATCH(B2835,mat_ref,0))),F2835))</f>
        <v/>
      </c>
      <c r="H2835" s="66" t="str">
        <f>IF(J2835&lt;&gt;"OK","",INDEX(mat_price,MATCH(B2835,mat_ref,0)))</f>
        <v/>
      </c>
      <c r="I2835" s="66" t="str">
        <f>IF(J2835&lt;&gt;"OK","",E2835*(1+G2835)*H2835)</f>
        <v/>
      </c>
      <c r="J2835" s="69" t="str">
        <f>IF(AND(A2835="",B2835=""),"",IF(A2835="","Produit manquant",IF(COUNTIF(prod_ref,A2835)=0,"Produit inconnu",IF(B2835="","Matière manquante",IF(ISNA(MATCH(B2835,mat_ref,0)),"Matière inconnue",IF(INDEX(mat_check,MATCH(B2835,mat_ref,0))&lt;&gt;"OK","Matière à corriger",IF(OR(NOT(ISNUMBER(E2835)),N(E2835)&lt;=0),"Quantité invalide",IF(AND(F2835&lt;&gt;"",OR(NOT(ISNUMBER(F2835)),N(F2835)&lt;0,N(F2835)&gt;=1)),"Perte entre 0 et 99 %",IF(COUNTIFS(bom_prod,A2835,bom_mat,B2835)&gt;1,"Matière en double","OK")))))))))</f>
        <v/>
      </c>
      <c r="K2835" s="71" t="str">
        <f>IF(AND(fiche_sel&lt;&gt;"",A2835=fiche_sel),COUNTIF(A$6:A2835,fiche_sel),"")</f>
        <v/>
      </c>
    </row>
    <row r="2836">
      <c r="A2836" s="60" t="n"/>
      <c r="B2836" s="60" t="n"/>
      <c r="C2836" s="71" t="str">
        <f>IF(B2836="","",IFERROR(INDEX(mat_des,MATCH(B2836,mat_ref,0))&amp;"","Matière inconnue"))</f>
        <v/>
      </c>
      <c r="D2836" s="69" t="str">
        <f>IF(B2836="","",IFERROR(INDEX(mat_unit,MATCH(B2836,mat_ref,0))&amp;"",""))</f>
        <v/>
      </c>
      <c r="E2836" s="72" t="n"/>
      <c r="F2836" s="65" t="n"/>
      <c r="G2836" s="68" t="str">
        <f>IF(J2836&lt;&gt;"OK","",IF(F2836="",N(INDEX(mat_loss,MATCH(B2836,mat_ref,0))),F2836))</f>
        <v/>
      </c>
      <c r="H2836" s="66" t="str">
        <f>IF(J2836&lt;&gt;"OK","",INDEX(mat_price,MATCH(B2836,mat_ref,0)))</f>
        <v/>
      </c>
      <c r="I2836" s="66" t="str">
        <f>IF(J2836&lt;&gt;"OK","",E2836*(1+G2836)*H2836)</f>
        <v/>
      </c>
      <c r="J2836" s="69" t="str">
        <f>IF(AND(A2836="",B2836=""),"",IF(A2836="","Produit manquant",IF(COUNTIF(prod_ref,A2836)=0,"Produit inconnu",IF(B2836="","Matière manquante",IF(ISNA(MATCH(B2836,mat_ref,0)),"Matière inconnue",IF(INDEX(mat_check,MATCH(B2836,mat_ref,0))&lt;&gt;"OK","Matière à corriger",IF(OR(NOT(ISNUMBER(E2836)),N(E2836)&lt;=0),"Quantité invalide",IF(AND(F2836&lt;&gt;"",OR(NOT(ISNUMBER(F2836)),N(F2836)&lt;0,N(F2836)&gt;=1)),"Perte entre 0 et 99 %",IF(COUNTIFS(bom_prod,A2836,bom_mat,B2836)&gt;1,"Matière en double","OK")))))))))</f>
        <v/>
      </c>
      <c r="K2836" s="71" t="str">
        <f>IF(AND(fiche_sel&lt;&gt;"",A2836=fiche_sel),COUNTIF(A$6:A2836,fiche_sel),"")</f>
        <v/>
      </c>
    </row>
    <row r="2837">
      <c r="A2837" s="60" t="n"/>
      <c r="B2837" s="60" t="n"/>
      <c r="C2837" s="71" t="str">
        <f>IF(B2837="","",IFERROR(INDEX(mat_des,MATCH(B2837,mat_ref,0))&amp;"","Matière inconnue"))</f>
        <v/>
      </c>
      <c r="D2837" s="69" t="str">
        <f>IF(B2837="","",IFERROR(INDEX(mat_unit,MATCH(B2837,mat_ref,0))&amp;"",""))</f>
        <v/>
      </c>
      <c r="E2837" s="72" t="n"/>
      <c r="F2837" s="65" t="n"/>
      <c r="G2837" s="68" t="str">
        <f>IF(J2837&lt;&gt;"OK","",IF(F2837="",N(INDEX(mat_loss,MATCH(B2837,mat_ref,0))),F2837))</f>
        <v/>
      </c>
      <c r="H2837" s="66" t="str">
        <f>IF(J2837&lt;&gt;"OK","",INDEX(mat_price,MATCH(B2837,mat_ref,0)))</f>
        <v/>
      </c>
      <c r="I2837" s="66" t="str">
        <f>IF(J2837&lt;&gt;"OK","",E2837*(1+G2837)*H2837)</f>
        <v/>
      </c>
      <c r="J2837" s="69" t="str">
        <f>IF(AND(A2837="",B2837=""),"",IF(A2837="","Produit manquant",IF(COUNTIF(prod_ref,A2837)=0,"Produit inconnu",IF(B2837="","Matière manquante",IF(ISNA(MATCH(B2837,mat_ref,0)),"Matière inconnue",IF(INDEX(mat_check,MATCH(B2837,mat_ref,0))&lt;&gt;"OK","Matière à corriger",IF(OR(NOT(ISNUMBER(E2837)),N(E2837)&lt;=0),"Quantité invalide",IF(AND(F2837&lt;&gt;"",OR(NOT(ISNUMBER(F2837)),N(F2837)&lt;0,N(F2837)&gt;=1)),"Perte entre 0 et 99 %",IF(COUNTIFS(bom_prod,A2837,bom_mat,B2837)&gt;1,"Matière en double","OK")))))))))</f>
        <v/>
      </c>
      <c r="K2837" s="71" t="str">
        <f>IF(AND(fiche_sel&lt;&gt;"",A2837=fiche_sel),COUNTIF(A$6:A2837,fiche_sel),"")</f>
        <v/>
      </c>
    </row>
    <row r="2838">
      <c r="A2838" s="60" t="n"/>
      <c r="B2838" s="60" t="n"/>
      <c r="C2838" s="71" t="str">
        <f>IF(B2838="","",IFERROR(INDEX(mat_des,MATCH(B2838,mat_ref,0))&amp;"","Matière inconnue"))</f>
        <v/>
      </c>
      <c r="D2838" s="69" t="str">
        <f>IF(B2838="","",IFERROR(INDEX(mat_unit,MATCH(B2838,mat_ref,0))&amp;"",""))</f>
        <v/>
      </c>
      <c r="E2838" s="72" t="n"/>
      <c r="F2838" s="65" t="n"/>
      <c r="G2838" s="68" t="str">
        <f>IF(J2838&lt;&gt;"OK","",IF(F2838="",N(INDEX(mat_loss,MATCH(B2838,mat_ref,0))),F2838))</f>
        <v/>
      </c>
      <c r="H2838" s="66" t="str">
        <f>IF(J2838&lt;&gt;"OK","",INDEX(mat_price,MATCH(B2838,mat_ref,0)))</f>
        <v/>
      </c>
      <c r="I2838" s="66" t="str">
        <f>IF(J2838&lt;&gt;"OK","",E2838*(1+G2838)*H2838)</f>
        <v/>
      </c>
      <c r="J2838" s="69" t="str">
        <f>IF(AND(A2838="",B2838=""),"",IF(A2838="","Produit manquant",IF(COUNTIF(prod_ref,A2838)=0,"Produit inconnu",IF(B2838="","Matière manquante",IF(ISNA(MATCH(B2838,mat_ref,0)),"Matière inconnue",IF(INDEX(mat_check,MATCH(B2838,mat_ref,0))&lt;&gt;"OK","Matière à corriger",IF(OR(NOT(ISNUMBER(E2838)),N(E2838)&lt;=0),"Quantité invalide",IF(AND(F2838&lt;&gt;"",OR(NOT(ISNUMBER(F2838)),N(F2838)&lt;0,N(F2838)&gt;=1)),"Perte entre 0 et 99 %",IF(COUNTIFS(bom_prod,A2838,bom_mat,B2838)&gt;1,"Matière en double","OK")))))))))</f>
        <v/>
      </c>
      <c r="K2838" s="71" t="str">
        <f>IF(AND(fiche_sel&lt;&gt;"",A2838=fiche_sel),COUNTIF(A$6:A2838,fiche_sel),"")</f>
        <v/>
      </c>
    </row>
    <row r="2839">
      <c r="A2839" s="60" t="n"/>
      <c r="B2839" s="60" t="n"/>
      <c r="C2839" s="71" t="str">
        <f>IF(B2839="","",IFERROR(INDEX(mat_des,MATCH(B2839,mat_ref,0))&amp;"","Matière inconnue"))</f>
        <v/>
      </c>
      <c r="D2839" s="69" t="str">
        <f>IF(B2839="","",IFERROR(INDEX(mat_unit,MATCH(B2839,mat_ref,0))&amp;"",""))</f>
        <v/>
      </c>
      <c r="E2839" s="72" t="n"/>
      <c r="F2839" s="65" t="n"/>
      <c r="G2839" s="68" t="str">
        <f>IF(J2839&lt;&gt;"OK","",IF(F2839="",N(INDEX(mat_loss,MATCH(B2839,mat_ref,0))),F2839))</f>
        <v/>
      </c>
      <c r="H2839" s="66" t="str">
        <f>IF(J2839&lt;&gt;"OK","",INDEX(mat_price,MATCH(B2839,mat_ref,0)))</f>
        <v/>
      </c>
      <c r="I2839" s="66" t="str">
        <f>IF(J2839&lt;&gt;"OK","",E2839*(1+G2839)*H2839)</f>
        <v/>
      </c>
      <c r="J2839" s="69" t="str">
        <f>IF(AND(A2839="",B2839=""),"",IF(A2839="","Produit manquant",IF(COUNTIF(prod_ref,A2839)=0,"Produit inconnu",IF(B2839="","Matière manquante",IF(ISNA(MATCH(B2839,mat_ref,0)),"Matière inconnue",IF(INDEX(mat_check,MATCH(B2839,mat_ref,0))&lt;&gt;"OK","Matière à corriger",IF(OR(NOT(ISNUMBER(E2839)),N(E2839)&lt;=0),"Quantité invalide",IF(AND(F2839&lt;&gt;"",OR(NOT(ISNUMBER(F2839)),N(F2839)&lt;0,N(F2839)&gt;=1)),"Perte entre 0 et 99 %",IF(COUNTIFS(bom_prod,A2839,bom_mat,B2839)&gt;1,"Matière en double","OK")))))))))</f>
        <v/>
      </c>
      <c r="K2839" s="71" t="str">
        <f>IF(AND(fiche_sel&lt;&gt;"",A2839=fiche_sel),COUNTIF(A$6:A2839,fiche_sel),"")</f>
        <v/>
      </c>
    </row>
    <row r="2840">
      <c r="A2840" s="60" t="n"/>
      <c r="B2840" s="60" t="n"/>
      <c r="C2840" s="71" t="str">
        <f>IF(B2840="","",IFERROR(INDEX(mat_des,MATCH(B2840,mat_ref,0))&amp;"","Matière inconnue"))</f>
        <v/>
      </c>
      <c r="D2840" s="69" t="str">
        <f>IF(B2840="","",IFERROR(INDEX(mat_unit,MATCH(B2840,mat_ref,0))&amp;"",""))</f>
        <v/>
      </c>
      <c r="E2840" s="72" t="n"/>
      <c r="F2840" s="65" t="n"/>
      <c r="G2840" s="68" t="str">
        <f>IF(J2840&lt;&gt;"OK","",IF(F2840="",N(INDEX(mat_loss,MATCH(B2840,mat_ref,0))),F2840))</f>
        <v/>
      </c>
      <c r="H2840" s="66" t="str">
        <f>IF(J2840&lt;&gt;"OK","",INDEX(mat_price,MATCH(B2840,mat_ref,0)))</f>
        <v/>
      </c>
      <c r="I2840" s="66" t="str">
        <f>IF(J2840&lt;&gt;"OK","",E2840*(1+G2840)*H2840)</f>
        <v/>
      </c>
      <c r="J2840" s="69" t="str">
        <f>IF(AND(A2840="",B2840=""),"",IF(A2840="","Produit manquant",IF(COUNTIF(prod_ref,A2840)=0,"Produit inconnu",IF(B2840="","Matière manquante",IF(ISNA(MATCH(B2840,mat_ref,0)),"Matière inconnue",IF(INDEX(mat_check,MATCH(B2840,mat_ref,0))&lt;&gt;"OK","Matière à corriger",IF(OR(NOT(ISNUMBER(E2840)),N(E2840)&lt;=0),"Quantité invalide",IF(AND(F2840&lt;&gt;"",OR(NOT(ISNUMBER(F2840)),N(F2840)&lt;0,N(F2840)&gt;=1)),"Perte entre 0 et 99 %",IF(COUNTIFS(bom_prod,A2840,bom_mat,B2840)&gt;1,"Matière en double","OK")))))))))</f>
        <v/>
      </c>
      <c r="K2840" s="71" t="str">
        <f>IF(AND(fiche_sel&lt;&gt;"",A2840=fiche_sel),COUNTIF(A$6:A2840,fiche_sel),"")</f>
        <v/>
      </c>
    </row>
    <row r="2841">
      <c r="A2841" s="60" t="n"/>
      <c r="B2841" s="60" t="n"/>
      <c r="C2841" s="71" t="str">
        <f>IF(B2841="","",IFERROR(INDEX(mat_des,MATCH(B2841,mat_ref,0))&amp;"","Matière inconnue"))</f>
        <v/>
      </c>
      <c r="D2841" s="69" t="str">
        <f>IF(B2841="","",IFERROR(INDEX(mat_unit,MATCH(B2841,mat_ref,0))&amp;"",""))</f>
        <v/>
      </c>
      <c r="E2841" s="72" t="n"/>
      <c r="F2841" s="65" t="n"/>
      <c r="G2841" s="68" t="str">
        <f>IF(J2841&lt;&gt;"OK","",IF(F2841="",N(INDEX(mat_loss,MATCH(B2841,mat_ref,0))),F2841))</f>
        <v/>
      </c>
      <c r="H2841" s="66" t="str">
        <f>IF(J2841&lt;&gt;"OK","",INDEX(mat_price,MATCH(B2841,mat_ref,0)))</f>
        <v/>
      </c>
      <c r="I2841" s="66" t="str">
        <f>IF(J2841&lt;&gt;"OK","",E2841*(1+G2841)*H2841)</f>
        <v/>
      </c>
      <c r="J2841" s="69" t="str">
        <f>IF(AND(A2841="",B2841=""),"",IF(A2841="","Produit manquant",IF(COUNTIF(prod_ref,A2841)=0,"Produit inconnu",IF(B2841="","Matière manquante",IF(ISNA(MATCH(B2841,mat_ref,0)),"Matière inconnue",IF(INDEX(mat_check,MATCH(B2841,mat_ref,0))&lt;&gt;"OK","Matière à corriger",IF(OR(NOT(ISNUMBER(E2841)),N(E2841)&lt;=0),"Quantité invalide",IF(AND(F2841&lt;&gt;"",OR(NOT(ISNUMBER(F2841)),N(F2841)&lt;0,N(F2841)&gt;=1)),"Perte entre 0 et 99 %",IF(COUNTIFS(bom_prod,A2841,bom_mat,B2841)&gt;1,"Matière en double","OK")))))))))</f>
        <v/>
      </c>
      <c r="K2841" s="71" t="str">
        <f>IF(AND(fiche_sel&lt;&gt;"",A2841=fiche_sel),COUNTIF(A$6:A2841,fiche_sel),"")</f>
        <v/>
      </c>
    </row>
    <row r="2842">
      <c r="A2842" s="60" t="n"/>
      <c r="B2842" s="60" t="n"/>
      <c r="C2842" s="71" t="str">
        <f>IF(B2842="","",IFERROR(INDEX(mat_des,MATCH(B2842,mat_ref,0))&amp;"","Matière inconnue"))</f>
        <v/>
      </c>
      <c r="D2842" s="69" t="str">
        <f>IF(B2842="","",IFERROR(INDEX(mat_unit,MATCH(B2842,mat_ref,0))&amp;"",""))</f>
        <v/>
      </c>
      <c r="E2842" s="72" t="n"/>
      <c r="F2842" s="65" t="n"/>
      <c r="G2842" s="68" t="str">
        <f>IF(J2842&lt;&gt;"OK","",IF(F2842="",N(INDEX(mat_loss,MATCH(B2842,mat_ref,0))),F2842))</f>
        <v/>
      </c>
      <c r="H2842" s="66" t="str">
        <f>IF(J2842&lt;&gt;"OK","",INDEX(mat_price,MATCH(B2842,mat_ref,0)))</f>
        <v/>
      </c>
      <c r="I2842" s="66" t="str">
        <f>IF(J2842&lt;&gt;"OK","",E2842*(1+G2842)*H2842)</f>
        <v/>
      </c>
      <c r="J2842" s="69" t="str">
        <f>IF(AND(A2842="",B2842=""),"",IF(A2842="","Produit manquant",IF(COUNTIF(prod_ref,A2842)=0,"Produit inconnu",IF(B2842="","Matière manquante",IF(ISNA(MATCH(B2842,mat_ref,0)),"Matière inconnue",IF(INDEX(mat_check,MATCH(B2842,mat_ref,0))&lt;&gt;"OK","Matière à corriger",IF(OR(NOT(ISNUMBER(E2842)),N(E2842)&lt;=0),"Quantité invalide",IF(AND(F2842&lt;&gt;"",OR(NOT(ISNUMBER(F2842)),N(F2842)&lt;0,N(F2842)&gt;=1)),"Perte entre 0 et 99 %",IF(COUNTIFS(bom_prod,A2842,bom_mat,B2842)&gt;1,"Matière en double","OK")))))))))</f>
        <v/>
      </c>
      <c r="K2842" s="71" t="str">
        <f>IF(AND(fiche_sel&lt;&gt;"",A2842=fiche_sel),COUNTIF(A$6:A2842,fiche_sel),"")</f>
        <v/>
      </c>
    </row>
    <row r="2843">
      <c r="A2843" s="60" t="n"/>
      <c r="B2843" s="60" t="n"/>
      <c r="C2843" s="71" t="str">
        <f>IF(B2843="","",IFERROR(INDEX(mat_des,MATCH(B2843,mat_ref,0))&amp;"","Matière inconnue"))</f>
        <v/>
      </c>
      <c r="D2843" s="69" t="str">
        <f>IF(B2843="","",IFERROR(INDEX(mat_unit,MATCH(B2843,mat_ref,0))&amp;"",""))</f>
        <v/>
      </c>
      <c r="E2843" s="72" t="n"/>
      <c r="F2843" s="65" t="n"/>
      <c r="G2843" s="68" t="str">
        <f>IF(J2843&lt;&gt;"OK","",IF(F2843="",N(INDEX(mat_loss,MATCH(B2843,mat_ref,0))),F2843))</f>
        <v/>
      </c>
      <c r="H2843" s="66" t="str">
        <f>IF(J2843&lt;&gt;"OK","",INDEX(mat_price,MATCH(B2843,mat_ref,0)))</f>
        <v/>
      </c>
      <c r="I2843" s="66" t="str">
        <f>IF(J2843&lt;&gt;"OK","",E2843*(1+G2843)*H2843)</f>
        <v/>
      </c>
      <c r="J2843" s="69" t="str">
        <f>IF(AND(A2843="",B2843=""),"",IF(A2843="","Produit manquant",IF(COUNTIF(prod_ref,A2843)=0,"Produit inconnu",IF(B2843="","Matière manquante",IF(ISNA(MATCH(B2843,mat_ref,0)),"Matière inconnue",IF(INDEX(mat_check,MATCH(B2843,mat_ref,0))&lt;&gt;"OK","Matière à corriger",IF(OR(NOT(ISNUMBER(E2843)),N(E2843)&lt;=0),"Quantité invalide",IF(AND(F2843&lt;&gt;"",OR(NOT(ISNUMBER(F2843)),N(F2843)&lt;0,N(F2843)&gt;=1)),"Perte entre 0 et 99 %",IF(COUNTIFS(bom_prod,A2843,bom_mat,B2843)&gt;1,"Matière en double","OK")))))))))</f>
        <v/>
      </c>
      <c r="K2843" s="71" t="str">
        <f>IF(AND(fiche_sel&lt;&gt;"",A2843=fiche_sel),COUNTIF(A$6:A2843,fiche_sel),"")</f>
        <v/>
      </c>
    </row>
    <row r="2844">
      <c r="A2844" s="60" t="n"/>
      <c r="B2844" s="60" t="n"/>
      <c r="C2844" s="71" t="str">
        <f>IF(B2844="","",IFERROR(INDEX(mat_des,MATCH(B2844,mat_ref,0))&amp;"","Matière inconnue"))</f>
        <v/>
      </c>
      <c r="D2844" s="69" t="str">
        <f>IF(B2844="","",IFERROR(INDEX(mat_unit,MATCH(B2844,mat_ref,0))&amp;"",""))</f>
        <v/>
      </c>
      <c r="E2844" s="72" t="n"/>
      <c r="F2844" s="65" t="n"/>
      <c r="G2844" s="68" t="str">
        <f>IF(J2844&lt;&gt;"OK","",IF(F2844="",N(INDEX(mat_loss,MATCH(B2844,mat_ref,0))),F2844))</f>
        <v/>
      </c>
      <c r="H2844" s="66" t="str">
        <f>IF(J2844&lt;&gt;"OK","",INDEX(mat_price,MATCH(B2844,mat_ref,0)))</f>
        <v/>
      </c>
      <c r="I2844" s="66" t="str">
        <f>IF(J2844&lt;&gt;"OK","",E2844*(1+G2844)*H2844)</f>
        <v/>
      </c>
      <c r="J2844" s="69" t="str">
        <f>IF(AND(A2844="",B2844=""),"",IF(A2844="","Produit manquant",IF(COUNTIF(prod_ref,A2844)=0,"Produit inconnu",IF(B2844="","Matière manquante",IF(ISNA(MATCH(B2844,mat_ref,0)),"Matière inconnue",IF(INDEX(mat_check,MATCH(B2844,mat_ref,0))&lt;&gt;"OK","Matière à corriger",IF(OR(NOT(ISNUMBER(E2844)),N(E2844)&lt;=0),"Quantité invalide",IF(AND(F2844&lt;&gt;"",OR(NOT(ISNUMBER(F2844)),N(F2844)&lt;0,N(F2844)&gt;=1)),"Perte entre 0 et 99 %",IF(COUNTIFS(bom_prod,A2844,bom_mat,B2844)&gt;1,"Matière en double","OK")))))))))</f>
        <v/>
      </c>
      <c r="K2844" s="71" t="str">
        <f>IF(AND(fiche_sel&lt;&gt;"",A2844=fiche_sel),COUNTIF(A$6:A2844,fiche_sel),"")</f>
        <v/>
      </c>
    </row>
    <row r="2845">
      <c r="A2845" s="60" t="n"/>
      <c r="B2845" s="60" t="n"/>
      <c r="C2845" s="71" t="str">
        <f>IF(B2845="","",IFERROR(INDEX(mat_des,MATCH(B2845,mat_ref,0))&amp;"","Matière inconnue"))</f>
        <v/>
      </c>
      <c r="D2845" s="69" t="str">
        <f>IF(B2845="","",IFERROR(INDEX(mat_unit,MATCH(B2845,mat_ref,0))&amp;"",""))</f>
        <v/>
      </c>
      <c r="E2845" s="72" t="n"/>
      <c r="F2845" s="65" t="n"/>
      <c r="G2845" s="68" t="str">
        <f>IF(J2845&lt;&gt;"OK","",IF(F2845="",N(INDEX(mat_loss,MATCH(B2845,mat_ref,0))),F2845))</f>
        <v/>
      </c>
      <c r="H2845" s="66" t="str">
        <f>IF(J2845&lt;&gt;"OK","",INDEX(mat_price,MATCH(B2845,mat_ref,0)))</f>
        <v/>
      </c>
      <c r="I2845" s="66" t="str">
        <f>IF(J2845&lt;&gt;"OK","",E2845*(1+G2845)*H2845)</f>
        <v/>
      </c>
      <c r="J2845" s="69" t="str">
        <f>IF(AND(A2845="",B2845=""),"",IF(A2845="","Produit manquant",IF(COUNTIF(prod_ref,A2845)=0,"Produit inconnu",IF(B2845="","Matière manquante",IF(ISNA(MATCH(B2845,mat_ref,0)),"Matière inconnue",IF(INDEX(mat_check,MATCH(B2845,mat_ref,0))&lt;&gt;"OK","Matière à corriger",IF(OR(NOT(ISNUMBER(E2845)),N(E2845)&lt;=0),"Quantité invalide",IF(AND(F2845&lt;&gt;"",OR(NOT(ISNUMBER(F2845)),N(F2845)&lt;0,N(F2845)&gt;=1)),"Perte entre 0 et 99 %",IF(COUNTIFS(bom_prod,A2845,bom_mat,B2845)&gt;1,"Matière en double","OK")))))))))</f>
        <v/>
      </c>
      <c r="K2845" s="71" t="str">
        <f>IF(AND(fiche_sel&lt;&gt;"",A2845=fiche_sel),COUNTIF(A$6:A2845,fiche_sel),"")</f>
        <v/>
      </c>
    </row>
    <row r="2846">
      <c r="A2846" s="60" t="n"/>
      <c r="B2846" s="60" t="n"/>
      <c r="C2846" s="71" t="str">
        <f>IF(B2846="","",IFERROR(INDEX(mat_des,MATCH(B2846,mat_ref,0))&amp;"","Matière inconnue"))</f>
        <v/>
      </c>
      <c r="D2846" s="69" t="str">
        <f>IF(B2846="","",IFERROR(INDEX(mat_unit,MATCH(B2846,mat_ref,0))&amp;"",""))</f>
        <v/>
      </c>
      <c r="E2846" s="72" t="n"/>
      <c r="F2846" s="65" t="n"/>
      <c r="G2846" s="68" t="str">
        <f>IF(J2846&lt;&gt;"OK","",IF(F2846="",N(INDEX(mat_loss,MATCH(B2846,mat_ref,0))),F2846))</f>
        <v/>
      </c>
      <c r="H2846" s="66" t="str">
        <f>IF(J2846&lt;&gt;"OK","",INDEX(mat_price,MATCH(B2846,mat_ref,0)))</f>
        <v/>
      </c>
      <c r="I2846" s="66" t="str">
        <f>IF(J2846&lt;&gt;"OK","",E2846*(1+G2846)*H2846)</f>
        <v/>
      </c>
      <c r="J2846" s="69" t="str">
        <f>IF(AND(A2846="",B2846=""),"",IF(A2846="","Produit manquant",IF(COUNTIF(prod_ref,A2846)=0,"Produit inconnu",IF(B2846="","Matière manquante",IF(ISNA(MATCH(B2846,mat_ref,0)),"Matière inconnue",IF(INDEX(mat_check,MATCH(B2846,mat_ref,0))&lt;&gt;"OK","Matière à corriger",IF(OR(NOT(ISNUMBER(E2846)),N(E2846)&lt;=0),"Quantité invalide",IF(AND(F2846&lt;&gt;"",OR(NOT(ISNUMBER(F2846)),N(F2846)&lt;0,N(F2846)&gt;=1)),"Perte entre 0 et 99 %",IF(COUNTIFS(bom_prod,A2846,bom_mat,B2846)&gt;1,"Matière en double","OK")))))))))</f>
        <v/>
      </c>
      <c r="K2846" s="71" t="str">
        <f>IF(AND(fiche_sel&lt;&gt;"",A2846=fiche_sel),COUNTIF(A$6:A2846,fiche_sel),"")</f>
        <v/>
      </c>
    </row>
    <row r="2847">
      <c r="A2847" s="60" t="n"/>
      <c r="B2847" s="60" t="n"/>
      <c r="C2847" s="71" t="str">
        <f>IF(B2847="","",IFERROR(INDEX(mat_des,MATCH(B2847,mat_ref,0))&amp;"","Matière inconnue"))</f>
        <v/>
      </c>
      <c r="D2847" s="69" t="str">
        <f>IF(B2847="","",IFERROR(INDEX(mat_unit,MATCH(B2847,mat_ref,0))&amp;"",""))</f>
        <v/>
      </c>
      <c r="E2847" s="72" t="n"/>
      <c r="F2847" s="65" t="n"/>
      <c r="G2847" s="68" t="str">
        <f>IF(J2847&lt;&gt;"OK","",IF(F2847="",N(INDEX(mat_loss,MATCH(B2847,mat_ref,0))),F2847))</f>
        <v/>
      </c>
      <c r="H2847" s="66" t="str">
        <f>IF(J2847&lt;&gt;"OK","",INDEX(mat_price,MATCH(B2847,mat_ref,0)))</f>
        <v/>
      </c>
      <c r="I2847" s="66" t="str">
        <f>IF(J2847&lt;&gt;"OK","",E2847*(1+G2847)*H2847)</f>
        <v/>
      </c>
      <c r="J2847" s="69" t="str">
        <f>IF(AND(A2847="",B2847=""),"",IF(A2847="","Produit manquant",IF(COUNTIF(prod_ref,A2847)=0,"Produit inconnu",IF(B2847="","Matière manquante",IF(ISNA(MATCH(B2847,mat_ref,0)),"Matière inconnue",IF(INDEX(mat_check,MATCH(B2847,mat_ref,0))&lt;&gt;"OK","Matière à corriger",IF(OR(NOT(ISNUMBER(E2847)),N(E2847)&lt;=0),"Quantité invalide",IF(AND(F2847&lt;&gt;"",OR(NOT(ISNUMBER(F2847)),N(F2847)&lt;0,N(F2847)&gt;=1)),"Perte entre 0 et 99 %",IF(COUNTIFS(bom_prod,A2847,bom_mat,B2847)&gt;1,"Matière en double","OK")))))))))</f>
        <v/>
      </c>
      <c r="K2847" s="71" t="str">
        <f>IF(AND(fiche_sel&lt;&gt;"",A2847=fiche_sel),COUNTIF(A$6:A2847,fiche_sel),"")</f>
        <v/>
      </c>
    </row>
    <row r="2848">
      <c r="A2848" s="60" t="n"/>
      <c r="B2848" s="60" t="n"/>
      <c r="C2848" s="71" t="str">
        <f>IF(B2848="","",IFERROR(INDEX(mat_des,MATCH(B2848,mat_ref,0))&amp;"","Matière inconnue"))</f>
        <v/>
      </c>
      <c r="D2848" s="69" t="str">
        <f>IF(B2848="","",IFERROR(INDEX(mat_unit,MATCH(B2848,mat_ref,0))&amp;"",""))</f>
        <v/>
      </c>
      <c r="E2848" s="72" t="n"/>
      <c r="F2848" s="65" t="n"/>
      <c r="G2848" s="68" t="str">
        <f>IF(J2848&lt;&gt;"OK","",IF(F2848="",N(INDEX(mat_loss,MATCH(B2848,mat_ref,0))),F2848))</f>
        <v/>
      </c>
      <c r="H2848" s="66" t="str">
        <f>IF(J2848&lt;&gt;"OK","",INDEX(mat_price,MATCH(B2848,mat_ref,0)))</f>
        <v/>
      </c>
      <c r="I2848" s="66" t="str">
        <f>IF(J2848&lt;&gt;"OK","",E2848*(1+G2848)*H2848)</f>
        <v/>
      </c>
      <c r="J2848" s="69" t="str">
        <f>IF(AND(A2848="",B2848=""),"",IF(A2848="","Produit manquant",IF(COUNTIF(prod_ref,A2848)=0,"Produit inconnu",IF(B2848="","Matière manquante",IF(ISNA(MATCH(B2848,mat_ref,0)),"Matière inconnue",IF(INDEX(mat_check,MATCH(B2848,mat_ref,0))&lt;&gt;"OK","Matière à corriger",IF(OR(NOT(ISNUMBER(E2848)),N(E2848)&lt;=0),"Quantité invalide",IF(AND(F2848&lt;&gt;"",OR(NOT(ISNUMBER(F2848)),N(F2848)&lt;0,N(F2848)&gt;=1)),"Perte entre 0 et 99 %",IF(COUNTIFS(bom_prod,A2848,bom_mat,B2848)&gt;1,"Matière en double","OK")))))))))</f>
        <v/>
      </c>
      <c r="K2848" s="71" t="str">
        <f>IF(AND(fiche_sel&lt;&gt;"",A2848=fiche_sel),COUNTIF(A$6:A2848,fiche_sel),"")</f>
        <v/>
      </c>
    </row>
    <row r="2849">
      <c r="A2849" s="60" t="n"/>
      <c r="B2849" s="60" t="n"/>
      <c r="C2849" s="71" t="str">
        <f>IF(B2849="","",IFERROR(INDEX(mat_des,MATCH(B2849,mat_ref,0))&amp;"","Matière inconnue"))</f>
        <v/>
      </c>
      <c r="D2849" s="69" t="str">
        <f>IF(B2849="","",IFERROR(INDEX(mat_unit,MATCH(B2849,mat_ref,0))&amp;"",""))</f>
        <v/>
      </c>
      <c r="E2849" s="72" t="n"/>
      <c r="F2849" s="65" t="n"/>
      <c r="G2849" s="68" t="str">
        <f>IF(J2849&lt;&gt;"OK","",IF(F2849="",N(INDEX(mat_loss,MATCH(B2849,mat_ref,0))),F2849))</f>
        <v/>
      </c>
      <c r="H2849" s="66" t="str">
        <f>IF(J2849&lt;&gt;"OK","",INDEX(mat_price,MATCH(B2849,mat_ref,0)))</f>
        <v/>
      </c>
      <c r="I2849" s="66" t="str">
        <f>IF(J2849&lt;&gt;"OK","",E2849*(1+G2849)*H2849)</f>
        <v/>
      </c>
      <c r="J2849" s="69" t="str">
        <f>IF(AND(A2849="",B2849=""),"",IF(A2849="","Produit manquant",IF(COUNTIF(prod_ref,A2849)=0,"Produit inconnu",IF(B2849="","Matière manquante",IF(ISNA(MATCH(B2849,mat_ref,0)),"Matière inconnue",IF(INDEX(mat_check,MATCH(B2849,mat_ref,0))&lt;&gt;"OK","Matière à corriger",IF(OR(NOT(ISNUMBER(E2849)),N(E2849)&lt;=0),"Quantité invalide",IF(AND(F2849&lt;&gt;"",OR(NOT(ISNUMBER(F2849)),N(F2849)&lt;0,N(F2849)&gt;=1)),"Perte entre 0 et 99 %",IF(COUNTIFS(bom_prod,A2849,bom_mat,B2849)&gt;1,"Matière en double","OK")))))))))</f>
        <v/>
      </c>
      <c r="K2849" s="71" t="str">
        <f>IF(AND(fiche_sel&lt;&gt;"",A2849=fiche_sel),COUNTIF(A$6:A2849,fiche_sel),"")</f>
        <v/>
      </c>
    </row>
    <row r="2850">
      <c r="A2850" s="60" t="n"/>
      <c r="B2850" s="60" t="n"/>
      <c r="C2850" s="71" t="str">
        <f>IF(B2850="","",IFERROR(INDEX(mat_des,MATCH(B2850,mat_ref,0))&amp;"","Matière inconnue"))</f>
        <v/>
      </c>
      <c r="D2850" s="69" t="str">
        <f>IF(B2850="","",IFERROR(INDEX(mat_unit,MATCH(B2850,mat_ref,0))&amp;"",""))</f>
        <v/>
      </c>
      <c r="E2850" s="72" t="n"/>
      <c r="F2850" s="65" t="n"/>
      <c r="G2850" s="68" t="str">
        <f>IF(J2850&lt;&gt;"OK","",IF(F2850="",N(INDEX(mat_loss,MATCH(B2850,mat_ref,0))),F2850))</f>
        <v/>
      </c>
      <c r="H2850" s="66" t="str">
        <f>IF(J2850&lt;&gt;"OK","",INDEX(mat_price,MATCH(B2850,mat_ref,0)))</f>
        <v/>
      </c>
      <c r="I2850" s="66" t="str">
        <f>IF(J2850&lt;&gt;"OK","",E2850*(1+G2850)*H2850)</f>
        <v/>
      </c>
      <c r="J2850" s="69" t="str">
        <f>IF(AND(A2850="",B2850=""),"",IF(A2850="","Produit manquant",IF(COUNTIF(prod_ref,A2850)=0,"Produit inconnu",IF(B2850="","Matière manquante",IF(ISNA(MATCH(B2850,mat_ref,0)),"Matière inconnue",IF(INDEX(mat_check,MATCH(B2850,mat_ref,0))&lt;&gt;"OK","Matière à corriger",IF(OR(NOT(ISNUMBER(E2850)),N(E2850)&lt;=0),"Quantité invalide",IF(AND(F2850&lt;&gt;"",OR(NOT(ISNUMBER(F2850)),N(F2850)&lt;0,N(F2850)&gt;=1)),"Perte entre 0 et 99 %",IF(COUNTIFS(bom_prod,A2850,bom_mat,B2850)&gt;1,"Matière en double","OK")))))))))</f>
        <v/>
      </c>
      <c r="K2850" s="71" t="str">
        <f>IF(AND(fiche_sel&lt;&gt;"",A2850=fiche_sel),COUNTIF(A$6:A2850,fiche_sel),"")</f>
        <v/>
      </c>
    </row>
    <row r="2851">
      <c r="A2851" s="60" t="n"/>
      <c r="B2851" s="60" t="n"/>
      <c r="C2851" s="71" t="str">
        <f>IF(B2851="","",IFERROR(INDEX(mat_des,MATCH(B2851,mat_ref,0))&amp;"","Matière inconnue"))</f>
        <v/>
      </c>
      <c r="D2851" s="69" t="str">
        <f>IF(B2851="","",IFERROR(INDEX(mat_unit,MATCH(B2851,mat_ref,0))&amp;"",""))</f>
        <v/>
      </c>
      <c r="E2851" s="72" t="n"/>
      <c r="F2851" s="65" t="n"/>
      <c r="G2851" s="68" t="str">
        <f>IF(J2851&lt;&gt;"OK","",IF(F2851="",N(INDEX(mat_loss,MATCH(B2851,mat_ref,0))),F2851))</f>
        <v/>
      </c>
      <c r="H2851" s="66" t="str">
        <f>IF(J2851&lt;&gt;"OK","",INDEX(mat_price,MATCH(B2851,mat_ref,0)))</f>
        <v/>
      </c>
      <c r="I2851" s="66" t="str">
        <f>IF(J2851&lt;&gt;"OK","",E2851*(1+G2851)*H2851)</f>
        <v/>
      </c>
      <c r="J2851" s="69" t="str">
        <f>IF(AND(A2851="",B2851=""),"",IF(A2851="","Produit manquant",IF(COUNTIF(prod_ref,A2851)=0,"Produit inconnu",IF(B2851="","Matière manquante",IF(ISNA(MATCH(B2851,mat_ref,0)),"Matière inconnue",IF(INDEX(mat_check,MATCH(B2851,mat_ref,0))&lt;&gt;"OK","Matière à corriger",IF(OR(NOT(ISNUMBER(E2851)),N(E2851)&lt;=0),"Quantité invalide",IF(AND(F2851&lt;&gt;"",OR(NOT(ISNUMBER(F2851)),N(F2851)&lt;0,N(F2851)&gt;=1)),"Perte entre 0 et 99 %",IF(COUNTIFS(bom_prod,A2851,bom_mat,B2851)&gt;1,"Matière en double","OK")))))))))</f>
        <v/>
      </c>
      <c r="K2851" s="71" t="str">
        <f>IF(AND(fiche_sel&lt;&gt;"",A2851=fiche_sel),COUNTIF(A$6:A2851,fiche_sel),"")</f>
        <v/>
      </c>
    </row>
    <row r="2852">
      <c r="A2852" s="60" t="n"/>
      <c r="B2852" s="60" t="n"/>
      <c r="C2852" s="71" t="str">
        <f>IF(B2852="","",IFERROR(INDEX(mat_des,MATCH(B2852,mat_ref,0))&amp;"","Matière inconnue"))</f>
        <v/>
      </c>
      <c r="D2852" s="69" t="str">
        <f>IF(B2852="","",IFERROR(INDEX(mat_unit,MATCH(B2852,mat_ref,0))&amp;"",""))</f>
        <v/>
      </c>
      <c r="E2852" s="72" t="n"/>
      <c r="F2852" s="65" t="n"/>
      <c r="G2852" s="68" t="str">
        <f>IF(J2852&lt;&gt;"OK","",IF(F2852="",N(INDEX(mat_loss,MATCH(B2852,mat_ref,0))),F2852))</f>
        <v/>
      </c>
      <c r="H2852" s="66" t="str">
        <f>IF(J2852&lt;&gt;"OK","",INDEX(mat_price,MATCH(B2852,mat_ref,0)))</f>
        <v/>
      </c>
      <c r="I2852" s="66" t="str">
        <f>IF(J2852&lt;&gt;"OK","",E2852*(1+G2852)*H2852)</f>
        <v/>
      </c>
      <c r="J2852" s="69" t="str">
        <f>IF(AND(A2852="",B2852=""),"",IF(A2852="","Produit manquant",IF(COUNTIF(prod_ref,A2852)=0,"Produit inconnu",IF(B2852="","Matière manquante",IF(ISNA(MATCH(B2852,mat_ref,0)),"Matière inconnue",IF(INDEX(mat_check,MATCH(B2852,mat_ref,0))&lt;&gt;"OK","Matière à corriger",IF(OR(NOT(ISNUMBER(E2852)),N(E2852)&lt;=0),"Quantité invalide",IF(AND(F2852&lt;&gt;"",OR(NOT(ISNUMBER(F2852)),N(F2852)&lt;0,N(F2852)&gt;=1)),"Perte entre 0 et 99 %",IF(COUNTIFS(bom_prod,A2852,bom_mat,B2852)&gt;1,"Matière en double","OK")))))))))</f>
        <v/>
      </c>
      <c r="K2852" s="71" t="str">
        <f>IF(AND(fiche_sel&lt;&gt;"",A2852=fiche_sel),COUNTIF(A$6:A2852,fiche_sel),"")</f>
        <v/>
      </c>
    </row>
    <row r="2853">
      <c r="A2853" s="60" t="n"/>
      <c r="B2853" s="60" t="n"/>
      <c r="C2853" s="71" t="str">
        <f>IF(B2853="","",IFERROR(INDEX(mat_des,MATCH(B2853,mat_ref,0))&amp;"","Matière inconnue"))</f>
        <v/>
      </c>
      <c r="D2853" s="69" t="str">
        <f>IF(B2853="","",IFERROR(INDEX(mat_unit,MATCH(B2853,mat_ref,0))&amp;"",""))</f>
        <v/>
      </c>
      <c r="E2853" s="72" t="n"/>
      <c r="F2853" s="65" t="n"/>
      <c r="G2853" s="68" t="str">
        <f>IF(J2853&lt;&gt;"OK","",IF(F2853="",N(INDEX(mat_loss,MATCH(B2853,mat_ref,0))),F2853))</f>
        <v/>
      </c>
      <c r="H2853" s="66" t="str">
        <f>IF(J2853&lt;&gt;"OK","",INDEX(mat_price,MATCH(B2853,mat_ref,0)))</f>
        <v/>
      </c>
      <c r="I2853" s="66" t="str">
        <f>IF(J2853&lt;&gt;"OK","",E2853*(1+G2853)*H2853)</f>
        <v/>
      </c>
      <c r="J2853" s="69" t="str">
        <f>IF(AND(A2853="",B2853=""),"",IF(A2853="","Produit manquant",IF(COUNTIF(prod_ref,A2853)=0,"Produit inconnu",IF(B2853="","Matière manquante",IF(ISNA(MATCH(B2853,mat_ref,0)),"Matière inconnue",IF(INDEX(mat_check,MATCH(B2853,mat_ref,0))&lt;&gt;"OK","Matière à corriger",IF(OR(NOT(ISNUMBER(E2853)),N(E2853)&lt;=0),"Quantité invalide",IF(AND(F2853&lt;&gt;"",OR(NOT(ISNUMBER(F2853)),N(F2853)&lt;0,N(F2853)&gt;=1)),"Perte entre 0 et 99 %",IF(COUNTIFS(bom_prod,A2853,bom_mat,B2853)&gt;1,"Matière en double","OK")))))))))</f>
        <v/>
      </c>
      <c r="K2853" s="71" t="str">
        <f>IF(AND(fiche_sel&lt;&gt;"",A2853=fiche_sel),COUNTIF(A$6:A2853,fiche_sel),"")</f>
        <v/>
      </c>
    </row>
    <row r="2854">
      <c r="A2854" s="60" t="n"/>
      <c r="B2854" s="60" t="n"/>
      <c r="C2854" s="71" t="str">
        <f>IF(B2854="","",IFERROR(INDEX(mat_des,MATCH(B2854,mat_ref,0))&amp;"","Matière inconnue"))</f>
        <v/>
      </c>
      <c r="D2854" s="69" t="str">
        <f>IF(B2854="","",IFERROR(INDEX(mat_unit,MATCH(B2854,mat_ref,0))&amp;"",""))</f>
        <v/>
      </c>
      <c r="E2854" s="72" t="n"/>
      <c r="F2854" s="65" t="n"/>
      <c r="G2854" s="68" t="str">
        <f>IF(J2854&lt;&gt;"OK","",IF(F2854="",N(INDEX(mat_loss,MATCH(B2854,mat_ref,0))),F2854))</f>
        <v/>
      </c>
      <c r="H2854" s="66" t="str">
        <f>IF(J2854&lt;&gt;"OK","",INDEX(mat_price,MATCH(B2854,mat_ref,0)))</f>
        <v/>
      </c>
      <c r="I2854" s="66" t="str">
        <f>IF(J2854&lt;&gt;"OK","",E2854*(1+G2854)*H2854)</f>
        <v/>
      </c>
      <c r="J2854" s="69" t="str">
        <f>IF(AND(A2854="",B2854=""),"",IF(A2854="","Produit manquant",IF(COUNTIF(prod_ref,A2854)=0,"Produit inconnu",IF(B2854="","Matière manquante",IF(ISNA(MATCH(B2854,mat_ref,0)),"Matière inconnue",IF(INDEX(mat_check,MATCH(B2854,mat_ref,0))&lt;&gt;"OK","Matière à corriger",IF(OR(NOT(ISNUMBER(E2854)),N(E2854)&lt;=0),"Quantité invalide",IF(AND(F2854&lt;&gt;"",OR(NOT(ISNUMBER(F2854)),N(F2854)&lt;0,N(F2854)&gt;=1)),"Perte entre 0 et 99 %",IF(COUNTIFS(bom_prod,A2854,bom_mat,B2854)&gt;1,"Matière en double","OK")))))))))</f>
        <v/>
      </c>
      <c r="K2854" s="71" t="str">
        <f>IF(AND(fiche_sel&lt;&gt;"",A2854=fiche_sel),COUNTIF(A$6:A2854,fiche_sel),"")</f>
        <v/>
      </c>
    </row>
    <row r="2855">
      <c r="A2855" s="60" t="n"/>
      <c r="B2855" s="60" t="n"/>
      <c r="C2855" s="71" t="str">
        <f>IF(B2855="","",IFERROR(INDEX(mat_des,MATCH(B2855,mat_ref,0))&amp;"","Matière inconnue"))</f>
        <v/>
      </c>
      <c r="D2855" s="69" t="str">
        <f>IF(B2855="","",IFERROR(INDEX(mat_unit,MATCH(B2855,mat_ref,0))&amp;"",""))</f>
        <v/>
      </c>
      <c r="E2855" s="72" t="n"/>
      <c r="F2855" s="65" t="n"/>
      <c r="G2855" s="68" t="str">
        <f>IF(J2855&lt;&gt;"OK","",IF(F2855="",N(INDEX(mat_loss,MATCH(B2855,mat_ref,0))),F2855))</f>
        <v/>
      </c>
      <c r="H2855" s="66" t="str">
        <f>IF(J2855&lt;&gt;"OK","",INDEX(mat_price,MATCH(B2855,mat_ref,0)))</f>
        <v/>
      </c>
      <c r="I2855" s="66" t="str">
        <f>IF(J2855&lt;&gt;"OK","",E2855*(1+G2855)*H2855)</f>
        <v/>
      </c>
      <c r="J2855" s="69" t="str">
        <f>IF(AND(A2855="",B2855=""),"",IF(A2855="","Produit manquant",IF(COUNTIF(prod_ref,A2855)=0,"Produit inconnu",IF(B2855="","Matière manquante",IF(ISNA(MATCH(B2855,mat_ref,0)),"Matière inconnue",IF(INDEX(mat_check,MATCH(B2855,mat_ref,0))&lt;&gt;"OK","Matière à corriger",IF(OR(NOT(ISNUMBER(E2855)),N(E2855)&lt;=0),"Quantité invalide",IF(AND(F2855&lt;&gt;"",OR(NOT(ISNUMBER(F2855)),N(F2855)&lt;0,N(F2855)&gt;=1)),"Perte entre 0 et 99 %",IF(COUNTIFS(bom_prod,A2855,bom_mat,B2855)&gt;1,"Matière en double","OK")))))))))</f>
        <v/>
      </c>
      <c r="K2855" s="71" t="str">
        <f>IF(AND(fiche_sel&lt;&gt;"",A2855=fiche_sel),COUNTIF(A$6:A2855,fiche_sel),"")</f>
        <v/>
      </c>
    </row>
    <row r="2856">
      <c r="A2856" s="60" t="n"/>
      <c r="B2856" s="60" t="n"/>
      <c r="C2856" s="71" t="str">
        <f>IF(B2856="","",IFERROR(INDEX(mat_des,MATCH(B2856,mat_ref,0))&amp;"","Matière inconnue"))</f>
        <v/>
      </c>
      <c r="D2856" s="69" t="str">
        <f>IF(B2856="","",IFERROR(INDEX(mat_unit,MATCH(B2856,mat_ref,0))&amp;"",""))</f>
        <v/>
      </c>
      <c r="E2856" s="72" t="n"/>
      <c r="F2856" s="65" t="n"/>
      <c r="G2856" s="68" t="str">
        <f>IF(J2856&lt;&gt;"OK","",IF(F2856="",N(INDEX(mat_loss,MATCH(B2856,mat_ref,0))),F2856))</f>
        <v/>
      </c>
      <c r="H2856" s="66" t="str">
        <f>IF(J2856&lt;&gt;"OK","",INDEX(mat_price,MATCH(B2856,mat_ref,0)))</f>
        <v/>
      </c>
      <c r="I2856" s="66" t="str">
        <f>IF(J2856&lt;&gt;"OK","",E2856*(1+G2856)*H2856)</f>
        <v/>
      </c>
      <c r="J2856" s="69" t="str">
        <f>IF(AND(A2856="",B2856=""),"",IF(A2856="","Produit manquant",IF(COUNTIF(prod_ref,A2856)=0,"Produit inconnu",IF(B2856="","Matière manquante",IF(ISNA(MATCH(B2856,mat_ref,0)),"Matière inconnue",IF(INDEX(mat_check,MATCH(B2856,mat_ref,0))&lt;&gt;"OK","Matière à corriger",IF(OR(NOT(ISNUMBER(E2856)),N(E2856)&lt;=0),"Quantité invalide",IF(AND(F2856&lt;&gt;"",OR(NOT(ISNUMBER(F2856)),N(F2856)&lt;0,N(F2856)&gt;=1)),"Perte entre 0 et 99 %",IF(COUNTIFS(bom_prod,A2856,bom_mat,B2856)&gt;1,"Matière en double","OK")))))))))</f>
        <v/>
      </c>
      <c r="K2856" s="71" t="str">
        <f>IF(AND(fiche_sel&lt;&gt;"",A2856=fiche_sel),COUNTIF(A$6:A2856,fiche_sel),"")</f>
        <v/>
      </c>
    </row>
    <row r="2857">
      <c r="A2857" s="60" t="n"/>
      <c r="B2857" s="60" t="n"/>
      <c r="C2857" s="71" t="str">
        <f>IF(B2857="","",IFERROR(INDEX(mat_des,MATCH(B2857,mat_ref,0))&amp;"","Matière inconnue"))</f>
        <v/>
      </c>
      <c r="D2857" s="69" t="str">
        <f>IF(B2857="","",IFERROR(INDEX(mat_unit,MATCH(B2857,mat_ref,0))&amp;"",""))</f>
        <v/>
      </c>
      <c r="E2857" s="72" t="n"/>
      <c r="F2857" s="65" t="n"/>
      <c r="G2857" s="68" t="str">
        <f>IF(J2857&lt;&gt;"OK","",IF(F2857="",N(INDEX(mat_loss,MATCH(B2857,mat_ref,0))),F2857))</f>
        <v/>
      </c>
      <c r="H2857" s="66" t="str">
        <f>IF(J2857&lt;&gt;"OK","",INDEX(mat_price,MATCH(B2857,mat_ref,0)))</f>
        <v/>
      </c>
      <c r="I2857" s="66" t="str">
        <f>IF(J2857&lt;&gt;"OK","",E2857*(1+G2857)*H2857)</f>
        <v/>
      </c>
      <c r="J2857" s="69" t="str">
        <f>IF(AND(A2857="",B2857=""),"",IF(A2857="","Produit manquant",IF(COUNTIF(prod_ref,A2857)=0,"Produit inconnu",IF(B2857="","Matière manquante",IF(ISNA(MATCH(B2857,mat_ref,0)),"Matière inconnue",IF(INDEX(mat_check,MATCH(B2857,mat_ref,0))&lt;&gt;"OK","Matière à corriger",IF(OR(NOT(ISNUMBER(E2857)),N(E2857)&lt;=0),"Quantité invalide",IF(AND(F2857&lt;&gt;"",OR(NOT(ISNUMBER(F2857)),N(F2857)&lt;0,N(F2857)&gt;=1)),"Perte entre 0 et 99 %",IF(COUNTIFS(bom_prod,A2857,bom_mat,B2857)&gt;1,"Matière en double","OK")))))))))</f>
        <v/>
      </c>
      <c r="K2857" s="71" t="str">
        <f>IF(AND(fiche_sel&lt;&gt;"",A2857=fiche_sel),COUNTIF(A$6:A2857,fiche_sel),"")</f>
        <v/>
      </c>
    </row>
    <row r="2858">
      <c r="A2858" s="60" t="n"/>
      <c r="B2858" s="60" t="n"/>
      <c r="C2858" s="71" t="str">
        <f>IF(B2858="","",IFERROR(INDEX(mat_des,MATCH(B2858,mat_ref,0))&amp;"","Matière inconnue"))</f>
        <v/>
      </c>
      <c r="D2858" s="69" t="str">
        <f>IF(B2858="","",IFERROR(INDEX(mat_unit,MATCH(B2858,mat_ref,0))&amp;"",""))</f>
        <v/>
      </c>
      <c r="E2858" s="72" t="n"/>
      <c r="F2858" s="65" t="n"/>
      <c r="G2858" s="68" t="str">
        <f>IF(J2858&lt;&gt;"OK","",IF(F2858="",N(INDEX(mat_loss,MATCH(B2858,mat_ref,0))),F2858))</f>
        <v/>
      </c>
      <c r="H2858" s="66" t="str">
        <f>IF(J2858&lt;&gt;"OK","",INDEX(mat_price,MATCH(B2858,mat_ref,0)))</f>
        <v/>
      </c>
      <c r="I2858" s="66" t="str">
        <f>IF(J2858&lt;&gt;"OK","",E2858*(1+G2858)*H2858)</f>
        <v/>
      </c>
      <c r="J2858" s="69" t="str">
        <f>IF(AND(A2858="",B2858=""),"",IF(A2858="","Produit manquant",IF(COUNTIF(prod_ref,A2858)=0,"Produit inconnu",IF(B2858="","Matière manquante",IF(ISNA(MATCH(B2858,mat_ref,0)),"Matière inconnue",IF(INDEX(mat_check,MATCH(B2858,mat_ref,0))&lt;&gt;"OK","Matière à corriger",IF(OR(NOT(ISNUMBER(E2858)),N(E2858)&lt;=0),"Quantité invalide",IF(AND(F2858&lt;&gt;"",OR(NOT(ISNUMBER(F2858)),N(F2858)&lt;0,N(F2858)&gt;=1)),"Perte entre 0 et 99 %",IF(COUNTIFS(bom_prod,A2858,bom_mat,B2858)&gt;1,"Matière en double","OK")))))))))</f>
        <v/>
      </c>
      <c r="K2858" s="71" t="str">
        <f>IF(AND(fiche_sel&lt;&gt;"",A2858=fiche_sel),COUNTIF(A$6:A2858,fiche_sel),"")</f>
        <v/>
      </c>
    </row>
    <row r="2859">
      <c r="A2859" s="60" t="n"/>
      <c r="B2859" s="60" t="n"/>
      <c r="C2859" s="71" t="str">
        <f>IF(B2859="","",IFERROR(INDEX(mat_des,MATCH(B2859,mat_ref,0))&amp;"","Matière inconnue"))</f>
        <v/>
      </c>
      <c r="D2859" s="69" t="str">
        <f>IF(B2859="","",IFERROR(INDEX(mat_unit,MATCH(B2859,mat_ref,0))&amp;"",""))</f>
        <v/>
      </c>
      <c r="E2859" s="72" t="n"/>
      <c r="F2859" s="65" t="n"/>
      <c r="G2859" s="68" t="str">
        <f>IF(J2859&lt;&gt;"OK","",IF(F2859="",N(INDEX(mat_loss,MATCH(B2859,mat_ref,0))),F2859))</f>
        <v/>
      </c>
      <c r="H2859" s="66" t="str">
        <f>IF(J2859&lt;&gt;"OK","",INDEX(mat_price,MATCH(B2859,mat_ref,0)))</f>
        <v/>
      </c>
      <c r="I2859" s="66" t="str">
        <f>IF(J2859&lt;&gt;"OK","",E2859*(1+G2859)*H2859)</f>
        <v/>
      </c>
      <c r="J2859" s="69" t="str">
        <f>IF(AND(A2859="",B2859=""),"",IF(A2859="","Produit manquant",IF(COUNTIF(prod_ref,A2859)=0,"Produit inconnu",IF(B2859="","Matière manquante",IF(ISNA(MATCH(B2859,mat_ref,0)),"Matière inconnue",IF(INDEX(mat_check,MATCH(B2859,mat_ref,0))&lt;&gt;"OK","Matière à corriger",IF(OR(NOT(ISNUMBER(E2859)),N(E2859)&lt;=0),"Quantité invalide",IF(AND(F2859&lt;&gt;"",OR(NOT(ISNUMBER(F2859)),N(F2859)&lt;0,N(F2859)&gt;=1)),"Perte entre 0 et 99 %",IF(COUNTIFS(bom_prod,A2859,bom_mat,B2859)&gt;1,"Matière en double","OK")))))))))</f>
        <v/>
      </c>
      <c r="K2859" s="71" t="str">
        <f>IF(AND(fiche_sel&lt;&gt;"",A2859=fiche_sel),COUNTIF(A$6:A2859,fiche_sel),"")</f>
        <v/>
      </c>
    </row>
    <row r="2860">
      <c r="A2860" s="60" t="n"/>
      <c r="B2860" s="60" t="n"/>
      <c r="C2860" s="71" t="str">
        <f>IF(B2860="","",IFERROR(INDEX(mat_des,MATCH(B2860,mat_ref,0))&amp;"","Matière inconnue"))</f>
        <v/>
      </c>
      <c r="D2860" s="69" t="str">
        <f>IF(B2860="","",IFERROR(INDEX(mat_unit,MATCH(B2860,mat_ref,0))&amp;"",""))</f>
        <v/>
      </c>
      <c r="E2860" s="72" t="n"/>
      <c r="F2860" s="65" t="n"/>
      <c r="G2860" s="68" t="str">
        <f>IF(J2860&lt;&gt;"OK","",IF(F2860="",N(INDEX(mat_loss,MATCH(B2860,mat_ref,0))),F2860))</f>
        <v/>
      </c>
      <c r="H2860" s="66" t="str">
        <f>IF(J2860&lt;&gt;"OK","",INDEX(mat_price,MATCH(B2860,mat_ref,0)))</f>
        <v/>
      </c>
      <c r="I2860" s="66" t="str">
        <f>IF(J2860&lt;&gt;"OK","",E2860*(1+G2860)*H2860)</f>
        <v/>
      </c>
      <c r="J2860" s="69" t="str">
        <f>IF(AND(A2860="",B2860=""),"",IF(A2860="","Produit manquant",IF(COUNTIF(prod_ref,A2860)=0,"Produit inconnu",IF(B2860="","Matière manquante",IF(ISNA(MATCH(B2860,mat_ref,0)),"Matière inconnue",IF(INDEX(mat_check,MATCH(B2860,mat_ref,0))&lt;&gt;"OK","Matière à corriger",IF(OR(NOT(ISNUMBER(E2860)),N(E2860)&lt;=0),"Quantité invalide",IF(AND(F2860&lt;&gt;"",OR(NOT(ISNUMBER(F2860)),N(F2860)&lt;0,N(F2860)&gt;=1)),"Perte entre 0 et 99 %",IF(COUNTIFS(bom_prod,A2860,bom_mat,B2860)&gt;1,"Matière en double","OK")))))))))</f>
        <v/>
      </c>
      <c r="K2860" s="71" t="str">
        <f>IF(AND(fiche_sel&lt;&gt;"",A2860=fiche_sel),COUNTIF(A$6:A2860,fiche_sel),"")</f>
        <v/>
      </c>
    </row>
    <row r="2861">
      <c r="A2861" s="60" t="n"/>
      <c r="B2861" s="60" t="n"/>
      <c r="C2861" s="71" t="str">
        <f>IF(B2861="","",IFERROR(INDEX(mat_des,MATCH(B2861,mat_ref,0))&amp;"","Matière inconnue"))</f>
        <v/>
      </c>
      <c r="D2861" s="69" t="str">
        <f>IF(B2861="","",IFERROR(INDEX(mat_unit,MATCH(B2861,mat_ref,0))&amp;"",""))</f>
        <v/>
      </c>
      <c r="E2861" s="72" t="n"/>
      <c r="F2861" s="65" t="n"/>
      <c r="G2861" s="68" t="str">
        <f>IF(J2861&lt;&gt;"OK","",IF(F2861="",N(INDEX(mat_loss,MATCH(B2861,mat_ref,0))),F2861))</f>
        <v/>
      </c>
      <c r="H2861" s="66" t="str">
        <f>IF(J2861&lt;&gt;"OK","",INDEX(mat_price,MATCH(B2861,mat_ref,0)))</f>
        <v/>
      </c>
      <c r="I2861" s="66" t="str">
        <f>IF(J2861&lt;&gt;"OK","",E2861*(1+G2861)*H2861)</f>
        <v/>
      </c>
      <c r="J2861" s="69" t="str">
        <f>IF(AND(A2861="",B2861=""),"",IF(A2861="","Produit manquant",IF(COUNTIF(prod_ref,A2861)=0,"Produit inconnu",IF(B2861="","Matière manquante",IF(ISNA(MATCH(B2861,mat_ref,0)),"Matière inconnue",IF(INDEX(mat_check,MATCH(B2861,mat_ref,0))&lt;&gt;"OK","Matière à corriger",IF(OR(NOT(ISNUMBER(E2861)),N(E2861)&lt;=0),"Quantité invalide",IF(AND(F2861&lt;&gt;"",OR(NOT(ISNUMBER(F2861)),N(F2861)&lt;0,N(F2861)&gt;=1)),"Perte entre 0 et 99 %",IF(COUNTIFS(bom_prod,A2861,bom_mat,B2861)&gt;1,"Matière en double","OK")))))))))</f>
        <v/>
      </c>
      <c r="K2861" s="71" t="str">
        <f>IF(AND(fiche_sel&lt;&gt;"",A2861=fiche_sel),COUNTIF(A$6:A2861,fiche_sel),"")</f>
        <v/>
      </c>
    </row>
    <row r="2862">
      <c r="A2862" s="60" t="n"/>
      <c r="B2862" s="60" t="n"/>
      <c r="C2862" s="71" t="str">
        <f>IF(B2862="","",IFERROR(INDEX(mat_des,MATCH(B2862,mat_ref,0))&amp;"","Matière inconnue"))</f>
        <v/>
      </c>
      <c r="D2862" s="69" t="str">
        <f>IF(B2862="","",IFERROR(INDEX(mat_unit,MATCH(B2862,mat_ref,0))&amp;"",""))</f>
        <v/>
      </c>
      <c r="E2862" s="72" t="n"/>
      <c r="F2862" s="65" t="n"/>
      <c r="G2862" s="68" t="str">
        <f>IF(J2862&lt;&gt;"OK","",IF(F2862="",N(INDEX(mat_loss,MATCH(B2862,mat_ref,0))),F2862))</f>
        <v/>
      </c>
      <c r="H2862" s="66" t="str">
        <f>IF(J2862&lt;&gt;"OK","",INDEX(mat_price,MATCH(B2862,mat_ref,0)))</f>
        <v/>
      </c>
      <c r="I2862" s="66" t="str">
        <f>IF(J2862&lt;&gt;"OK","",E2862*(1+G2862)*H2862)</f>
        <v/>
      </c>
      <c r="J2862" s="69" t="str">
        <f>IF(AND(A2862="",B2862=""),"",IF(A2862="","Produit manquant",IF(COUNTIF(prod_ref,A2862)=0,"Produit inconnu",IF(B2862="","Matière manquante",IF(ISNA(MATCH(B2862,mat_ref,0)),"Matière inconnue",IF(INDEX(mat_check,MATCH(B2862,mat_ref,0))&lt;&gt;"OK","Matière à corriger",IF(OR(NOT(ISNUMBER(E2862)),N(E2862)&lt;=0),"Quantité invalide",IF(AND(F2862&lt;&gt;"",OR(NOT(ISNUMBER(F2862)),N(F2862)&lt;0,N(F2862)&gt;=1)),"Perte entre 0 et 99 %",IF(COUNTIFS(bom_prod,A2862,bom_mat,B2862)&gt;1,"Matière en double","OK")))))))))</f>
        <v/>
      </c>
      <c r="K2862" s="71" t="str">
        <f>IF(AND(fiche_sel&lt;&gt;"",A2862=fiche_sel),COUNTIF(A$6:A2862,fiche_sel),"")</f>
        <v/>
      </c>
    </row>
    <row r="2863">
      <c r="A2863" s="60" t="n"/>
      <c r="B2863" s="60" t="n"/>
      <c r="C2863" s="71" t="str">
        <f>IF(B2863="","",IFERROR(INDEX(mat_des,MATCH(B2863,mat_ref,0))&amp;"","Matière inconnue"))</f>
        <v/>
      </c>
      <c r="D2863" s="69" t="str">
        <f>IF(B2863="","",IFERROR(INDEX(mat_unit,MATCH(B2863,mat_ref,0))&amp;"",""))</f>
        <v/>
      </c>
      <c r="E2863" s="72" t="n"/>
      <c r="F2863" s="65" t="n"/>
      <c r="G2863" s="68" t="str">
        <f>IF(J2863&lt;&gt;"OK","",IF(F2863="",N(INDEX(mat_loss,MATCH(B2863,mat_ref,0))),F2863))</f>
        <v/>
      </c>
      <c r="H2863" s="66" t="str">
        <f>IF(J2863&lt;&gt;"OK","",INDEX(mat_price,MATCH(B2863,mat_ref,0)))</f>
        <v/>
      </c>
      <c r="I2863" s="66" t="str">
        <f>IF(J2863&lt;&gt;"OK","",E2863*(1+G2863)*H2863)</f>
        <v/>
      </c>
      <c r="J2863" s="69" t="str">
        <f>IF(AND(A2863="",B2863=""),"",IF(A2863="","Produit manquant",IF(COUNTIF(prod_ref,A2863)=0,"Produit inconnu",IF(B2863="","Matière manquante",IF(ISNA(MATCH(B2863,mat_ref,0)),"Matière inconnue",IF(INDEX(mat_check,MATCH(B2863,mat_ref,0))&lt;&gt;"OK","Matière à corriger",IF(OR(NOT(ISNUMBER(E2863)),N(E2863)&lt;=0),"Quantité invalide",IF(AND(F2863&lt;&gt;"",OR(NOT(ISNUMBER(F2863)),N(F2863)&lt;0,N(F2863)&gt;=1)),"Perte entre 0 et 99 %",IF(COUNTIFS(bom_prod,A2863,bom_mat,B2863)&gt;1,"Matière en double","OK")))))))))</f>
        <v/>
      </c>
      <c r="K2863" s="71" t="str">
        <f>IF(AND(fiche_sel&lt;&gt;"",A2863=fiche_sel),COUNTIF(A$6:A2863,fiche_sel),"")</f>
        <v/>
      </c>
    </row>
    <row r="2864">
      <c r="A2864" s="60" t="n"/>
      <c r="B2864" s="60" t="n"/>
      <c r="C2864" s="71" t="str">
        <f>IF(B2864="","",IFERROR(INDEX(mat_des,MATCH(B2864,mat_ref,0))&amp;"","Matière inconnue"))</f>
        <v/>
      </c>
      <c r="D2864" s="69" t="str">
        <f>IF(B2864="","",IFERROR(INDEX(mat_unit,MATCH(B2864,mat_ref,0))&amp;"",""))</f>
        <v/>
      </c>
      <c r="E2864" s="72" t="n"/>
      <c r="F2864" s="65" t="n"/>
      <c r="G2864" s="68" t="str">
        <f>IF(J2864&lt;&gt;"OK","",IF(F2864="",N(INDEX(mat_loss,MATCH(B2864,mat_ref,0))),F2864))</f>
        <v/>
      </c>
      <c r="H2864" s="66" t="str">
        <f>IF(J2864&lt;&gt;"OK","",INDEX(mat_price,MATCH(B2864,mat_ref,0)))</f>
        <v/>
      </c>
      <c r="I2864" s="66" t="str">
        <f>IF(J2864&lt;&gt;"OK","",E2864*(1+G2864)*H2864)</f>
        <v/>
      </c>
      <c r="J2864" s="69" t="str">
        <f>IF(AND(A2864="",B2864=""),"",IF(A2864="","Produit manquant",IF(COUNTIF(prod_ref,A2864)=0,"Produit inconnu",IF(B2864="","Matière manquante",IF(ISNA(MATCH(B2864,mat_ref,0)),"Matière inconnue",IF(INDEX(mat_check,MATCH(B2864,mat_ref,0))&lt;&gt;"OK","Matière à corriger",IF(OR(NOT(ISNUMBER(E2864)),N(E2864)&lt;=0),"Quantité invalide",IF(AND(F2864&lt;&gt;"",OR(NOT(ISNUMBER(F2864)),N(F2864)&lt;0,N(F2864)&gt;=1)),"Perte entre 0 et 99 %",IF(COUNTIFS(bom_prod,A2864,bom_mat,B2864)&gt;1,"Matière en double","OK")))))))))</f>
        <v/>
      </c>
      <c r="K2864" s="71" t="str">
        <f>IF(AND(fiche_sel&lt;&gt;"",A2864=fiche_sel),COUNTIF(A$6:A2864,fiche_sel),"")</f>
        <v/>
      </c>
    </row>
    <row r="2865">
      <c r="A2865" s="60" t="n"/>
      <c r="B2865" s="60" t="n"/>
      <c r="C2865" s="71" t="str">
        <f>IF(B2865="","",IFERROR(INDEX(mat_des,MATCH(B2865,mat_ref,0))&amp;"","Matière inconnue"))</f>
        <v/>
      </c>
      <c r="D2865" s="69" t="str">
        <f>IF(B2865="","",IFERROR(INDEX(mat_unit,MATCH(B2865,mat_ref,0))&amp;"",""))</f>
        <v/>
      </c>
      <c r="E2865" s="72" t="n"/>
      <c r="F2865" s="65" t="n"/>
      <c r="G2865" s="68" t="str">
        <f>IF(J2865&lt;&gt;"OK","",IF(F2865="",N(INDEX(mat_loss,MATCH(B2865,mat_ref,0))),F2865))</f>
        <v/>
      </c>
      <c r="H2865" s="66" t="str">
        <f>IF(J2865&lt;&gt;"OK","",INDEX(mat_price,MATCH(B2865,mat_ref,0)))</f>
        <v/>
      </c>
      <c r="I2865" s="66" t="str">
        <f>IF(J2865&lt;&gt;"OK","",E2865*(1+G2865)*H2865)</f>
        <v/>
      </c>
      <c r="J2865" s="69" t="str">
        <f>IF(AND(A2865="",B2865=""),"",IF(A2865="","Produit manquant",IF(COUNTIF(prod_ref,A2865)=0,"Produit inconnu",IF(B2865="","Matière manquante",IF(ISNA(MATCH(B2865,mat_ref,0)),"Matière inconnue",IF(INDEX(mat_check,MATCH(B2865,mat_ref,0))&lt;&gt;"OK","Matière à corriger",IF(OR(NOT(ISNUMBER(E2865)),N(E2865)&lt;=0),"Quantité invalide",IF(AND(F2865&lt;&gt;"",OR(NOT(ISNUMBER(F2865)),N(F2865)&lt;0,N(F2865)&gt;=1)),"Perte entre 0 et 99 %",IF(COUNTIFS(bom_prod,A2865,bom_mat,B2865)&gt;1,"Matière en double","OK")))))))))</f>
        <v/>
      </c>
      <c r="K2865" s="71" t="str">
        <f>IF(AND(fiche_sel&lt;&gt;"",A2865=fiche_sel),COUNTIF(A$6:A2865,fiche_sel),"")</f>
        <v/>
      </c>
    </row>
    <row r="2866">
      <c r="A2866" s="60" t="n"/>
      <c r="B2866" s="60" t="n"/>
      <c r="C2866" s="71" t="str">
        <f>IF(B2866="","",IFERROR(INDEX(mat_des,MATCH(B2866,mat_ref,0))&amp;"","Matière inconnue"))</f>
        <v/>
      </c>
      <c r="D2866" s="69" t="str">
        <f>IF(B2866="","",IFERROR(INDEX(mat_unit,MATCH(B2866,mat_ref,0))&amp;"",""))</f>
        <v/>
      </c>
      <c r="E2866" s="72" t="n"/>
      <c r="F2866" s="65" t="n"/>
      <c r="G2866" s="68" t="str">
        <f>IF(J2866&lt;&gt;"OK","",IF(F2866="",N(INDEX(mat_loss,MATCH(B2866,mat_ref,0))),F2866))</f>
        <v/>
      </c>
      <c r="H2866" s="66" t="str">
        <f>IF(J2866&lt;&gt;"OK","",INDEX(mat_price,MATCH(B2866,mat_ref,0)))</f>
        <v/>
      </c>
      <c r="I2866" s="66" t="str">
        <f>IF(J2866&lt;&gt;"OK","",E2866*(1+G2866)*H2866)</f>
        <v/>
      </c>
      <c r="J2866" s="69" t="str">
        <f>IF(AND(A2866="",B2866=""),"",IF(A2866="","Produit manquant",IF(COUNTIF(prod_ref,A2866)=0,"Produit inconnu",IF(B2866="","Matière manquante",IF(ISNA(MATCH(B2866,mat_ref,0)),"Matière inconnue",IF(INDEX(mat_check,MATCH(B2866,mat_ref,0))&lt;&gt;"OK","Matière à corriger",IF(OR(NOT(ISNUMBER(E2866)),N(E2866)&lt;=0),"Quantité invalide",IF(AND(F2866&lt;&gt;"",OR(NOT(ISNUMBER(F2866)),N(F2866)&lt;0,N(F2866)&gt;=1)),"Perte entre 0 et 99 %",IF(COUNTIFS(bom_prod,A2866,bom_mat,B2866)&gt;1,"Matière en double","OK")))))))))</f>
        <v/>
      </c>
      <c r="K2866" s="71" t="str">
        <f>IF(AND(fiche_sel&lt;&gt;"",A2866=fiche_sel),COUNTIF(A$6:A2866,fiche_sel),"")</f>
        <v/>
      </c>
    </row>
    <row r="2867">
      <c r="A2867" s="60" t="n"/>
      <c r="B2867" s="60" t="n"/>
      <c r="C2867" s="71" t="str">
        <f>IF(B2867="","",IFERROR(INDEX(mat_des,MATCH(B2867,mat_ref,0))&amp;"","Matière inconnue"))</f>
        <v/>
      </c>
      <c r="D2867" s="69" t="str">
        <f>IF(B2867="","",IFERROR(INDEX(mat_unit,MATCH(B2867,mat_ref,0))&amp;"",""))</f>
        <v/>
      </c>
      <c r="E2867" s="72" t="n"/>
      <c r="F2867" s="65" t="n"/>
      <c r="G2867" s="68" t="str">
        <f>IF(J2867&lt;&gt;"OK","",IF(F2867="",N(INDEX(mat_loss,MATCH(B2867,mat_ref,0))),F2867))</f>
        <v/>
      </c>
      <c r="H2867" s="66" t="str">
        <f>IF(J2867&lt;&gt;"OK","",INDEX(mat_price,MATCH(B2867,mat_ref,0)))</f>
        <v/>
      </c>
      <c r="I2867" s="66" t="str">
        <f>IF(J2867&lt;&gt;"OK","",E2867*(1+G2867)*H2867)</f>
        <v/>
      </c>
      <c r="J2867" s="69" t="str">
        <f>IF(AND(A2867="",B2867=""),"",IF(A2867="","Produit manquant",IF(COUNTIF(prod_ref,A2867)=0,"Produit inconnu",IF(B2867="","Matière manquante",IF(ISNA(MATCH(B2867,mat_ref,0)),"Matière inconnue",IF(INDEX(mat_check,MATCH(B2867,mat_ref,0))&lt;&gt;"OK","Matière à corriger",IF(OR(NOT(ISNUMBER(E2867)),N(E2867)&lt;=0),"Quantité invalide",IF(AND(F2867&lt;&gt;"",OR(NOT(ISNUMBER(F2867)),N(F2867)&lt;0,N(F2867)&gt;=1)),"Perte entre 0 et 99 %",IF(COUNTIFS(bom_prod,A2867,bom_mat,B2867)&gt;1,"Matière en double","OK")))))))))</f>
        <v/>
      </c>
      <c r="K2867" s="71" t="str">
        <f>IF(AND(fiche_sel&lt;&gt;"",A2867=fiche_sel),COUNTIF(A$6:A2867,fiche_sel),"")</f>
        <v/>
      </c>
    </row>
    <row r="2868">
      <c r="A2868" s="60" t="n"/>
      <c r="B2868" s="60" t="n"/>
      <c r="C2868" s="71" t="str">
        <f>IF(B2868="","",IFERROR(INDEX(mat_des,MATCH(B2868,mat_ref,0))&amp;"","Matière inconnue"))</f>
        <v/>
      </c>
      <c r="D2868" s="69" t="str">
        <f>IF(B2868="","",IFERROR(INDEX(mat_unit,MATCH(B2868,mat_ref,0))&amp;"",""))</f>
        <v/>
      </c>
      <c r="E2868" s="72" t="n"/>
      <c r="F2868" s="65" t="n"/>
      <c r="G2868" s="68" t="str">
        <f>IF(J2868&lt;&gt;"OK","",IF(F2868="",N(INDEX(mat_loss,MATCH(B2868,mat_ref,0))),F2868))</f>
        <v/>
      </c>
      <c r="H2868" s="66" t="str">
        <f>IF(J2868&lt;&gt;"OK","",INDEX(mat_price,MATCH(B2868,mat_ref,0)))</f>
        <v/>
      </c>
      <c r="I2868" s="66" t="str">
        <f>IF(J2868&lt;&gt;"OK","",E2868*(1+G2868)*H2868)</f>
        <v/>
      </c>
      <c r="J2868" s="69" t="str">
        <f>IF(AND(A2868="",B2868=""),"",IF(A2868="","Produit manquant",IF(COUNTIF(prod_ref,A2868)=0,"Produit inconnu",IF(B2868="","Matière manquante",IF(ISNA(MATCH(B2868,mat_ref,0)),"Matière inconnue",IF(INDEX(mat_check,MATCH(B2868,mat_ref,0))&lt;&gt;"OK","Matière à corriger",IF(OR(NOT(ISNUMBER(E2868)),N(E2868)&lt;=0),"Quantité invalide",IF(AND(F2868&lt;&gt;"",OR(NOT(ISNUMBER(F2868)),N(F2868)&lt;0,N(F2868)&gt;=1)),"Perte entre 0 et 99 %",IF(COUNTIFS(bom_prod,A2868,bom_mat,B2868)&gt;1,"Matière en double","OK")))))))))</f>
        <v/>
      </c>
      <c r="K2868" s="71" t="str">
        <f>IF(AND(fiche_sel&lt;&gt;"",A2868=fiche_sel),COUNTIF(A$6:A2868,fiche_sel),"")</f>
        <v/>
      </c>
    </row>
    <row r="2869">
      <c r="A2869" s="60" t="n"/>
      <c r="B2869" s="60" t="n"/>
      <c r="C2869" s="71" t="str">
        <f>IF(B2869="","",IFERROR(INDEX(mat_des,MATCH(B2869,mat_ref,0))&amp;"","Matière inconnue"))</f>
        <v/>
      </c>
      <c r="D2869" s="69" t="str">
        <f>IF(B2869="","",IFERROR(INDEX(mat_unit,MATCH(B2869,mat_ref,0))&amp;"",""))</f>
        <v/>
      </c>
      <c r="E2869" s="72" t="n"/>
      <c r="F2869" s="65" t="n"/>
      <c r="G2869" s="68" t="str">
        <f>IF(J2869&lt;&gt;"OK","",IF(F2869="",N(INDEX(mat_loss,MATCH(B2869,mat_ref,0))),F2869))</f>
        <v/>
      </c>
      <c r="H2869" s="66" t="str">
        <f>IF(J2869&lt;&gt;"OK","",INDEX(mat_price,MATCH(B2869,mat_ref,0)))</f>
        <v/>
      </c>
      <c r="I2869" s="66" t="str">
        <f>IF(J2869&lt;&gt;"OK","",E2869*(1+G2869)*H2869)</f>
        <v/>
      </c>
      <c r="J2869" s="69" t="str">
        <f>IF(AND(A2869="",B2869=""),"",IF(A2869="","Produit manquant",IF(COUNTIF(prod_ref,A2869)=0,"Produit inconnu",IF(B2869="","Matière manquante",IF(ISNA(MATCH(B2869,mat_ref,0)),"Matière inconnue",IF(INDEX(mat_check,MATCH(B2869,mat_ref,0))&lt;&gt;"OK","Matière à corriger",IF(OR(NOT(ISNUMBER(E2869)),N(E2869)&lt;=0),"Quantité invalide",IF(AND(F2869&lt;&gt;"",OR(NOT(ISNUMBER(F2869)),N(F2869)&lt;0,N(F2869)&gt;=1)),"Perte entre 0 et 99 %",IF(COUNTIFS(bom_prod,A2869,bom_mat,B2869)&gt;1,"Matière en double","OK")))))))))</f>
        <v/>
      </c>
      <c r="K2869" s="71" t="str">
        <f>IF(AND(fiche_sel&lt;&gt;"",A2869=fiche_sel),COUNTIF(A$6:A2869,fiche_sel),"")</f>
        <v/>
      </c>
    </row>
    <row r="2870">
      <c r="A2870" s="60" t="n"/>
      <c r="B2870" s="60" t="n"/>
      <c r="C2870" s="71" t="str">
        <f>IF(B2870="","",IFERROR(INDEX(mat_des,MATCH(B2870,mat_ref,0))&amp;"","Matière inconnue"))</f>
        <v/>
      </c>
      <c r="D2870" s="69" t="str">
        <f>IF(B2870="","",IFERROR(INDEX(mat_unit,MATCH(B2870,mat_ref,0))&amp;"",""))</f>
        <v/>
      </c>
      <c r="E2870" s="72" t="n"/>
      <c r="F2870" s="65" t="n"/>
      <c r="G2870" s="68" t="str">
        <f>IF(J2870&lt;&gt;"OK","",IF(F2870="",N(INDEX(mat_loss,MATCH(B2870,mat_ref,0))),F2870))</f>
        <v/>
      </c>
      <c r="H2870" s="66" t="str">
        <f>IF(J2870&lt;&gt;"OK","",INDEX(mat_price,MATCH(B2870,mat_ref,0)))</f>
        <v/>
      </c>
      <c r="I2870" s="66" t="str">
        <f>IF(J2870&lt;&gt;"OK","",E2870*(1+G2870)*H2870)</f>
        <v/>
      </c>
      <c r="J2870" s="69" t="str">
        <f>IF(AND(A2870="",B2870=""),"",IF(A2870="","Produit manquant",IF(COUNTIF(prod_ref,A2870)=0,"Produit inconnu",IF(B2870="","Matière manquante",IF(ISNA(MATCH(B2870,mat_ref,0)),"Matière inconnue",IF(INDEX(mat_check,MATCH(B2870,mat_ref,0))&lt;&gt;"OK","Matière à corriger",IF(OR(NOT(ISNUMBER(E2870)),N(E2870)&lt;=0),"Quantité invalide",IF(AND(F2870&lt;&gt;"",OR(NOT(ISNUMBER(F2870)),N(F2870)&lt;0,N(F2870)&gt;=1)),"Perte entre 0 et 99 %",IF(COUNTIFS(bom_prod,A2870,bom_mat,B2870)&gt;1,"Matière en double","OK")))))))))</f>
        <v/>
      </c>
      <c r="K2870" s="71" t="str">
        <f>IF(AND(fiche_sel&lt;&gt;"",A2870=fiche_sel),COUNTIF(A$6:A2870,fiche_sel),"")</f>
        <v/>
      </c>
    </row>
    <row r="2871">
      <c r="A2871" s="60" t="n"/>
      <c r="B2871" s="60" t="n"/>
      <c r="C2871" s="71" t="str">
        <f>IF(B2871="","",IFERROR(INDEX(mat_des,MATCH(B2871,mat_ref,0))&amp;"","Matière inconnue"))</f>
        <v/>
      </c>
      <c r="D2871" s="69" t="str">
        <f>IF(B2871="","",IFERROR(INDEX(mat_unit,MATCH(B2871,mat_ref,0))&amp;"",""))</f>
        <v/>
      </c>
      <c r="E2871" s="72" t="n"/>
      <c r="F2871" s="65" t="n"/>
      <c r="G2871" s="68" t="str">
        <f>IF(J2871&lt;&gt;"OK","",IF(F2871="",N(INDEX(mat_loss,MATCH(B2871,mat_ref,0))),F2871))</f>
        <v/>
      </c>
      <c r="H2871" s="66" t="str">
        <f>IF(J2871&lt;&gt;"OK","",INDEX(mat_price,MATCH(B2871,mat_ref,0)))</f>
        <v/>
      </c>
      <c r="I2871" s="66" t="str">
        <f>IF(J2871&lt;&gt;"OK","",E2871*(1+G2871)*H2871)</f>
        <v/>
      </c>
      <c r="J2871" s="69" t="str">
        <f>IF(AND(A2871="",B2871=""),"",IF(A2871="","Produit manquant",IF(COUNTIF(prod_ref,A2871)=0,"Produit inconnu",IF(B2871="","Matière manquante",IF(ISNA(MATCH(B2871,mat_ref,0)),"Matière inconnue",IF(INDEX(mat_check,MATCH(B2871,mat_ref,0))&lt;&gt;"OK","Matière à corriger",IF(OR(NOT(ISNUMBER(E2871)),N(E2871)&lt;=0),"Quantité invalide",IF(AND(F2871&lt;&gt;"",OR(NOT(ISNUMBER(F2871)),N(F2871)&lt;0,N(F2871)&gt;=1)),"Perte entre 0 et 99 %",IF(COUNTIFS(bom_prod,A2871,bom_mat,B2871)&gt;1,"Matière en double","OK")))))))))</f>
        <v/>
      </c>
      <c r="K2871" s="71" t="str">
        <f>IF(AND(fiche_sel&lt;&gt;"",A2871=fiche_sel),COUNTIF(A$6:A2871,fiche_sel),"")</f>
        <v/>
      </c>
    </row>
    <row r="2872">
      <c r="A2872" s="60" t="n"/>
      <c r="B2872" s="60" t="n"/>
      <c r="C2872" s="71" t="str">
        <f>IF(B2872="","",IFERROR(INDEX(mat_des,MATCH(B2872,mat_ref,0))&amp;"","Matière inconnue"))</f>
        <v/>
      </c>
      <c r="D2872" s="69" t="str">
        <f>IF(B2872="","",IFERROR(INDEX(mat_unit,MATCH(B2872,mat_ref,0))&amp;"",""))</f>
        <v/>
      </c>
      <c r="E2872" s="72" t="n"/>
      <c r="F2872" s="65" t="n"/>
      <c r="G2872" s="68" t="str">
        <f>IF(J2872&lt;&gt;"OK","",IF(F2872="",N(INDEX(mat_loss,MATCH(B2872,mat_ref,0))),F2872))</f>
        <v/>
      </c>
      <c r="H2872" s="66" t="str">
        <f>IF(J2872&lt;&gt;"OK","",INDEX(mat_price,MATCH(B2872,mat_ref,0)))</f>
        <v/>
      </c>
      <c r="I2872" s="66" t="str">
        <f>IF(J2872&lt;&gt;"OK","",E2872*(1+G2872)*H2872)</f>
        <v/>
      </c>
      <c r="J2872" s="69" t="str">
        <f>IF(AND(A2872="",B2872=""),"",IF(A2872="","Produit manquant",IF(COUNTIF(prod_ref,A2872)=0,"Produit inconnu",IF(B2872="","Matière manquante",IF(ISNA(MATCH(B2872,mat_ref,0)),"Matière inconnue",IF(INDEX(mat_check,MATCH(B2872,mat_ref,0))&lt;&gt;"OK","Matière à corriger",IF(OR(NOT(ISNUMBER(E2872)),N(E2872)&lt;=0),"Quantité invalide",IF(AND(F2872&lt;&gt;"",OR(NOT(ISNUMBER(F2872)),N(F2872)&lt;0,N(F2872)&gt;=1)),"Perte entre 0 et 99 %",IF(COUNTIFS(bom_prod,A2872,bom_mat,B2872)&gt;1,"Matière en double","OK")))))))))</f>
        <v/>
      </c>
      <c r="K2872" s="71" t="str">
        <f>IF(AND(fiche_sel&lt;&gt;"",A2872=fiche_sel),COUNTIF(A$6:A2872,fiche_sel),"")</f>
        <v/>
      </c>
    </row>
    <row r="2873">
      <c r="A2873" s="60" t="n"/>
      <c r="B2873" s="60" t="n"/>
      <c r="C2873" s="71" t="str">
        <f>IF(B2873="","",IFERROR(INDEX(mat_des,MATCH(B2873,mat_ref,0))&amp;"","Matière inconnue"))</f>
        <v/>
      </c>
      <c r="D2873" s="69" t="str">
        <f>IF(B2873="","",IFERROR(INDEX(mat_unit,MATCH(B2873,mat_ref,0))&amp;"",""))</f>
        <v/>
      </c>
      <c r="E2873" s="72" t="n"/>
      <c r="F2873" s="65" t="n"/>
      <c r="G2873" s="68" t="str">
        <f>IF(J2873&lt;&gt;"OK","",IF(F2873="",N(INDEX(mat_loss,MATCH(B2873,mat_ref,0))),F2873))</f>
        <v/>
      </c>
      <c r="H2873" s="66" t="str">
        <f>IF(J2873&lt;&gt;"OK","",INDEX(mat_price,MATCH(B2873,mat_ref,0)))</f>
        <v/>
      </c>
      <c r="I2873" s="66" t="str">
        <f>IF(J2873&lt;&gt;"OK","",E2873*(1+G2873)*H2873)</f>
        <v/>
      </c>
      <c r="J2873" s="69" t="str">
        <f>IF(AND(A2873="",B2873=""),"",IF(A2873="","Produit manquant",IF(COUNTIF(prod_ref,A2873)=0,"Produit inconnu",IF(B2873="","Matière manquante",IF(ISNA(MATCH(B2873,mat_ref,0)),"Matière inconnue",IF(INDEX(mat_check,MATCH(B2873,mat_ref,0))&lt;&gt;"OK","Matière à corriger",IF(OR(NOT(ISNUMBER(E2873)),N(E2873)&lt;=0),"Quantité invalide",IF(AND(F2873&lt;&gt;"",OR(NOT(ISNUMBER(F2873)),N(F2873)&lt;0,N(F2873)&gt;=1)),"Perte entre 0 et 99 %",IF(COUNTIFS(bom_prod,A2873,bom_mat,B2873)&gt;1,"Matière en double","OK")))))))))</f>
        <v/>
      </c>
      <c r="K2873" s="71" t="str">
        <f>IF(AND(fiche_sel&lt;&gt;"",A2873=fiche_sel),COUNTIF(A$6:A2873,fiche_sel),"")</f>
        <v/>
      </c>
    </row>
    <row r="2874">
      <c r="A2874" s="60" t="n"/>
      <c r="B2874" s="60" t="n"/>
      <c r="C2874" s="71" t="str">
        <f>IF(B2874="","",IFERROR(INDEX(mat_des,MATCH(B2874,mat_ref,0))&amp;"","Matière inconnue"))</f>
        <v/>
      </c>
      <c r="D2874" s="69" t="str">
        <f>IF(B2874="","",IFERROR(INDEX(mat_unit,MATCH(B2874,mat_ref,0))&amp;"",""))</f>
        <v/>
      </c>
      <c r="E2874" s="72" t="n"/>
      <c r="F2874" s="65" t="n"/>
      <c r="G2874" s="68" t="str">
        <f>IF(J2874&lt;&gt;"OK","",IF(F2874="",N(INDEX(mat_loss,MATCH(B2874,mat_ref,0))),F2874))</f>
        <v/>
      </c>
      <c r="H2874" s="66" t="str">
        <f>IF(J2874&lt;&gt;"OK","",INDEX(mat_price,MATCH(B2874,mat_ref,0)))</f>
        <v/>
      </c>
      <c r="I2874" s="66" t="str">
        <f>IF(J2874&lt;&gt;"OK","",E2874*(1+G2874)*H2874)</f>
        <v/>
      </c>
      <c r="J2874" s="69" t="str">
        <f>IF(AND(A2874="",B2874=""),"",IF(A2874="","Produit manquant",IF(COUNTIF(prod_ref,A2874)=0,"Produit inconnu",IF(B2874="","Matière manquante",IF(ISNA(MATCH(B2874,mat_ref,0)),"Matière inconnue",IF(INDEX(mat_check,MATCH(B2874,mat_ref,0))&lt;&gt;"OK","Matière à corriger",IF(OR(NOT(ISNUMBER(E2874)),N(E2874)&lt;=0),"Quantité invalide",IF(AND(F2874&lt;&gt;"",OR(NOT(ISNUMBER(F2874)),N(F2874)&lt;0,N(F2874)&gt;=1)),"Perte entre 0 et 99 %",IF(COUNTIFS(bom_prod,A2874,bom_mat,B2874)&gt;1,"Matière en double","OK")))))))))</f>
        <v/>
      </c>
      <c r="K2874" s="71" t="str">
        <f>IF(AND(fiche_sel&lt;&gt;"",A2874=fiche_sel),COUNTIF(A$6:A2874,fiche_sel),"")</f>
        <v/>
      </c>
    </row>
    <row r="2875">
      <c r="A2875" s="60" t="n"/>
      <c r="B2875" s="60" t="n"/>
      <c r="C2875" s="71" t="str">
        <f>IF(B2875="","",IFERROR(INDEX(mat_des,MATCH(B2875,mat_ref,0))&amp;"","Matière inconnue"))</f>
        <v/>
      </c>
      <c r="D2875" s="69" t="str">
        <f>IF(B2875="","",IFERROR(INDEX(mat_unit,MATCH(B2875,mat_ref,0))&amp;"",""))</f>
        <v/>
      </c>
      <c r="E2875" s="72" t="n"/>
      <c r="F2875" s="65" t="n"/>
      <c r="G2875" s="68" t="str">
        <f>IF(J2875&lt;&gt;"OK","",IF(F2875="",N(INDEX(mat_loss,MATCH(B2875,mat_ref,0))),F2875))</f>
        <v/>
      </c>
      <c r="H2875" s="66" t="str">
        <f>IF(J2875&lt;&gt;"OK","",INDEX(mat_price,MATCH(B2875,mat_ref,0)))</f>
        <v/>
      </c>
      <c r="I2875" s="66" t="str">
        <f>IF(J2875&lt;&gt;"OK","",E2875*(1+G2875)*H2875)</f>
        <v/>
      </c>
      <c r="J2875" s="69" t="str">
        <f>IF(AND(A2875="",B2875=""),"",IF(A2875="","Produit manquant",IF(COUNTIF(prod_ref,A2875)=0,"Produit inconnu",IF(B2875="","Matière manquante",IF(ISNA(MATCH(B2875,mat_ref,0)),"Matière inconnue",IF(INDEX(mat_check,MATCH(B2875,mat_ref,0))&lt;&gt;"OK","Matière à corriger",IF(OR(NOT(ISNUMBER(E2875)),N(E2875)&lt;=0),"Quantité invalide",IF(AND(F2875&lt;&gt;"",OR(NOT(ISNUMBER(F2875)),N(F2875)&lt;0,N(F2875)&gt;=1)),"Perte entre 0 et 99 %",IF(COUNTIFS(bom_prod,A2875,bom_mat,B2875)&gt;1,"Matière en double","OK")))))))))</f>
        <v/>
      </c>
      <c r="K2875" s="71" t="str">
        <f>IF(AND(fiche_sel&lt;&gt;"",A2875=fiche_sel),COUNTIF(A$6:A2875,fiche_sel),"")</f>
        <v/>
      </c>
    </row>
    <row r="2876">
      <c r="A2876" s="60" t="n"/>
      <c r="B2876" s="60" t="n"/>
      <c r="C2876" s="71" t="str">
        <f>IF(B2876="","",IFERROR(INDEX(mat_des,MATCH(B2876,mat_ref,0))&amp;"","Matière inconnue"))</f>
        <v/>
      </c>
      <c r="D2876" s="69" t="str">
        <f>IF(B2876="","",IFERROR(INDEX(mat_unit,MATCH(B2876,mat_ref,0))&amp;"",""))</f>
        <v/>
      </c>
      <c r="E2876" s="72" t="n"/>
      <c r="F2876" s="65" t="n"/>
      <c r="G2876" s="68" t="str">
        <f>IF(J2876&lt;&gt;"OK","",IF(F2876="",N(INDEX(mat_loss,MATCH(B2876,mat_ref,0))),F2876))</f>
        <v/>
      </c>
      <c r="H2876" s="66" t="str">
        <f>IF(J2876&lt;&gt;"OK","",INDEX(mat_price,MATCH(B2876,mat_ref,0)))</f>
        <v/>
      </c>
      <c r="I2876" s="66" t="str">
        <f>IF(J2876&lt;&gt;"OK","",E2876*(1+G2876)*H2876)</f>
        <v/>
      </c>
      <c r="J2876" s="69" t="str">
        <f>IF(AND(A2876="",B2876=""),"",IF(A2876="","Produit manquant",IF(COUNTIF(prod_ref,A2876)=0,"Produit inconnu",IF(B2876="","Matière manquante",IF(ISNA(MATCH(B2876,mat_ref,0)),"Matière inconnue",IF(INDEX(mat_check,MATCH(B2876,mat_ref,0))&lt;&gt;"OK","Matière à corriger",IF(OR(NOT(ISNUMBER(E2876)),N(E2876)&lt;=0),"Quantité invalide",IF(AND(F2876&lt;&gt;"",OR(NOT(ISNUMBER(F2876)),N(F2876)&lt;0,N(F2876)&gt;=1)),"Perte entre 0 et 99 %",IF(COUNTIFS(bom_prod,A2876,bom_mat,B2876)&gt;1,"Matière en double","OK")))))))))</f>
        <v/>
      </c>
      <c r="K2876" s="71" t="str">
        <f>IF(AND(fiche_sel&lt;&gt;"",A2876=fiche_sel),COUNTIF(A$6:A2876,fiche_sel),"")</f>
        <v/>
      </c>
    </row>
    <row r="2877">
      <c r="A2877" s="60" t="n"/>
      <c r="B2877" s="60" t="n"/>
      <c r="C2877" s="71" t="str">
        <f>IF(B2877="","",IFERROR(INDEX(mat_des,MATCH(B2877,mat_ref,0))&amp;"","Matière inconnue"))</f>
        <v/>
      </c>
      <c r="D2877" s="69" t="str">
        <f>IF(B2877="","",IFERROR(INDEX(mat_unit,MATCH(B2877,mat_ref,0))&amp;"",""))</f>
        <v/>
      </c>
      <c r="E2877" s="72" t="n"/>
      <c r="F2877" s="65" t="n"/>
      <c r="G2877" s="68" t="str">
        <f>IF(J2877&lt;&gt;"OK","",IF(F2877="",N(INDEX(mat_loss,MATCH(B2877,mat_ref,0))),F2877))</f>
        <v/>
      </c>
      <c r="H2877" s="66" t="str">
        <f>IF(J2877&lt;&gt;"OK","",INDEX(mat_price,MATCH(B2877,mat_ref,0)))</f>
        <v/>
      </c>
      <c r="I2877" s="66" t="str">
        <f>IF(J2877&lt;&gt;"OK","",E2877*(1+G2877)*H2877)</f>
        <v/>
      </c>
      <c r="J2877" s="69" t="str">
        <f>IF(AND(A2877="",B2877=""),"",IF(A2877="","Produit manquant",IF(COUNTIF(prod_ref,A2877)=0,"Produit inconnu",IF(B2877="","Matière manquante",IF(ISNA(MATCH(B2877,mat_ref,0)),"Matière inconnue",IF(INDEX(mat_check,MATCH(B2877,mat_ref,0))&lt;&gt;"OK","Matière à corriger",IF(OR(NOT(ISNUMBER(E2877)),N(E2877)&lt;=0),"Quantité invalide",IF(AND(F2877&lt;&gt;"",OR(NOT(ISNUMBER(F2877)),N(F2877)&lt;0,N(F2877)&gt;=1)),"Perte entre 0 et 99 %",IF(COUNTIFS(bom_prod,A2877,bom_mat,B2877)&gt;1,"Matière en double","OK")))))))))</f>
        <v/>
      </c>
      <c r="K2877" s="71" t="str">
        <f>IF(AND(fiche_sel&lt;&gt;"",A2877=fiche_sel),COUNTIF(A$6:A2877,fiche_sel),"")</f>
        <v/>
      </c>
    </row>
    <row r="2878">
      <c r="A2878" s="60" t="n"/>
      <c r="B2878" s="60" t="n"/>
      <c r="C2878" s="71" t="str">
        <f>IF(B2878="","",IFERROR(INDEX(mat_des,MATCH(B2878,mat_ref,0))&amp;"","Matière inconnue"))</f>
        <v/>
      </c>
      <c r="D2878" s="69" t="str">
        <f>IF(B2878="","",IFERROR(INDEX(mat_unit,MATCH(B2878,mat_ref,0))&amp;"",""))</f>
        <v/>
      </c>
      <c r="E2878" s="72" t="n"/>
      <c r="F2878" s="65" t="n"/>
      <c r="G2878" s="68" t="str">
        <f>IF(J2878&lt;&gt;"OK","",IF(F2878="",N(INDEX(mat_loss,MATCH(B2878,mat_ref,0))),F2878))</f>
        <v/>
      </c>
      <c r="H2878" s="66" t="str">
        <f>IF(J2878&lt;&gt;"OK","",INDEX(mat_price,MATCH(B2878,mat_ref,0)))</f>
        <v/>
      </c>
      <c r="I2878" s="66" t="str">
        <f>IF(J2878&lt;&gt;"OK","",E2878*(1+G2878)*H2878)</f>
        <v/>
      </c>
      <c r="J2878" s="69" t="str">
        <f>IF(AND(A2878="",B2878=""),"",IF(A2878="","Produit manquant",IF(COUNTIF(prod_ref,A2878)=0,"Produit inconnu",IF(B2878="","Matière manquante",IF(ISNA(MATCH(B2878,mat_ref,0)),"Matière inconnue",IF(INDEX(mat_check,MATCH(B2878,mat_ref,0))&lt;&gt;"OK","Matière à corriger",IF(OR(NOT(ISNUMBER(E2878)),N(E2878)&lt;=0),"Quantité invalide",IF(AND(F2878&lt;&gt;"",OR(NOT(ISNUMBER(F2878)),N(F2878)&lt;0,N(F2878)&gt;=1)),"Perte entre 0 et 99 %",IF(COUNTIFS(bom_prod,A2878,bom_mat,B2878)&gt;1,"Matière en double","OK")))))))))</f>
        <v/>
      </c>
      <c r="K2878" s="71" t="str">
        <f>IF(AND(fiche_sel&lt;&gt;"",A2878=fiche_sel),COUNTIF(A$6:A2878,fiche_sel),"")</f>
        <v/>
      </c>
    </row>
    <row r="2879">
      <c r="A2879" s="60" t="n"/>
      <c r="B2879" s="60" t="n"/>
      <c r="C2879" s="71" t="str">
        <f>IF(B2879="","",IFERROR(INDEX(mat_des,MATCH(B2879,mat_ref,0))&amp;"","Matière inconnue"))</f>
        <v/>
      </c>
      <c r="D2879" s="69" t="str">
        <f>IF(B2879="","",IFERROR(INDEX(mat_unit,MATCH(B2879,mat_ref,0))&amp;"",""))</f>
        <v/>
      </c>
      <c r="E2879" s="72" t="n"/>
      <c r="F2879" s="65" t="n"/>
      <c r="G2879" s="68" t="str">
        <f>IF(J2879&lt;&gt;"OK","",IF(F2879="",N(INDEX(mat_loss,MATCH(B2879,mat_ref,0))),F2879))</f>
        <v/>
      </c>
      <c r="H2879" s="66" t="str">
        <f>IF(J2879&lt;&gt;"OK","",INDEX(mat_price,MATCH(B2879,mat_ref,0)))</f>
        <v/>
      </c>
      <c r="I2879" s="66" t="str">
        <f>IF(J2879&lt;&gt;"OK","",E2879*(1+G2879)*H2879)</f>
        <v/>
      </c>
      <c r="J2879" s="69" t="str">
        <f>IF(AND(A2879="",B2879=""),"",IF(A2879="","Produit manquant",IF(COUNTIF(prod_ref,A2879)=0,"Produit inconnu",IF(B2879="","Matière manquante",IF(ISNA(MATCH(B2879,mat_ref,0)),"Matière inconnue",IF(INDEX(mat_check,MATCH(B2879,mat_ref,0))&lt;&gt;"OK","Matière à corriger",IF(OR(NOT(ISNUMBER(E2879)),N(E2879)&lt;=0),"Quantité invalide",IF(AND(F2879&lt;&gt;"",OR(NOT(ISNUMBER(F2879)),N(F2879)&lt;0,N(F2879)&gt;=1)),"Perte entre 0 et 99 %",IF(COUNTIFS(bom_prod,A2879,bom_mat,B2879)&gt;1,"Matière en double","OK")))))))))</f>
        <v/>
      </c>
      <c r="K2879" s="71" t="str">
        <f>IF(AND(fiche_sel&lt;&gt;"",A2879=fiche_sel),COUNTIF(A$6:A2879,fiche_sel),"")</f>
        <v/>
      </c>
    </row>
    <row r="2880">
      <c r="A2880" s="60" t="n"/>
      <c r="B2880" s="60" t="n"/>
      <c r="C2880" s="71" t="str">
        <f>IF(B2880="","",IFERROR(INDEX(mat_des,MATCH(B2880,mat_ref,0))&amp;"","Matière inconnue"))</f>
        <v/>
      </c>
      <c r="D2880" s="69" t="str">
        <f>IF(B2880="","",IFERROR(INDEX(mat_unit,MATCH(B2880,mat_ref,0))&amp;"",""))</f>
        <v/>
      </c>
      <c r="E2880" s="72" t="n"/>
      <c r="F2880" s="65" t="n"/>
      <c r="G2880" s="68" t="str">
        <f>IF(J2880&lt;&gt;"OK","",IF(F2880="",N(INDEX(mat_loss,MATCH(B2880,mat_ref,0))),F2880))</f>
        <v/>
      </c>
      <c r="H2880" s="66" t="str">
        <f>IF(J2880&lt;&gt;"OK","",INDEX(mat_price,MATCH(B2880,mat_ref,0)))</f>
        <v/>
      </c>
      <c r="I2880" s="66" t="str">
        <f>IF(J2880&lt;&gt;"OK","",E2880*(1+G2880)*H2880)</f>
        <v/>
      </c>
      <c r="J2880" s="69" t="str">
        <f>IF(AND(A2880="",B2880=""),"",IF(A2880="","Produit manquant",IF(COUNTIF(prod_ref,A2880)=0,"Produit inconnu",IF(B2880="","Matière manquante",IF(ISNA(MATCH(B2880,mat_ref,0)),"Matière inconnue",IF(INDEX(mat_check,MATCH(B2880,mat_ref,0))&lt;&gt;"OK","Matière à corriger",IF(OR(NOT(ISNUMBER(E2880)),N(E2880)&lt;=0),"Quantité invalide",IF(AND(F2880&lt;&gt;"",OR(NOT(ISNUMBER(F2880)),N(F2880)&lt;0,N(F2880)&gt;=1)),"Perte entre 0 et 99 %",IF(COUNTIFS(bom_prod,A2880,bom_mat,B2880)&gt;1,"Matière en double","OK")))))))))</f>
        <v/>
      </c>
      <c r="K2880" s="71" t="str">
        <f>IF(AND(fiche_sel&lt;&gt;"",A2880=fiche_sel),COUNTIF(A$6:A2880,fiche_sel),"")</f>
        <v/>
      </c>
    </row>
    <row r="2881">
      <c r="A2881" s="60" t="n"/>
      <c r="B2881" s="60" t="n"/>
      <c r="C2881" s="71" t="str">
        <f>IF(B2881="","",IFERROR(INDEX(mat_des,MATCH(B2881,mat_ref,0))&amp;"","Matière inconnue"))</f>
        <v/>
      </c>
      <c r="D2881" s="69" t="str">
        <f>IF(B2881="","",IFERROR(INDEX(mat_unit,MATCH(B2881,mat_ref,0))&amp;"",""))</f>
        <v/>
      </c>
      <c r="E2881" s="72" t="n"/>
      <c r="F2881" s="65" t="n"/>
      <c r="G2881" s="68" t="str">
        <f>IF(J2881&lt;&gt;"OK","",IF(F2881="",N(INDEX(mat_loss,MATCH(B2881,mat_ref,0))),F2881))</f>
        <v/>
      </c>
      <c r="H2881" s="66" t="str">
        <f>IF(J2881&lt;&gt;"OK","",INDEX(mat_price,MATCH(B2881,mat_ref,0)))</f>
        <v/>
      </c>
      <c r="I2881" s="66" t="str">
        <f>IF(J2881&lt;&gt;"OK","",E2881*(1+G2881)*H2881)</f>
        <v/>
      </c>
      <c r="J2881" s="69" t="str">
        <f>IF(AND(A2881="",B2881=""),"",IF(A2881="","Produit manquant",IF(COUNTIF(prod_ref,A2881)=0,"Produit inconnu",IF(B2881="","Matière manquante",IF(ISNA(MATCH(B2881,mat_ref,0)),"Matière inconnue",IF(INDEX(mat_check,MATCH(B2881,mat_ref,0))&lt;&gt;"OK","Matière à corriger",IF(OR(NOT(ISNUMBER(E2881)),N(E2881)&lt;=0),"Quantité invalide",IF(AND(F2881&lt;&gt;"",OR(NOT(ISNUMBER(F2881)),N(F2881)&lt;0,N(F2881)&gt;=1)),"Perte entre 0 et 99 %",IF(COUNTIFS(bom_prod,A2881,bom_mat,B2881)&gt;1,"Matière en double","OK")))))))))</f>
        <v/>
      </c>
      <c r="K2881" s="71" t="str">
        <f>IF(AND(fiche_sel&lt;&gt;"",A2881=fiche_sel),COUNTIF(A$6:A2881,fiche_sel),"")</f>
        <v/>
      </c>
    </row>
    <row r="2882">
      <c r="A2882" s="60" t="n"/>
      <c r="B2882" s="60" t="n"/>
      <c r="C2882" s="71" t="str">
        <f>IF(B2882="","",IFERROR(INDEX(mat_des,MATCH(B2882,mat_ref,0))&amp;"","Matière inconnue"))</f>
        <v/>
      </c>
      <c r="D2882" s="69" t="str">
        <f>IF(B2882="","",IFERROR(INDEX(mat_unit,MATCH(B2882,mat_ref,0))&amp;"",""))</f>
        <v/>
      </c>
      <c r="E2882" s="72" t="n"/>
      <c r="F2882" s="65" t="n"/>
      <c r="G2882" s="68" t="str">
        <f>IF(J2882&lt;&gt;"OK","",IF(F2882="",N(INDEX(mat_loss,MATCH(B2882,mat_ref,0))),F2882))</f>
        <v/>
      </c>
      <c r="H2882" s="66" t="str">
        <f>IF(J2882&lt;&gt;"OK","",INDEX(mat_price,MATCH(B2882,mat_ref,0)))</f>
        <v/>
      </c>
      <c r="I2882" s="66" t="str">
        <f>IF(J2882&lt;&gt;"OK","",E2882*(1+G2882)*H2882)</f>
        <v/>
      </c>
      <c r="J2882" s="69" t="str">
        <f>IF(AND(A2882="",B2882=""),"",IF(A2882="","Produit manquant",IF(COUNTIF(prod_ref,A2882)=0,"Produit inconnu",IF(B2882="","Matière manquante",IF(ISNA(MATCH(B2882,mat_ref,0)),"Matière inconnue",IF(INDEX(mat_check,MATCH(B2882,mat_ref,0))&lt;&gt;"OK","Matière à corriger",IF(OR(NOT(ISNUMBER(E2882)),N(E2882)&lt;=0),"Quantité invalide",IF(AND(F2882&lt;&gt;"",OR(NOT(ISNUMBER(F2882)),N(F2882)&lt;0,N(F2882)&gt;=1)),"Perte entre 0 et 99 %",IF(COUNTIFS(bom_prod,A2882,bom_mat,B2882)&gt;1,"Matière en double","OK")))))))))</f>
        <v/>
      </c>
      <c r="K2882" s="71" t="str">
        <f>IF(AND(fiche_sel&lt;&gt;"",A2882=fiche_sel),COUNTIF(A$6:A2882,fiche_sel),"")</f>
        <v/>
      </c>
    </row>
    <row r="2883">
      <c r="A2883" s="60" t="n"/>
      <c r="B2883" s="60" t="n"/>
      <c r="C2883" s="71" t="str">
        <f>IF(B2883="","",IFERROR(INDEX(mat_des,MATCH(B2883,mat_ref,0))&amp;"","Matière inconnue"))</f>
        <v/>
      </c>
      <c r="D2883" s="69" t="str">
        <f>IF(B2883="","",IFERROR(INDEX(mat_unit,MATCH(B2883,mat_ref,0))&amp;"",""))</f>
        <v/>
      </c>
      <c r="E2883" s="72" t="n"/>
      <c r="F2883" s="65" t="n"/>
      <c r="G2883" s="68" t="str">
        <f>IF(J2883&lt;&gt;"OK","",IF(F2883="",N(INDEX(mat_loss,MATCH(B2883,mat_ref,0))),F2883))</f>
        <v/>
      </c>
      <c r="H2883" s="66" t="str">
        <f>IF(J2883&lt;&gt;"OK","",INDEX(mat_price,MATCH(B2883,mat_ref,0)))</f>
        <v/>
      </c>
      <c r="I2883" s="66" t="str">
        <f>IF(J2883&lt;&gt;"OK","",E2883*(1+G2883)*H2883)</f>
        <v/>
      </c>
      <c r="J2883" s="69" t="str">
        <f>IF(AND(A2883="",B2883=""),"",IF(A2883="","Produit manquant",IF(COUNTIF(prod_ref,A2883)=0,"Produit inconnu",IF(B2883="","Matière manquante",IF(ISNA(MATCH(B2883,mat_ref,0)),"Matière inconnue",IF(INDEX(mat_check,MATCH(B2883,mat_ref,0))&lt;&gt;"OK","Matière à corriger",IF(OR(NOT(ISNUMBER(E2883)),N(E2883)&lt;=0),"Quantité invalide",IF(AND(F2883&lt;&gt;"",OR(NOT(ISNUMBER(F2883)),N(F2883)&lt;0,N(F2883)&gt;=1)),"Perte entre 0 et 99 %",IF(COUNTIFS(bom_prod,A2883,bom_mat,B2883)&gt;1,"Matière en double","OK")))))))))</f>
        <v/>
      </c>
      <c r="K2883" s="71" t="str">
        <f>IF(AND(fiche_sel&lt;&gt;"",A2883=fiche_sel),COUNTIF(A$6:A2883,fiche_sel),"")</f>
        <v/>
      </c>
    </row>
    <row r="2884">
      <c r="A2884" s="60" t="n"/>
      <c r="B2884" s="60" t="n"/>
      <c r="C2884" s="71" t="str">
        <f>IF(B2884="","",IFERROR(INDEX(mat_des,MATCH(B2884,mat_ref,0))&amp;"","Matière inconnue"))</f>
        <v/>
      </c>
      <c r="D2884" s="69" t="str">
        <f>IF(B2884="","",IFERROR(INDEX(mat_unit,MATCH(B2884,mat_ref,0))&amp;"",""))</f>
        <v/>
      </c>
      <c r="E2884" s="72" t="n"/>
      <c r="F2884" s="65" t="n"/>
      <c r="G2884" s="68" t="str">
        <f>IF(J2884&lt;&gt;"OK","",IF(F2884="",N(INDEX(mat_loss,MATCH(B2884,mat_ref,0))),F2884))</f>
        <v/>
      </c>
      <c r="H2884" s="66" t="str">
        <f>IF(J2884&lt;&gt;"OK","",INDEX(mat_price,MATCH(B2884,mat_ref,0)))</f>
        <v/>
      </c>
      <c r="I2884" s="66" t="str">
        <f>IF(J2884&lt;&gt;"OK","",E2884*(1+G2884)*H2884)</f>
        <v/>
      </c>
      <c r="J2884" s="69" t="str">
        <f>IF(AND(A2884="",B2884=""),"",IF(A2884="","Produit manquant",IF(COUNTIF(prod_ref,A2884)=0,"Produit inconnu",IF(B2884="","Matière manquante",IF(ISNA(MATCH(B2884,mat_ref,0)),"Matière inconnue",IF(INDEX(mat_check,MATCH(B2884,mat_ref,0))&lt;&gt;"OK","Matière à corriger",IF(OR(NOT(ISNUMBER(E2884)),N(E2884)&lt;=0),"Quantité invalide",IF(AND(F2884&lt;&gt;"",OR(NOT(ISNUMBER(F2884)),N(F2884)&lt;0,N(F2884)&gt;=1)),"Perte entre 0 et 99 %",IF(COUNTIFS(bom_prod,A2884,bom_mat,B2884)&gt;1,"Matière en double","OK")))))))))</f>
        <v/>
      </c>
      <c r="K2884" s="71" t="str">
        <f>IF(AND(fiche_sel&lt;&gt;"",A2884=fiche_sel),COUNTIF(A$6:A2884,fiche_sel),"")</f>
        <v/>
      </c>
    </row>
    <row r="2885">
      <c r="A2885" s="60" t="n"/>
      <c r="B2885" s="60" t="n"/>
      <c r="C2885" s="71" t="str">
        <f>IF(B2885="","",IFERROR(INDEX(mat_des,MATCH(B2885,mat_ref,0))&amp;"","Matière inconnue"))</f>
        <v/>
      </c>
      <c r="D2885" s="69" t="str">
        <f>IF(B2885="","",IFERROR(INDEX(mat_unit,MATCH(B2885,mat_ref,0))&amp;"",""))</f>
        <v/>
      </c>
      <c r="E2885" s="72" t="n"/>
      <c r="F2885" s="65" t="n"/>
      <c r="G2885" s="68" t="str">
        <f>IF(J2885&lt;&gt;"OK","",IF(F2885="",N(INDEX(mat_loss,MATCH(B2885,mat_ref,0))),F2885))</f>
        <v/>
      </c>
      <c r="H2885" s="66" t="str">
        <f>IF(J2885&lt;&gt;"OK","",INDEX(mat_price,MATCH(B2885,mat_ref,0)))</f>
        <v/>
      </c>
      <c r="I2885" s="66" t="str">
        <f>IF(J2885&lt;&gt;"OK","",E2885*(1+G2885)*H2885)</f>
        <v/>
      </c>
      <c r="J2885" s="69" t="str">
        <f>IF(AND(A2885="",B2885=""),"",IF(A2885="","Produit manquant",IF(COUNTIF(prod_ref,A2885)=0,"Produit inconnu",IF(B2885="","Matière manquante",IF(ISNA(MATCH(B2885,mat_ref,0)),"Matière inconnue",IF(INDEX(mat_check,MATCH(B2885,mat_ref,0))&lt;&gt;"OK","Matière à corriger",IF(OR(NOT(ISNUMBER(E2885)),N(E2885)&lt;=0),"Quantité invalide",IF(AND(F2885&lt;&gt;"",OR(NOT(ISNUMBER(F2885)),N(F2885)&lt;0,N(F2885)&gt;=1)),"Perte entre 0 et 99 %",IF(COUNTIFS(bom_prod,A2885,bom_mat,B2885)&gt;1,"Matière en double","OK")))))))))</f>
        <v/>
      </c>
      <c r="K2885" s="71" t="str">
        <f>IF(AND(fiche_sel&lt;&gt;"",A2885=fiche_sel),COUNTIF(A$6:A2885,fiche_sel),"")</f>
        <v/>
      </c>
    </row>
    <row r="2886">
      <c r="A2886" s="60" t="n"/>
      <c r="B2886" s="60" t="n"/>
      <c r="C2886" s="71" t="str">
        <f>IF(B2886="","",IFERROR(INDEX(mat_des,MATCH(B2886,mat_ref,0))&amp;"","Matière inconnue"))</f>
        <v/>
      </c>
      <c r="D2886" s="69" t="str">
        <f>IF(B2886="","",IFERROR(INDEX(mat_unit,MATCH(B2886,mat_ref,0))&amp;"",""))</f>
        <v/>
      </c>
      <c r="E2886" s="72" t="n"/>
      <c r="F2886" s="65" t="n"/>
      <c r="G2886" s="68" t="str">
        <f>IF(J2886&lt;&gt;"OK","",IF(F2886="",N(INDEX(mat_loss,MATCH(B2886,mat_ref,0))),F2886))</f>
        <v/>
      </c>
      <c r="H2886" s="66" t="str">
        <f>IF(J2886&lt;&gt;"OK","",INDEX(mat_price,MATCH(B2886,mat_ref,0)))</f>
        <v/>
      </c>
      <c r="I2886" s="66" t="str">
        <f>IF(J2886&lt;&gt;"OK","",E2886*(1+G2886)*H2886)</f>
        <v/>
      </c>
      <c r="J2886" s="69" t="str">
        <f>IF(AND(A2886="",B2886=""),"",IF(A2886="","Produit manquant",IF(COUNTIF(prod_ref,A2886)=0,"Produit inconnu",IF(B2886="","Matière manquante",IF(ISNA(MATCH(B2886,mat_ref,0)),"Matière inconnue",IF(INDEX(mat_check,MATCH(B2886,mat_ref,0))&lt;&gt;"OK","Matière à corriger",IF(OR(NOT(ISNUMBER(E2886)),N(E2886)&lt;=0),"Quantité invalide",IF(AND(F2886&lt;&gt;"",OR(NOT(ISNUMBER(F2886)),N(F2886)&lt;0,N(F2886)&gt;=1)),"Perte entre 0 et 99 %",IF(COUNTIFS(bom_prod,A2886,bom_mat,B2886)&gt;1,"Matière en double","OK")))))))))</f>
        <v/>
      </c>
      <c r="K2886" s="71" t="str">
        <f>IF(AND(fiche_sel&lt;&gt;"",A2886=fiche_sel),COUNTIF(A$6:A2886,fiche_sel),"")</f>
        <v/>
      </c>
    </row>
    <row r="2887">
      <c r="A2887" s="60" t="n"/>
      <c r="B2887" s="60" t="n"/>
      <c r="C2887" s="71" t="str">
        <f>IF(B2887="","",IFERROR(INDEX(mat_des,MATCH(B2887,mat_ref,0))&amp;"","Matière inconnue"))</f>
        <v/>
      </c>
      <c r="D2887" s="69" t="str">
        <f>IF(B2887="","",IFERROR(INDEX(mat_unit,MATCH(B2887,mat_ref,0))&amp;"",""))</f>
        <v/>
      </c>
      <c r="E2887" s="72" t="n"/>
      <c r="F2887" s="65" t="n"/>
      <c r="G2887" s="68" t="str">
        <f>IF(J2887&lt;&gt;"OK","",IF(F2887="",N(INDEX(mat_loss,MATCH(B2887,mat_ref,0))),F2887))</f>
        <v/>
      </c>
      <c r="H2887" s="66" t="str">
        <f>IF(J2887&lt;&gt;"OK","",INDEX(mat_price,MATCH(B2887,mat_ref,0)))</f>
        <v/>
      </c>
      <c r="I2887" s="66" t="str">
        <f>IF(J2887&lt;&gt;"OK","",E2887*(1+G2887)*H2887)</f>
        <v/>
      </c>
      <c r="J2887" s="69" t="str">
        <f>IF(AND(A2887="",B2887=""),"",IF(A2887="","Produit manquant",IF(COUNTIF(prod_ref,A2887)=0,"Produit inconnu",IF(B2887="","Matière manquante",IF(ISNA(MATCH(B2887,mat_ref,0)),"Matière inconnue",IF(INDEX(mat_check,MATCH(B2887,mat_ref,0))&lt;&gt;"OK","Matière à corriger",IF(OR(NOT(ISNUMBER(E2887)),N(E2887)&lt;=0),"Quantité invalide",IF(AND(F2887&lt;&gt;"",OR(NOT(ISNUMBER(F2887)),N(F2887)&lt;0,N(F2887)&gt;=1)),"Perte entre 0 et 99 %",IF(COUNTIFS(bom_prod,A2887,bom_mat,B2887)&gt;1,"Matière en double","OK")))))))))</f>
        <v/>
      </c>
      <c r="K2887" s="71" t="str">
        <f>IF(AND(fiche_sel&lt;&gt;"",A2887=fiche_sel),COUNTIF(A$6:A2887,fiche_sel),"")</f>
        <v/>
      </c>
    </row>
    <row r="2888">
      <c r="A2888" s="60" t="n"/>
      <c r="B2888" s="60" t="n"/>
      <c r="C2888" s="71" t="str">
        <f>IF(B2888="","",IFERROR(INDEX(mat_des,MATCH(B2888,mat_ref,0))&amp;"","Matière inconnue"))</f>
        <v/>
      </c>
      <c r="D2888" s="69" t="str">
        <f>IF(B2888="","",IFERROR(INDEX(mat_unit,MATCH(B2888,mat_ref,0))&amp;"",""))</f>
        <v/>
      </c>
      <c r="E2888" s="72" t="n"/>
      <c r="F2888" s="65" t="n"/>
      <c r="G2888" s="68" t="str">
        <f>IF(J2888&lt;&gt;"OK","",IF(F2888="",N(INDEX(mat_loss,MATCH(B2888,mat_ref,0))),F2888))</f>
        <v/>
      </c>
      <c r="H2888" s="66" t="str">
        <f>IF(J2888&lt;&gt;"OK","",INDEX(mat_price,MATCH(B2888,mat_ref,0)))</f>
        <v/>
      </c>
      <c r="I2888" s="66" t="str">
        <f>IF(J2888&lt;&gt;"OK","",E2888*(1+G2888)*H2888)</f>
        <v/>
      </c>
      <c r="J2888" s="69" t="str">
        <f>IF(AND(A2888="",B2888=""),"",IF(A2888="","Produit manquant",IF(COUNTIF(prod_ref,A2888)=0,"Produit inconnu",IF(B2888="","Matière manquante",IF(ISNA(MATCH(B2888,mat_ref,0)),"Matière inconnue",IF(INDEX(mat_check,MATCH(B2888,mat_ref,0))&lt;&gt;"OK","Matière à corriger",IF(OR(NOT(ISNUMBER(E2888)),N(E2888)&lt;=0),"Quantité invalide",IF(AND(F2888&lt;&gt;"",OR(NOT(ISNUMBER(F2888)),N(F2888)&lt;0,N(F2888)&gt;=1)),"Perte entre 0 et 99 %",IF(COUNTIFS(bom_prod,A2888,bom_mat,B2888)&gt;1,"Matière en double","OK")))))))))</f>
        <v/>
      </c>
      <c r="K2888" s="71" t="str">
        <f>IF(AND(fiche_sel&lt;&gt;"",A2888=fiche_sel),COUNTIF(A$6:A2888,fiche_sel),"")</f>
        <v/>
      </c>
    </row>
    <row r="2889">
      <c r="A2889" s="60" t="n"/>
      <c r="B2889" s="60" t="n"/>
      <c r="C2889" s="71" t="str">
        <f>IF(B2889="","",IFERROR(INDEX(mat_des,MATCH(B2889,mat_ref,0))&amp;"","Matière inconnue"))</f>
        <v/>
      </c>
      <c r="D2889" s="69" t="str">
        <f>IF(B2889="","",IFERROR(INDEX(mat_unit,MATCH(B2889,mat_ref,0))&amp;"",""))</f>
        <v/>
      </c>
      <c r="E2889" s="72" t="n"/>
      <c r="F2889" s="65" t="n"/>
      <c r="G2889" s="68" t="str">
        <f>IF(J2889&lt;&gt;"OK","",IF(F2889="",N(INDEX(mat_loss,MATCH(B2889,mat_ref,0))),F2889))</f>
        <v/>
      </c>
      <c r="H2889" s="66" t="str">
        <f>IF(J2889&lt;&gt;"OK","",INDEX(mat_price,MATCH(B2889,mat_ref,0)))</f>
        <v/>
      </c>
      <c r="I2889" s="66" t="str">
        <f>IF(J2889&lt;&gt;"OK","",E2889*(1+G2889)*H2889)</f>
        <v/>
      </c>
      <c r="J2889" s="69" t="str">
        <f>IF(AND(A2889="",B2889=""),"",IF(A2889="","Produit manquant",IF(COUNTIF(prod_ref,A2889)=0,"Produit inconnu",IF(B2889="","Matière manquante",IF(ISNA(MATCH(B2889,mat_ref,0)),"Matière inconnue",IF(INDEX(mat_check,MATCH(B2889,mat_ref,0))&lt;&gt;"OK","Matière à corriger",IF(OR(NOT(ISNUMBER(E2889)),N(E2889)&lt;=0),"Quantité invalide",IF(AND(F2889&lt;&gt;"",OR(NOT(ISNUMBER(F2889)),N(F2889)&lt;0,N(F2889)&gt;=1)),"Perte entre 0 et 99 %",IF(COUNTIFS(bom_prod,A2889,bom_mat,B2889)&gt;1,"Matière en double","OK")))))))))</f>
        <v/>
      </c>
      <c r="K2889" s="71" t="str">
        <f>IF(AND(fiche_sel&lt;&gt;"",A2889=fiche_sel),COUNTIF(A$6:A2889,fiche_sel),"")</f>
        <v/>
      </c>
    </row>
    <row r="2890">
      <c r="A2890" s="60" t="n"/>
      <c r="B2890" s="60" t="n"/>
      <c r="C2890" s="71" t="str">
        <f>IF(B2890="","",IFERROR(INDEX(mat_des,MATCH(B2890,mat_ref,0))&amp;"","Matière inconnue"))</f>
        <v/>
      </c>
      <c r="D2890" s="69" t="str">
        <f>IF(B2890="","",IFERROR(INDEX(mat_unit,MATCH(B2890,mat_ref,0))&amp;"",""))</f>
        <v/>
      </c>
      <c r="E2890" s="72" t="n"/>
      <c r="F2890" s="65" t="n"/>
      <c r="G2890" s="68" t="str">
        <f>IF(J2890&lt;&gt;"OK","",IF(F2890="",N(INDEX(mat_loss,MATCH(B2890,mat_ref,0))),F2890))</f>
        <v/>
      </c>
      <c r="H2890" s="66" t="str">
        <f>IF(J2890&lt;&gt;"OK","",INDEX(mat_price,MATCH(B2890,mat_ref,0)))</f>
        <v/>
      </c>
      <c r="I2890" s="66" t="str">
        <f>IF(J2890&lt;&gt;"OK","",E2890*(1+G2890)*H2890)</f>
        <v/>
      </c>
      <c r="J2890" s="69" t="str">
        <f>IF(AND(A2890="",B2890=""),"",IF(A2890="","Produit manquant",IF(COUNTIF(prod_ref,A2890)=0,"Produit inconnu",IF(B2890="","Matière manquante",IF(ISNA(MATCH(B2890,mat_ref,0)),"Matière inconnue",IF(INDEX(mat_check,MATCH(B2890,mat_ref,0))&lt;&gt;"OK","Matière à corriger",IF(OR(NOT(ISNUMBER(E2890)),N(E2890)&lt;=0),"Quantité invalide",IF(AND(F2890&lt;&gt;"",OR(NOT(ISNUMBER(F2890)),N(F2890)&lt;0,N(F2890)&gt;=1)),"Perte entre 0 et 99 %",IF(COUNTIFS(bom_prod,A2890,bom_mat,B2890)&gt;1,"Matière en double","OK")))))))))</f>
        <v/>
      </c>
      <c r="K2890" s="71" t="str">
        <f>IF(AND(fiche_sel&lt;&gt;"",A2890=fiche_sel),COUNTIF(A$6:A2890,fiche_sel),"")</f>
        <v/>
      </c>
    </row>
    <row r="2891">
      <c r="A2891" s="60" t="n"/>
      <c r="B2891" s="60" t="n"/>
      <c r="C2891" s="71" t="str">
        <f>IF(B2891="","",IFERROR(INDEX(mat_des,MATCH(B2891,mat_ref,0))&amp;"","Matière inconnue"))</f>
        <v/>
      </c>
      <c r="D2891" s="69" t="str">
        <f>IF(B2891="","",IFERROR(INDEX(mat_unit,MATCH(B2891,mat_ref,0))&amp;"",""))</f>
        <v/>
      </c>
      <c r="E2891" s="72" t="n"/>
      <c r="F2891" s="65" t="n"/>
      <c r="G2891" s="68" t="str">
        <f>IF(J2891&lt;&gt;"OK","",IF(F2891="",N(INDEX(mat_loss,MATCH(B2891,mat_ref,0))),F2891))</f>
        <v/>
      </c>
      <c r="H2891" s="66" t="str">
        <f>IF(J2891&lt;&gt;"OK","",INDEX(mat_price,MATCH(B2891,mat_ref,0)))</f>
        <v/>
      </c>
      <c r="I2891" s="66" t="str">
        <f>IF(J2891&lt;&gt;"OK","",E2891*(1+G2891)*H2891)</f>
        <v/>
      </c>
      <c r="J2891" s="69" t="str">
        <f>IF(AND(A2891="",B2891=""),"",IF(A2891="","Produit manquant",IF(COUNTIF(prod_ref,A2891)=0,"Produit inconnu",IF(B2891="","Matière manquante",IF(ISNA(MATCH(B2891,mat_ref,0)),"Matière inconnue",IF(INDEX(mat_check,MATCH(B2891,mat_ref,0))&lt;&gt;"OK","Matière à corriger",IF(OR(NOT(ISNUMBER(E2891)),N(E2891)&lt;=0),"Quantité invalide",IF(AND(F2891&lt;&gt;"",OR(NOT(ISNUMBER(F2891)),N(F2891)&lt;0,N(F2891)&gt;=1)),"Perte entre 0 et 99 %",IF(COUNTIFS(bom_prod,A2891,bom_mat,B2891)&gt;1,"Matière en double","OK")))))))))</f>
        <v/>
      </c>
      <c r="K2891" s="71" t="str">
        <f>IF(AND(fiche_sel&lt;&gt;"",A2891=fiche_sel),COUNTIF(A$6:A2891,fiche_sel),"")</f>
        <v/>
      </c>
    </row>
    <row r="2892">
      <c r="A2892" s="60" t="n"/>
      <c r="B2892" s="60" t="n"/>
      <c r="C2892" s="71" t="str">
        <f>IF(B2892="","",IFERROR(INDEX(mat_des,MATCH(B2892,mat_ref,0))&amp;"","Matière inconnue"))</f>
        <v/>
      </c>
      <c r="D2892" s="69" t="str">
        <f>IF(B2892="","",IFERROR(INDEX(mat_unit,MATCH(B2892,mat_ref,0))&amp;"",""))</f>
        <v/>
      </c>
      <c r="E2892" s="72" t="n"/>
      <c r="F2892" s="65" t="n"/>
      <c r="G2892" s="68" t="str">
        <f>IF(J2892&lt;&gt;"OK","",IF(F2892="",N(INDEX(mat_loss,MATCH(B2892,mat_ref,0))),F2892))</f>
        <v/>
      </c>
      <c r="H2892" s="66" t="str">
        <f>IF(J2892&lt;&gt;"OK","",INDEX(mat_price,MATCH(B2892,mat_ref,0)))</f>
        <v/>
      </c>
      <c r="I2892" s="66" t="str">
        <f>IF(J2892&lt;&gt;"OK","",E2892*(1+G2892)*H2892)</f>
        <v/>
      </c>
      <c r="J2892" s="69" t="str">
        <f>IF(AND(A2892="",B2892=""),"",IF(A2892="","Produit manquant",IF(COUNTIF(prod_ref,A2892)=0,"Produit inconnu",IF(B2892="","Matière manquante",IF(ISNA(MATCH(B2892,mat_ref,0)),"Matière inconnue",IF(INDEX(mat_check,MATCH(B2892,mat_ref,0))&lt;&gt;"OK","Matière à corriger",IF(OR(NOT(ISNUMBER(E2892)),N(E2892)&lt;=0),"Quantité invalide",IF(AND(F2892&lt;&gt;"",OR(NOT(ISNUMBER(F2892)),N(F2892)&lt;0,N(F2892)&gt;=1)),"Perte entre 0 et 99 %",IF(COUNTIFS(bom_prod,A2892,bom_mat,B2892)&gt;1,"Matière en double","OK")))))))))</f>
        <v/>
      </c>
      <c r="K2892" s="71" t="str">
        <f>IF(AND(fiche_sel&lt;&gt;"",A2892=fiche_sel),COUNTIF(A$6:A2892,fiche_sel),"")</f>
        <v/>
      </c>
    </row>
    <row r="2893">
      <c r="A2893" s="60" t="n"/>
      <c r="B2893" s="60" t="n"/>
      <c r="C2893" s="71" t="str">
        <f>IF(B2893="","",IFERROR(INDEX(mat_des,MATCH(B2893,mat_ref,0))&amp;"","Matière inconnue"))</f>
        <v/>
      </c>
      <c r="D2893" s="69" t="str">
        <f>IF(B2893="","",IFERROR(INDEX(mat_unit,MATCH(B2893,mat_ref,0))&amp;"",""))</f>
        <v/>
      </c>
      <c r="E2893" s="72" t="n"/>
      <c r="F2893" s="65" t="n"/>
      <c r="G2893" s="68" t="str">
        <f>IF(J2893&lt;&gt;"OK","",IF(F2893="",N(INDEX(mat_loss,MATCH(B2893,mat_ref,0))),F2893))</f>
        <v/>
      </c>
      <c r="H2893" s="66" t="str">
        <f>IF(J2893&lt;&gt;"OK","",INDEX(mat_price,MATCH(B2893,mat_ref,0)))</f>
        <v/>
      </c>
      <c r="I2893" s="66" t="str">
        <f>IF(J2893&lt;&gt;"OK","",E2893*(1+G2893)*H2893)</f>
        <v/>
      </c>
      <c r="J2893" s="69" t="str">
        <f>IF(AND(A2893="",B2893=""),"",IF(A2893="","Produit manquant",IF(COUNTIF(prod_ref,A2893)=0,"Produit inconnu",IF(B2893="","Matière manquante",IF(ISNA(MATCH(B2893,mat_ref,0)),"Matière inconnue",IF(INDEX(mat_check,MATCH(B2893,mat_ref,0))&lt;&gt;"OK","Matière à corriger",IF(OR(NOT(ISNUMBER(E2893)),N(E2893)&lt;=0),"Quantité invalide",IF(AND(F2893&lt;&gt;"",OR(NOT(ISNUMBER(F2893)),N(F2893)&lt;0,N(F2893)&gt;=1)),"Perte entre 0 et 99 %",IF(COUNTIFS(bom_prod,A2893,bom_mat,B2893)&gt;1,"Matière en double","OK")))))))))</f>
        <v/>
      </c>
      <c r="K2893" s="71" t="str">
        <f>IF(AND(fiche_sel&lt;&gt;"",A2893=fiche_sel),COUNTIF(A$6:A2893,fiche_sel),"")</f>
        <v/>
      </c>
    </row>
    <row r="2894">
      <c r="A2894" s="60" t="n"/>
      <c r="B2894" s="60" t="n"/>
      <c r="C2894" s="71" t="str">
        <f>IF(B2894="","",IFERROR(INDEX(mat_des,MATCH(B2894,mat_ref,0))&amp;"","Matière inconnue"))</f>
        <v/>
      </c>
      <c r="D2894" s="69" t="str">
        <f>IF(B2894="","",IFERROR(INDEX(mat_unit,MATCH(B2894,mat_ref,0))&amp;"",""))</f>
        <v/>
      </c>
      <c r="E2894" s="72" t="n"/>
      <c r="F2894" s="65" t="n"/>
      <c r="G2894" s="68" t="str">
        <f>IF(J2894&lt;&gt;"OK","",IF(F2894="",N(INDEX(mat_loss,MATCH(B2894,mat_ref,0))),F2894))</f>
        <v/>
      </c>
      <c r="H2894" s="66" t="str">
        <f>IF(J2894&lt;&gt;"OK","",INDEX(mat_price,MATCH(B2894,mat_ref,0)))</f>
        <v/>
      </c>
      <c r="I2894" s="66" t="str">
        <f>IF(J2894&lt;&gt;"OK","",E2894*(1+G2894)*H2894)</f>
        <v/>
      </c>
      <c r="J2894" s="69" t="str">
        <f>IF(AND(A2894="",B2894=""),"",IF(A2894="","Produit manquant",IF(COUNTIF(prod_ref,A2894)=0,"Produit inconnu",IF(B2894="","Matière manquante",IF(ISNA(MATCH(B2894,mat_ref,0)),"Matière inconnue",IF(INDEX(mat_check,MATCH(B2894,mat_ref,0))&lt;&gt;"OK","Matière à corriger",IF(OR(NOT(ISNUMBER(E2894)),N(E2894)&lt;=0),"Quantité invalide",IF(AND(F2894&lt;&gt;"",OR(NOT(ISNUMBER(F2894)),N(F2894)&lt;0,N(F2894)&gt;=1)),"Perte entre 0 et 99 %",IF(COUNTIFS(bom_prod,A2894,bom_mat,B2894)&gt;1,"Matière en double","OK")))))))))</f>
        <v/>
      </c>
      <c r="K2894" s="71" t="str">
        <f>IF(AND(fiche_sel&lt;&gt;"",A2894=fiche_sel),COUNTIF(A$6:A2894,fiche_sel),"")</f>
        <v/>
      </c>
    </row>
    <row r="2895">
      <c r="A2895" s="60" t="n"/>
      <c r="B2895" s="60" t="n"/>
      <c r="C2895" s="71" t="str">
        <f>IF(B2895="","",IFERROR(INDEX(mat_des,MATCH(B2895,mat_ref,0))&amp;"","Matière inconnue"))</f>
        <v/>
      </c>
      <c r="D2895" s="69" t="str">
        <f>IF(B2895="","",IFERROR(INDEX(mat_unit,MATCH(B2895,mat_ref,0))&amp;"",""))</f>
        <v/>
      </c>
      <c r="E2895" s="72" t="n"/>
      <c r="F2895" s="65" t="n"/>
      <c r="G2895" s="68" t="str">
        <f>IF(J2895&lt;&gt;"OK","",IF(F2895="",N(INDEX(mat_loss,MATCH(B2895,mat_ref,0))),F2895))</f>
        <v/>
      </c>
      <c r="H2895" s="66" t="str">
        <f>IF(J2895&lt;&gt;"OK","",INDEX(mat_price,MATCH(B2895,mat_ref,0)))</f>
        <v/>
      </c>
      <c r="I2895" s="66" t="str">
        <f>IF(J2895&lt;&gt;"OK","",E2895*(1+G2895)*H2895)</f>
        <v/>
      </c>
      <c r="J2895" s="69" t="str">
        <f>IF(AND(A2895="",B2895=""),"",IF(A2895="","Produit manquant",IF(COUNTIF(prod_ref,A2895)=0,"Produit inconnu",IF(B2895="","Matière manquante",IF(ISNA(MATCH(B2895,mat_ref,0)),"Matière inconnue",IF(INDEX(mat_check,MATCH(B2895,mat_ref,0))&lt;&gt;"OK","Matière à corriger",IF(OR(NOT(ISNUMBER(E2895)),N(E2895)&lt;=0),"Quantité invalide",IF(AND(F2895&lt;&gt;"",OR(NOT(ISNUMBER(F2895)),N(F2895)&lt;0,N(F2895)&gt;=1)),"Perte entre 0 et 99 %",IF(COUNTIFS(bom_prod,A2895,bom_mat,B2895)&gt;1,"Matière en double","OK")))))))))</f>
        <v/>
      </c>
      <c r="K2895" s="71" t="str">
        <f>IF(AND(fiche_sel&lt;&gt;"",A2895=fiche_sel),COUNTIF(A$6:A2895,fiche_sel),"")</f>
        <v/>
      </c>
    </row>
    <row r="2896">
      <c r="A2896" s="60" t="n"/>
      <c r="B2896" s="60" t="n"/>
      <c r="C2896" s="71" t="str">
        <f>IF(B2896="","",IFERROR(INDEX(mat_des,MATCH(B2896,mat_ref,0))&amp;"","Matière inconnue"))</f>
        <v/>
      </c>
      <c r="D2896" s="69" t="str">
        <f>IF(B2896="","",IFERROR(INDEX(mat_unit,MATCH(B2896,mat_ref,0))&amp;"",""))</f>
        <v/>
      </c>
      <c r="E2896" s="72" t="n"/>
      <c r="F2896" s="65" t="n"/>
      <c r="G2896" s="68" t="str">
        <f>IF(J2896&lt;&gt;"OK","",IF(F2896="",N(INDEX(mat_loss,MATCH(B2896,mat_ref,0))),F2896))</f>
        <v/>
      </c>
      <c r="H2896" s="66" t="str">
        <f>IF(J2896&lt;&gt;"OK","",INDEX(mat_price,MATCH(B2896,mat_ref,0)))</f>
        <v/>
      </c>
      <c r="I2896" s="66" t="str">
        <f>IF(J2896&lt;&gt;"OK","",E2896*(1+G2896)*H2896)</f>
        <v/>
      </c>
      <c r="J2896" s="69" t="str">
        <f>IF(AND(A2896="",B2896=""),"",IF(A2896="","Produit manquant",IF(COUNTIF(prod_ref,A2896)=0,"Produit inconnu",IF(B2896="","Matière manquante",IF(ISNA(MATCH(B2896,mat_ref,0)),"Matière inconnue",IF(INDEX(mat_check,MATCH(B2896,mat_ref,0))&lt;&gt;"OK","Matière à corriger",IF(OR(NOT(ISNUMBER(E2896)),N(E2896)&lt;=0),"Quantité invalide",IF(AND(F2896&lt;&gt;"",OR(NOT(ISNUMBER(F2896)),N(F2896)&lt;0,N(F2896)&gt;=1)),"Perte entre 0 et 99 %",IF(COUNTIFS(bom_prod,A2896,bom_mat,B2896)&gt;1,"Matière en double","OK")))))))))</f>
        <v/>
      </c>
      <c r="K2896" s="71" t="str">
        <f>IF(AND(fiche_sel&lt;&gt;"",A2896=fiche_sel),COUNTIF(A$6:A2896,fiche_sel),"")</f>
        <v/>
      </c>
    </row>
    <row r="2897">
      <c r="A2897" s="60" t="n"/>
      <c r="B2897" s="60" t="n"/>
      <c r="C2897" s="71" t="str">
        <f>IF(B2897="","",IFERROR(INDEX(mat_des,MATCH(B2897,mat_ref,0))&amp;"","Matière inconnue"))</f>
        <v/>
      </c>
      <c r="D2897" s="69" t="str">
        <f>IF(B2897="","",IFERROR(INDEX(mat_unit,MATCH(B2897,mat_ref,0))&amp;"",""))</f>
        <v/>
      </c>
      <c r="E2897" s="72" t="n"/>
      <c r="F2897" s="65" t="n"/>
      <c r="G2897" s="68" t="str">
        <f>IF(J2897&lt;&gt;"OK","",IF(F2897="",N(INDEX(mat_loss,MATCH(B2897,mat_ref,0))),F2897))</f>
        <v/>
      </c>
      <c r="H2897" s="66" t="str">
        <f>IF(J2897&lt;&gt;"OK","",INDEX(mat_price,MATCH(B2897,mat_ref,0)))</f>
        <v/>
      </c>
      <c r="I2897" s="66" t="str">
        <f>IF(J2897&lt;&gt;"OK","",E2897*(1+G2897)*H2897)</f>
        <v/>
      </c>
      <c r="J2897" s="69" t="str">
        <f>IF(AND(A2897="",B2897=""),"",IF(A2897="","Produit manquant",IF(COUNTIF(prod_ref,A2897)=0,"Produit inconnu",IF(B2897="","Matière manquante",IF(ISNA(MATCH(B2897,mat_ref,0)),"Matière inconnue",IF(INDEX(mat_check,MATCH(B2897,mat_ref,0))&lt;&gt;"OK","Matière à corriger",IF(OR(NOT(ISNUMBER(E2897)),N(E2897)&lt;=0),"Quantité invalide",IF(AND(F2897&lt;&gt;"",OR(NOT(ISNUMBER(F2897)),N(F2897)&lt;0,N(F2897)&gt;=1)),"Perte entre 0 et 99 %",IF(COUNTIFS(bom_prod,A2897,bom_mat,B2897)&gt;1,"Matière en double","OK")))))))))</f>
        <v/>
      </c>
      <c r="K2897" s="71" t="str">
        <f>IF(AND(fiche_sel&lt;&gt;"",A2897=fiche_sel),COUNTIF(A$6:A2897,fiche_sel),"")</f>
        <v/>
      </c>
    </row>
    <row r="2898">
      <c r="A2898" s="60" t="n"/>
      <c r="B2898" s="60" t="n"/>
      <c r="C2898" s="71" t="str">
        <f>IF(B2898="","",IFERROR(INDEX(mat_des,MATCH(B2898,mat_ref,0))&amp;"","Matière inconnue"))</f>
        <v/>
      </c>
      <c r="D2898" s="69" t="str">
        <f>IF(B2898="","",IFERROR(INDEX(mat_unit,MATCH(B2898,mat_ref,0))&amp;"",""))</f>
        <v/>
      </c>
      <c r="E2898" s="72" t="n"/>
      <c r="F2898" s="65" t="n"/>
      <c r="G2898" s="68" t="str">
        <f>IF(J2898&lt;&gt;"OK","",IF(F2898="",N(INDEX(mat_loss,MATCH(B2898,mat_ref,0))),F2898))</f>
        <v/>
      </c>
      <c r="H2898" s="66" t="str">
        <f>IF(J2898&lt;&gt;"OK","",INDEX(mat_price,MATCH(B2898,mat_ref,0)))</f>
        <v/>
      </c>
      <c r="I2898" s="66" t="str">
        <f>IF(J2898&lt;&gt;"OK","",E2898*(1+G2898)*H2898)</f>
        <v/>
      </c>
      <c r="J2898" s="69" t="str">
        <f>IF(AND(A2898="",B2898=""),"",IF(A2898="","Produit manquant",IF(COUNTIF(prod_ref,A2898)=0,"Produit inconnu",IF(B2898="","Matière manquante",IF(ISNA(MATCH(B2898,mat_ref,0)),"Matière inconnue",IF(INDEX(mat_check,MATCH(B2898,mat_ref,0))&lt;&gt;"OK","Matière à corriger",IF(OR(NOT(ISNUMBER(E2898)),N(E2898)&lt;=0),"Quantité invalide",IF(AND(F2898&lt;&gt;"",OR(NOT(ISNUMBER(F2898)),N(F2898)&lt;0,N(F2898)&gt;=1)),"Perte entre 0 et 99 %",IF(COUNTIFS(bom_prod,A2898,bom_mat,B2898)&gt;1,"Matière en double","OK")))))))))</f>
        <v/>
      </c>
      <c r="K2898" s="71" t="str">
        <f>IF(AND(fiche_sel&lt;&gt;"",A2898=fiche_sel),COUNTIF(A$6:A2898,fiche_sel),"")</f>
        <v/>
      </c>
    </row>
    <row r="2899">
      <c r="A2899" s="60" t="n"/>
      <c r="B2899" s="60" t="n"/>
      <c r="C2899" s="71" t="str">
        <f>IF(B2899="","",IFERROR(INDEX(mat_des,MATCH(B2899,mat_ref,0))&amp;"","Matière inconnue"))</f>
        <v/>
      </c>
      <c r="D2899" s="69" t="str">
        <f>IF(B2899="","",IFERROR(INDEX(mat_unit,MATCH(B2899,mat_ref,0))&amp;"",""))</f>
        <v/>
      </c>
      <c r="E2899" s="72" t="n"/>
      <c r="F2899" s="65" t="n"/>
      <c r="G2899" s="68" t="str">
        <f>IF(J2899&lt;&gt;"OK","",IF(F2899="",N(INDEX(mat_loss,MATCH(B2899,mat_ref,0))),F2899))</f>
        <v/>
      </c>
      <c r="H2899" s="66" t="str">
        <f>IF(J2899&lt;&gt;"OK","",INDEX(mat_price,MATCH(B2899,mat_ref,0)))</f>
        <v/>
      </c>
      <c r="I2899" s="66" t="str">
        <f>IF(J2899&lt;&gt;"OK","",E2899*(1+G2899)*H2899)</f>
        <v/>
      </c>
      <c r="J2899" s="69" t="str">
        <f>IF(AND(A2899="",B2899=""),"",IF(A2899="","Produit manquant",IF(COUNTIF(prod_ref,A2899)=0,"Produit inconnu",IF(B2899="","Matière manquante",IF(ISNA(MATCH(B2899,mat_ref,0)),"Matière inconnue",IF(INDEX(mat_check,MATCH(B2899,mat_ref,0))&lt;&gt;"OK","Matière à corriger",IF(OR(NOT(ISNUMBER(E2899)),N(E2899)&lt;=0),"Quantité invalide",IF(AND(F2899&lt;&gt;"",OR(NOT(ISNUMBER(F2899)),N(F2899)&lt;0,N(F2899)&gt;=1)),"Perte entre 0 et 99 %",IF(COUNTIFS(bom_prod,A2899,bom_mat,B2899)&gt;1,"Matière en double","OK")))))))))</f>
        <v/>
      </c>
      <c r="K2899" s="71" t="str">
        <f>IF(AND(fiche_sel&lt;&gt;"",A2899=fiche_sel),COUNTIF(A$6:A2899,fiche_sel),"")</f>
        <v/>
      </c>
    </row>
    <row r="2900">
      <c r="A2900" s="60" t="n"/>
      <c r="B2900" s="60" t="n"/>
      <c r="C2900" s="71" t="str">
        <f>IF(B2900="","",IFERROR(INDEX(mat_des,MATCH(B2900,mat_ref,0))&amp;"","Matière inconnue"))</f>
        <v/>
      </c>
      <c r="D2900" s="69" t="str">
        <f>IF(B2900="","",IFERROR(INDEX(mat_unit,MATCH(B2900,mat_ref,0))&amp;"",""))</f>
        <v/>
      </c>
      <c r="E2900" s="72" t="n"/>
      <c r="F2900" s="65" t="n"/>
      <c r="G2900" s="68" t="str">
        <f>IF(J2900&lt;&gt;"OK","",IF(F2900="",N(INDEX(mat_loss,MATCH(B2900,mat_ref,0))),F2900))</f>
        <v/>
      </c>
      <c r="H2900" s="66" t="str">
        <f>IF(J2900&lt;&gt;"OK","",INDEX(mat_price,MATCH(B2900,mat_ref,0)))</f>
        <v/>
      </c>
      <c r="I2900" s="66" t="str">
        <f>IF(J2900&lt;&gt;"OK","",E2900*(1+G2900)*H2900)</f>
        <v/>
      </c>
      <c r="J2900" s="69" t="str">
        <f>IF(AND(A2900="",B2900=""),"",IF(A2900="","Produit manquant",IF(COUNTIF(prod_ref,A2900)=0,"Produit inconnu",IF(B2900="","Matière manquante",IF(ISNA(MATCH(B2900,mat_ref,0)),"Matière inconnue",IF(INDEX(mat_check,MATCH(B2900,mat_ref,0))&lt;&gt;"OK","Matière à corriger",IF(OR(NOT(ISNUMBER(E2900)),N(E2900)&lt;=0),"Quantité invalide",IF(AND(F2900&lt;&gt;"",OR(NOT(ISNUMBER(F2900)),N(F2900)&lt;0,N(F2900)&gt;=1)),"Perte entre 0 et 99 %",IF(COUNTIFS(bom_prod,A2900,bom_mat,B2900)&gt;1,"Matière en double","OK")))))))))</f>
        <v/>
      </c>
      <c r="K2900" s="71" t="str">
        <f>IF(AND(fiche_sel&lt;&gt;"",A2900=fiche_sel),COUNTIF(A$6:A2900,fiche_sel),"")</f>
        <v/>
      </c>
    </row>
    <row r="2901">
      <c r="A2901" s="60" t="n"/>
      <c r="B2901" s="60" t="n"/>
      <c r="C2901" s="71" t="str">
        <f>IF(B2901="","",IFERROR(INDEX(mat_des,MATCH(B2901,mat_ref,0))&amp;"","Matière inconnue"))</f>
        <v/>
      </c>
      <c r="D2901" s="69" t="str">
        <f>IF(B2901="","",IFERROR(INDEX(mat_unit,MATCH(B2901,mat_ref,0))&amp;"",""))</f>
        <v/>
      </c>
      <c r="E2901" s="72" t="n"/>
      <c r="F2901" s="65" t="n"/>
      <c r="G2901" s="68" t="str">
        <f>IF(J2901&lt;&gt;"OK","",IF(F2901="",N(INDEX(mat_loss,MATCH(B2901,mat_ref,0))),F2901))</f>
        <v/>
      </c>
      <c r="H2901" s="66" t="str">
        <f>IF(J2901&lt;&gt;"OK","",INDEX(mat_price,MATCH(B2901,mat_ref,0)))</f>
        <v/>
      </c>
      <c r="I2901" s="66" t="str">
        <f>IF(J2901&lt;&gt;"OK","",E2901*(1+G2901)*H2901)</f>
        <v/>
      </c>
      <c r="J2901" s="69" t="str">
        <f>IF(AND(A2901="",B2901=""),"",IF(A2901="","Produit manquant",IF(COUNTIF(prod_ref,A2901)=0,"Produit inconnu",IF(B2901="","Matière manquante",IF(ISNA(MATCH(B2901,mat_ref,0)),"Matière inconnue",IF(INDEX(mat_check,MATCH(B2901,mat_ref,0))&lt;&gt;"OK","Matière à corriger",IF(OR(NOT(ISNUMBER(E2901)),N(E2901)&lt;=0),"Quantité invalide",IF(AND(F2901&lt;&gt;"",OR(NOT(ISNUMBER(F2901)),N(F2901)&lt;0,N(F2901)&gt;=1)),"Perte entre 0 et 99 %",IF(COUNTIFS(bom_prod,A2901,bom_mat,B2901)&gt;1,"Matière en double","OK")))))))))</f>
        <v/>
      </c>
      <c r="K2901" s="71" t="str">
        <f>IF(AND(fiche_sel&lt;&gt;"",A2901=fiche_sel),COUNTIF(A$6:A2901,fiche_sel),"")</f>
        <v/>
      </c>
    </row>
    <row r="2902">
      <c r="A2902" s="60" t="n"/>
      <c r="B2902" s="60" t="n"/>
      <c r="C2902" s="71" t="str">
        <f>IF(B2902="","",IFERROR(INDEX(mat_des,MATCH(B2902,mat_ref,0))&amp;"","Matière inconnue"))</f>
        <v/>
      </c>
      <c r="D2902" s="69" t="str">
        <f>IF(B2902="","",IFERROR(INDEX(mat_unit,MATCH(B2902,mat_ref,0))&amp;"",""))</f>
        <v/>
      </c>
      <c r="E2902" s="72" t="n"/>
      <c r="F2902" s="65" t="n"/>
      <c r="G2902" s="68" t="str">
        <f>IF(J2902&lt;&gt;"OK","",IF(F2902="",N(INDEX(mat_loss,MATCH(B2902,mat_ref,0))),F2902))</f>
        <v/>
      </c>
      <c r="H2902" s="66" t="str">
        <f>IF(J2902&lt;&gt;"OK","",INDEX(mat_price,MATCH(B2902,mat_ref,0)))</f>
        <v/>
      </c>
      <c r="I2902" s="66" t="str">
        <f>IF(J2902&lt;&gt;"OK","",E2902*(1+G2902)*H2902)</f>
        <v/>
      </c>
      <c r="J2902" s="69" t="str">
        <f>IF(AND(A2902="",B2902=""),"",IF(A2902="","Produit manquant",IF(COUNTIF(prod_ref,A2902)=0,"Produit inconnu",IF(B2902="","Matière manquante",IF(ISNA(MATCH(B2902,mat_ref,0)),"Matière inconnue",IF(INDEX(mat_check,MATCH(B2902,mat_ref,0))&lt;&gt;"OK","Matière à corriger",IF(OR(NOT(ISNUMBER(E2902)),N(E2902)&lt;=0),"Quantité invalide",IF(AND(F2902&lt;&gt;"",OR(NOT(ISNUMBER(F2902)),N(F2902)&lt;0,N(F2902)&gt;=1)),"Perte entre 0 et 99 %",IF(COUNTIFS(bom_prod,A2902,bom_mat,B2902)&gt;1,"Matière en double","OK")))))))))</f>
        <v/>
      </c>
      <c r="K2902" s="71" t="str">
        <f>IF(AND(fiche_sel&lt;&gt;"",A2902=fiche_sel),COUNTIF(A$6:A2902,fiche_sel),"")</f>
        <v/>
      </c>
    </row>
    <row r="2903">
      <c r="A2903" s="60" t="n"/>
      <c r="B2903" s="60" t="n"/>
      <c r="C2903" s="71" t="str">
        <f>IF(B2903="","",IFERROR(INDEX(mat_des,MATCH(B2903,mat_ref,0))&amp;"","Matière inconnue"))</f>
        <v/>
      </c>
      <c r="D2903" s="69" t="str">
        <f>IF(B2903="","",IFERROR(INDEX(mat_unit,MATCH(B2903,mat_ref,0))&amp;"",""))</f>
        <v/>
      </c>
      <c r="E2903" s="72" t="n"/>
      <c r="F2903" s="65" t="n"/>
      <c r="G2903" s="68" t="str">
        <f>IF(J2903&lt;&gt;"OK","",IF(F2903="",N(INDEX(mat_loss,MATCH(B2903,mat_ref,0))),F2903))</f>
        <v/>
      </c>
      <c r="H2903" s="66" t="str">
        <f>IF(J2903&lt;&gt;"OK","",INDEX(mat_price,MATCH(B2903,mat_ref,0)))</f>
        <v/>
      </c>
      <c r="I2903" s="66" t="str">
        <f>IF(J2903&lt;&gt;"OK","",E2903*(1+G2903)*H2903)</f>
        <v/>
      </c>
      <c r="J2903" s="69" t="str">
        <f>IF(AND(A2903="",B2903=""),"",IF(A2903="","Produit manquant",IF(COUNTIF(prod_ref,A2903)=0,"Produit inconnu",IF(B2903="","Matière manquante",IF(ISNA(MATCH(B2903,mat_ref,0)),"Matière inconnue",IF(INDEX(mat_check,MATCH(B2903,mat_ref,0))&lt;&gt;"OK","Matière à corriger",IF(OR(NOT(ISNUMBER(E2903)),N(E2903)&lt;=0),"Quantité invalide",IF(AND(F2903&lt;&gt;"",OR(NOT(ISNUMBER(F2903)),N(F2903)&lt;0,N(F2903)&gt;=1)),"Perte entre 0 et 99 %",IF(COUNTIFS(bom_prod,A2903,bom_mat,B2903)&gt;1,"Matière en double","OK")))))))))</f>
        <v/>
      </c>
      <c r="K2903" s="71" t="str">
        <f>IF(AND(fiche_sel&lt;&gt;"",A2903=fiche_sel),COUNTIF(A$6:A2903,fiche_sel),"")</f>
        <v/>
      </c>
    </row>
    <row r="2904">
      <c r="A2904" s="60" t="n"/>
      <c r="B2904" s="60" t="n"/>
      <c r="C2904" s="71" t="str">
        <f>IF(B2904="","",IFERROR(INDEX(mat_des,MATCH(B2904,mat_ref,0))&amp;"","Matière inconnue"))</f>
        <v/>
      </c>
      <c r="D2904" s="69" t="str">
        <f>IF(B2904="","",IFERROR(INDEX(mat_unit,MATCH(B2904,mat_ref,0))&amp;"",""))</f>
        <v/>
      </c>
      <c r="E2904" s="72" t="n"/>
      <c r="F2904" s="65" t="n"/>
      <c r="G2904" s="68" t="str">
        <f>IF(J2904&lt;&gt;"OK","",IF(F2904="",N(INDEX(mat_loss,MATCH(B2904,mat_ref,0))),F2904))</f>
        <v/>
      </c>
      <c r="H2904" s="66" t="str">
        <f>IF(J2904&lt;&gt;"OK","",INDEX(mat_price,MATCH(B2904,mat_ref,0)))</f>
        <v/>
      </c>
      <c r="I2904" s="66" t="str">
        <f>IF(J2904&lt;&gt;"OK","",E2904*(1+G2904)*H2904)</f>
        <v/>
      </c>
      <c r="J2904" s="69" t="str">
        <f>IF(AND(A2904="",B2904=""),"",IF(A2904="","Produit manquant",IF(COUNTIF(prod_ref,A2904)=0,"Produit inconnu",IF(B2904="","Matière manquante",IF(ISNA(MATCH(B2904,mat_ref,0)),"Matière inconnue",IF(INDEX(mat_check,MATCH(B2904,mat_ref,0))&lt;&gt;"OK","Matière à corriger",IF(OR(NOT(ISNUMBER(E2904)),N(E2904)&lt;=0),"Quantité invalide",IF(AND(F2904&lt;&gt;"",OR(NOT(ISNUMBER(F2904)),N(F2904)&lt;0,N(F2904)&gt;=1)),"Perte entre 0 et 99 %",IF(COUNTIFS(bom_prod,A2904,bom_mat,B2904)&gt;1,"Matière en double","OK")))))))))</f>
        <v/>
      </c>
      <c r="K2904" s="71" t="str">
        <f>IF(AND(fiche_sel&lt;&gt;"",A2904=fiche_sel),COUNTIF(A$6:A2904,fiche_sel),"")</f>
        <v/>
      </c>
    </row>
    <row r="2905">
      <c r="A2905" s="60" t="n"/>
      <c r="B2905" s="60" t="n"/>
      <c r="C2905" s="71" t="str">
        <f>IF(B2905="","",IFERROR(INDEX(mat_des,MATCH(B2905,mat_ref,0))&amp;"","Matière inconnue"))</f>
        <v/>
      </c>
      <c r="D2905" s="69" t="str">
        <f>IF(B2905="","",IFERROR(INDEX(mat_unit,MATCH(B2905,mat_ref,0))&amp;"",""))</f>
        <v/>
      </c>
      <c r="E2905" s="72" t="n"/>
      <c r="F2905" s="65" t="n"/>
      <c r="G2905" s="68" t="str">
        <f>IF(J2905&lt;&gt;"OK","",IF(F2905="",N(INDEX(mat_loss,MATCH(B2905,mat_ref,0))),F2905))</f>
        <v/>
      </c>
      <c r="H2905" s="66" t="str">
        <f>IF(J2905&lt;&gt;"OK","",INDEX(mat_price,MATCH(B2905,mat_ref,0)))</f>
        <v/>
      </c>
      <c r="I2905" s="66" t="str">
        <f>IF(J2905&lt;&gt;"OK","",E2905*(1+G2905)*H2905)</f>
        <v/>
      </c>
      <c r="J2905" s="69" t="str">
        <f>IF(AND(A2905="",B2905=""),"",IF(A2905="","Produit manquant",IF(COUNTIF(prod_ref,A2905)=0,"Produit inconnu",IF(B2905="","Matière manquante",IF(ISNA(MATCH(B2905,mat_ref,0)),"Matière inconnue",IF(INDEX(mat_check,MATCH(B2905,mat_ref,0))&lt;&gt;"OK","Matière à corriger",IF(OR(NOT(ISNUMBER(E2905)),N(E2905)&lt;=0),"Quantité invalide",IF(AND(F2905&lt;&gt;"",OR(NOT(ISNUMBER(F2905)),N(F2905)&lt;0,N(F2905)&gt;=1)),"Perte entre 0 et 99 %",IF(COUNTIFS(bom_prod,A2905,bom_mat,B2905)&gt;1,"Matière en double","OK")))))))))</f>
        <v/>
      </c>
      <c r="K2905" s="71" t="str">
        <f>IF(AND(fiche_sel&lt;&gt;"",A2905=fiche_sel),COUNTIF(A$6:A2905,fiche_sel),"")</f>
        <v/>
      </c>
    </row>
    <row r="2906">
      <c r="A2906" s="60" t="n"/>
      <c r="B2906" s="60" t="n"/>
      <c r="C2906" s="71" t="str">
        <f>IF(B2906="","",IFERROR(INDEX(mat_des,MATCH(B2906,mat_ref,0))&amp;"","Matière inconnue"))</f>
        <v/>
      </c>
      <c r="D2906" s="69" t="str">
        <f>IF(B2906="","",IFERROR(INDEX(mat_unit,MATCH(B2906,mat_ref,0))&amp;"",""))</f>
        <v/>
      </c>
      <c r="E2906" s="72" t="n"/>
      <c r="F2906" s="65" t="n"/>
      <c r="G2906" s="68" t="str">
        <f>IF(J2906&lt;&gt;"OK","",IF(F2906="",N(INDEX(mat_loss,MATCH(B2906,mat_ref,0))),F2906))</f>
        <v/>
      </c>
      <c r="H2906" s="66" t="str">
        <f>IF(J2906&lt;&gt;"OK","",INDEX(mat_price,MATCH(B2906,mat_ref,0)))</f>
        <v/>
      </c>
      <c r="I2906" s="66" t="str">
        <f>IF(J2906&lt;&gt;"OK","",E2906*(1+G2906)*H2906)</f>
        <v/>
      </c>
      <c r="J2906" s="69" t="str">
        <f>IF(AND(A2906="",B2906=""),"",IF(A2906="","Produit manquant",IF(COUNTIF(prod_ref,A2906)=0,"Produit inconnu",IF(B2906="","Matière manquante",IF(ISNA(MATCH(B2906,mat_ref,0)),"Matière inconnue",IF(INDEX(mat_check,MATCH(B2906,mat_ref,0))&lt;&gt;"OK","Matière à corriger",IF(OR(NOT(ISNUMBER(E2906)),N(E2906)&lt;=0),"Quantité invalide",IF(AND(F2906&lt;&gt;"",OR(NOT(ISNUMBER(F2906)),N(F2906)&lt;0,N(F2906)&gt;=1)),"Perte entre 0 et 99 %",IF(COUNTIFS(bom_prod,A2906,bom_mat,B2906)&gt;1,"Matière en double","OK")))))))))</f>
        <v/>
      </c>
      <c r="K2906" s="71" t="str">
        <f>IF(AND(fiche_sel&lt;&gt;"",A2906=fiche_sel),COUNTIF(A$6:A2906,fiche_sel),"")</f>
        <v/>
      </c>
    </row>
    <row r="2907">
      <c r="A2907" s="60" t="n"/>
      <c r="B2907" s="60" t="n"/>
      <c r="C2907" s="71" t="str">
        <f>IF(B2907="","",IFERROR(INDEX(mat_des,MATCH(B2907,mat_ref,0))&amp;"","Matière inconnue"))</f>
        <v/>
      </c>
      <c r="D2907" s="69" t="str">
        <f>IF(B2907="","",IFERROR(INDEX(mat_unit,MATCH(B2907,mat_ref,0))&amp;"",""))</f>
        <v/>
      </c>
      <c r="E2907" s="72" t="n"/>
      <c r="F2907" s="65" t="n"/>
      <c r="G2907" s="68" t="str">
        <f>IF(J2907&lt;&gt;"OK","",IF(F2907="",N(INDEX(mat_loss,MATCH(B2907,mat_ref,0))),F2907))</f>
        <v/>
      </c>
      <c r="H2907" s="66" t="str">
        <f>IF(J2907&lt;&gt;"OK","",INDEX(mat_price,MATCH(B2907,mat_ref,0)))</f>
        <v/>
      </c>
      <c r="I2907" s="66" t="str">
        <f>IF(J2907&lt;&gt;"OK","",E2907*(1+G2907)*H2907)</f>
        <v/>
      </c>
      <c r="J2907" s="69" t="str">
        <f>IF(AND(A2907="",B2907=""),"",IF(A2907="","Produit manquant",IF(COUNTIF(prod_ref,A2907)=0,"Produit inconnu",IF(B2907="","Matière manquante",IF(ISNA(MATCH(B2907,mat_ref,0)),"Matière inconnue",IF(INDEX(mat_check,MATCH(B2907,mat_ref,0))&lt;&gt;"OK","Matière à corriger",IF(OR(NOT(ISNUMBER(E2907)),N(E2907)&lt;=0),"Quantité invalide",IF(AND(F2907&lt;&gt;"",OR(NOT(ISNUMBER(F2907)),N(F2907)&lt;0,N(F2907)&gt;=1)),"Perte entre 0 et 99 %",IF(COUNTIFS(bom_prod,A2907,bom_mat,B2907)&gt;1,"Matière en double","OK")))))))))</f>
        <v/>
      </c>
      <c r="K2907" s="71" t="str">
        <f>IF(AND(fiche_sel&lt;&gt;"",A2907=fiche_sel),COUNTIF(A$6:A2907,fiche_sel),"")</f>
        <v/>
      </c>
    </row>
    <row r="2908">
      <c r="A2908" s="60" t="n"/>
      <c r="B2908" s="60" t="n"/>
      <c r="C2908" s="71" t="str">
        <f>IF(B2908="","",IFERROR(INDEX(mat_des,MATCH(B2908,mat_ref,0))&amp;"","Matière inconnue"))</f>
        <v/>
      </c>
      <c r="D2908" s="69" t="str">
        <f>IF(B2908="","",IFERROR(INDEX(mat_unit,MATCH(B2908,mat_ref,0))&amp;"",""))</f>
        <v/>
      </c>
      <c r="E2908" s="72" t="n"/>
      <c r="F2908" s="65" t="n"/>
      <c r="G2908" s="68" t="str">
        <f>IF(J2908&lt;&gt;"OK","",IF(F2908="",N(INDEX(mat_loss,MATCH(B2908,mat_ref,0))),F2908))</f>
        <v/>
      </c>
      <c r="H2908" s="66" t="str">
        <f>IF(J2908&lt;&gt;"OK","",INDEX(mat_price,MATCH(B2908,mat_ref,0)))</f>
        <v/>
      </c>
      <c r="I2908" s="66" t="str">
        <f>IF(J2908&lt;&gt;"OK","",E2908*(1+G2908)*H2908)</f>
        <v/>
      </c>
      <c r="J2908" s="69" t="str">
        <f>IF(AND(A2908="",B2908=""),"",IF(A2908="","Produit manquant",IF(COUNTIF(prod_ref,A2908)=0,"Produit inconnu",IF(B2908="","Matière manquante",IF(ISNA(MATCH(B2908,mat_ref,0)),"Matière inconnue",IF(INDEX(mat_check,MATCH(B2908,mat_ref,0))&lt;&gt;"OK","Matière à corriger",IF(OR(NOT(ISNUMBER(E2908)),N(E2908)&lt;=0),"Quantité invalide",IF(AND(F2908&lt;&gt;"",OR(NOT(ISNUMBER(F2908)),N(F2908)&lt;0,N(F2908)&gt;=1)),"Perte entre 0 et 99 %",IF(COUNTIFS(bom_prod,A2908,bom_mat,B2908)&gt;1,"Matière en double","OK")))))))))</f>
        <v/>
      </c>
      <c r="K2908" s="71" t="str">
        <f>IF(AND(fiche_sel&lt;&gt;"",A2908=fiche_sel),COUNTIF(A$6:A2908,fiche_sel),"")</f>
        <v/>
      </c>
    </row>
    <row r="2909">
      <c r="A2909" s="60" t="n"/>
      <c r="B2909" s="60" t="n"/>
      <c r="C2909" s="71" t="str">
        <f>IF(B2909="","",IFERROR(INDEX(mat_des,MATCH(B2909,mat_ref,0))&amp;"","Matière inconnue"))</f>
        <v/>
      </c>
      <c r="D2909" s="69" t="str">
        <f>IF(B2909="","",IFERROR(INDEX(mat_unit,MATCH(B2909,mat_ref,0))&amp;"",""))</f>
        <v/>
      </c>
      <c r="E2909" s="72" t="n"/>
      <c r="F2909" s="65" t="n"/>
      <c r="G2909" s="68" t="str">
        <f>IF(J2909&lt;&gt;"OK","",IF(F2909="",N(INDEX(mat_loss,MATCH(B2909,mat_ref,0))),F2909))</f>
        <v/>
      </c>
      <c r="H2909" s="66" t="str">
        <f>IF(J2909&lt;&gt;"OK","",INDEX(mat_price,MATCH(B2909,mat_ref,0)))</f>
        <v/>
      </c>
      <c r="I2909" s="66" t="str">
        <f>IF(J2909&lt;&gt;"OK","",E2909*(1+G2909)*H2909)</f>
        <v/>
      </c>
      <c r="J2909" s="69" t="str">
        <f>IF(AND(A2909="",B2909=""),"",IF(A2909="","Produit manquant",IF(COUNTIF(prod_ref,A2909)=0,"Produit inconnu",IF(B2909="","Matière manquante",IF(ISNA(MATCH(B2909,mat_ref,0)),"Matière inconnue",IF(INDEX(mat_check,MATCH(B2909,mat_ref,0))&lt;&gt;"OK","Matière à corriger",IF(OR(NOT(ISNUMBER(E2909)),N(E2909)&lt;=0),"Quantité invalide",IF(AND(F2909&lt;&gt;"",OR(NOT(ISNUMBER(F2909)),N(F2909)&lt;0,N(F2909)&gt;=1)),"Perte entre 0 et 99 %",IF(COUNTIFS(bom_prod,A2909,bom_mat,B2909)&gt;1,"Matière en double","OK")))))))))</f>
        <v/>
      </c>
      <c r="K2909" s="71" t="str">
        <f>IF(AND(fiche_sel&lt;&gt;"",A2909=fiche_sel),COUNTIF(A$6:A2909,fiche_sel),"")</f>
        <v/>
      </c>
    </row>
    <row r="2910">
      <c r="A2910" s="60" t="n"/>
      <c r="B2910" s="60" t="n"/>
      <c r="C2910" s="71" t="str">
        <f>IF(B2910="","",IFERROR(INDEX(mat_des,MATCH(B2910,mat_ref,0))&amp;"","Matière inconnue"))</f>
        <v/>
      </c>
      <c r="D2910" s="69" t="str">
        <f>IF(B2910="","",IFERROR(INDEX(mat_unit,MATCH(B2910,mat_ref,0))&amp;"",""))</f>
        <v/>
      </c>
      <c r="E2910" s="72" t="n"/>
      <c r="F2910" s="65" t="n"/>
      <c r="G2910" s="68" t="str">
        <f>IF(J2910&lt;&gt;"OK","",IF(F2910="",N(INDEX(mat_loss,MATCH(B2910,mat_ref,0))),F2910))</f>
        <v/>
      </c>
      <c r="H2910" s="66" t="str">
        <f>IF(J2910&lt;&gt;"OK","",INDEX(mat_price,MATCH(B2910,mat_ref,0)))</f>
        <v/>
      </c>
      <c r="I2910" s="66" t="str">
        <f>IF(J2910&lt;&gt;"OK","",E2910*(1+G2910)*H2910)</f>
        <v/>
      </c>
      <c r="J2910" s="69" t="str">
        <f>IF(AND(A2910="",B2910=""),"",IF(A2910="","Produit manquant",IF(COUNTIF(prod_ref,A2910)=0,"Produit inconnu",IF(B2910="","Matière manquante",IF(ISNA(MATCH(B2910,mat_ref,0)),"Matière inconnue",IF(INDEX(mat_check,MATCH(B2910,mat_ref,0))&lt;&gt;"OK","Matière à corriger",IF(OR(NOT(ISNUMBER(E2910)),N(E2910)&lt;=0),"Quantité invalide",IF(AND(F2910&lt;&gt;"",OR(NOT(ISNUMBER(F2910)),N(F2910)&lt;0,N(F2910)&gt;=1)),"Perte entre 0 et 99 %",IF(COUNTIFS(bom_prod,A2910,bom_mat,B2910)&gt;1,"Matière en double","OK")))))))))</f>
        <v/>
      </c>
      <c r="K2910" s="71" t="str">
        <f>IF(AND(fiche_sel&lt;&gt;"",A2910=fiche_sel),COUNTIF(A$6:A2910,fiche_sel),"")</f>
        <v/>
      </c>
    </row>
    <row r="2911">
      <c r="A2911" s="60" t="n"/>
      <c r="B2911" s="60" t="n"/>
      <c r="C2911" s="71" t="str">
        <f>IF(B2911="","",IFERROR(INDEX(mat_des,MATCH(B2911,mat_ref,0))&amp;"","Matière inconnue"))</f>
        <v/>
      </c>
      <c r="D2911" s="69" t="str">
        <f>IF(B2911="","",IFERROR(INDEX(mat_unit,MATCH(B2911,mat_ref,0))&amp;"",""))</f>
        <v/>
      </c>
      <c r="E2911" s="72" t="n"/>
      <c r="F2911" s="65" t="n"/>
      <c r="G2911" s="68" t="str">
        <f>IF(J2911&lt;&gt;"OK","",IF(F2911="",N(INDEX(mat_loss,MATCH(B2911,mat_ref,0))),F2911))</f>
        <v/>
      </c>
      <c r="H2911" s="66" t="str">
        <f>IF(J2911&lt;&gt;"OK","",INDEX(mat_price,MATCH(B2911,mat_ref,0)))</f>
        <v/>
      </c>
      <c r="I2911" s="66" t="str">
        <f>IF(J2911&lt;&gt;"OK","",E2911*(1+G2911)*H2911)</f>
        <v/>
      </c>
      <c r="J2911" s="69" t="str">
        <f>IF(AND(A2911="",B2911=""),"",IF(A2911="","Produit manquant",IF(COUNTIF(prod_ref,A2911)=0,"Produit inconnu",IF(B2911="","Matière manquante",IF(ISNA(MATCH(B2911,mat_ref,0)),"Matière inconnue",IF(INDEX(mat_check,MATCH(B2911,mat_ref,0))&lt;&gt;"OK","Matière à corriger",IF(OR(NOT(ISNUMBER(E2911)),N(E2911)&lt;=0),"Quantité invalide",IF(AND(F2911&lt;&gt;"",OR(NOT(ISNUMBER(F2911)),N(F2911)&lt;0,N(F2911)&gt;=1)),"Perte entre 0 et 99 %",IF(COUNTIFS(bom_prod,A2911,bom_mat,B2911)&gt;1,"Matière en double","OK")))))))))</f>
        <v/>
      </c>
      <c r="K2911" s="71" t="str">
        <f>IF(AND(fiche_sel&lt;&gt;"",A2911=fiche_sel),COUNTIF(A$6:A2911,fiche_sel),"")</f>
        <v/>
      </c>
    </row>
    <row r="2912">
      <c r="A2912" s="60" t="n"/>
      <c r="B2912" s="60" t="n"/>
      <c r="C2912" s="71" t="str">
        <f>IF(B2912="","",IFERROR(INDEX(mat_des,MATCH(B2912,mat_ref,0))&amp;"","Matière inconnue"))</f>
        <v/>
      </c>
      <c r="D2912" s="69" t="str">
        <f>IF(B2912="","",IFERROR(INDEX(mat_unit,MATCH(B2912,mat_ref,0))&amp;"",""))</f>
        <v/>
      </c>
      <c r="E2912" s="72" t="n"/>
      <c r="F2912" s="65" t="n"/>
      <c r="G2912" s="68" t="str">
        <f>IF(J2912&lt;&gt;"OK","",IF(F2912="",N(INDEX(mat_loss,MATCH(B2912,mat_ref,0))),F2912))</f>
        <v/>
      </c>
      <c r="H2912" s="66" t="str">
        <f>IF(J2912&lt;&gt;"OK","",INDEX(mat_price,MATCH(B2912,mat_ref,0)))</f>
        <v/>
      </c>
      <c r="I2912" s="66" t="str">
        <f>IF(J2912&lt;&gt;"OK","",E2912*(1+G2912)*H2912)</f>
        <v/>
      </c>
      <c r="J2912" s="69" t="str">
        <f>IF(AND(A2912="",B2912=""),"",IF(A2912="","Produit manquant",IF(COUNTIF(prod_ref,A2912)=0,"Produit inconnu",IF(B2912="","Matière manquante",IF(ISNA(MATCH(B2912,mat_ref,0)),"Matière inconnue",IF(INDEX(mat_check,MATCH(B2912,mat_ref,0))&lt;&gt;"OK","Matière à corriger",IF(OR(NOT(ISNUMBER(E2912)),N(E2912)&lt;=0),"Quantité invalide",IF(AND(F2912&lt;&gt;"",OR(NOT(ISNUMBER(F2912)),N(F2912)&lt;0,N(F2912)&gt;=1)),"Perte entre 0 et 99 %",IF(COUNTIFS(bom_prod,A2912,bom_mat,B2912)&gt;1,"Matière en double","OK")))))))))</f>
        <v/>
      </c>
      <c r="K2912" s="71" t="str">
        <f>IF(AND(fiche_sel&lt;&gt;"",A2912=fiche_sel),COUNTIF(A$6:A2912,fiche_sel),"")</f>
        <v/>
      </c>
    </row>
    <row r="2913">
      <c r="A2913" s="60" t="n"/>
      <c r="B2913" s="60" t="n"/>
      <c r="C2913" s="71" t="str">
        <f>IF(B2913="","",IFERROR(INDEX(mat_des,MATCH(B2913,mat_ref,0))&amp;"","Matière inconnue"))</f>
        <v/>
      </c>
      <c r="D2913" s="69" t="str">
        <f>IF(B2913="","",IFERROR(INDEX(mat_unit,MATCH(B2913,mat_ref,0))&amp;"",""))</f>
        <v/>
      </c>
      <c r="E2913" s="72" t="n"/>
      <c r="F2913" s="65" t="n"/>
      <c r="G2913" s="68" t="str">
        <f>IF(J2913&lt;&gt;"OK","",IF(F2913="",N(INDEX(mat_loss,MATCH(B2913,mat_ref,0))),F2913))</f>
        <v/>
      </c>
      <c r="H2913" s="66" t="str">
        <f>IF(J2913&lt;&gt;"OK","",INDEX(mat_price,MATCH(B2913,mat_ref,0)))</f>
        <v/>
      </c>
      <c r="I2913" s="66" t="str">
        <f>IF(J2913&lt;&gt;"OK","",E2913*(1+G2913)*H2913)</f>
        <v/>
      </c>
      <c r="J2913" s="69" t="str">
        <f>IF(AND(A2913="",B2913=""),"",IF(A2913="","Produit manquant",IF(COUNTIF(prod_ref,A2913)=0,"Produit inconnu",IF(B2913="","Matière manquante",IF(ISNA(MATCH(B2913,mat_ref,0)),"Matière inconnue",IF(INDEX(mat_check,MATCH(B2913,mat_ref,0))&lt;&gt;"OK","Matière à corriger",IF(OR(NOT(ISNUMBER(E2913)),N(E2913)&lt;=0),"Quantité invalide",IF(AND(F2913&lt;&gt;"",OR(NOT(ISNUMBER(F2913)),N(F2913)&lt;0,N(F2913)&gt;=1)),"Perte entre 0 et 99 %",IF(COUNTIFS(bom_prod,A2913,bom_mat,B2913)&gt;1,"Matière en double","OK")))))))))</f>
        <v/>
      </c>
      <c r="K2913" s="71" t="str">
        <f>IF(AND(fiche_sel&lt;&gt;"",A2913=fiche_sel),COUNTIF(A$6:A2913,fiche_sel),"")</f>
        <v/>
      </c>
    </row>
    <row r="2914">
      <c r="A2914" s="60" t="n"/>
      <c r="B2914" s="60" t="n"/>
      <c r="C2914" s="71" t="str">
        <f>IF(B2914="","",IFERROR(INDEX(mat_des,MATCH(B2914,mat_ref,0))&amp;"","Matière inconnue"))</f>
        <v/>
      </c>
      <c r="D2914" s="69" t="str">
        <f>IF(B2914="","",IFERROR(INDEX(mat_unit,MATCH(B2914,mat_ref,0))&amp;"",""))</f>
        <v/>
      </c>
      <c r="E2914" s="72" t="n"/>
      <c r="F2914" s="65" t="n"/>
      <c r="G2914" s="68" t="str">
        <f>IF(J2914&lt;&gt;"OK","",IF(F2914="",N(INDEX(mat_loss,MATCH(B2914,mat_ref,0))),F2914))</f>
        <v/>
      </c>
      <c r="H2914" s="66" t="str">
        <f>IF(J2914&lt;&gt;"OK","",INDEX(mat_price,MATCH(B2914,mat_ref,0)))</f>
        <v/>
      </c>
      <c r="I2914" s="66" t="str">
        <f>IF(J2914&lt;&gt;"OK","",E2914*(1+G2914)*H2914)</f>
        <v/>
      </c>
      <c r="J2914" s="69" t="str">
        <f>IF(AND(A2914="",B2914=""),"",IF(A2914="","Produit manquant",IF(COUNTIF(prod_ref,A2914)=0,"Produit inconnu",IF(B2914="","Matière manquante",IF(ISNA(MATCH(B2914,mat_ref,0)),"Matière inconnue",IF(INDEX(mat_check,MATCH(B2914,mat_ref,0))&lt;&gt;"OK","Matière à corriger",IF(OR(NOT(ISNUMBER(E2914)),N(E2914)&lt;=0),"Quantité invalide",IF(AND(F2914&lt;&gt;"",OR(NOT(ISNUMBER(F2914)),N(F2914)&lt;0,N(F2914)&gt;=1)),"Perte entre 0 et 99 %",IF(COUNTIFS(bom_prod,A2914,bom_mat,B2914)&gt;1,"Matière en double","OK")))))))))</f>
        <v/>
      </c>
      <c r="K2914" s="71" t="str">
        <f>IF(AND(fiche_sel&lt;&gt;"",A2914=fiche_sel),COUNTIF(A$6:A2914,fiche_sel),"")</f>
        <v/>
      </c>
    </row>
    <row r="2915">
      <c r="A2915" s="60" t="n"/>
      <c r="B2915" s="60" t="n"/>
      <c r="C2915" s="71" t="str">
        <f>IF(B2915="","",IFERROR(INDEX(mat_des,MATCH(B2915,mat_ref,0))&amp;"","Matière inconnue"))</f>
        <v/>
      </c>
      <c r="D2915" s="69" t="str">
        <f>IF(B2915="","",IFERROR(INDEX(mat_unit,MATCH(B2915,mat_ref,0))&amp;"",""))</f>
        <v/>
      </c>
      <c r="E2915" s="72" t="n"/>
      <c r="F2915" s="65" t="n"/>
      <c r="G2915" s="68" t="str">
        <f>IF(J2915&lt;&gt;"OK","",IF(F2915="",N(INDEX(mat_loss,MATCH(B2915,mat_ref,0))),F2915))</f>
        <v/>
      </c>
      <c r="H2915" s="66" t="str">
        <f>IF(J2915&lt;&gt;"OK","",INDEX(mat_price,MATCH(B2915,mat_ref,0)))</f>
        <v/>
      </c>
      <c r="I2915" s="66" t="str">
        <f>IF(J2915&lt;&gt;"OK","",E2915*(1+G2915)*H2915)</f>
        <v/>
      </c>
      <c r="J2915" s="69" t="str">
        <f>IF(AND(A2915="",B2915=""),"",IF(A2915="","Produit manquant",IF(COUNTIF(prod_ref,A2915)=0,"Produit inconnu",IF(B2915="","Matière manquante",IF(ISNA(MATCH(B2915,mat_ref,0)),"Matière inconnue",IF(INDEX(mat_check,MATCH(B2915,mat_ref,0))&lt;&gt;"OK","Matière à corriger",IF(OR(NOT(ISNUMBER(E2915)),N(E2915)&lt;=0),"Quantité invalide",IF(AND(F2915&lt;&gt;"",OR(NOT(ISNUMBER(F2915)),N(F2915)&lt;0,N(F2915)&gt;=1)),"Perte entre 0 et 99 %",IF(COUNTIFS(bom_prod,A2915,bom_mat,B2915)&gt;1,"Matière en double","OK")))))))))</f>
        <v/>
      </c>
      <c r="K2915" s="71" t="str">
        <f>IF(AND(fiche_sel&lt;&gt;"",A2915=fiche_sel),COUNTIF(A$6:A2915,fiche_sel),"")</f>
        <v/>
      </c>
    </row>
    <row r="2916">
      <c r="A2916" s="60" t="n"/>
      <c r="B2916" s="60" t="n"/>
      <c r="C2916" s="71" t="str">
        <f>IF(B2916="","",IFERROR(INDEX(mat_des,MATCH(B2916,mat_ref,0))&amp;"","Matière inconnue"))</f>
        <v/>
      </c>
      <c r="D2916" s="69" t="str">
        <f>IF(B2916="","",IFERROR(INDEX(mat_unit,MATCH(B2916,mat_ref,0))&amp;"",""))</f>
        <v/>
      </c>
      <c r="E2916" s="72" t="n"/>
      <c r="F2916" s="65" t="n"/>
      <c r="G2916" s="68" t="str">
        <f>IF(J2916&lt;&gt;"OK","",IF(F2916="",N(INDEX(mat_loss,MATCH(B2916,mat_ref,0))),F2916))</f>
        <v/>
      </c>
      <c r="H2916" s="66" t="str">
        <f>IF(J2916&lt;&gt;"OK","",INDEX(mat_price,MATCH(B2916,mat_ref,0)))</f>
        <v/>
      </c>
      <c r="I2916" s="66" t="str">
        <f>IF(J2916&lt;&gt;"OK","",E2916*(1+G2916)*H2916)</f>
        <v/>
      </c>
      <c r="J2916" s="69" t="str">
        <f>IF(AND(A2916="",B2916=""),"",IF(A2916="","Produit manquant",IF(COUNTIF(prod_ref,A2916)=0,"Produit inconnu",IF(B2916="","Matière manquante",IF(ISNA(MATCH(B2916,mat_ref,0)),"Matière inconnue",IF(INDEX(mat_check,MATCH(B2916,mat_ref,0))&lt;&gt;"OK","Matière à corriger",IF(OR(NOT(ISNUMBER(E2916)),N(E2916)&lt;=0),"Quantité invalide",IF(AND(F2916&lt;&gt;"",OR(NOT(ISNUMBER(F2916)),N(F2916)&lt;0,N(F2916)&gt;=1)),"Perte entre 0 et 99 %",IF(COUNTIFS(bom_prod,A2916,bom_mat,B2916)&gt;1,"Matière en double","OK")))))))))</f>
        <v/>
      </c>
      <c r="K2916" s="71" t="str">
        <f>IF(AND(fiche_sel&lt;&gt;"",A2916=fiche_sel),COUNTIF(A$6:A2916,fiche_sel),"")</f>
        <v/>
      </c>
    </row>
    <row r="2917">
      <c r="A2917" s="60" t="n"/>
      <c r="B2917" s="60" t="n"/>
      <c r="C2917" s="71" t="str">
        <f>IF(B2917="","",IFERROR(INDEX(mat_des,MATCH(B2917,mat_ref,0))&amp;"","Matière inconnue"))</f>
        <v/>
      </c>
      <c r="D2917" s="69" t="str">
        <f>IF(B2917="","",IFERROR(INDEX(mat_unit,MATCH(B2917,mat_ref,0))&amp;"",""))</f>
        <v/>
      </c>
      <c r="E2917" s="72" t="n"/>
      <c r="F2917" s="65" t="n"/>
      <c r="G2917" s="68" t="str">
        <f>IF(J2917&lt;&gt;"OK","",IF(F2917="",N(INDEX(mat_loss,MATCH(B2917,mat_ref,0))),F2917))</f>
        <v/>
      </c>
      <c r="H2917" s="66" t="str">
        <f>IF(J2917&lt;&gt;"OK","",INDEX(mat_price,MATCH(B2917,mat_ref,0)))</f>
        <v/>
      </c>
      <c r="I2917" s="66" t="str">
        <f>IF(J2917&lt;&gt;"OK","",E2917*(1+G2917)*H2917)</f>
        <v/>
      </c>
      <c r="J2917" s="69" t="str">
        <f>IF(AND(A2917="",B2917=""),"",IF(A2917="","Produit manquant",IF(COUNTIF(prod_ref,A2917)=0,"Produit inconnu",IF(B2917="","Matière manquante",IF(ISNA(MATCH(B2917,mat_ref,0)),"Matière inconnue",IF(INDEX(mat_check,MATCH(B2917,mat_ref,0))&lt;&gt;"OK","Matière à corriger",IF(OR(NOT(ISNUMBER(E2917)),N(E2917)&lt;=0),"Quantité invalide",IF(AND(F2917&lt;&gt;"",OR(NOT(ISNUMBER(F2917)),N(F2917)&lt;0,N(F2917)&gt;=1)),"Perte entre 0 et 99 %",IF(COUNTIFS(bom_prod,A2917,bom_mat,B2917)&gt;1,"Matière en double","OK")))))))))</f>
        <v/>
      </c>
      <c r="K2917" s="71" t="str">
        <f>IF(AND(fiche_sel&lt;&gt;"",A2917=fiche_sel),COUNTIF(A$6:A2917,fiche_sel),"")</f>
        <v/>
      </c>
    </row>
    <row r="2918">
      <c r="A2918" s="60" t="n"/>
      <c r="B2918" s="60" t="n"/>
      <c r="C2918" s="71" t="str">
        <f>IF(B2918="","",IFERROR(INDEX(mat_des,MATCH(B2918,mat_ref,0))&amp;"","Matière inconnue"))</f>
        <v/>
      </c>
      <c r="D2918" s="69" t="str">
        <f>IF(B2918="","",IFERROR(INDEX(mat_unit,MATCH(B2918,mat_ref,0))&amp;"",""))</f>
        <v/>
      </c>
      <c r="E2918" s="72" t="n"/>
      <c r="F2918" s="65" t="n"/>
      <c r="G2918" s="68" t="str">
        <f>IF(J2918&lt;&gt;"OK","",IF(F2918="",N(INDEX(mat_loss,MATCH(B2918,mat_ref,0))),F2918))</f>
        <v/>
      </c>
      <c r="H2918" s="66" t="str">
        <f>IF(J2918&lt;&gt;"OK","",INDEX(mat_price,MATCH(B2918,mat_ref,0)))</f>
        <v/>
      </c>
      <c r="I2918" s="66" t="str">
        <f>IF(J2918&lt;&gt;"OK","",E2918*(1+G2918)*H2918)</f>
        <v/>
      </c>
      <c r="J2918" s="69" t="str">
        <f>IF(AND(A2918="",B2918=""),"",IF(A2918="","Produit manquant",IF(COUNTIF(prod_ref,A2918)=0,"Produit inconnu",IF(B2918="","Matière manquante",IF(ISNA(MATCH(B2918,mat_ref,0)),"Matière inconnue",IF(INDEX(mat_check,MATCH(B2918,mat_ref,0))&lt;&gt;"OK","Matière à corriger",IF(OR(NOT(ISNUMBER(E2918)),N(E2918)&lt;=0),"Quantité invalide",IF(AND(F2918&lt;&gt;"",OR(NOT(ISNUMBER(F2918)),N(F2918)&lt;0,N(F2918)&gt;=1)),"Perte entre 0 et 99 %",IF(COUNTIFS(bom_prod,A2918,bom_mat,B2918)&gt;1,"Matière en double","OK")))))))))</f>
        <v/>
      </c>
      <c r="K2918" s="71" t="str">
        <f>IF(AND(fiche_sel&lt;&gt;"",A2918=fiche_sel),COUNTIF(A$6:A2918,fiche_sel),"")</f>
        <v/>
      </c>
    </row>
    <row r="2919">
      <c r="A2919" s="60" t="n"/>
      <c r="B2919" s="60" t="n"/>
      <c r="C2919" s="71" t="str">
        <f>IF(B2919="","",IFERROR(INDEX(mat_des,MATCH(B2919,mat_ref,0))&amp;"","Matière inconnue"))</f>
        <v/>
      </c>
      <c r="D2919" s="69" t="str">
        <f>IF(B2919="","",IFERROR(INDEX(mat_unit,MATCH(B2919,mat_ref,0))&amp;"",""))</f>
        <v/>
      </c>
      <c r="E2919" s="72" t="n"/>
      <c r="F2919" s="65" t="n"/>
      <c r="G2919" s="68" t="str">
        <f>IF(J2919&lt;&gt;"OK","",IF(F2919="",N(INDEX(mat_loss,MATCH(B2919,mat_ref,0))),F2919))</f>
        <v/>
      </c>
      <c r="H2919" s="66" t="str">
        <f>IF(J2919&lt;&gt;"OK","",INDEX(mat_price,MATCH(B2919,mat_ref,0)))</f>
        <v/>
      </c>
      <c r="I2919" s="66" t="str">
        <f>IF(J2919&lt;&gt;"OK","",E2919*(1+G2919)*H2919)</f>
        <v/>
      </c>
      <c r="J2919" s="69" t="str">
        <f>IF(AND(A2919="",B2919=""),"",IF(A2919="","Produit manquant",IF(COUNTIF(prod_ref,A2919)=0,"Produit inconnu",IF(B2919="","Matière manquante",IF(ISNA(MATCH(B2919,mat_ref,0)),"Matière inconnue",IF(INDEX(mat_check,MATCH(B2919,mat_ref,0))&lt;&gt;"OK","Matière à corriger",IF(OR(NOT(ISNUMBER(E2919)),N(E2919)&lt;=0),"Quantité invalide",IF(AND(F2919&lt;&gt;"",OR(NOT(ISNUMBER(F2919)),N(F2919)&lt;0,N(F2919)&gt;=1)),"Perte entre 0 et 99 %",IF(COUNTIFS(bom_prod,A2919,bom_mat,B2919)&gt;1,"Matière en double","OK")))))))))</f>
        <v/>
      </c>
      <c r="K2919" s="71" t="str">
        <f>IF(AND(fiche_sel&lt;&gt;"",A2919=fiche_sel),COUNTIF(A$6:A2919,fiche_sel),"")</f>
        <v/>
      </c>
    </row>
    <row r="2920">
      <c r="A2920" s="60" t="n"/>
      <c r="B2920" s="60" t="n"/>
      <c r="C2920" s="71" t="str">
        <f>IF(B2920="","",IFERROR(INDEX(mat_des,MATCH(B2920,mat_ref,0))&amp;"","Matière inconnue"))</f>
        <v/>
      </c>
      <c r="D2920" s="69" t="str">
        <f>IF(B2920="","",IFERROR(INDEX(mat_unit,MATCH(B2920,mat_ref,0))&amp;"",""))</f>
        <v/>
      </c>
      <c r="E2920" s="72" t="n"/>
      <c r="F2920" s="65" t="n"/>
      <c r="G2920" s="68" t="str">
        <f>IF(J2920&lt;&gt;"OK","",IF(F2920="",N(INDEX(mat_loss,MATCH(B2920,mat_ref,0))),F2920))</f>
        <v/>
      </c>
      <c r="H2920" s="66" t="str">
        <f>IF(J2920&lt;&gt;"OK","",INDEX(mat_price,MATCH(B2920,mat_ref,0)))</f>
        <v/>
      </c>
      <c r="I2920" s="66" t="str">
        <f>IF(J2920&lt;&gt;"OK","",E2920*(1+G2920)*H2920)</f>
        <v/>
      </c>
      <c r="J2920" s="69" t="str">
        <f>IF(AND(A2920="",B2920=""),"",IF(A2920="","Produit manquant",IF(COUNTIF(prod_ref,A2920)=0,"Produit inconnu",IF(B2920="","Matière manquante",IF(ISNA(MATCH(B2920,mat_ref,0)),"Matière inconnue",IF(INDEX(mat_check,MATCH(B2920,mat_ref,0))&lt;&gt;"OK","Matière à corriger",IF(OR(NOT(ISNUMBER(E2920)),N(E2920)&lt;=0),"Quantité invalide",IF(AND(F2920&lt;&gt;"",OR(NOT(ISNUMBER(F2920)),N(F2920)&lt;0,N(F2920)&gt;=1)),"Perte entre 0 et 99 %",IF(COUNTIFS(bom_prod,A2920,bom_mat,B2920)&gt;1,"Matière en double","OK")))))))))</f>
        <v/>
      </c>
      <c r="K2920" s="71" t="str">
        <f>IF(AND(fiche_sel&lt;&gt;"",A2920=fiche_sel),COUNTIF(A$6:A2920,fiche_sel),"")</f>
        <v/>
      </c>
    </row>
    <row r="2921">
      <c r="A2921" s="60" t="n"/>
      <c r="B2921" s="60" t="n"/>
      <c r="C2921" s="71" t="str">
        <f>IF(B2921="","",IFERROR(INDEX(mat_des,MATCH(B2921,mat_ref,0))&amp;"","Matière inconnue"))</f>
        <v/>
      </c>
      <c r="D2921" s="69" t="str">
        <f>IF(B2921="","",IFERROR(INDEX(mat_unit,MATCH(B2921,mat_ref,0))&amp;"",""))</f>
        <v/>
      </c>
      <c r="E2921" s="72" t="n"/>
      <c r="F2921" s="65" t="n"/>
      <c r="G2921" s="68" t="str">
        <f>IF(J2921&lt;&gt;"OK","",IF(F2921="",N(INDEX(mat_loss,MATCH(B2921,mat_ref,0))),F2921))</f>
        <v/>
      </c>
      <c r="H2921" s="66" t="str">
        <f>IF(J2921&lt;&gt;"OK","",INDEX(mat_price,MATCH(B2921,mat_ref,0)))</f>
        <v/>
      </c>
      <c r="I2921" s="66" t="str">
        <f>IF(J2921&lt;&gt;"OK","",E2921*(1+G2921)*H2921)</f>
        <v/>
      </c>
      <c r="J2921" s="69" t="str">
        <f>IF(AND(A2921="",B2921=""),"",IF(A2921="","Produit manquant",IF(COUNTIF(prod_ref,A2921)=0,"Produit inconnu",IF(B2921="","Matière manquante",IF(ISNA(MATCH(B2921,mat_ref,0)),"Matière inconnue",IF(INDEX(mat_check,MATCH(B2921,mat_ref,0))&lt;&gt;"OK","Matière à corriger",IF(OR(NOT(ISNUMBER(E2921)),N(E2921)&lt;=0),"Quantité invalide",IF(AND(F2921&lt;&gt;"",OR(NOT(ISNUMBER(F2921)),N(F2921)&lt;0,N(F2921)&gt;=1)),"Perte entre 0 et 99 %",IF(COUNTIFS(bom_prod,A2921,bom_mat,B2921)&gt;1,"Matière en double","OK")))))))))</f>
        <v/>
      </c>
      <c r="K2921" s="71" t="str">
        <f>IF(AND(fiche_sel&lt;&gt;"",A2921=fiche_sel),COUNTIF(A$6:A2921,fiche_sel),"")</f>
        <v/>
      </c>
    </row>
    <row r="2922">
      <c r="A2922" s="60" t="n"/>
      <c r="B2922" s="60" t="n"/>
      <c r="C2922" s="71" t="str">
        <f>IF(B2922="","",IFERROR(INDEX(mat_des,MATCH(B2922,mat_ref,0))&amp;"","Matière inconnue"))</f>
        <v/>
      </c>
      <c r="D2922" s="69" t="str">
        <f>IF(B2922="","",IFERROR(INDEX(mat_unit,MATCH(B2922,mat_ref,0))&amp;"",""))</f>
        <v/>
      </c>
      <c r="E2922" s="72" t="n"/>
      <c r="F2922" s="65" t="n"/>
      <c r="G2922" s="68" t="str">
        <f>IF(J2922&lt;&gt;"OK","",IF(F2922="",N(INDEX(mat_loss,MATCH(B2922,mat_ref,0))),F2922))</f>
        <v/>
      </c>
      <c r="H2922" s="66" t="str">
        <f>IF(J2922&lt;&gt;"OK","",INDEX(mat_price,MATCH(B2922,mat_ref,0)))</f>
        <v/>
      </c>
      <c r="I2922" s="66" t="str">
        <f>IF(J2922&lt;&gt;"OK","",E2922*(1+G2922)*H2922)</f>
        <v/>
      </c>
      <c r="J2922" s="69" t="str">
        <f>IF(AND(A2922="",B2922=""),"",IF(A2922="","Produit manquant",IF(COUNTIF(prod_ref,A2922)=0,"Produit inconnu",IF(B2922="","Matière manquante",IF(ISNA(MATCH(B2922,mat_ref,0)),"Matière inconnue",IF(INDEX(mat_check,MATCH(B2922,mat_ref,0))&lt;&gt;"OK","Matière à corriger",IF(OR(NOT(ISNUMBER(E2922)),N(E2922)&lt;=0),"Quantité invalide",IF(AND(F2922&lt;&gt;"",OR(NOT(ISNUMBER(F2922)),N(F2922)&lt;0,N(F2922)&gt;=1)),"Perte entre 0 et 99 %",IF(COUNTIFS(bom_prod,A2922,bom_mat,B2922)&gt;1,"Matière en double","OK")))))))))</f>
        <v/>
      </c>
      <c r="K2922" s="71" t="str">
        <f>IF(AND(fiche_sel&lt;&gt;"",A2922=fiche_sel),COUNTIF(A$6:A2922,fiche_sel),"")</f>
        <v/>
      </c>
    </row>
    <row r="2923">
      <c r="A2923" s="60" t="n"/>
      <c r="B2923" s="60" t="n"/>
      <c r="C2923" s="71" t="str">
        <f>IF(B2923="","",IFERROR(INDEX(mat_des,MATCH(B2923,mat_ref,0))&amp;"","Matière inconnue"))</f>
        <v/>
      </c>
      <c r="D2923" s="69" t="str">
        <f>IF(B2923="","",IFERROR(INDEX(mat_unit,MATCH(B2923,mat_ref,0))&amp;"",""))</f>
        <v/>
      </c>
      <c r="E2923" s="72" t="n"/>
      <c r="F2923" s="65" t="n"/>
      <c r="G2923" s="68" t="str">
        <f>IF(J2923&lt;&gt;"OK","",IF(F2923="",N(INDEX(mat_loss,MATCH(B2923,mat_ref,0))),F2923))</f>
        <v/>
      </c>
      <c r="H2923" s="66" t="str">
        <f>IF(J2923&lt;&gt;"OK","",INDEX(mat_price,MATCH(B2923,mat_ref,0)))</f>
        <v/>
      </c>
      <c r="I2923" s="66" t="str">
        <f>IF(J2923&lt;&gt;"OK","",E2923*(1+G2923)*H2923)</f>
        <v/>
      </c>
      <c r="J2923" s="69" t="str">
        <f>IF(AND(A2923="",B2923=""),"",IF(A2923="","Produit manquant",IF(COUNTIF(prod_ref,A2923)=0,"Produit inconnu",IF(B2923="","Matière manquante",IF(ISNA(MATCH(B2923,mat_ref,0)),"Matière inconnue",IF(INDEX(mat_check,MATCH(B2923,mat_ref,0))&lt;&gt;"OK","Matière à corriger",IF(OR(NOT(ISNUMBER(E2923)),N(E2923)&lt;=0),"Quantité invalide",IF(AND(F2923&lt;&gt;"",OR(NOT(ISNUMBER(F2923)),N(F2923)&lt;0,N(F2923)&gt;=1)),"Perte entre 0 et 99 %",IF(COUNTIFS(bom_prod,A2923,bom_mat,B2923)&gt;1,"Matière en double","OK")))))))))</f>
        <v/>
      </c>
      <c r="K2923" s="71" t="str">
        <f>IF(AND(fiche_sel&lt;&gt;"",A2923=fiche_sel),COUNTIF(A$6:A2923,fiche_sel),"")</f>
        <v/>
      </c>
    </row>
    <row r="2924">
      <c r="A2924" s="60" t="n"/>
      <c r="B2924" s="60" t="n"/>
      <c r="C2924" s="71" t="str">
        <f>IF(B2924="","",IFERROR(INDEX(mat_des,MATCH(B2924,mat_ref,0))&amp;"","Matière inconnue"))</f>
        <v/>
      </c>
      <c r="D2924" s="69" t="str">
        <f>IF(B2924="","",IFERROR(INDEX(mat_unit,MATCH(B2924,mat_ref,0))&amp;"",""))</f>
        <v/>
      </c>
      <c r="E2924" s="72" t="n"/>
      <c r="F2924" s="65" t="n"/>
      <c r="G2924" s="68" t="str">
        <f>IF(J2924&lt;&gt;"OK","",IF(F2924="",N(INDEX(mat_loss,MATCH(B2924,mat_ref,0))),F2924))</f>
        <v/>
      </c>
      <c r="H2924" s="66" t="str">
        <f>IF(J2924&lt;&gt;"OK","",INDEX(mat_price,MATCH(B2924,mat_ref,0)))</f>
        <v/>
      </c>
      <c r="I2924" s="66" t="str">
        <f>IF(J2924&lt;&gt;"OK","",E2924*(1+G2924)*H2924)</f>
        <v/>
      </c>
      <c r="J2924" s="69" t="str">
        <f>IF(AND(A2924="",B2924=""),"",IF(A2924="","Produit manquant",IF(COUNTIF(prod_ref,A2924)=0,"Produit inconnu",IF(B2924="","Matière manquante",IF(ISNA(MATCH(B2924,mat_ref,0)),"Matière inconnue",IF(INDEX(mat_check,MATCH(B2924,mat_ref,0))&lt;&gt;"OK","Matière à corriger",IF(OR(NOT(ISNUMBER(E2924)),N(E2924)&lt;=0),"Quantité invalide",IF(AND(F2924&lt;&gt;"",OR(NOT(ISNUMBER(F2924)),N(F2924)&lt;0,N(F2924)&gt;=1)),"Perte entre 0 et 99 %",IF(COUNTIFS(bom_prod,A2924,bom_mat,B2924)&gt;1,"Matière en double","OK")))))))))</f>
        <v/>
      </c>
      <c r="K2924" s="71" t="str">
        <f>IF(AND(fiche_sel&lt;&gt;"",A2924=fiche_sel),COUNTIF(A$6:A2924,fiche_sel),"")</f>
        <v/>
      </c>
    </row>
    <row r="2925">
      <c r="A2925" s="60" t="n"/>
      <c r="B2925" s="60" t="n"/>
      <c r="C2925" s="71" t="str">
        <f>IF(B2925="","",IFERROR(INDEX(mat_des,MATCH(B2925,mat_ref,0))&amp;"","Matière inconnue"))</f>
        <v/>
      </c>
      <c r="D2925" s="69" t="str">
        <f>IF(B2925="","",IFERROR(INDEX(mat_unit,MATCH(B2925,mat_ref,0))&amp;"",""))</f>
        <v/>
      </c>
      <c r="E2925" s="72" t="n"/>
      <c r="F2925" s="65" t="n"/>
      <c r="G2925" s="68" t="str">
        <f>IF(J2925&lt;&gt;"OK","",IF(F2925="",N(INDEX(mat_loss,MATCH(B2925,mat_ref,0))),F2925))</f>
        <v/>
      </c>
      <c r="H2925" s="66" t="str">
        <f>IF(J2925&lt;&gt;"OK","",INDEX(mat_price,MATCH(B2925,mat_ref,0)))</f>
        <v/>
      </c>
      <c r="I2925" s="66" t="str">
        <f>IF(J2925&lt;&gt;"OK","",E2925*(1+G2925)*H2925)</f>
        <v/>
      </c>
      <c r="J2925" s="69" t="str">
        <f>IF(AND(A2925="",B2925=""),"",IF(A2925="","Produit manquant",IF(COUNTIF(prod_ref,A2925)=0,"Produit inconnu",IF(B2925="","Matière manquante",IF(ISNA(MATCH(B2925,mat_ref,0)),"Matière inconnue",IF(INDEX(mat_check,MATCH(B2925,mat_ref,0))&lt;&gt;"OK","Matière à corriger",IF(OR(NOT(ISNUMBER(E2925)),N(E2925)&lt;=0),"Quantité invalide",IF(AND(F2925&lt;&gt;"",OR(NOT(ISNUMBER(F2925)),N(F2925)&lt;0,N(F2925)&gt;=1)),"Perte entre 0 et 99 %",IF(COUNTIFS(bom_prod,A2925,bom_mat,B2925)&gt;1,"Matière en double","OK")))))))))</f>
        <v/>
      </c>
      <c r="K2925" s="71" t="str">
        <f>IF(AND(fiche_sel&lt;&gt;"",A2925=fiche_sel),COUNTIF(A$6:A2925,fiche_sel),"")</f>
        <v/>
      </c>
    </row>
    <row r="2926">
      <c r="A2926" s="60" t="n"/>
      <c r="B2926" s="60" t="n"/>
      <c r="C2926" s="71" t="str">
        <f>IF(B2926="","",IFERROR(INDEX(mat_des,MATCH(B2926,mat_ref,0))&amp;"","Matière inconnue"))</f>
        <v/>
      </c>
      <c r="D2926" s="69" t="str">
        <f>IF(B2926="","",IFERROR(INDEX(mat_unit,MATCH(B2926,mat_ref,0))&amp;"",""))</f>
        <v/>
      </c>
      <c r="E2926" s="72" t="n"/>
      <c r="F2926" s="65" t="n"/>
      <c r="G2926" s="68" t="str">
        <f>IF(J2926&lt;&gt;"OK","",IF(F2926="",N(INDEX(mat_loss,MATCH(B2926,mat_ref,0))),F2926))</f>
        <v/>
      </c>
      <c r="H2926" s="66" t="str">
        <f>IF(J2926&lt;&gt;"OK","",INDEX(mat_price,MATCH(B2926,mat_ref,0)))</f>
        <v/>
      </c>
      <c r="I2926" s="66" t="str">
        <f>IF(J2926&lt;&gt;"OK","",E2926*(1+G2926)*H2926)</f>
        <v/>
      </c>
      <c r="J2926" s="69" t="str">
        <f>IF(AND(A2926="",B2926=""),"",IF(A2926="","Produit manquant",IF(COUNTIF(prod_ref,A2926)=0,"Produit inconnu",IF(B2926="","Matière manquante",IF(ISNA(MATCH(B2926,mat_ref,0)),"Matière inconnue",IF(INDEX(mat_check,MATCH(B2926,mat_ref,0))&lt;&gt;"OK","Matière à corriger",IF(OR(NOT(ISNUMBER(E2926)),N(E2926)&lt;=0),"Quantité invalide",IF(AND(F2926&lt;&gt;"",OR(NOT(ISNUMBER(F2926)),N(F2926)&lt;0,N(F2926)&gt;=1)),"Perte entre 0 et 99 %",IF(COUNTIFS(bom_prod,A2926,bom_mat,B2926)&gt;1,"Matière en double","OK")))))))))</f>
        <v/>
      </c>
      <c r="K2926" s="71" t="str">
        <f>IF(AND(fiche_sel&lt;&gt;"",A2926=fiche_sel),COUNTIF(A$6:A2926,fiche_sel),"")</f>
        <v/>
      </c>
    </row>
    <row r="2927">
      <c r="A2927" s="60" t="n"/>
      <c r="B2927" s="60" t="n"/>
      <c r="C2927" s="71" t="str">
        <f>IF(B2927="","",IFERROR(INDEX(mat_des,MATCH(B2927,mat_ref,0))&amp;"","Matière inconnue"))</f>
        <v/>
      </c>
      <c r="D2927" s="69" t="str">
        <f>IF(B2927="","",IFERROR(INDEX(mat_unit,MATCH(B2927,mat_ref,0))&amp;"",""))</f>
        <v/>
      </c>
      <c r="E2927" s="72" t="n"/>
      <c r="F2927" s="65" t="n"/>
      <c r="G2927" s="68" t="str">
        <f>IF(J2927&lt;&gt;"OK","",IF(F2927="",N(INDEX(mat_loss,MATCH(B2927,mat_ref,0))),F2927))</f>
        <v/>
      </c>
      <c r="H2927" s="66" t="str">
        <f>IF(J2927&lt;&gt;"OK","",INDEX(mat_price,MATCH(B2927,mat_ref,0)))</f>
        <v/>
      </c>
      <c r="I2927" s="66" t="str">
        <f>IF(J2927&lt;&gt;"OK","",E2927*(1+G2927)*H2927)</f>
        <v/>
      </c>
      <c r="J2927" s="69" t="str">
        <f>IF(AND(A2927="",B2927=""),"",IF(A2927="","Produit manquant",IF(COUNTIF(prod_ref,A2927)=0,"Produit inconnu",IF(B2927="","Matière manquante",IF(ISNA(MATCH(B2927,mat_ref,0)),"Matière inconnue",IF(INDEX(mat_check,MATCH(B2927,mat_ref,0))&lt;&gt;"OK","Matière à corriger",IF(OR(NOT(ISNUMBER(E2927)),N(E2927)&lt;=0),"Quantité invalide",IF(AND(F2927&lt;&gt;"",OR(NOT(ISNUMBER(F2927)),N(F2927)&lt;0,N(F2927)&gt;=1)),"Perte entre 0 et 99 %",IF(COUNTIFS(bom_prod,A2927,bom_mat,B2927)&gt;1,"Matière en double","OK")))))))))</f>
        <v/>
      </c>
      <c r="K2927" s="71" t="str">
        <f>IF(AND(fiche_sel&lt;&gt;"",A2927=fiche_sel),COUNTIF(A$6:A2927,fiche_sel),"")</f>
        <v/>
      </c>
    </row>
    <row r="2928">
      <c r="A2928" s="60" t="n"/>
      <c r="B2928" s="60" t="n"/>
      <c r="C2928" s="71" t="str">
        <f>IF(B2928="","",IFERROR(INDEX(mat_des,MATCH(B2928,mat_ref,0))&amp;"","Matière inconnue"))</f>
        <v/>
      </c>
      <c r="D2928" s="69" t="str">
        <f>IF(B2928="","",IFERROR(INDEX(mat_unit,MATCH(B2928,mat_ref,0))&amp;"",""))</f>
        <v/>
      </c>
      <c r="E2928" s="72" t="n"/>
      <c r="F2928" s="65" t="n"/>
      <c r="G2928" s="68" t="str">
        <f>IF(J2928&lt;&gt;"OK","",IF(F2928="",N(INDEX(mat_loss,MATCH(B2928,mat_ref,0))),F2928))</f>
        <v/>
      </c>
      <c r="H2928" s="66" t="str">
        <f>IF(J2928&lt;&gt;"OK","",INDEX(mat_price,MATCH(B2928,mat_ref,0)))</f>
        <v/>
      </c>
      <c r="I2928" s="66" t="str">
        <f>IF(J2928&lt;&gt;"OK","",E2928*(1+G2928)*H2928)</f>
        <v/>
      </c>
      <c r="J2928" s="69" t="str">
        <f>IF(AND(A2928="",B2928=""),"",IF(A2928="","Produit manquant",IF(COUNTIF(prod_ref,A2928)=0,"Produit inconnu",IF(B2928="","Matière manquante",IF(ISNA(MATCH(B2928,mat_ref,0)),"Matière inconnue",IF(INDEX(mat_check,MATCH(B2928,mat_ref,0))&lt;&gt;"OK","Matière à corriger",IF(OR(NOT(ISNUMBER(E2928)),N(E2928)&lt;=0),"Quantité invalide",IF(AND(F2928&lt;&gt;"",OR(NOT(ISNUMBER(F2928)),N(F2928)&lt;0,N(F2928)&gt;=1)),"Perte entre 0 et 99 %",IF(COUNTIFS(bom_prod,A2928,bom_mat,B2928)&gt;1,"Matière en double","OK")))))))))</f>
        <v/>
      </c>
      <c r="K2928" s="71" t="str">
        <f>IF(AND(fiche_sel&lt;&gt;"",A2928=fiche_sel),COUNTIF(A$6:A2928,fiche_sel),"")</f>
        <v/>
      </c>
    </row>
    <row r="2929">
      <c r="A2929" s="60" t="n"/>
      <c r="B2929" s="60" t="n"/>
      <c r="C2929" s="71" t="str">
        <f>IF(B2929="","",IFERROR(INDEX(mat_des,MATCH(B2929,mat_ref,0))&amp;"","Matière inconnue"))</f>
        <v/>
      </c>
      <c r="D2929" s="69" t="str">
        <f>IF(B2929="","",IFERROR(INDEX(mat_unit,MATCH(B2929,mat_ref,0))&amp;"",""))</f>
        <v/>
      </c>
      <c r="E2929" s="72" t="n"/>
      <c r="F2929" s="65" t="n"/>
      <c r="G2929" s="68" t="str">
        <f>IF(J2929&lt;&gt;"OK","",IF(F2929="",N(INDEX(mat_loss,MATCH(B2929,mat_ref,0))),F2929))</f>
        <v/>
      </c>
      <c r="H2929" s="66" t="str">
        <f>IF(J2929&lt;&gt;"OK","",INDEX(mat_price,MATCH(B2929,mat_ref,0)))</f>
        <v/>
      </c>
      <c r="I2929" s="66" t="str">
        <f>IF(J2929&lt;&gt;"OK","",E2929*(1+G2929)*H2929)</f>
        <v/>
      </c>
      <c r="J2929" s="69" t="str">
        <f>IF(AND(A2929="",B2929=""),"",IF(A2929="","Produit manquant",IF(COUNTIF(prod_ref,A2929)=0,"Produit inconnu",IF(B2929="","Matière manquante",IF(ISNA(MATCH(B2929,mat_ref,0)),"Matière inconnue",IF(INDEX(mat_check,MATCH(B2929,mat_ref,0))&lt;&gt;"OK","Matière à corriger",IF(OR(NOT(ISNUMBER(E2929)),N(E2929)&lt;=0),"Quantité invalide",IF(AND(F2929&lt;&gt;"",OR(NOT(ISNUMBER(F2929)),N(F2929)&lt;0,N(F2929)&gt;=1)),"Perte entre 0 et 99 %",IF(COUNTIFS(bom_prod,A2929,bom_mat,B2929)&gt;1,"Matière en double","OK")))))))))</f>
        <v/>
      </c>
      <c r="K2929" s="71" t="str">
        <f>IF(AND(fiche_sel&lt;&gt;"",A2929=fiche_sel),COUNTIF(A$6:A2929,fiche_sel),"")</f>
        <v/>
      </c>
    </row>
    <row r="2930">
      <c r="A2930" s="60" t="n"/>
      <c r="B2930" s="60" t="n"/>
      <c r="C2930" s="71" t="str">
        <f>IF(B2930="","",IFERROR(INDEX(mat_des,MATCH(B2930,mat_ref,0))&amp;"","Matière inconnue"))</f>
        <v/>
      </c>
      <c r="D2930" s="69" t="str">
        <f>IF(B2930="","",IFERROR(INDEX(mat_unit,MATCH(B2930,mat_ref,0))&amp;"",""))</f>
        <v/>
      </c>
      <c r="E2930" s="72" t="n"/>
      <c r="F2930" s="65" t="n"/>
      <c r="G2930" s="68" t="str">
        <f>IF(J2930&lt;&gt;"OK","",IF(F2930="",N(INDEX(mat_loss,MATCH(B2930,mat_ref,0))),F2930))</f>
        <v/>
      </c>
      <c r="H2930" s="66" t="str">
        <f>IF(J2930&lt;&gt;"OK","",INDEX(mat_price,MATCH(B2930,mat_ref,0)))</f>
        <v/>
      </c>
      <c r="I2930" s="66" t="str">
        <f>IF(J2930&lt;&gt;"OK","",E2930*(1+G2930)*H2930)</f>
        <v/>
      </c>
      <c r="J2930" s="69" t="str">
        <f>IF(AND(A2930="",B2930=""),"",IF(A2930="","Produit manquant",IF(COUNTIF(prod_ref,A2930)=0,"Produit inconnu",IF(B2930="","Matière manquante",IF(ISNA(MATCH(B2930,mat_ref,0)),"Matière inconnue",IF(INDEX(mat_check,MATCH(B2930,mat_ref,0))&lt;&gt;"OK","Matière à corriger",IF(OR(NOT(ISNUMBER(E2930)),N(E2930)&lt;=0),"Quantité invalide",IF(AND(F2930&lt;&gt;"",OR(NOT(ISNUMBER(F2930)),N(F2930)&lt;0,N(F2930)&gt;=1)),"Perte entre 0 et 99 %",IF(COUNTIFS(bom_prod,A2930,bom_mat,B2930)&gt;1,"Matière en double","OK")))))))))</f>
        <v/>
      </c>
      <c r="K2930" s="71" t="str">
        <f>IF(AND(fiche_sel&lt;&gt;"",A2930=fiche_sel),COUNTIF(A$6:A2930,fiche_sel),"")</f>
        <v/>
      </c>
    </row>
    <row r="2931">
      <c r="A2931" s="60" t="n"/>
      <c r="B2931" s="60" t="n"/>
      <c r="C2931" s="71" t="str">
        <f>IF(B2931="","",IFERROR(INDEX(mat_des,MATCH(B2931,mat_ref,0))&amp;"","Matière inconnue"))</f>
        <v/>
      </c>
      <c r="D2931" s="69" t="str">
        <f>IF(B2931="","",IFERROR(INDEX(mat_unit,MATCH(B2931,mat_ref,0))&amp;"",""))</f>
        <v/>
      </c>
      <c r="E2931" s="72" t="n"/>
      <c r="F2931" s="65" t="n"/>
      <c r="G2931" s="68" t="str">
        <f>IF(J2931&lt;&gt;"OK","",IF(F2931="",N(INDEX(mat_loss,MATCH(B2931,mat_ref,0))),F2931))</f>
        <v/>
      </c>
      <c r="H2931" s="66" t="str">
        <f>IF(J2931&lt;&gt;"OK","",INDEX(mat_price,MATCH(B2931,mat_ref,0)))</f>
        <v/>
      </c>
      <c r="I2931" s="66" t="str">
        <f>IF(J2931&lt;&gt;"OK","",E2931*(1+G2931)*H2931)</f>
        <v/>
      </c>
      <c r="J2931" s="69" t="str">
        <f>IF(AND(A2931="",B2931=""),"",IF(A2931="","Produit manquant",IF(COUNTIF(prod_ref,A2931)=0,"Produit inconnu",IF(B2931="","Matière manquante",IF(ISNA(MATCH(B2931,mat_ref,0)),"Matière inconnue",IF(INDEX(mat_check,MATCH(B2931,mat_ref,0))&lt;&gt;"OK","Matière à corriger",IF(OR(NOT(ISNUMBER(E2931)),N(E2931)&lt;=0),"Quantité invalide",IF(AND(F2931&lt;&gt;"",OR(NOT(ISNUMBER(F2931)),N(F2931)&lt;0,N(F2931)&gt;=1)),"Perte entre 0 et 99 %",IF(COUNTIFS(bom_prod,A2931,bom_mat,B2931)&gt;1,"Matière en double","OK")))))))))</f>
        <v/>
      </c>
      <c r="K2931" s="71" t="str">
        <f>IF(AND(fiche_sel&lt;&gt;"",A2931=fiche_sel),COUNTIF(A$6:A2931,fiche_sel),"")</f>
        <v/>
      </c>
    </row>
    <row r="2932">
      <c r="A2932" s="60" t="n"/>
      <c r="B2932" s="60" t="n"/>
      <c r="C2932" s="71" t="str">
        <f>IF(B2932="","",IFERROR(INDEX(mat_des,MATCH(B2932,mat_ref,0))&amp;"","Matière inconnue"))</f>
        <v/>
      </c>
      <c r="D2932" s="69" t="str">
        <f>IF(B2932="","",IFERROR(INDEX(mat_unit,MATCH(B2932,mat_ref,0))&amp;"",""))</f>
        <v/>
      </c>
      <c r="E2932" s="72" t="n"/>
      <c r="F2932" s="65" t="n"/>
      <c r="G2932" s="68" t="str">
        <f>IF(J2932&lt;&gt;"OK","",IF(F2932="",N(INDEX(mat_loss,MATCH(B2932,mat_ref,0))),F2932))</f>
        <v/>
      </c>
      <c r="H2932" s="66" t="str">
        <f>IF(J2932&lt;&gt;"OK","",INDEX(mat_price,MATCH(B2932,mat_ref,0)))</f>
        <v/>
      </c>
      <c r="I2932" s="66" t="str">
        <f>IF(J2932&lt;&gt;"OK","",E2932*(1+G2932)*H2932)</f>
        <v/>
      </c>
      <c r="J2932" s="69" t="str">
        <f>IF(AND(A2932="",B2932=""),"",IF(A2932="","Produit manquant",IF(COUNTIF(prod_ref,A2932)=0,"Produit inconnu",IF(B2932="","Matière manquante",IF(ISNA(MATCH(B2932,mat_ref,0)),"Matière inconnue",IF(INDEX(mat_check,MATCH(B2932,mat_ref,0))&lt;&gt;"OK","Matière à corriger",IF(OR(NOT(ISNUMBER(E2932)),N(E2932)&lt;=0),"Quantité invalide",IF(AND(F2932&lt;&gt;"",OR(NOT(ISNUMBER(F2932)),N(F2932)&lt;0,N(F2932)&gt;=1)),"Perte entre 0 et 99 %",IF(COUNTIFS(bom_prod,A2932,bom_mat,B2932)&gt;1,"Matière en double","OK")))))))))</f>
        <v/>
      </c>
      <c r="K2932" s="71" t="str">
        <f>IF(AND(fiche_sel&lt;&gt;"",A2932=fiche_sel),COUNTIF(A$6:A2932,fiche_sel),"")</f>
        <v/>
      </c>
    </row>
    <row r="2933">
      <c r="A2933" s="60" t="n"/>
      <c r="B2933" s="60" t="n"/>
      <c r="C2933" s="71" t="str">
        <f>IF(B2933="","",IFERROR(INDEX(mat_des,MATCH(B2933,mat_ref,0))&amp;"","Matière inconnue"))</f>
        <v/>
      </c>
      <c r="D2933" s="69" t="str">
        <f>IF(B2933="","",IFERROR(INDEX(mat_unit,MATCH(B2933,mat_ref,0))&amp;"",""))</f>
        <v/>
      </c>
      <c r="E2933" s="72" t="n"/>
      <c r="F2933" s="65" t="n"/>
      <c r="G2933" s="68" t="str">
        <f>IF(J2933&lt;&gt;"OK","",IF(F2933="",N(INDEX(mat_loss,MATCH(B2933,mat_ref,0))),F2933))</f>
        <v/>
      </c>
      <c r="H2933" s="66" t="str">
        <f>IF(J2933&lt;&gt;"OK","",INDEX(mat_price,MATCH(B2933,mat_ref,0)))</f>
        <v/>
      </c>
      <c r="I2933" s="66" t="str">
        <f>IF(J2933&lt;&gt;"OK","",E2933*(1+G2933)*H2933)</f>
        <v/>
      </c>
      <c r="J2933" s="69" t="str">
        <f>IF(AND(A2933="",B2933=""),"",IF(A2933="","Produit manquant",IF(COUNTIF(prod_ref,A2933)=0,"Produit inconnu",IF(B2933="","Matière manquante",IF(ISNA(MATCH(B2933,mat_ref,0)),"Matière inconnue",IF(INDEX(mat_check,MATCH(B2933,mat_ref,0))&lt;&gt;"OK","Matière à corriger",IF(OR(NOT(ISNUMBER(E2933)),N(E2933)&lt;=0),"Quantité invalide",IF(AND(F2933&lt;&gt;"",OR(NOT(ISNUMBER(F2933)),N(F2933)&lt;0,N(F2933)&gt;=1)),"Perte entre 0 et 99 %",IF(COUNTIFS(bom_prod,A2933,bom_mat,B2933)&gt;1,"Matière en double","OK")))))))))</f>
        <v/>
      </c>
      <c r="K2933" s="71" t="str">
        <f>IF(AND(fiche_sel&lt;&gt;"",A2933=fiche_sel),COUNTIF(A$6:A2933,fiche_sel),"")</f>
        <v/>
      </c>
    </row>
    <row r="2934">
      <c r="A2934" s="60" t="n"/>
      <c r="B2934" s="60" t="n"/>
      <c r="C2934" s="71" t="str">
        <f>IF(B2934="","",IFERROR(INDEX(mat_des,MATCH(B2934,mat_ref,0))&amp;"","Matière inconnue"))</f>
        <v/>
      </c>
      <c r="D2934" s="69" t="str">
        <f>IF(B2934="","",IFERROR(INDEX(mat_unit,MATCH(B2934,mat_ref,0))&amp;"",""))</f>
        <v/>
      </c>
      <c r="E2934" s="72" t="n"/>
      <c r="F2934" s="65" t="n"/>
      <c r="G2934" s="68" t="str">
        <f>IF(J2934&lt;&gt;"OK","",IF(F2934="",N(INDEX(mat_loss,MATCH(B2934,mat_ref,0))),F2934))</f>
        <v/>
      </c>
      <c r="H2934" s="66" t="str">
        <f>IF(J2934&lt;&gt;"OK","",INDEX(mat_price,MATCH(B2934,mat_ref,0)))</f>
        <v/>
      </c>
      <c r="I2934" s="66" t="str">
        <f>IF(J2934&lt;&gt;"OK","",E2934*(1+G2934)*H2934)</f>
        <v/>
      </c>
      <c r="J2934" s="69" t="str">
        <f>IF(AND(A2934="",B2934=""),"",IF(A2934="","Produit manquant",IF(COUNTIF(prod_ref,A2934)=0,"Produit inconnu",IF(B2934="","Matière manquante",IF(ISNA(MATCH(B2934,mat_ref,0)),"Matière inconnue",IF(INDEX(mat_check,MATCH(B2934,mat_ref,0))&lt;&gt;"OK","Matière à corriger",IF(OR(NOT(ISNUMBER(E2934)),N(E2934)&lt;=0),"Quantité invalide",IF(AND(F2934&lt;&gt;"",OR(NOT(ISNUMBER(F2934)),N(F2934)&lt;0,N(F2934)&gt;=1)),"Perte entre 0 et 99 %",IF(COUNTIFS(bom_prod,A2934,bom_mat,B2934)&gt;1,"Matière en double","OK")))))))))</f>
        <v/>
      </c>
      <c r="K2934" s="71" t="str">
        <f>IF(AND(fiche_sel&lt;&gt;"",A2934=fiche_sel),COUNTIF(A$6:A2934,fiche_sel),"")</f>
        <v/>
      </c>
    </row>
    <row r="2935">
      <c r="A2935" s="60" t="n"/>
      <c r="B2935" s="60" t="n"/>
      <c r="C2935" s="71" t="str">
        <f>IF(B2935="","",IFERROR(INDEX(mat_des,MATCH(B2935,mat_ref,0))&amp;"","Matière inconnue"))</f>
        <v/>
      </c>
      <c r="D2935" s="69" t="str">
        <f>IF(B2935="","",IFERROR(INDEX(mat_unit,MATCH(B2935,mat_ref,0))&amp;"",""))</f>
        <v/>
      </c>
      <c r="E2935" s="72" t="n"/>
      <c r="F2935" s="65" t="n"/>
      <c r="G2935" s="68" t="str">
        <f>IF(J2935&lt;&gt;"OK","",IF(F2935="",N(INDEX(mat_loss,MATCH(B2935,mat_ref,0))),F2935))</f>
        <v/>
      </c>
      <c r="H2935" s="66" t="str">
        <f>IF(J2935&lt;&gt;"OK","",INDEX(mat_price,MATCH(B2935,mat_ref,0)))</f>
        <v/>
      </c>
      <c r="I2935" s="66" t="str">
        <f>IF(J2935&lt;&gt;"OK","",E2935*(1+G2935)*H2935)</f>
        <v/>
      </c>
      <c r="J2935" s="69" t="str">
        <f>IF(AND(A2935="",B2935=""),"",IF(A2935="","Produit manquant",IF(COUNTIF(prod_ref,A2935)=0,"Produit inconnu",IF(B2935="","Matière manquante",IF(ISNA(MATCH(B2935,mat_ref,0)),"Matière inconnue",IF(INDEX(mat_check,MATCH(B2935,mat_ref,0))&lt;&gt;"OK","Matière à corriger",IF(OR(NOT(ISNUMBER(E2935)),N(E2935)&lt;=0),"Quantité invalide",IF(AND(F2935&lt;&gt;"",OR(NOT(ISNUMBER(F2935)),N(F2935)&lt;0,N(F2935)&gt;=1)),"Perte entre 0 et 99 %",IF(COUNTIFS(bom_prod,A2935,bom_mat,B2935)&gt;1,"Matière en double","OK")))))))))</f>
        <v/>
      </c>
      <c r="K2935" s="71" t="str">
        <f>IF(AND(fiche_sel&lt;&gt;"",A2935=fiche_sel),COUNTIF(A$6:A2935,fiche_sel),"")</f>
        <v/>
      </c>
    </row>
    <row r="2936">
      <c r="A2936" s="60" t="n"/>
      <c r="B2936" s="60" t="n"/>
      <c r="C2936" s="71" t="str">
        <f>IF(B2936="","",IFERROR(INDEX(mat_des,MATCH(B2936,mat_ref,0))&amp;"","Matière inconnue"))</f>
        <v/>
      </c>
      <c r="D2936" s="69" t="str">
        <f>IF(B2936="","",IFERROR(INDEX(mat_unit,MATCH(B2936,mat_ref,0))&amp;"",""))</f>
        <v/>
      </c>
      <c r="E2936" s="72" t="n"/>
      <c r="F2936" s="65" t="n"/>
      <c r="G2936" s="68" t="str">
        <f>IF(J2936&lt;&gt;"OK","",IF(F2936="",N(INDEX(mat_loss,MATCH(B2936,mat_ref,0))),F2936))</f>
        <v/>
      </c>
      <c r="H2936" s="66" t="str">
        <f>IF(J2936&lt;&gt;"OK","",INDEX(mat_price,MATCH(B2936,mat_ref,0)))</f>
        <v/>
      </c>
      <c r="I2936" s="66" t="str">
        <f>IF(J2936&lt;&gt;"OK","",E2936*(1+G2936)*H2936)</f>
        <v/>
      </c>
      <c r="J2936" s="69" t="str">
        <f>IF(AND(A2936="",B2936=""),"",IF(A2936="","Produit manquant",IF(COUNTIF(prod_ref,A2936)=0,"Produit inconnu",IF(B2936="","Matière manquante",IF(ISNA(MATCH(B2936,mat_ref,0)),"Matière inconnue",IF(INDEX(mat_check,MATCH(B2936,mat_ref,0))&lt;&gt;"OK","Matière à corriger",IF(OR(NOT(ISNUMBER(E2936)),N(E2936)&lt;=0),"Quantité invalide",IF(AND(F2936&lt;&gt;"",OR(NOT(ISNUMBER(F2936)),N(F2936)&lt;0,N(F2936)&gt;=1)),"Perte entre 0 et 99 %",IF(COUNTIFS(bom_prod,A2936,bom_mat,B2936)&gt;1,"Matière en double","OK")))))))))</f>
        <v/>
      </c>
      <c r="K2936" s="71" t="str">
        <f>IF(AND(fiche_sel&lt;&gt;"",A2936=fiche_sel),COUNTIF(A$6:A2936,fiche_sel),"")</f>
        <v/>
      </c>
    </row>
    <row r="2937">
      <c r="A2937" s="60" t="n"/>
      <c r="B2937" s="60" t="n"/>
      <c r="C2937" s="71" t="str">
        <f>IF(B2937="","",IFERROR(INDEX(mat_des,MATCH(B2937,mat_ref,0))&amp;"","Matière inconnue"))</f>
        <v/>
      </c>
      <c r="D2937" s="69" t="str">
        <f>IF(B2937="","",IFERROR(INDEX(mat_unit,MATCH(B2937,mat_ref,0))&amp;"",""))</f>
        <v/>
      </c>
      <c r="E2937" s="72" t="n"/>
      <c r="F2937" s="65" t="n"/>
      <c r="G2937" s="68" t="str">
        <f>IF(J2937&lt;&gt;"OK","",IF(F2937="",N(INDEX(mat_loss,MATCH(B2937,mat_ref,0))),F2937))</f>
        <v/>
      </c>
      <c r="H2937" s="66" t="str">
        <f>IF(J2937&lt;&gt;"OK","",INDEX(mat_price,MATCH(B2937,mat_ref,0)))</f>
        <v/>
      </c>
      <c r="I2937" s="66" t="str">
        <f>IF(J2937&lt;&gt;"OK","",E2937*(1+G2937)*H2937)</f>
        <v/>
      </c>
      <c r="J2937" s="69" t="str">
        <f>IF(AND(A2937="",B2937=""),"",IF(A2937="","Produit manquant",IF(COUNTIF(prod_ref,A2937)=0,"Produit inconnu",IF(B2937="","Matière manquante",IF(ISNA(MATCH(B2937,mat_ref,0)),"Matière inconnue",IF(INDEX(mat_check,MATCH(B2937,mat_ref,0))&lt;&gt;"OK","Matière à corriger",IF(OR(NOT(ISNUMBER(E2937)),N(E2937)&lt;=0),"Quantité invalide",IF(AND(F2937&lt;&gt;"",OR(NOT(ISNUMBER(F2937)),N(F2937)&lt;0,N(F2937)&gt;=1)),"Perte entre 0 et 99 %",IF(COUNTIFS(bom_prod,A2937,bom_mat,B2937)&gt;1,"Matière en double","OK")))))))))</f>
        <v/>
      </c>
      <c r="K2937" s="71" t="str">
        <f>IF(AND(fiche_sel&lt;&gt;"",A2937=fiche_sel),COUNTIF(A$6:A2937,fiche_sel),"")</f>
        <v/>
      </c>
    </row>
    <row r="2938">
      <c r="A2938" s="60" t="n"/>
      <c r="B2938" s="60" t="n"/>
      <c r="C2938" s="71" t="str">
        <f>IF(B2938="","",IFERROR(INDEX(mat_des,MATCH(B2938,mat_ref,0))&amp;"","Matière inconnue"))</f>
        <v/>
      </c>
      <c r="D2938" s="69" t="str">
        <f>IF(B2938="","",IFERROR(INDEX(mat_unit,MATCH(B2938,mat_ref,0))&amp;"",""))</f>
        <v/>
      </c>
      <c r="E2938" s="72" t="n"/>
      <c r="F2938" s="65" t="n"/>
      <c r="G2938" s="68" t="str">
        <f>IF(J2938&lt;&gt;"OK","",IF(F2938="",N(INDEX(mat_loss,MATCH(B2938,mat_ref,0))),F2938))</f>
        <v/>
      </c>
      <c r="H2938" s="66" t="str">
        <f>IF(J2938&lt;&gt;"OK","",INDEX(mat_price,MATCH(B2938,mat_ref,0)))</f>
        <v/>
      </c>
      <c r="I2938" s="66" t="str">
        <f>IF(J2938&lt;&gt;"OK","",E2938*(1+G2938)*H2938)</f>
        <v/>
      </c>
      <c r="J2938" s="69" t="str">
        <f>IF(AND(A2938="",B2938=""),"",IF(A2938="","Produit manquant",IF(COUNTIF(prod_ref,A2938)=0,"Produit inconnu",IF(B2938="","Matière manquante",IF(ISNA(MATCH(B2938,mat_ref,0)),"Matière inconnue",IF(INDEX(mat_check,MATCH(B2938,mat_ref,0))&lt;&gt;"OK","Matière à corriger",IF(OR(NOT(ISNUMBER(E2938)),N(E2938)&lt;=0),"Quantité invalide",IF(AND(F2938&lt;&gt;"",OR(NOT(ISNUMBER(F2938)),N(F2938)&lt;0,N(F2938)&gt;=1)),"Perte entre 0 et 99 %",IF(COUNTIFS(bom_prod,A2938,bom_mat,B2938)&gt;1,"Matière en double","OK")))))))))</f>
        <v/>
      </c>
      <c r="K2938" s="71" t="str">
        <f>IF(AND(fiche_sel&lt;&gt;"",A2938=fiche_sel),COUNTIF(A$6:A2938,fiche_sel),"")</f>
        <v/>
      </c>
    </row>
    <row r="2939">
      <c r="A2939" s="60" t="n"/>
      <c r="B2939" s="60" t="n"/>
      <c r="C2939" s="71" t="str">
        <f>IF(B2939="","",IFERROR(INDEX(mat_des,MATCH(B2939,mat_ref,0))&amp;"","Matière inconnue"))</f>
        <v/>
      </c>
      <c r="D2939" s="69" t="str">
        <f>IF(B2939="","",IFERROR(INDEX(mat_unit,MATCH(B2939,mat_ref,0))&amp;"",""))</f>
        <v/>
      </c>
      <c r="E2939" s="72" t="n"/>
      <c r="F2939" s="65" t="n"/>
      <c r="G2939" s="68" t="str">
        <f>IF(J2939&lt;&gt;"OK","",IF(F2939="",N(INDEX(mat_loss,MATCH(B2939,mat_ref,0))),F2939))</f>
        <v/>
      </c>
      <c r="H2939" s="66" t="str">
        <f>IF(J2939&lt;&gt;"OK","",INDEX(mat_price,MATCH(B2939,mat_ref,0)))</f>
        <v/>
      </c>
      <c r="I2939" s="66" t="str">
        <f>IF(J2939&lt;&gt;"OK","",E2939*(1+G2939)*H2939)</f>
        <v/>
      </c>
      <c r="J2939" s="69" t="str">
        <f>IF(AND(A2939="",B2939=""),"",IF(A2939="","Produit manquant",IF(COUNTIF(prod_ref,A2939)=0,"Produit inconnu",IF(B2939="","Matière manquante",IF(ISNA(MATCH(B2939,mat_ref,0)),"Matière inconnue",IF(INDEX(mat_check,MATCH(B2939,mat_ref,0))&lt;&gt;"OK","Matière à corriger",IF(OR(NOT(ISNUMBER(E2939)),N(E2939)&lt;=0),"Quantité invalide",IF(AND(F2939&lt;&gt;"",OR(NOT(ISNUMBER(F2939)),N(F2939)&lt;0,N(F2939)&gt;=1)),"Perte entre 0 et 99 %",IF(COUNTIFS(bom_prod,A2939,bom_mat,B2939)&gt;1,"Matière en double","OK")))))))))</f>
        <v/>
      </c>
      <c r="K2939" s="71" t="str">
        <f>IF(AND(fiche_sel&lt;&gt;"",A2939=fiche_sel),COUNTIF(A$6:A2939,fiche_sel),"")</f>
        <v/>
      </c>
    </row>
    <row r="2940">
      <c r="A2940" s="60" t="n"/>
      <c r="B2940" s="60" t="n"/>
      <c r="C2940" s="71" t="str">
        <f>IF(B2940="","",IFERROR(INDEX(mat_des,MATCH(B2940,mat_ref,0))&amp;"","Matière inconnue"))</f>
        <v/>
      </c>
      <c r="D2940" s="69" t="str">
        <f>IF(B2940="","",IFERROR(INDEX(mat_unit,MATCH(B2940,mat_ref,0))&amp;"",""))</f>
        <v/>
      </c>
      <c r="E2940" s="72" t="n"/>
      <c r="F2940" s="65" t="n"/>
      <c r="G2940" s="68" t="str">
        <f>IF(J2940&lt;&gt;"OK","",IF(F2940="",N(INDEX(mat_loss,MATCH(B2940,mat_ref,0))),F2940))</f>
        <v/>
      </c>
      <c r="H2940" s="66" t="str">
        <f>IF(J2940&lt;&gt;"OK","",INDEX(mat_price,MATCH(B2940,mat_ref,0)))</f>
        <v/>
      </c>
      <c r="I2940" s="66" t="str">
        <f>IF(J2940&lt;&gt;"OK","",E2940*(1+G2940)*H2940)</f>
        <v/>
      </c>
      <c r="J2940" s="69" t="str">
        <f>IF(AND(A2940="",B2940=""),"",IF(A2940="","Produit manquant",IF(COUNTIF(prod_ref,A2940)=0,"Produit inconnu",IF(B2940="","Matière manquante",IF(ISNA(MATCH(B2940,mat_ref,0)),"Matière inconnue",IF(INDEX(mat_check,MATCH(B2940,mat_ref,0))&lt;&gt;"OK","Matière à corriger",IF(OR(NOT(ISNUMBER(E2940)),N(E2940)&lt;=0),"Quantité invalide",IF(AND(F2940&lt;&gt;"",OR(NOT(ISNUMBER(F2940)),N(F2940)&lt;0,N(F2940)&gt;=1)),"Perte entre 0 et 99 %",IF(COUNTIFS(bom_prod,A2940,bom_mat,B2940)&gt;1,"Matière en double","OK")))))))))</f>
        <v/>
      </c>
      <c r="K2940" s="71" t="str">
        <f>IF(AND(fiche_sel&lt;&gt;"",A2940=fiche_sel),COUNTIF(A$6:A2940,fiche_sel),"")</f>
        <v/>
      </c>
    </row>
    <row r="2941">
      <c r="A2941" s="60" t="n"/>
      <c r="B2941" s="60" t="n"/>
      <c r="C2941" s="71" t="str">
        <f>IF(B2941="","",IFERROR(INDEX(mat_des,MATCH(B2941,mat_ref,0))&amp;"","Matière inconnue"))</f>
        <v/>
      </c>
      <c r="D2941" s="69" t="str">
        <f>IF(B2941="","",IFERROR(INDEX(mat_unit,MATCH(B2941,mat_ref,0))&amp;"",""))</f>
        <v/>
      </c>
      <c r="E2941" s="72" t="n"/>
      <c r="F2941" s="65" t="n"/>
      <c r="G2941" s="68" t="str">
        <f>IF(J2941&lt;&gt;"OK","",IF(F2941="",N(INDEX(mat_loss,MATCH(B2941,mat_ref,0))),F2941))</f>
        <v/>
      </c>
      <c r="H2941" s="66" t="str">
        <f>IF(J2941&lt;&gt;"OK","",INDEX(mat_price,MATCH(B2941,mat_ref,0)))</f>
        <v/>
      </c>
      <c r="I2941" s="66" t="str">
        <f>IF(J2941&lt;&gt;"OK","",E2941*(1+G2941)*H2941)</f>
        <v/>
      </c>
      <c r="J2941" s="69" t="str">
        <f>IF(AND(A2941="",B2941=""),"",IF(A2941="","Produit manquant",IF(COUNTIF(prod_ref,A2941)=0,"Produit inconnu",IF(B2941="","Matière manquante",IF(ISNA(MATCH(B2941,mat_ref,0)),"Matière inconnue",IF(INDEX(mat_check,MATCH(B2941,mat_ref,0))&lt;&gt;"OK","Matière à corriger",IF(OR(NOT(ISNUMBER(E2941)),N(E2941)&lt;=0),"Quantité invalide",IF(AND(F2941&lt;&gt;"",OR(NOT(ISNUMBER(F2941)),N(F2941)&lt;0,N(F2941)&gt;=1)),"Perte entre 0 et 99 %",IF(COUNTIFS(bom_prod,A2941,bom_mat,B2941)&gt;1,"Matière en double","OK")))))))))</f>
        <v/>
      </c>
      <c r="K2941" s="71" t="str">
        <f>IF(AND(fiche_sel&lt;&gt;"",A2941=fiche_sel),COUNTIF(A$6:A2941,fiche_sel),"")</f>
        <v/>
      </c>
    </row>
    <row r="2942">
      <c r="A2942" s="60" t="n"/>
      <c r="B2942" s="60" t="n"/>
      <c r="C2942" s="71" t="str">
        <f>IF(B2942="","",IFERROR(INDEX(mat_des,MATCH(B2942,mat_ref,0))&amp;"","Matière inconnue"))</f>
        <v/>
      </c>
      <c r="D2942" s="69" t="str">
        <f>IF(B2942="","",IFERROR(INDEX(mat_unit,MATCH(B2942,mat_ref,0))&amp;"",""))</f>
        <v/>
      </c>
      <c r="E2942" s="72" t="n"/>
      <c r="F2942" s="65" t="n"/>
      <c r="G2942" s="68" t="str">
        <f>IF(J2942&lt;&gt;"OK","",IF(F2942="",N(INDEX(mat_loss,MATCH(B2942,mat_ref,0))),F2942))</f>
        <v/>
      </c>
      <c r="H2942" s="66" t="str">
        <f>IF(J2942&lt;&gt;"OK","",INDEX(mat_price,MATCH(B2942,mat_ref,0)))</f>
        <v/>
      </c>
      <c r="I2942" s="66" t="str">
        <f>IF(J2942&lt;&gt;"OK","",E2942*(1+G2942)*H2942)</f>
        <v/>
      </c>
      <c r="J2942" s="69" t="str">
        <f>IF(AND(A2942="",B2942=""),"",IF(A2942="","Produit manquant",IF(COUNTIF(prod_ref,A2942)=0,"Produit inconnu",IF(B2942="","Matière manquante",IF(ISNA(MATCH(B2942,mat_ref,0)),"Matière inconnue",IF(INDEX(mat_check,MATCH(B2942,mat_ref,0))&lt;&gt;"OK","Matière à corriger",IF(OR(NOT(ISNUMBER(E2942)),N(E2942)&lt;=0),"Quantité invalide",IF(AND(F2942&lt;&gt;"",OR(NOT(ISNUMBER(F2942)),N(F2942)&lt;0,N(F2942)&gt;=1)),"Perte entre 0 et 99 %",IF(COUNTIFS(bom_prod,A2942,bom_mat,B2942)&gt;1,"Matière en double","OK")))))))))</f>
        <v/>
      </c>
      <c r="K2942" s="71" t="str">
        <f>IF(AND(fiche_sel&lt;&gt;"",A2942=fiche_sel),COUNTIF(A$6:A2942,fiche_sel),"")</f>
        <v/>
      </c>
    </row>
    <row r="2943">
      <c r="A2943" s="60" t="n"/>
      <c r="B2943" s="60" t="n"/>
      <c r="C2943" s="71" t="str">
        <f>IF(B2943="","",IFERROR(INDEX(mat_des,MATCH(B2943,mat_ref,0))&amp;"","Matière inconnue"))</f>
        <v/>
      </c>
      <c r="D2943" s="69" t="str">
        <f>IF(B2943="","",IFERROR(INDEX(mat_unit,MATCH(B2943,mat_ref,0))&amp;"",""))</f>
        <v/>
      </c>
      <c r="E2943" s="72" t="n"/>
      <c r="F2943" s="65" t="n"/>
      <c r="G2943" s="68" t="str">
        <f>IF(J2943&lt;&gt;"OK","",IF(F2943="",N(INDEX(mat_loss,MATCH(B2943,mat_ref,0))),F2943))</f>
        <v/>
      </c>
      <c r="H2943" s="66" t="str">
        <f>IF(J2943&lt;&gt;"OK","",INDEX(mat_price,MATCH(B2943,mat_ref,0)))</f>
        <v/>
      </c>
      <c r="I2943" s="66" t="str">
        <f>IF(J2943&lt;&gt;"OK","",E2943*(1+G2943)*H2943)</f>
        <v/>
      </c>
      <c r="J2943" s="69" t="str">
        <f>IF(AND(A2943="",B2943=""),"",IF(A2943="","Produit manquant",IF(COUNTIF(prod_ref,A2943)=0,"Produit inconnu",IF(B2943="","Matière manquante",IF(ISNA(MATCH(B2943,mat_ref,0)),"Matière inconnue",IF(INDEX(mat_check,MATCH(B2943,mat_ref,0))&lt;&gt;"OK","Matière à corriger",IF(OR(NOT(ISNUMBER(E2943)),N(E2943)&lt;=0),"Quantité invalide",IF(AND(F2943&lt;&gt;"",OR(NOT(ISNUMBER(F2943)),N(F2943)&lt;0,N(F2943)&gt;=1)),"Perte entre 0 et 99 %",IF(COUNTIFS(bom_prod,A2943,bom_mat,B2943)&gt;1,"Matière en double","OK")))))))))</f>
        <v/>
      </c>
      <c r="K2943" s="71" t="str">
        <f>IF(AND(fiche_sel&lt;&gt;"",A2943=fiche_sel),COUNTIF(A$6:A2943,fiche_sel),"")</f>
        <v/>
      </c>
    </row>
    <row r="2944">
      <c r="A2944" s="60" t="n"/>
      <c r="B2944" s="60" t="n"/>
      <c r="C2944" s="71" t="str">
        <f>IF(B2944="","",IFERROR(INDEX(mat_des,MATCH(B2944,mat_ref,0))&amp;"","Matière inconnue"))</f>
        <v/>
      </c>
      <c r="D2944" s="69" t="str">
        <f>IF(B2944="","",IFERROR(INDEX(mat_unit,MATCH(B2944,mat_ref,0))&amp;"",""))</f>
        <v/>
      </c>
      <c r="E2944" s="72" t="n"/>
      <c r="F2944" s="65" t="n"/>
      <c r="G2944" s="68" t="str">
        <f>IF(J2944&lt;&gt;"OK","",IF(F2944="",N(INDEX(mat_loss,MATCH(B2944,mat_ref,0))),F2944))</f>
        <v/>
      </c>
      <c r="H2944" s="66" t="str">
        <f>IF(J2944&lt;&gt;"OK","",INDEX(mat_price,MATCH(B2944,mat_ref,0)))</f>
        <v/>
      </c>
      <c r="I2944" s="66" t="str">
        <f>IF(J2944&lt;&gt;"OK","",E2944*(1+G2944)*H2944)</f>
        <v/>
      </c>
      <c r="J2944" s="69" t="str">
        <f>IF(AND(A2944="",B2944=""),"",IF(A2944="","Produit manquant",IF(COUNTIF(prod_ref,A2944)=0,"Produit inconnu",IF(B2944="","Matière manquante",IF(ISNA(MATCH(B2944,mat_ref,0)),"Matière inconnue",IF(INDEX(mat_check,MATCH(B2944,mat_ref,0))&lt;&gt;"OK","Matière à corriger",IF(OR(NOT(ISNUMBER(E2944)),N(E2944)&lt;=0),"Quantité invalide",IF(AND(F2944&lt;&gt;"",OR(NOT(ISNUMBER(F2944)),N(F2944)&lt;0,N(F2944)&gt;=1)),"Perte entre 0 et 99 %",IF(COUNTIFS(bom_prod,A2944,bom_mat,B2944)&gt;1,"Matière en double","OK")))))))))</f>
        <v/>
      </c>
      <c r="K2944" s="71" t="str">
        <f>IF(AND(fiche_sel&lt;&gt;"",A2944=fiche_sel),COUNTIF(A$6:A2944,fiche_sel),"")</f>
        <v/>
      </c>
    </row>
    <row r="2945">
      <c r="A2945" s="60" t="n"/>
      <c r="B2945" s="60" t="n"/>
      <c r="C2945" s="71" t="str">
        <f>IF(B2945="","",IFERROR(INDEX(mat_des,MATCH(B2945,mat_ref,0))&amp;"","Matière inconnue"))</f>
        <v/>
      </c>
      <c r="D2945" s="69" t="str">
        <f>IF(B2945="","",IFERROR(INDEX(mat_unit,MATCH(B2945,mat_ref,0))&amp;"",""))</f>
        <v/>
      </c>
      <c r="E2945" s="72" t="n"/>
      <c r="F2945" s="65" t="n"/>
      <c r="G2945" s="68" t="str">
        <f>IF(J2945&lt;&gt;"OK","",IF(F2945="",N(INDEX(mat_loss,MATCH(B2945,mat_ref,0))),F2945))</f>
        <v/>
      </c>
      <c r="H2945" s="66" t="str">
        <f>IF(J2945&lt;&gt;"OK","",INDEX(mat_price,MATCH(B2945,mat_ref,0)))</f>
        <v/>
      </c>
      <c r="I2945" s="66" t="str">
        <f>IF(J2945&lt;&gt;"OK","",E2945*(1+G2945)*H2945)</f>
        <v/>
      </c>
      <c r="J2945" s="69" t="str">
        <f>IF(AND(A2945="",B2945=""),"",IF(A2945="","Produit manquant",IF(COUNTIF(prod_ref,A2945)=0,"Produit inconnu",IF(B2945="","Matière manquante",IF(ISNA(MATCH(B2945,mat_ref,0)),"Matière inconnue",IF(INDEX(mat_check,MATCH(B2945,mat_ref,0))&lt;&gt;"OK","Matière à corriger",IF(OR(NOT(ISNUMBER(E2945)),N(E2945)&lt;=0),"Quantité invalide",IF(AND(F2945&lt;&gt;"",OR(NOT(ISNUMBER(F2945)),N(F2945)&lt;0,N(F2945)&gt;=1)),"Perte entre 0 et 99 %",IF(COUNTIFS(bom_prod,A2945,bom_mat,B2945)&gt;1,"Matière en double","OK")))))))))</f>
        <v/>
      </c>
      <c r="K2945" s="71" t="str">
        <f>IF(AND(fiche_sel&lt;&gt;"",A2945=fiche_sel),COUNTIF(A$6:A2945,fiche_sel),"")</f>
        <v/>
      </c>
    </row>
    <row r="2946">
      <c r="A2946" s="60" t="n"/>
      <c r="B2946" s="60" t="n"/>
      <c r="C2946" s="71" t="str">
        <f>IF(B2946="","",IFERROR(INDEX(mat_des,MATCH(B2946,mat_ref,0))&amp;"","Matière inconnue"))</f>
        <v/>
      </c>
      <c r="D2946" s="69" t="str">
        <f>IF(B2946="","",IFERROR(INDEX(mat_unit,MATCH(B2946,mat_ref,0))&amp;"",""))</f>
        <v/>
      </c>
      <c r="E2946" s="72" t="n"/>
      <c r="F2946" s="65" t="n"/>
      <c r="G2946" s="68" t="str">
        <f>IF(J2946&lt;&gt;"OK","",IF(F2946="",N(INDEX(mat_loss,MATCH(B2946,mat_ref,0))),F2946))</f>
        <v/>
      </c>
      <c r="H2946" s="66" t="str">
        <f>IF(J2946&lt;&gt;"OK","",INDEX(mat_price,MATCH(B2946,mat_ref,0)))</f>
        <v/>
      </c>
      <c r="I2946" s="66" t="str">
        <f>IF(J2946&lt;&gt;"OK","",E2946*(1+G2946)*H2946)</f>
        <v/>
      </c>
      <c r="J2946" s="69" t="str">
        <f>IF(AND(A2946="",B2946=""),"",IF(A2946="","Produit manquant",IF(COUNTIF(prod_ref,A2946)=0,"Produit inconnu",IF(B2946="","Matière manquante",IF(ISNA(MATCH(B2946,mat_ref,0)),"Matière inconnue",IF(INDEX(mat_check,MATCH(B2946,mat_ref,0))&lt;&gt;"OK","Matière à corriger",IF(OR(NOT(ISNUMBER(E2946)),N(E2946)&lt;=0),"Quantité invalide",IF(AND(F2946&lt;&gt;"",OR(NOT(ISNUMBER(F2946)),N(F2946)&lt;0,N(F2946)&gt;=1)),"Perte entre 0 et 99 %",IF(COUNTIFS(bom_prod,A2946,bom_mat,B2946)&gt;1,"Matière en double","OK")))))))))</f>
        <v/>
      </c>
      <c r="K2946" s="71" t="str">
        <f>IF(AND(fiche_sel&lt;&gt;"",A2946=fiche_sel),COUNTIF(A$6:A2946,fiche_sel),"")</f>
        <v/>
      </c>
    </row>
    <row r="2947">
      <c r="A2947" s="60" t="n"/>
      <c r="B2947" s="60" t="n"/>
      <c r="C2947" s="71" t="str">
        <f>IF(B2947="","",IFERROR(INDEX(mat_des,MATCH(B2947,mat_ref,0))&amp;"","Matière inconnue"))</f>
        <v/>
      </c>
      <c r="D2947" s="69" t="str">
        <f>IF(B2947="","",IFERROR(INDEX(mat_unit,MATCH(B2947,mat_ref,0))&amp;"",""))</f>
        <v/>
      </c>
      <c r="E2947" s="72" t="n"/>
      <c r="F2947" s="65" t="n"/>
      <c r="G2947" s="68" t="str">
        <f>IF(J2947&lt;&gt;"OK","",IF(F2947="",N(INDEX(mat_loss,MATCH(B2947,mat_ref,0))),F2947))</f>
        <v/>
      </c>
      <c r="H2947" s="66" t="str">
        <f>IF(J2947&lt;&gt;"OK","",INDEX(mat_price,MATCH(B2947,mat_ref,0)))</f>
        <v/>
      </c>
      <c r="I2947" s="66" t="str">
        <f>IF(J2947&lt;&gt;"OK","",E2947*(1+G2947)*H2947)</f>
        <v/>
      </c>
      <c r="J2947" s="69" t="str">
        <f>IF(AND(A2947="",B2947=""),"",IF(A2947="","Produit manquant",IF(COUNTIF(prod_ref,A2947)=0,"Produit inconnu",IF(B2947="","Matière manquante",IF(ISNA(MATCH(B2947,mat_ref,0)),"Matière inconnue",IF(INDEX(mat_check,MATCH(B2947,mat_ref,0))&lt;&gt;"OK","Matière à corriger",IF(OR(NOT(ISNUMBER(E2947)),N(E2947)&lt;=0),"Quantité invalide",IF(AND(F2947&lt;&gt;"",OR(NOT(ISNUMBER(F2947)),N(F2947)&lt;0,N(F2947)&gt;=1)),"Perte entre 0 et 99 %",IF(COUNTIFS(bom_prod,A2947,bom_mat,B2947)&gt;1,"Matière en double","OK")))))))))</f>
        <v/>
      </c>
      <c r="K2947" s="71" t="str">
        <f>IF(AND(fiche_sel&lt;&gt;"",A2947=fiche_sel),COUNTIF(A$6:A2947,fiche_sel),"")</f>
        <v/>
      </c>
    </row>
    <row r="2948">
      <c r="A2948" s="60" t="n"/>
      <c r="B2948" s="60" t="n"/>
      <c r="C2948" s="71" t="str">
        <f>IF(B2948="","",IFERROR(INDEX(mat_des,MATCH(B2948,mat_ref,0))&amp;"","Matière inconnue"))</f>
        <v/>
      </c>
      <c r="D2948" s="69" t="str">
        <f>IF(B2948="","",IFERROR(INDEX(mat_unit,MATCH(B2948,mat_ref,0))&amp;"",""))</f>
        <v/>
      </c>
      <c r="E2948" s="72" t="n"/>
      <c r="F2948" s="65" t="n"/>
      <c r="G2948" s="68" t="str">
        <f>IF(J2948&lt;&gt;"OK","",IF(F2948="",N(INDEX(mat_loss,MATCH(B2948,mat_ref,0))),F2948))</f>
        <v/>
      </c>
      <c r="H2948" s="66" t="str">
        <f>IF(J2948&lt;&gt;"OK","",INDEX(mat_price,MATCH(B2948,mat_ref,0)))</f>
        <v/>
      </c>
      <c r="I2948" s="66" t="str">
        <f>IF(J2948&lt;&gt;"OK","",E2948*(1+G2948)*H2948)</f>
        <v/>
      </c>
      <c r="J2948" s="69" t="str">
        <f>IF(AND(A2948="",B2948=""),"",IF(A2948="","Produit manquant",IF(COUNTIF(prod_ref,A2948)=0,"Produit inconnu",IF(B2948="","Matière manquante",IF(ISNA(MATCH(B2948,mat_ref,0)),"Matière inconnue",IF(INDEX(mat_check,MATCH(B2948,mat_ref,0))&lt;&gt;"OK","Matière à corriger",IF(OR(NOT(ISNUMBER(E2948)),N(E2948)&lt;=0),"Quantité invalide",IF(AND(F2948&lt;&gt;"",OR(NOT(ISNUMBER(F2948)),N(F2948)&lt;0,N(F2948)&gt;=1)),"Perte entre 0 et 99 %",IF(COUNTIFS(bom_prod,A2948,bom_mat,B2948)&gt;1,"Matière en double","OK")))))))))</f>
        <v/>
      </c>
      <c r="K2948" s="71" t="str">
        <f>IF(AND(fiche_sel&lt;&gt;"",A2948=fiche_sel),COUNTIF(A$6:A2948,fiche_sel),"")</f>
        <v/>
      </c>
    </row>
    <row r="2949">
      <c r="A2949" s="60" t="n"/>
      <c r="B2949" s="60" t="n"/>
      <c r="C2949" s="71" t="str">
        <f>IF(B2949="","",IFERROR(INDEX(mat_des,MATCH(B2949,mat_ref,0))&amp;"","Matière inconnue"))</f>
        <v/>
      </c>
      <c r="D2949" s="69" t="str">
        <f>IF(B2949="","",IFERROR(INDEX(mat_unit,MATCH(B2949,mat_ref,0))&amp;"",""))</f>
        <v/>
      </c>
      <c r="E2949" s="72" t="n"/>
      <c r="F2949" s="65" t="n"/>
      <c r="G2949" s="68" t="str">
        <f>IF(J2949&lt;&gt;"OK","",IF(F2949="",N(INDEX(mat_loss,MATCH(B2949,mat_ref,0))),F2949))</f>
        <v/>
      </c>
      <c r="H2949" s="66" t="str">
        <f>IF(J2949&lt;&gt;"OK","",INDEX(mat_price,MATCH(B2949,mat_ref,0)))</f>
        <v/>
      </c>
      <c r="I2949" s="66" t="str">
        <f>IF(J2949&lt;&gt;"OK","",E2949*(1+G2949)*H2949)</f>
        <v/>
      </c>
      <c r="J2949" s="69" t="str">
        <f>IF(AND(A2949="",B2949=""),"",IF(A2949="","Produit manquant",IF(COUNTIF(prod_ref,A2949)=0,"Produit inconnu",IF(B2949="","Matière manquante",IF(ISNA(MATCH(B2949,mat_ref,0)),"Matière inconnue",IF(INDEX(mat_check,MATCH(B2949,mat_ref,0))&lt;&gt;"OK","Matière à corriger",IF(OR(NOT(ISNUMBER(E2949)),N(E2949)&lt;=0),"Quantité invalide",IF(AND(F2949&lt;&gt;"",OR(NOT(ISNUMBER(F2949)),N(F2949)&lt;0,N(F2949)&gt;=1)),"Perte entre 0 et 99 %",IF(COUNTIFS(bom_prod,A2949,bom_mat,B2949)&gt;1,"Matière en double","OK")))))))))</f>
        <v/>
      </c>
      <c r="K2949" s="71" t="str">
        <f>IF(AND(fiche_sel&lt;&gt;"",A2949=fiche_sel),COUNTIF(A$6:A2949,fiche_sel),"")</f>
        <v/>
      </c>
    </row>
    <row r="2950">
      <c r="A2950" s="60" t="n"/>
      <c r="B2950" s="60" t="n"/>
      <c r="C2950" s="71" t="str">
        <f>IF(B2950="","",IFERROR(INDEX(mat_des,MATCH(B2950,mat_ref,0))&amp;"","Matière inconnue"))</f>
        <v/>
      </c>
      <c r="D2950" s="69" t="str">
        <f>IF(B2950="","",IFERROR(INDEX(mat_unit,MATCH(B2950,mat_ref,0))&amp;"",""))</f>
        <v/>
      </c>
      <c r="E2950" s="72" t="n"/>
      <c r="F2950" s="65" t="n"/>
      <c r="G2950" s="68" t="str">
        <f>IF(J2950&lt;&gt;"OK","",IF(F2950="",N(INDEX(mat_loss,MATCH(B2950,mat_ref,0))),F2950))</f>
        <v/>
      </c>
      <c r="H2950" s="66" t="str">
        <f>IF(J2950&lt;&gt;"OK","",INDEX(mat_price,MATCH(B2950,mat_ref,0)))</f>
        <v/>
      </c>
      <c r="I2950" s="66" t="str">
        <f>IF(J2950&lt;&gt;"OK","",E2950*(1+G2950)*H2950)</f>
        <v/>
      </c>
      <c r="J2950" s="69" t="str">
        <f>IF(AND(A2950="",B2950=""),"",IF(A2950="","Produit manquant",IF(COUNTIF(prod_ref,A2950)=0,"Produit inconnu",IF(B2950="","Matière manquante",IF(ISNA(MATCH(B2950,mat_ref,0)),"Matière inconnue",IF(INDEX(mat_check,MATCH(B2950,mat_ref,0))&lt;&gt;"OK","Matière à corriger",IF(OR(NOT(ISNUMBER(E2950)),N(E2950)&lt;=0),"Quantité invalide",IF(AND(F2950&lt;&gt;"",OR(NOT(ISNUMBER(F2950)),N(F2950)&lt;0,N(F2950)&gt;=1)),"Perte entre 0 et 99 %",IF(COUNTIFS(bom_prod,A2950,bom_mat,B2950)&gt;1,"Matière en double","OK")))))))))</f>
        <v/>
      </c>
      <c r="K2950" s="71" t="str">
        <f>IF(AND(fiche_sel&lt;&gt;"",A2950=fiche_sel),COUNTIF(A$6:A2950,fiche_sel),"")</f>
        <v/>
      </c>
    </row>
    <row r="2951">
      <c r="A2951" s="60" t="n"/>
      <c r="B2951" s="60" t="n"/>
      <c r="C2951" s="71" t="str">
        <f>IF(B2951="","",IFERROR(INDEX(mat_des,MATCH(B2951,mat_ref,0))&amp;"","Matière inconnue"))</f>
        <v/>
      </c>
      <c r="D2951" s="69" t="str">
        <f>IF(B2951="","",IFERROR(INDEX(mat_unit,MATCH(B2951,mat_ref,0))&amp;"",""))</f>
        <v/>
      </c>
      <c r="E2951" s="72" t="n"/>
      <c r="F2951" s="65" t="n"/>
      <c r="G2951" s="68" t="str">
        <f>IF(J2951&lt;&gt;"OK","",IF(F2951="",N(INDEX(mat_loss,MATCH(B2951,mat_ref,0))),F2951))</f>
        <v/>
      </c>
      <c r="H2951" s="66" t="str">
        <f>IF(J2951&lt;&gt;"OK","",INDEX(mat_price,MATCH(B2951,mat_ref,0)))</f>
        <v/>
      </c>
      <c r="I2951" s="66" t="str">
        <f>IF(J2951&lt;&gt;"OK","",E2951*(1+G2951)*H2951)</f>
        <v/>
      </c>
      <c r="J2951" s="69" t="str">
        <f>IF(AND(A2951="",B2951=""),"",IF(A2951="","Produit manquant",IF(COUNTIF(prod_ref,A2951)=0,"Produit inconnu",IF(B2951="","Matière manquante",IF(ISNA(MATCH(B2951,mat_ref,0)),"Matière inconnue",IF(INDEX(mat_check,MATCH(B2951,mat_ref,0))&lt;&gt;"OK","Matière à corriger",IF(OR(NOT(ISNUMBER(E2951)),N(E2951)&lt;=0),"Quantité invalide",IF(AND(F2951&lt;&gt;"",OR(NOT(ISNUMBER(F2951)),N(F2951)&lt;0,N(F2951)&gt;=1)),"Perte entre 0 et 99 %",IF(COUNTIFS(bom_prod,A2951,bom_mat,B2951)&gt;1,"Matière en double","OK")))))))))</f>
        <v/>
      </c>
      <c r="K2951" s="71" t="str">
        <f>IF(AND(fiche_sel&lt;&gt;"",A2951=fiche_sel),COUNTIF(A$6:A2951,fiche_sel),"")</f>
        <v/>
      </c>
    </row>
    <row r="2952">
      <c r="A2952" s="60" t="n"/>
      <c r="B2952" s="60" t="n"/>
      <c r="C2952" s="71" t="str">
        <f>IF(B2952="","",IFERROR(INDEX(mat_des,MATCH(B2952,mat_ref,0))&amp;"","Matière inconnue"))</f>
        <v/>
      </c>
      <c r="D2952" s="69" t="str">
        <f>IF(B2952="","",IFERROR(INDEX(mat_unit,MATCH(B2952,mat_ref,0))&amp;"",""))</f>
        <v/>
      </c>
      <c r="E2952" s="72" t="n"/>
      <c r="F2952" s="65" t="n"/>
      <c r="G2952" s="68" t="str">
        <f>IF(J2952&lt;&gt;"OK","",IF(F2952="",N(INDEX(mat_loss,MATCH(B2952,mat_ref,0))),F2952))</f>
        <v/>
      </c>
      <c r="H2952" s="66" t="str">
        <f>IF(J2952&lt;&gt;"OK","",INDEX(mat_price,MATCH(B2952,mat_ref,0)))</f>
        <v/>
      </c>
      <c r="I2952" s="66" t="str">
        <f>IF(J2952&lt;&gt;"OK","",E2952*(1+G2952)*H2952)</f>
        <v/>
      </c>
      <c r="J2952" s="69" t="str">
        <f>IF(AND(A2952="",B2952=""),"",IF(A2952="","Produit manquant",IF(COUNTIF(prod_ref,A2952)=0,"Produit inconnu",IF(B2952="","Matière manquante",IF(ISNA(MATCH(B2952,mat_ref,0)),"Matière inconnue",IF(INDEX(mat_check,MATCH(B2952,mat_ref,0))&lt;&gt;"OK","Matière à corriger",IF(OR(NOT(ISNUMBER(E2952)),N(E2952)&lt;=0),"Quantité invalide",IF(AND(F2952&lt;&gt;"",OR(NOT(ISNUMBER(F2952)),N(F2952)&lt;0,N(F2952)&gt;=1)),"Perte entre 0 et 99 %",IF(COUNTIFS(bom_prod,A2952,bom_mat,B2952)&gt;1,"Matière en double","OK")))))))))</f>
        <v/>
      </c>
      <c r="K2952" s="71" t="str">
        <f>IF(AND(fiche_sel&lt;&gt;"",A2952=fiche_sel),COUNTIF(A$6:A2952,fiche_sel),"")</f>
        <v/>
      </c>
    </row>
    <row r="2953">
      <c r="A2953" s="60" t="n"/>
      <c r="B2953" s="60" t="n"/>
      <c r="C2953" s="71" t="str">
        <f>IF(B2953="","",IFERROR(INDEX(mat_des,MATCH(B2953,mat_ref,0))&amp;"","Matière inconnue"))</f>
        <v/>
      </c>
      <c r="D2953" s="69" t="str">
        <f>IF(B2953="","",IFERROR(INDEX(mat_unit,MATCH(B2953,mat_ref,0))&amp;"",""))</f>
        <v/>
      </c>
      <c r="E2953" s="72" t="n"/>
      <c r="F2953" s="65" t="n"/>
      <c r="G2953" s="68" t="str">
        <f>IF(J2953&lt;&gt;"OK","",IF(F2953="",N(INDEX(mat_loss,MATCH(B2953,mat_ref,0))),F2953))</f>
        <v/>
      </c>
      <c r="H2953" s="66" t="str">
        <f>IF(J2953&lt;&gt;"OK","",INDEX(mat_price,MATCH(B2953,mat_ref,0)))</f>
        <v/>
      </c>
      <c r="I2953" s="66" t="str">
        <f>IF(J2953&lt;&gt;"OK","",E2953*(1+G2953)*H2953)</f>
        <v/>
      </c>
      <c r="J2953" s="69" t="str">
        <f>IF(AND(A2953="",B2953=""),"",IF(A2953="","Produit manquant",IF(COUNTIF(prod_ref,A2953)=0,"Produit inconnu",IF(B2953="","Matière manquante",IF(ISNA(MATCH(B2953,mat_ref,0)),"Matière inconnue",IF(INDEX(mat_check,MATCH(B2953,mat_ref,0))&lt;&gt;"OK","Matière à corriger",IF(OR(NOT(ISNUMBER(E2953)),N(E2953)&lt;=0),"Quantité invalide",IF(AND(F2953&lt;&gt;"",OR(NOT(ISNUMBER(F2953)),N(F2953)&lt;0,N(F2953)&gt;=1)),"Perte entre 0 et 99 %",IF(COUNTIFS(bom_prod,A2953,bom_mat,B2953)&gt;1,"Matière en double","OK")))))))))</f>
        <v/>
      </c>
      <c r="K2953" s="71" t="str">
        <f>IF(AND(fiche_sel&lt;&gt;"",A2953=fiche_sel),COUNTIF(A$6:A2953,fiche_sel),"")</f>
        <v/>
      </c>
    </row>
    <row r="2954">
      <c r="A2954" s="60" t="n"/>
      <c r="B2954" s="60" t="n"/>
      <c r="C2954" s="71" t="str">
        <f>IF(B2954="","",IFERROR(INDEX(mat_des,MATCH(B2954,mat_ref,0))&amp;"","Matière inconnue"))</f>
        <v/>
      </c>
      <c r="D2954" s="69" t="str">
        <f>IF(B2954="","",IFERROR(INDEX(mat_unit,MATCH(B2954,mat_ref,0))&amp;"",""))</f>
        <v/>
      </c>
      <c r="E2954" s="72" t="n"/>
      <c r="F2954" s="65" t="n"/>
      <c r="G2954" s="68" t="str">
        <f>IF(J2954&lt;&gt;"OK","",IF(F2954="",N(INDEX(mat_loss,MATCH(B2954,mat_ref,0))),F2954))</f>
        <v/>
      </c>
      <c r="H2954" s="66" t="str">
        <f>IF(J2954&lt;&gt;"OK","",INDEX(mat_price,MATCH(B2954,mat_ref,0)))</f>
        <v/>
      </c>
      <c r="I2954" s="66" t="str">
        <f>IF(J2954&lt;&gt;"OK","",E2954*(1+G2954)*H2954)</f>
        <v/>
      </c>
      <c r="J2954" s="69" t="str">
        <f>IF(AND(A2954="",B2954=""),"",IF(A2954="","Produit manquant",IF(COUNTIF(prod_ref,A2954)=0,"Produit inconnu",IF(B2954="","Matière manquante",IF(ISNA(MATCH(B2954,mat_ref,0)),"Matière inconnue",IF(INDEX(mat_check,MATCH(B2954,mat_ref,0))&lt;&gt;"OK","Matière à corriger",IF(OR(NOT(ISNUMBER(E2954)),N(E2954)&lt;=0),"Quantité invalide",IF(AND(F2954&lt;&gt;"",OR(NOT(ISNUMBER(F2954)),N(F2954)&lt;0,N(F2954)&gt;=1)),"Perte entre 0 et 99 %",IF(COUNTIFS(bom_prod,A2954,bom_mat,B2954)&gt;1,"Matière en double","OK")))))))))</f>
        <v/>
      </c>
      <c r="K2954" s="71" t="str">
        <f>IF(AND(fiche_sel&lt;&gt;"",A2954=fiche_sel),COUNTIF(A$6:A2954,fiche_sel),"")</f>
        <v/>
      </c>
    </row>
    <row r="2955">
      <c r="A2955" s="60" t="n"/>
      <c r="B2955" s="60" t="n"/>
      <c r="C2955" s="71" t="str">
        <f>IF(B2955="","",IFERROR(INDEX(mat_des,MATCH(B2955,mat_ref,0))&amp;"","Matière inconnue"))</f>
        <v/>
      </c>
      <c r="D2955" s="69" t="str">
        <f>IF(B2955="","",IFERROR(INDEX(mat_unit,MATCH(B2955,mat_ref,0))&amp;"",""))</f>
        <v/>
      </c>
      <c r="E2955" s="72" t="n"/>
      <c r="F2955" s="65" t="n"/>
      <c r="G2955" s="68" t="str">
        <f>IF(J2955&lt;&gt;"OK","",IF(F2955="",N(INDEX(mat_loss,MATCH(B2955,mat_ref,0))),F2955))</f>
        <v/>
      </c>
      <c r="H2955" s="66" t="str">
        <f>IF(J2955&lt;&gt;"OK","",INDEX(mat_price,MATCH(B2955,mat_ref,0)))</f>
        <v/>
      </c>
      <c r="I2955" s="66" t="str">
        <f>IF(J2955&lt;&gt;"OK","",E2955*(1+G2955)*H2955)</f>
        <v/>
      </c>
      <c r="J2955" s="69" t="str">
        <f>IF(AND(A2955="",B2955=""),"",IF(A2955="","Produit manquant",IF(COUNTIF(prod_ref,A2955)=0,"Produit inconnu",IF(B2955="","Matière manquante",IF(ISNA(MATCH(B2955,mat_ref,0)),"Matière inconnue",IF(INDEX(mat_check,MATCH(B2955,mat_ref,0))&lt;&gt;"OK","Matière à corriger",IF(OR(NOT(ISNUMBER(E2955)),N(E2955)&lt;=0),"Quantité invalide",IF(AND(F2955&lt;&gt;"",OR(NOT(ISNUMBER(F2955)),N(F2955)&lt;0,N(F2955)&gt;=1)),"Perte entre 0 et 99 %",IF(COUNTIFS(bom_prod,A2955,bom_mat,B2955)&gt;1,"Matière en double","OK")))))))))</f>
        <v/>
      </c>
      <c r="K2955" s="71" t="str">
        <f>IF(AND(fiche_sel&lt;&gt;"",A2955=fiche_sel),COUNTIF(A$6:A2955,fiche_sel),"")</f>
        <v/>
      </c>
    </row>
    <row r="2956">
      <c r="A2956" s="60" t="n"/>
      <c r="B2956" s="60" t="n"/>
      <c r="C2956" s="71" t="str">
        <f>IF(B2956="","",IFERROR(INDEX(mat_des,MATCH(B2956,mat_ref,0))&amp;"","Matière inconnue"))</f>
        <v/>
      </c>
      <c r="D2956" s="69" t="str">
        <f>IF(B2956="","",IFERROR(INDEX(mat_unit,MATCH(B2956,mat_ref,0))&amp;"",""))</f>
        <v/>
      </c>
      <c r="E2956" s="72" t="n"/>
      <c r="F2956" s="65" t="n"/>
      <c r="G2956" s="68" t="str">
        <f>IF(J2956&lt;&gt;"OK","",IF(F2956="",N(INDEX(mat_loss,MATCH(B2956,mat_ref,0))),F2956))</f>
        <v/>
      </c>
      <c r="H2956" s="66" t="str">
        <f>IF(J2956&lt;&gt;"OK","",INDEX(mat_price,MATCH(B2956,mat_ref,0)))</f>
        <v/>
      </c>
      <c r="I2956" s="66" t="str">
        <f>IF(J2956&lt;&gt;"OK","",E2956*(1+G2956)*H2956)</f>
        <v/>
      </c>
      <c r="J2956" s="69" t="str">
        <f>IF(AND(A2956="",B2956=""),"",IF(A2956="","Produit manquant",IF(COUNTIF(prod_ref,A2956)=0,"Produit inconnu",IF(B2956="","Matière manquante",IF(ISNA(MATCH(B2956,mat_ref,0)),"Matière inconnue",IF(INDEX(mat_check,MATCH(B2956,mat_ref,0))&lt;&gt;"OK","Matière à corriger",IF(OR(NOT(ISNUMBER(E2956)),N(E2956)&lt;=0),"Quantité invalide",IF(AND(F2956&lt;&gt;"",OR(NOT(ISNUMBER(F2956)),N(F2956)&lt;0,N(F2956)&gt;=1)),"Perte entre 0 et 99 %",IF(COUNTIFS(bom_prod,A2956,bom_mat,B2956)&gt;1,"Matière en double","OK")))))))))</f>
        <v/>
      </c>
      <c r="K2956" s="71" t="str">
        <f>IF(AND(fiche_sel&lt;&gt;"",A2956=fiche_sel),COUNTIF(A$6:A2956,fiche_sel),"")</f>
        <v/>
      </c>
    </row>
    <row r="2957">
      <c r="A2957" s="60" t="n"/>
      <c r="B2957" s="60" t="n"/>
      <c r="C2957" s="71" t="str">
        <f>IF(B2957="","",IFERROR(INDEX(mat_des,MATCH(B2957,mat_ref,0))&amp;"","Matière inconnue"))</f>
        <v/>
      </c>
      <c r="D2957" s="69" t="str">
        <f>IF(B2957="","",IFERROR(INDEX(mat_unit,MATCH(B2957,mat_ref,0))&amp;"",""))</f>
        <v/>
      </c>
      <c r="E2957" s="72" t="n"/>
      <c r="F2957" s="65" t="n"/>
      <c r="G2957" s="68" t="str">
        <f>IF(J2957&lt;&gt;"OK","",IF(F2957="",N(INDEX(mat_loss,MATCH(B2957,mat_ref,0))),F2957))</f>
        <v/>
      </c>
      <c r="H2957" s="66" t="str">
        <f>IF(J2957&lt;&gt;"OK","",INDEX(mat_price,MATCH(B2957,mat_ref,0)))</f>
        <v/>
      </c>
      <c r="I2957" s="66" t="str">
        <f>IF(J2957&lt;&gt;"OK","",E2957*(1+G2957)*H2957)</f>
        <v/>
      </c>
      <c r="J2957" s="69" t="str">
        <f>IF(AND(A2957="",B2957=""),"",IF(A2957="","Produit manquant",IF(COUNTIF(prod_ref,A2957)=0,"Produit inconnu",IF(B2957="","Matière manquante",IF(ISNA(MATCH(B2957,mat_ref,0)),"Matière inconnue",IF(INDEX(mat_check,MATCH(B2957,mat_ref,0))&lt;&gt;"OK","Matière à corriger",IF(OR(NOT(ISNUMBER(E2957)),N(E2957)&lt;=0),"Quantité invalide",IF(AND(F2957&lt;&gt;"",OR(NOT(ISNUMBER(F2957)),N(F2957)&lt;0,N(F2957)&gt;=1)),"Perte entre 0 et 99 %",IF(COUNTIFS(bom_prod,A2957,bom_mat,B2957)&gt;1,"Matière en double","OK")))))))))</f>
        <v/>
      </c>
      <c r="K2957" s="71" t="str">
        <f>IF(AND(fiche_sel&lt;&gt;"",A2957=fiche_sel),COUNTIF(A$6:A2957,fiche_sel),"")</f>
        <v/>
      </c>
    </row>
    <row r="2958">
      <c r="A2958" s="60" t="n"/>
      <c r="B2958" s="60" t="n"/>
      <c r="C2958" s="71" t="str">
        <f>IF(B2958="","",IFERROR(INDEX(mat_des,MATCH(B2958,mat_ref,0))&amp;"","Matière inconnue"))</f>
        <v/>
      </c>
      <c r="D2958" s="69" t="str">
        <f>IF(B2958="","",IFERROR(INDEX(mat_unit,MATCH(B2958,mat_ref,0))&amp;"",""))</f>
        <v/>
      </c>
      <c r="E2958" s="72" t="n"/>
      <c r="F2958" s="65" t="n"/>
      <c r="G2958" s="68" t="str">
        <f>IF(J2958&lt;&gt;"OK","",IF(F2958="",N(INDEX(mat_loss,MATCH(B2958,mat_ref,0))),F2958))</f>
        <v/>
      </c>
      <c r="H2958" s="66" t="str">
        <f>IF(J2958&lt;&gt;"OK","",INDEX(mat_price,MATCH(B2958,mat_ref,0)))</f>
        <v/>
      </c>
      <c r="I2958" s="66" t="str">
        <f>IF(J2958&lt;&gt;"OK","",E2958*(1+G2958)*H2958)</f>
        <v/>
      </c>
      <c r="J2958" s="69" t="str">
        <f>IF(AND(A2958="",B2958=""),"",IF(A2958="","Produit manquant",IF(COUNTIF(prod_ref,A2958)=0,"Produit inconnu",IF(B2958="","Matière manquante",IF(ISNA(MATCH(B2958,mat_ref,0)),"Matière inconnue",IF(INDEX(mat_check,MATCH(B2958,mat_ref,0))&lt;&gt;"OK","Matière à corriger",IF(OR(NOT(ISNUMBER(E2958)),N(E2958)&lt;=0),"Quantité invalide",IF(AND(F2958&lt;&gt;"",OR(NOT(ISNUMBER(F2958)),N(F2958)&lt;0,N(F2958)&gt;=1)),"Perte entre 0 et 99 %",IF(COUNTIFS(bom_prod,A2958,bom_mat,B2958)&gt;1,"Matière en double","OK")))))))))</f>
        <v/>
      </c>
      <c r="K2958" s="71" t="str">
        <f>IF(AND(fiche_sel&lt;&gt;"",A2958=fiche_sel),COUNTIF(A$6:A2958,fiche_sel),"")</f>
        <v/>
      </c>
    </row>
    <row r="2959">
      <c r="A2959" s="60" t="n"/>
      <c r="B2959" s="60" t="n"/>
      <c r="C2959" s="71" t="str">
        <f>IF(B2959="","",IFERROR(INDEX(mat_des,MATCH(B2959,mat_ref,0))&amp;"","Matière inconnue"))</f>
        <v/>
      </c>
      <c r="D2959" s="69" t="str">
        <f>IF(B2959="","",IFERROR(INDEX(mat_unit,MATCH(B2959,mat_ref,0))&amp;"",""))</f>
        <v/>
      </c>
      <c r="E2959" s="72" t="n"/>
      <c r="F2959" s="65" t="n"/>
      <c r="G2959" s="68" t="str">
        <f>IF(J2959&lt;&gt;"OK","",IF(F2959="",N(INDEX(mat_loss,MATCH(B2959,mat_ref,0))),F2959))</f>
        <v/>
      </c>
      <c r="H2959" s="66" t="str">
        <f>IF(J2959&lt;&gt;"OK","",INDEX(mat_price,MATCH(B2959,mat_ref,0)))</f>
        <v/>
      </c>
      <c r="I2959" s="66" t="str">
        <f>IF(J2959&lt;&gt;"OK","",E2959*(1+G2959)*H2959)</f>
        <v/>
      </c>
      <c r="J2959" s="69" t="str">
        <f>IF(AND(A2959="",B2959=""),"",IF(A2959="","Produit manquant",IF(COUNTIF(prod_ref,A2959)=0,"Produit inconnu",IF(B2959="","Matière manquante",IF(ISNA(MATCH(B2959,mat_ref,0)),"Matière inconnue",IF(INDEX(mat_check,MATCH(B2959,mat_ref,0))&lt;&gt;"OK","Matière à corriger",IF(OR(NOT(ISNUMBER(E2959)),N(E2959)&lt;=0),"Quantité invalide",IF(AND(F2959&lt;&gt;"",OR(NOT(ISNUMBER(F2959)),N(F2959)&lt;0,N(F2959)&gt;=1)),"Perte entre 0 et 99 %",IF(COUNTIFS(bom_prod,A2959,bom_mat,B2959)&gt;1,"Matière en double","OK")))))))))</f>
        <v/>
      </c>
      <c r="K2959" s="71" t="str">
        <f>IF(AND(fiche_sel&lt;&gt;"",A2959=fiche_sel),COUNTIF(A$6:A2959,fiche_sel),"")</f>
        <v/>
      </c>
    </row>
    <row r="2960">
      <c r="A2960" s="60" t="n"/>
      <c r="B2960" s="60" t="n"/>
      <c r="C2960" s="71" t="str">
        <f>IF(B2960="","",IFERROR(INDEX(mat_des,MATCH(B2960,mat_ref,0))&amp;"","Matière inconnue"))</f>
        <v/>
      </c>
      <c r="D2960" s="69" t="str">
        <f>IF(B2960="","",IFERROR(INDEX(mat_unit,MATCH(B2960,mat_ref,0))&amp;"",""))</f>
        <v/>
      </c>
      <c r="E2960" s="72" t="n"/>
      <c r="F2960" s="65" t="n"/>
      <c r="G2960" s="68" t="str">
        <f>IF(J2960&lt;&gt;"OK","",IF(F2960="",N(INDEX(mat_loss,MATCH(B2960,mat_ref,0))),F2960))</f>
        <v/>
      </c>
      <c r="H2960" s="66" t="str">
        <f>IF(J2960&lt;&gt;"OK","",INDEX(mat_price,MATCH(B2960,mat_ref,0)))</f>
        <v/>
      </c>
      <c r="I2960" s="66" t="str">
        <f>IF(J2960&lt;&gt;"OK","",E2960*(1+G2960)*H2960)</f>
        <v/>
      </c>
      <c r="J2960" s="69" t="str">
        <f>IF(AND(A2960="",B2960=""),"",IF(A2960="","Produit manquant",IF(COUNTIF(prod_ref,A2960)=0,"Produit inconnu",IF(B2960="","Matière manquante",IF(ISNA(MATCH(B2960,mat_ref,0)),"Matière inconnue",IF(INDEX(mat_check,MATCH(B2960,mat_ref,0))&lt;&gt;"OK","Matière à corriger",IF(OR(NOT(ISNUMBER(E2960)),N(E2960)&lt;=0),"Quantité invalide",IF(AND(F2960&lt;&gt;"",OR(NOT(ISNUMBER(F2960)),N(F2960)&lt;0,N(F2960)&gt;=1)),"Perte entre 0 et 99 %",IF(COUNTIFS(bom_prod,A2960,bom_mat,B2960)&gt;1,"Matière en double","OK")))))))))</f>
        <v/>
      </c>
      <c r="K2960" s="71" t="str">
        <f>IF(AND(fiche_sel&lt;&gt;"",A2960=fiche_sel),COUNTIF(A$6:A2960,fiche_sel),"")</f>
        <v/>
      </c>
    </row>
    <row r="2961">
      <c r="A2961" s="60" t="n"/>
      <c r="B2961" s="60" t="n"/>
      <c r="C2961" s="71" t="str">
        <f>IF(B2961="","",IFERROR(INDEX(mat_des,MATCH(B2961,mat_ref,0))&amp;"","Matière inconnue"))</f>
        <v/>
      </c>
      <c r="D2961" s="69" t="str">
        <f>IF(B2961="","",IFERROR(INDEX(mat_unit,MATCH(B2961,mat_ref,0))&amp;"",""))</f>
        <v/>
      </c>
      <c r="E2961" s="72" t="n"/>
      <c r="F2961" s="65" t="n"/>
      <c r="G2961" s="68" t="str">
        <f>IF(J2961&lt;&gt;"OK","",IF(F2961="",N(INDEX(mat_loss,MATCH(B2961,mat_ref,0))),F2961))</f>
        <v/>
      </c>
      <c r="H2961" s="66" t="str">
        <f>IF(J2961&lt;&gt;"OK","",INDEX(mat_price,MATCH(B2961,mat_ref,0)))</f>
        <v/>
      </c>
      <c r="I2961" s="66" t="str">
        <f>IF(J2961&lt;&gt;"OK","",E2961*(1+G2961)*H2961)</f>
        <v/>
      </c>
      <c r="J2961" s="69" t="str">
        <f>IF(AND(A2961="",B2961=""),"",IF(A2961="","Produit manquant",IF(COUNTIF(prod_ref,A2961)=0,"Produit inconnu",IF(B2961="","Matière manquante",IF(ISNA(MATCH(B2961,mat_ref,0)),"Matière inconnue",IF(INDEX(mat_check,MATCH(B2961,mat_ref,0))&lt;&gt;"OK","Matière à corriger",IF(OR(NOT(ISNUMBER(E2961)),N(E2961)&lt;=0),"Quantité invalide",IF(AND(F2961&lt;&gt;"",OR(NOT(ISNUMBER(F2961)),N(F2961)&lt;0,N(F2961)&gt;=1)),"Perte entre 0 et 99 %",IF(COUNTIFS(bom_prod,A2961,bom_mat,B2961)&gt;1,"Matière en double","OK")))))))))</f>
        <v/>
      </c>
      <c r="K2961" s="71" t="str">
        <f>IF(AND(fiche_sel&lt;&gt;"",A2961=fiche_sel),COUNTIF(A$6:A2961,fiche_sel),"")</f>
        <v/>
      </c>
    </row>
    <row r="2962">
      <c r="A2962" s="60" t="n"/>
      <c r="B2962" s="60" t="n"/>
      <c r="C2962" s="71" t="str">
        <f>IF(B2962="","",IFERROR(INDEX(mat_des,MATCH(B2962,mat_ref,0))&amp;"","Matière inconnue"))</f>
        <v/>
      </c>
      <c r="D2962" s="69" t="str">
        <f>IF(B2962="","",IFERROR(INDEX(mat_unit,MATCH(B2962,mat_ref,0))&amp;"",""))</f>
        <v/>
      </c>
      <c r="E2962" s="72" t="n"/>
      <c r="F2962" s="65" t="n"/>
      <c r="G2962" s="68" t="str">
        <f>IF(J2962&lt;&gt;"OK","",IF(F2962="",N(INDEX(mat_loss,MATCH(B2962,mat_ref,0))),F2962))</f>
        <v/>
      </c>
      <c r="H2962" s="66" t="str">
        <f>IF(J2962&lt;&gt;"OK","",INDEX(mat_price,MATCH(B2962,mat_ref,0)))</f>
        <v/>
      </c>
      <c r="I2962" s="66" t="str">
        <f>IF(J2962&lt;&gt;"OK","",E2962*(1+G2962)*H2962)</f>
        <v/>
      </c>
      <c r="J2962" s="69" t="str">
        <f>IF(AND(A2962="",B2962=""),"",IF(A2962="","Produit manquant",IF(COUNTIF(prod_ref,A2962)=0,"Produit inconnu",IF(B2962="","Matière manquante",IF(ISNA(MATCH(B2962,mat_ref,0)),"Matière inconnue",IF(INDEX(mat_check,MATCH(B2962,mat_ref,0))&lt;&gt;"OK","Matière à corriger",IF(OR(NOT(ISNUMBER(E2962)),N(E2962)&lt;=0),"Quantité invalide",IF(AND(F2962&lt;&gt;"",OR(NOT(ISNUMBER(F2962)),N(F2962)&lt;0,N(F2962)&gt;=1)),"Perte entre 0 et 99 %",IF(COUNTIFS(bom_prod,A2962,bom_mat,B2962)&gt;1,"Matière en double","OK")))))))))</f>
        <v/>
      </c>
      <c r="K2962" s="71" t="str">
        <f>IF(AND(fiche_sel&lt;&gt;"",A2962=fiche_sel),COUNTIF(A$6:A2962,fiche_sel),"")</f>
        <v/>
      </c>
    </row>
    <row r="2963">
      <c r="A2963" s="60" t="n"/>
      <c r="B2963" s="60" t="n"/>
      <c r="C2963" s="71" t="str">
        <f>IF(B2963="","",IFERROR(INDEX(mat_des,MATCH(B2963,mat_ref,0))&amp;"","Matière inconnue"))</f>
        <v/>
      </c>
      <c r="D2963" s="69" t="str">
        <f>IF(B2963="","",IFERROR(INDEX(mat_unit,MATCH(B2963,mat_ref,0))&amp;"",""))</f>
        <v/>
      </c>
      <c r="E2963" s="72" t="n"/>
      <c r="F2963" s="65" t="n"/>
      <c r="G2963" s="68" t="str">
        <f>IF(J2963&lt;&gt;"OK","",IF(F2963="",N(INDEX(mat_loss,MATCH(B2963,mat_ref,0))),F2963))</f>
        <v/>
      </c>
      <c r="H2963" s="66" t="str">
        <f>IF(J2963&lt;&gt;"OK","",INDEX(mat_price,MATCH(B2963,mat_ref,0)))</f>
        <v/>
      </c>
      <c r="I2963" s="66" t="str">
        <f>IF(J2963&lt;&gt;"OK","",E2963*(1+G2963)*H2963)</f>
        <v/>
      </c>
      <c r="J2963" s="69" t="str">
        <f>IF(AND(A2963="",B2963=""),"",IF(A2963="","Produit manquant",IF(COUNTIF(prod_ref,A2963)=0,"Produit inconnu",IF(B2963="","Matière manquante",IF(ISNA(MATCH(B2963,mat_ref,0)),"Matière inconnue",IF(INDEX(mat_check,MATCH(B2963,mat_ref,0))&lt;&gt;"OK","Matière à corriger",IF(OR(NOT(ISNUMBER(E2963)),N(E2963)&lt;=0),"Quantité invalide",IF(AND(F2963&lt;&gt;"",OR(NOT(ISNUMBER(F2963)),N(F2963)&lt;0,N(F2963)&gt;=1)),"Perte entre 0 et 99 %",IF(COUNTIFS(bom_prod,A2963,bom_mat,B2963)&gt;1,"Matière en double","OK")))))))))</f>
        <v/>
      </c>
      <c r="K2963" s="71" t="str">
        <f>IF(AND(fiche_sel&lt;&gt;"",A2963=fiche_sel),COUNTIF(A$6:A2963,fiche_sel),"")</f>
        <v/>
      </c>
    </row>
    <row r="2964">
      <c r="A2964" s="60" t="n"/>
      <c r="B2964" s="60" t="n"/>
      <c r="C2964" s="71" t="str">
        <f>IF(B2964="","",IFERROR(INDEX(mat_des,MATCH(B2964,mat_ref,0))&amp;"","Matière inconnue"))</f>
        <v/>
      </c>
      <c r="D2964" s="69" t="str">
        <f>IF(B2964="","",IFERROR(INDEX(mat_unit,MATCH(B2964,mat_ref,0))&amp;"",""))</f>
        <v/>
      </c>
      <c r="E2964" s="72" t="n"/>
      <c r="F2964" s="65" t="n"/>
      <c r="G2964" s="68" t="str">
        <f>IF(J2964&lt;&gt;"OK","",IF(F2964="",N(INDEX(mat_loss,MATCH(B2964,mat_ref,0))),F2964))</f>
        <v/>
      </c>
      <c r="H2964" s="66" t="str">
        <f>IF(J2964&lt;&gt;"OK","",INDEX(mat_price,MATCH(B2964,mat_ref,0)))</f>
        <v/>
      </c>
      <c r="I2964" s="66" t="str">
        <f>IF(J2964&lt;&gt;"OK","",E2964*(1+G2964)*H2964)</f>
        <v/>
      </c>
      <c r="J2964" s="69" t="str">
        <f>IF(AND(A2964="",B2964=""),"",IF(A2964="","Produit manquant",IF(COUNTIF(prod_ref,A2964)=0,"Produit inconnu",IF(B2964="","Matière manquante",IF(ISNA(MATCH(B2964,mat_ref,0)),"Matière inconnue",IF(INDEX(mat_check,MATCH(B2964,mat_ref,0))&lt;&gt;"OK","Matière à corriger",IF(OR(NOT(ISNUMBER(E2964)),N(E2964)&lt;=0),"Quantité invalide",IF(AND(F2964&lt;&gt;"",OR(NOT(ISNUMBER(F2964)),N(F2964)&lt;0,N(F2964)&gt;=1)),"Perte entre 0 et 99 %",IF(COUNTIFS(bom_prod,A2964,bom_mat,B2964)&gt;1,"Matière en double","OK")))))))))</f>
        <v/>
      </c>
      <c r="K2964" s="71" t="str">
        <f>IF(AND(fiche_sel&lt;&gt;"",A2964=fiche_sel),COUNTIF(A$6:A2964,fiche_sel),"")</f>
        <v/>
      </c>
    </row>
    <row r="2965">
      <c r="A2965" s="60" t="n"/>
      <c r="B2965" s="60" t="n"/>
      <c r="C2965" s="71" t="str">
        <f>IF(B2965="","",IFERROR(INDEX(mat_des,MATCH(B2965,mat_ref,0))&amp;"","Matière inconnue"))</f>
        <v/>
      </c>
      <c r="D2965" s="69" t="str">
        <f>IF(B2965="","",IFERROR(INDEX(mat_unit,MATCH(B2965,mat_ref,0))&amp;"",""))</f>
        <v/>
      </c>
      <c r="E2965" s="72" t="n"/>
      <c r="F2965" s="65" t="n"/>
      <c r="G2965" s="68" t="str">
        <f>IF(J2965&lt;&gt;"OK","",IF(F2965="",N(INDEX(mat_loss,MATCH(B2965,mat_ref,0))),F2965))</f>
        <v/>
      </c>
      <c r="H2965" s="66" t="str">
        <f>IF(J2965&lt;&gt;"OK","",INDEX(mat_price,MATCH(B2965,mat_ref,0)))</f>
        <v/>
      </c>
      <c r="I2965" s="66" t="str">
        <f>IF(J2965&lt;&gt;"OK","",E2965*(1+G2965)*H2965)</f>
        <v/>
      </c>
      <c r="J2965" s="69" t="str">
        <f>IF(AND(A2965="",B2965=""),"",IF(A2965="","Produit manquant",IF(COUNTIF(prod_ref,A2965)=0,"Produit inconnu",IF(B2965="","Matière manquante",IF(ISNA(MATCH(B2965,mat_ref,0)),"Matière inconnue",IF(INDEX(mat_check,MATCH(B2965,mat_ref,0))&lt;&gt;"OK","Matière à corriger",IF(OR(NOT(ISNUMBER(E2965)),N(E2965)&lt;=0),"Quantité invalide",IF(AND(F2965&lt;&gt;"",OR(NOT(ISNUMBER(F2965)),N(F2965)&lt;0,N(F2965)&gt;=1)),"Perte entre 0 et 99 %",IF(COUNTIFS(bom_prod,A2965,bom_mat,B2965)&gt;1,"Matière en double","OK")))))))))</f>
        <v/>
      </c>
      <c r="K2965" s="71" t="str">
        <f>IF(AND(fiche_sel&lt;&gt;"",A2965=fiche_sel),COUNTIF(A$6:A2965,fiche_sel),"")</f>
        <v/>
      </c>
    </row>
    <row r="2966">
      <c r="A2966" s="60" t="n"/>
      <c r="B2966" s="60" t="n"/>
      <c r="C2966" s="71" t="str">
        <f>IF(B2966="","",IFERROR(INDEX(mat_des,MATCH(B2966,mat_ref,0))&amp;"","Matière inconnue"))</f>
        <v/>
      </c>
      <c r="D2966" s="69" t="str">
        <f>IF(B2966="","",IFERROR(INDEX(mat_unit,MATCH(B2966,mat_ref,0))&amp;"",""))</f>
        <v/>
      </c>
      <c r="E2966" s="72" t="n"/>
      <c r="F2966" s="65" t="n"/>
      <c r="G2966" s="68" t="str">
        <f>IF(J2966&lt;&gt;"OK","",IF(F2966="",N(INDEX(mat_loss,MATCH(B2966,mat_ref,0))),F2966))</f>
        <v/>
      </c>
      <c r="H2966" s="66" t="str">
        <f>IF(J2966&lt;&gt;"OK","",INDEX(mat_price,MATCH(B2966,mat_ref,0)))</f>
        <v/>
      </c>
      <c r="I2966" s="66" t="str">
        <f>IF(J2966&lt;&gt;"OK","",E2966*(1+G2966)*H2966)</f>
        <v/>
      </c>
      <c r="J2966" s="69" t="str">
        <f>IF(AND(A2966="",B2966=""),"",IF(A2966="","Produit manquant",IF(COUNTIF(prod_ref,A2966)=0,"Produit inconnu",IF(B2966="","Matière manquante",IF(ISNA(MATCH(B2966,mat_ref,0)),"Matière inconnue",IF(INDEX(mat_check,MATCH(B2966,mat_ref,0))&lt;&gt;"OK","Matière à corriger",IF(OR(NOT(ISNUMBER(E2966)),N(E2966)&lt;=0),"Quantité invalide",IF(AND(F2966&lt;&gt;"",OR(NOT(ISNUMBER(F2966)),N(F2966)&lt;0,N(F2966)&gt;=1)),"Perte entre 0 et 99 %",IF(COUNTIFS(bom_prod,A2966,bom_mat,B2966)&gt;1,"Matière en double","OK")))))))))</f>
        <v/>
      </c>
      <c r="K2966" s="71" t="str">
        <f>IF(AND(fiche_sel&lt;&gt;"",A2966=fiche_sel),COUNTIF(A$6:A2966,fiche_sel),"")</f>
        <v/>
      </c>
    </row>
    <row r="2967">
      <c r="A2967" s="60" t="n"/>
      <c r="B2967" s="60" t="n"/>
      <c r="C2967" s="71" t="str">
        <f>IF(B2967="","",IFERROR(INDEX(mat_des,MATCH(B2967,mat_ref,0))&amp;"","Matière inconnue"))</f>
        <v/>
      </c>
      <c r="D2967" s="69" t="str">
        <f>IF(B2967="","",IFERROR(INDEX(mat_unit,MATCH(B2967,mat_ref,0))&amp;"",""))</f>
        <v/>
      </c>
      <c r="E2967" s="72" t="n"/>
      <c r="F2967" s="65" t="n"/>
      <c r="G2967" s="68" t="str">
        <f>IF(J2967&lt;&gt;"OK","",IF(F2967="",N(INDEX(mat_loss,MATCH(B2967,mat_ref,0))),F2967))</f>
        <v/>
      </c>
      <c r="H2967" s="66" t="str">
        <f>IF(J2967&lt;&gt;"OK","",INDEX(mat_price,MATCH(B2967,mat_ref,0)))</f>
        <v/>
      </c>
      <c r="I2967" s="66" t="str">
        <f>IF(J2967&lt;&gt;"OK","",E2967*(1+G2967)*H2967)</f>
        <v/>
      </c>
      <c r="J2967" s="69" t="str">
        <f>IF(AND(A2967="",B2967=""),"",IF(A2967="","Produit manquant",IF(COUNTIF(prod_ref,A2967)=0,"Produit inconnu",IF(B2967="","Matière manquante",IF(ISNA(MATCH(B2967,mat_ref,0)),"Matière inconnue",IF(INDEX(mat_check,MATCH(B2967,mat_ref,0))&lt;&gt;"OK","Matière à corriger",IF(OR(NOT(ISNUMBER(E2967)),N(E2967)&lt;=0),"Quantité invalide",IF(AND(F2967&lt;&gt;"",OR(NOT(ISNUMBER(F2967)),N(F2967)&lt;0,N(F2967)&gt;=1)),"Perte entre 0 et 99 %",IF(COUNTIFS(bom_prod,A2967,bom_mat,B2967)&gt;1,"Matière en double","OK")))))))))</f>
        <v/>
      </c>
      <c r="K2967" s="71" t="str">
        <f>IF(AND(fiche_sel&lt;&gt;"",A2967=fiche_sel),COUNTIF(A$6:A2967,fiche_sel),"")</f>
        <v/>
      </c>
    </row>
    <row r="2968">
      <c r="A2968" s="60" t="n"/>
      <c r="B2968" s="60" t="n"/>
      <c r="C2968" s="71" t="str">
        <f>IF(B2968="","",IFERROR(INDEX(mat_des,MATCH(B2968,mat_ref,0))&amp;"","Matière inconnue"))</f>
        <v/>
      </c>
      <c r="D2968" s="69" t="str">
        <f>IF(B2968="","",IFERROR(INDEX(mat_unit,MATCH(B2968,mat_ref,0))&amp;"",""))</f>
        <v/>
      </c>
      <c r="E2968" s="72" t="n"/>
      <c r="F2968" s="65" t="n"/>
      <c r="G2968" s="68" t="str">
        <f>IF(J2968&lt;&gt;"OK","",IF(F2968="",N(INDEX(mat_loss,MATCH(B2968,mat_ref,0))),F2968))</f>
        <v/>
      </c>
      <c r="H2968" s="66" t="str">
        <f>IF(J2968&lt;&gt;"OK","",INDEX(mat_price,MATCH(B2968,mat_ref,0)))</f>
        <v/>
      </c>
      <c r="I2968" s="66" t="str">
        <f>IF(J2968&lt;&gt;"OK","",E2968*(1+G2968)*H2968)</f>
        <v/>
      </c>
      <c r="J2968" s="69" t="str">
        <f>IF(AND(A2968="",B2968=""),"",IF(A2968="","Produit manquant",IF(COUNTIF(prod_ref,A2968)=0,"Produit inconnu",IF(B2968="","Matière manquante",IF(ISNA(MATCH(B2968,mat_ref,0)),"Matière inconnue",IF(INDEX(mat_check,MATCH(B2968,mat_ref,0))&lt;&gt;"OK","Matière à corriger",IF(OR(NOT(ISNUMBER(E2968)),N(E2968)&lt;=0),"Quantité invalide",IF(AND(F2968&lt;&gt;"",OR(NOT(ISNUMBER(F2968)),N(F2968)&lt;0,N(F2968)&gt;=1)),"Perte entre 0 et 99 %",IF(COUNTIFS(bom_prod,A2968,bom_mat,B2968)&gt;1,"Matière en double","OK")))))))))</f>
        <v/>
      </c>
      <c r="K2968" s="71" t="str">
        <f>IF(AND(fiche_sel&lt;&gt;"",A2968=fiche_sel),COUNTIF(A$6:A2968,fiche_sel),"")</f>
        <v/>
      </c>
    </row>
    <row r="2969">
      <c r="A2969" s="60" t="n"/>
      <c r="B2969" s="60" t="n"/>
      <c r="C2969" s="71" t="str">
        <f>IF(B2969="","",IFERROR(INDEX(mat_des,MATCH(B2969,mat_ref,0))&amp;"","Matière inconnue"))</f>
        <v/>
      </c>
      <c r="D2969" s="69" t="str">
        <f>IF(B2969="","",IFERROR(INDEX(mat_unit,MATCH(B2969,mat_ref,0))&amp;"",""))</f>
        <v/>
      </c>
      <c r="E2969" s="72" t="n"/>
      <c r="F2969" s="65" t="n"/>
      <c r="G2969" s="68" t="str">
        <f>IF(J2969&lt;&gt;"OK","",IF(F2969="",N(INDEX(mat_loss,MATCH(B2969,mat_ref,0))),F2969))</f>
        <v/>
      </c>
      <c r="H2969" s="66" t="str">
        <f>IF(J2969&lt;&gt;"OK","",INDEX(mat_price,MATCH(B2969,mat_ref,0)))</f>
        <v/>
      </c>
      <c r="I2969" s="66" t="str">
        <f>IF(J2969&lt;&gt;"OK","",E2969*(1+G2969)*H2969)</f>
        <v/>
      </c>
      <c r="J2969" s="69" t="str">
        <f>IF(AND(A2969="",B2969=""),"",IF(A2969="","Produit manquant",IF(COUNTIF(prod_ref,A2969)=0,"Produit inconnu",IF(B2969="","Matière manquante",IF(ISNA(MATCH(B2969,mat_ref,0)),"Matière inconnue",IF(INDEX(mat_check,MATCH(B2969,mat_ref,0))&lt;&gt;"OK","Matière à corriger",IF(OR(NOT(ISNUMBER(E2969)),N(E2969)&lt;=0),"Quantité invalide",IF(AND(F2969&lt;&gt;"",OR(NOT(ISNUMBER(F2969)),N(F2969)&lt;0,N(F2969)&gt;=1)),"Perte entre 0 et 99 %",IF(COUNTIFS(bom_prod,A2969,bom_mat,B2969)&gt;1,"Matière en double","OK")))))))))</f>
        <v/>
      </c>
      <c r="K2969" s="71" t="str">
        <f>IF(AND(fiche_sel&lt;&gt;"",A2969=fiche_sel),COUNTIF(A$6:A2969,fiche_sel),"")</f>
        <v/>
      </c>
    </row>
    <row r="2970">
      <c r="A2970" s="60" t="n"/>
      <c r="B2970" s="60" t="n"/>
      <c r="C2970" s="71" t="str">
        <f>IF(B2970="","",IFERROR(INDEX(mat_des,MATCH(B2970,mat_ref,0))&amp;"","Matière inconnue"))</f>
        <v/>
      </c>
      <c r="D2970" s="69" t="str">
        <f>IF(B2970="","",IFERROR(INDEX(mat_unit,MATCH(B2970,mat_ref,0))&amp;"",""))</f>
        <v/>
      </c>
      <c r="E2970" s="72" t="n"/>
      <c r="F2970" s="65" t="n"/>
      <c r="G2970" s="68" t="str">
        <f>IF(J2970&lt;&gt;"OK","",IF(F2970="",N(INDEX(mat_loss,MATCH(B2970,mat_ref,0))),F2970))</f>
        <v/>
      </c>
      <c r="H2970" s="66" t="str">
        <f>IF(J2970&lt;&gt;"OK","",INDEX(mat_price,MATCH(B2970,mat_ref,0)))</f>
        <v/>
      </c>
      <c r="I2970" s="66" t="str">
        <f>IF(J2970&lt;&gt;"OK","",E2970*(1+G2970)*H2970)</f>
        <v/>
      </c>
      <c r="J2970" s="69" t="str">
        <f>IF(AND(A2970="",B2970=""),"",IF(A2970="","Produit manquant",IF(COUNTIF(prod_ref,A2970)=0,"Produit inconnu",IF(B2970="","Matière manquante",IF(ISNA(MATCH(B2970,mat_ref,0)),"Matière inconnue",IF(INDEX(mat_check,MATCH(B2970,mat_ref,0))&lt;&gt;"OK","Matière à corriger",IF(OR(NOT(ISNUMBER(E2970)),N(E2970)&lt;=0),"Quantité invalide",IF(AND(F2970&lt;&gt;"",OR(NOT(ISNUMBER(F2970)),N(F2970)&lt;0,N(F2970)&gt;=1)),"Perte entre 0 et 99 %",IF(COUNTIFS(bom_prod,A2970,bom_mat,B2970)&gt;1,"Matière en double","OK")))))))))</f>
        <v/>
      </c>
      <c r="K2970" s="71" t="str">
        <f>IF(AND(fiche_sel&lt;&gt;"",A2970=fiche_sel),COUNTIF(A$6:A2970,fiche_sel),"")</f>
        <v/>
      </c>
    </row>
    <row r="2971">
      <c r="A2971" s="60" t="n"/>
      <c r="B2971" s="60" t="n"/>
      <c r="C2971" s="71" t="str">
        <f>IF(B2971="","",IFERROR(INDEX(mat_des,MATCH(B2971,mat_ref,0))&amp;"","Matière inconnue"))</f>
        <v/>
      </c>
      <c r="D2971" s="69" t="str">
        <f>IF(B2971="","",IFERROR(INDEX(mat_unit,MATCH(B2971,mat_ref,0))&amp;"",""))</f>
        <v/>
      </c>
      <c r="E2971" s="72" t="n"/>
      <c r="F2971" s="65" t="n"/>
      <c r="G2971" s="68" t="str">
        <f>IF(J2971&lt;&gt;"OK","",IF(F2971="",N(INDEX(mat_loss,MATCH(B2971,mat_ref,0))),F2971))</f>
        <v/>
      </c>
      <c r="H2971" s="66" t="str">
        <f>IF(J2971&lt;&gt;"OK","",INDEX(mat_price,MATCH(B2971,mat_ref,0)))</f>
        <v/>
      </c>
      <c r="I2971" s="66" t="str">
        <f>IF(J2971&lt;&gt;"OK","",E2971*(1+G2971)*H2971)</f>
        <v/>
      </c>
      <c r="J2971" s="69" t="str">
        <f>IF(AND(A2971="",B2971=""),"",IF(A2971="","Produit manquant",IF(COUNTIF(prod_ref,A2971)=0,"Produit inconnu",IF(B2971="","Matière manquante",IF(ISNA(MATCH(B2971,mat_ref,0)),"Matière inconnue",IF(INDEX(mat_check,MATCH(B2971,mat_ref,0))&lt;&gt;"OK","Matière à corriger",IF(OR(NOT(ISNUMBER(E2971)),N(E2971)&lt;=0),"Quantité invalide",IF(AND(F2971&lt;&gt;"",OR(NOT(ISNUMBER(F2971)),N(F2971)&lt;0,N(F2971)&gt;=1)),"Perte entre 0 et 99 %",IF(COUNTIFS(bom_prod,A2971,bom_mat,B2971)&gt;1,"Matière en double","OK")))))))))</f>
        <v/>
      </c>
      <c r="K2971" s="71" t="str">
        <f>IF(AND(fiche_sel&lt;&gt;"",A2971=fiche_sel),COUNTIF(A$6:A2971,fiche_sel),"")</f>
        <v/>
      </c>
    </row>
    <row r="2972">
      <c r="A2972" s="60" t="n"/>
      <c r="B2972" s="60" t="n"/>
      <c r="C2972" s="71" t="str">
        <f>IF(B2972="","",IFERROR(INDEX(mat_des,MATCH(B2972,mat_ref,0))&amp;"","Matière inconnue"))</f>
        <v/>
      </c>
      <c r="D2972" s="69" t="str">
        <f>IF(B2972="","",IFERROR(INDEX(mat_unit,MATCH(B2972,mat_ref,0))&amp;"",""))</f>
        <v/>
      </c>
      <c r="E2972" s="72" t="n"/>
      <c r="F2972" s="65" t="n"/>
      <c r="G2972" s="68" t="str">
        <f>IF(J2972&lt;&gt;"OK","",IF(F2972="",N(INDEX(mat_loss,MATCH(B2972,mat_ref,0))),F2972))</f>
        <v/>
      </c>
      <c r="H2972" s="66" t="str">
        <f>IF(J2972&lt;&gt;"OK","",INDEX(mat_price,MATCH(B2972,mat_ref,0)))</f>
        <v/>
      </c>
      <c r="I2972" s="66" t="str">
        <f>IF(J2972&lt;&gt;"OK","",E2972*(1+G2972)*H2972)</f>
        <v/>
      </c>
      <c r="J2972" s="69" t="str">
        <f>IF(AND(A2972="",B2972=""),"",IF(A2972="","Produit manquant",IF(COUNTIF(prod_ref,A2972)=0,"Produit inconnu",IF(B2972="","Matière manquante",IF(ISNA(MATCH(B2972,mat_ref,0)),"Matière inconnue",IF(INDEX(mat_check,MATCH(B2972,mat_ref,0))&lt;&gt;"OK","Matière à corriger",IF(OR(NOT(ISNUMBER(E2972)),N(E2972)&lt;=0),"Quantité invalide",IF(AND(F2972&lt;&gt;"",OR(NOT(ISNUMBER(F2972)),N(F2972)&lt;0,N(F2972)&gt;=1)),"Perte entre 0 et 99 %",IF(COUNTIFS(bom_prod,A2972,bom_mat,B2972)&gt;1,"Matière en double","OK")))))))))</f>
        <v/>
      </c>
      <c r="K2972" s="71" t="str">
        <f>IF(AND(fiche_sel&lt;&gt;"",A2972=fiche_sel),COUNTIF(A$6:A2972,fiche_sel),"")</f>
        <v/>
      </c>
    </row>
    <row r="2973">
      <c r="A2973" s="60" t="n"/>
      <c r="B2973" s="60" t="n"/>
      <c r="C2973" s="71" t="str">
        <f>IF(B2973="","",IFERROR(INDEX(mat_des,MATCH(B2973,mat_ref,0))&amp;"","Matière inconnue"))</f>
        <v/>
      </c>
      <c r="D2973" s="69" t="str">
        <f>IF(B2973="","",IFERROR(INDEX(mat_unit,MATCH(B2973,mat_ref,0))&amp;"",""))</f>
        <v/>
      </c>
      <c r="E2973" s="72" t="n"/>
      <c r="F2973" s="65" t="n"/>
      <c r="G2973" s="68" t="str">
        <f>IF(J2973&lt;&gt;"OK","",IF(F2973="",N(INDEX(mat_loss,MATCH(B2973,mat_ref,0))),F2973))</f>
        <v/>
      </c>
      <c r="H2973" s="66" t="str">
        <f>IF(J2973&lt;&gt;"OK","",INDEX(mat_price,MATCH(B2973,mat_ref,0)))</f>
        <v/>
      </c>
      <c r="I2973" s="66" t="str">
        <f>IF(J2973&lt;&gt;"OK","",E2973*(1+G2973)*H2973)</f>
        <v/>
      </c>
      <c r="J2973" s="69" t="str">
        <f>IF(AND(A2973="",B2973=""),"",IF(A2973="","Produit manquant",IF(COUNTIF(prod_ref,A2973)=0,"Produit inconnu",IF(B2973="","Matière manquante",IF(ISNA(MATCH(B2973,mat_ref,0)),"Matière inconnue",IF(INDEX(mat_check,MATCH(B2973,mat_ref,0))&lt;&gt;"OK","Matière à corriger",IF(OR(NOT(ISNUMBER(E2973)),N(E2973)&lt;=0),"Quantité invalide",IF(AND(F2973&lt;&gt;"",OR(NOT(ISNUMBER(F2973)),N(F2973)&lt;0,N(F2973)&gt;=1)),"Perte entre 0 et 99 %",IF(COUNTIFS(bom_prod,A2973,bom_mat,B2973)&gt;1,"Matière en double","OK")))))))))</f>
        <v/>
      </c>
      <c r="K2973" s="71" t="str">
        <f>IF(AND(fiche_sel&lt;&gt;"",A2973=fiche_sel),COUNTIF(A$6:A2973,fiche_sel),"")</f>
        <v/>
      </c>
    </row>
    <row r="2974">
      <c r="A2974" s="60" t="n"/>
      <c r="B2974" s="60" t="n"/>
      <c r="C2974" s="71" t="str">
        <f>IF(B2974="","",IFERROR(INDEX(mat_des,MATCH(B2974,mat_ref,0))&amp;"","Matière inconnue"))</f>
        <v/>
      </c>
      <c r="D2974" s="69" t="str">
        <f>IF(B2974="","",IFERROR(INDEX(mat_unit,MATCH(B2974,mat_ref,0))&amp;"",""))</f>
        <v/>
      </c>
      <c r="E2974" s="72" t="n"/>
      <c r="F2974" s="65" t="n"/>
      <c r="G2974" s="68" t="str">
        <f>IF(J2974&lt;&gt;"OK","",IF(F2974="",N(INDEX(mat_loss,MATCH(B2974,mat_ref,0))),F2974))</f>
        <v/>
      </c>
      <c r="H2974" s="66" t="str">
        <f>IF(J2974&lt;&gt;"OK","",INDEX(mat_price,MATCH(B2974,mat_ref,0)))</f>
        <v/>
      </c>
      <c r="I2974" s="66" t="str">
        <f>IF(J2974&lt;&gt;"OK","",E2974*(1+G2974)*H2974)</f>
        <v/>
      </c>
      <c r="J2974" s="69" t="str">
        <f>IF(AND(A2974="",B2974=""),"",IF(A2974="","Produit manquant",IF(COUNTIF(prod_ref,A2974)=0,"Produit inconnu",IF(B2974="","Matière manquante",IF(ISNA(MATCH(B2974,mat_ref,0)),"Matière inconnue",IF(INDEX(mat_check,MATCH(B2974,mat_ref,0))&lt;&gt;"OK","Matière à corriger",IF(OR(NOT(ISNUMBER(E2974)),N(E2974)&lt;=0),"Quantité invalide",IF(AND(F2974&lt;&gt;"",OR(NOT(ISNUMBER(F2974)),N(F2974)&lt;0,N(F2974)&gt;=1)),"Perte entre 0 et 99 %",IF(COUNTIFS(bom_prod,A2974,bom_mat,B2974)&gt;1,"Matière en double","OK")))))))))</f>
        <v/>
      </c>
      <c r="K2974" s="71" t="str">
        <f>IF(AND(fiche_sel&lt;&gt;"",A2974=fiche_sel),COUNTIF(A$6:A2974,fiche_sel),"")</f>
        <v/>
      </c>
    </row>
    <row r="2975">
      <c r="A2975" s="60" t="n"/>
      <c r="B2975" s="60" t="n"/>
      <c r="C2975" s="71" t="str">
        <f>IF(B2975="","",IFERROR(INDEX(mat_des,MATCH(B2975,mat_ref,0))&amp;"","Matière inconnue"))</f>
        <v/>
      </c>
      <c r="D2975" s="69" t="str">
        <f>IF(B2975="","",IFERROR(INDEX(mat_unit,MATCH(B2975,mat_ref,0))&amp;"",""))</f>
        <v/>
      </c>
      <c r="E2975" s="72" t="n"/>
      <c r="F2975" s="65" t="n"/>
      <c r="G2975" s="68" t="str">
        <f>IF(J2975&lt;&gt;"OK","",IF(F2975="",N(INDEX(mat_loss,MATCH(B2975,mat_ref,0))),F2975))</f>
        <v/>
      </c>
      <c r="H2975" s="66" t="str">
        <f>IF(J2975&lt;&gt;"OK","",INDEX(mat_price,MATCH(B2975,mat_ref,0)))</f>
        <v/>
      </c>
      <c r="I2975" s="66" t="str">
        <f>IF(J2975&lt;&gt;"OK","",E2975*(1+G2975)*H2975)</f>
        <v/>
      </c>
      <c r="J2975" s="69" t="str">
        <f>IF(AND(A2975="",B2975=""),"",IF(A2975="","Produit manquant",IF(COUNTIF(prod_ref,A2975)=0,"Produit inconnu",IF(B2975="","Matière manquante",IF(ISNA(MATCH(B2975,mat_ref,0)),"Matière inconnue",IF(INDEX(mat_check,MATCH(B2975,mat_ref,0))&lt;&gt;"OK","Matière à corriger",IF(OR(NOT(ISNUMBER(E2975)),N(E2975)&lt;=0),"Quantité invalide",IF(AND(F2975&lt;&gt;"",OR(NOT(ISNUMBER(F2975)),N(F2975)&lt;0,N(F2975)&gt;=1)),"Perte entre 0 et 99 %",IF(COUNTIFS(bom_prod,A2975,bom_mat,B2975)&gt;1,"Matière en double","OK")))))))))</f>
        <v/>
      </c>
      <c r="K2975" s="71" t="str">
        <f>IF(AND(fiche_sel&lt;&gt;"",A2975=fiche_sel),COUNTIF(A$6:A2975,fiche_sel),"")</f>
        <v/>
      </c>
    </row>
    <row r="2976">
      <c r="A2976" s="60" t="n"/>
      <c r="B2976" s="60" t="n"/>
      <c r="C2976" s="71" t="str">
        <f>IF(B2976="","",IFERROR(INDEX(mat_des,MATCH(B2976,mat_ref,0))&amp;"","Matière inconnue"))</f>
        <v/>
      </c>
      <c r="D2976" s="69" t="str">
        <f>IF(B2976="","",IFERROR(INDEX(mat_unit,MATCH(B2976,mat_ref,0))&amp;"",""))</f>
        <v/>
      </c>
      <c r="E2976" s="72" t="n"/>
      <c r="F2976" s="65" t="n"/>
      <c r="G2976" s="68" t="str">
        <f>IF(J2976&lt;&gt;"OK","",IF(F2976="",N(INDEX(mat_loss,MATCH(B2976,mat_ref,0))),F2976))</f>
        <v/>
      </c>
      <c r="H2976" s="66" t="str">
        <f>IF(J2976&lt;&gt;"OK","",INDEX(mat_price,MATCH(B2976,mat_ref,0)))</f>
        <v/>
      </c>
      <c r="I2976" s="66" t="str">
        <f>IF(J2976&lt;&gt;"OK","",E2976*(1+G2976)*H2976)</f>
        <v/>
      </c>
      <c r="J2976" s="69" t="str">
        <f>IF(AND(A2976="",B2976=""),"",IF(A2976="","Produit manquant",IF(COUNTIF(prod_ref,A2976)=0,"Produit inconnu",IF(B2976="","Matière manquante",IF(ISNA(MATCH(B2976,mat_ref,0)),"Matière inconnue",IF(INDEX(mat_check,MATCH(B2976,mat_ref,0))&lt;&gt;"OK","Matière à corriger",IF(OR(NOT(ISNUMBER(E2976)),N(E2976)&lt;=0),"Quantité invalide",IF(AND(F2976&lt;&gt;"",OR(NOT(ISNUMBER(F2976)),N(F2976)&lt;0,N(F2976)&gt;=1)),"Perte entre 0 et 99 %",IF(COUNTIFS(bom_prod,A2976,bom_mat,B2976)&gt;1,"Matière en double","OK")))))))))</f>
        <v/>
      </c>
      <c r="K2976" s="71" t="str">
        <f>IF(AND(fiche_sel&lt;&gt;"",A2976=fiche_sel),COUNTIF(A$6:A2976,fiche_sel),"")</f>
        <v/>
      </c>
    </row>
    <row r="2977">
      <c r="A2977" s="60" t="n"/>
      <c r="B2977" s="60" t="n"/>
      <c r="C2977" s="71" t="str">
        <f>IF(B2977="","",IFERROR(INDEX(mat_des,MATCH(B2977,mat_ref,0))&amp;"","Matière inconnue"))</f>
        <v/>
      </c>
      <c r="D2977" s="69" t="str">
        <f>IF(B2977="","",IFERROR(INDEX(mat_unit,MATCH(B2977,mat_ref,0))&amp;"",""))</f>
        <v/>
      </c>
      <c r="E2977" s="72" t="n"/>
      <c r="F2977" s="65" t="n"/>
      <c r="G2977" s="68" t="str">
        <f>IF(J2977&lt;&gt;"OK","",IF(F2977="",N(INDEX(mat_loss,MATCH(B2977,mat_ref,0))),F2977))</f>
        <v/>
      </c>
      <c r="H2977" s="66" t="str">
        <f>IF(J2977&lt;&gt;"OK","",INDEX(mat_price,MATCH(B2977,mat_ref,0)))</f>
        <v/>
      </c>
      <c r="I2977" s="66" t="str">
        <f>IF(J2977&lt;&gt;"OK","",E2977*(1+G2977)*H2977)</f>
        <v/>
      </c>
      <c r="J2977" s="69" t="str">
        <f>IF(AND(A2977="",B2977=""),"",IF(A2977="","Produit manquant",IF(COUNTIF(prod_ref,A2977)=0,"Produit inconnu",IF(B2977="","Matière manquante",IF(ISNA(MATCH(B2977,mat_ref,0)),"Matière inconnue",IF(INDEX(mat_check,MATCH(B2977,mat_ref,0))&lt;&gt;"OK","Matière à corriger",IF(OR(NOT(ISNUMBER(E2977)),N(E2977)&lt;=0),"Quantité invalide",IF(AND(F2977&lt;&gt;"",OR(NOT(ISNUMBER(F2977)),N(F2977)&lt;0,N(F2977)&gt;=1)),"Perte entre 0 et 99 %",IF(COUNTIFS(bom_prod,A2977,bom_mat,B2977)&gt;1,"Matière en double","OK")))))))))</f>
        <v/>
      </c>
      <c r="K2977" s="71" t="str">
        <f>IF(AND(fiche_sel&lt;&gt;"",A2977=fiche_sel),COUNTIF(A$6:A2977,fiche_sel),"")</f>
        <v/>
      </c>
    </row>
    <row r="2978">
      <c r="A2978" s="60" t="n"/>
      <c r="B2978" s="60" t="n"/>
      <c r="C2978" s="71" t="str">
        <f>IF(B2978="","",IFERROR(INDEX(mat_des,MATCH(B2978,mat_ref,0))&amp;"","Matière inconnue"))</f>
        <v/>
      </c>
      <c r="D2978" s="69" t="str">
        <f>IF(B2978="","",IFERROR(INDEX(mat_unit,MATCH(B2978,mat_ref,0))&amp;"",""))</f>
        <v/>
      </c>
      <c r="E2978" s="72" t="n"/>
      <c r="F2978" s="65" t="n"/>
      <c r="G2978" s="68" t="str">
        <f>IF(J2978&lt;&gt;"OK","",IF(F2978="",N(INDEX(mat_loss,MATCH(B2978,mat_ref,0))),F2978))</f>
        <v/>
      </c>
      <c r="H2978" s="66" t="str">
        <f>IF(J2978&lt;&gt;"OK","",INDEX(mat_price,MATCH(B2978,mat_ref,0)))</f>
        <v/>
      </c>
      <c r="I2978" s="66" t="str">
        <f>IF(J2978&lt;&gt;"OK","",E2978*(1+G2978)*H2978)</f>
        <v/>
      </c>
      <c r="J2978" s="69" t="str">
        <f>IF(AND(A2978="",B2978=""),"",IF(A2978="","Produit manquant",IF(COUNTIF(prod_ref,A2978)=0,"Produit inconnu",IF(B2978="","Matière manquante",IF(ISNA(MATCH(B2978,mat_ref,0)),"Matière inconnue",IF(INDEX(mat_check,MATCH(B2978,mat_ref,0))&lt;&gt;"OK","Matière à corriger",IF(OR(NOT(ISNUMBER(E2978)),N(E2978)&lt;=0),"Quantité invalide",IF(AND(F2978&lt;&gt;"",OR(NOT(ISNUMBER(F2978)),N(F2978)&lt;0,N(F2978)&gt;=1)),"Perte entre 0 et 99 %",IF(COUNTIFS(bom_prod,A2978,bom_mat,B2978)&gt;1,"Matière en double","OK")))))))))</f>
        <v/>
      </c>
      <c r="K2978" s="71" t="str">
        <f>IF(AND(fiche_sel&lt;&gt;"",A2978=fiche_sel),COUNTIF(A$6:A2978,fiche_sel),"")</f>
        <v/>
      </c>
    </row>
    <row r="2979">
      <c r="A2979" s="60" t="n"/>
      <c r="B2979" s="60" t="n"/>
      <c r="C2979" s="71" t="str">
        <f>IF(B2979="","",IFERROR(INDEX(mat_des,MATCH(B2979,mat_ref,0))&amp;"","Matière inconnue"))</f>
        <v/>
      </c>
      <c r="D2979" s="69" t="str">
        <f>IF(B2979="","",IFERROR(INDEX(mat_unit,MATCH(B2979,mat_ref,0))&amp;"",""))</f>
        <v/>
      </c>
      <c r="E2979" s="72" t="n"/>
      <c r="F2979" s="65" t="n"/>
      <c r="G2979" s="68" t="str">
        <f>IF(J2979&lt;&gt;"OK","",IF(F2979="",N(INDEX(mat_loss,MATCH(B2979,mat_ref,0))),F2979))</f>
        <v/>
      </c>
      <c r="H2979" s="66" t="str">
        <f>IF(J2979&lt;&gt;"OK","",INDEX(mat_price,MATCH(B2979,mat_ref,0)))</f>
        <v/>
      </c>
      <c r="I2979" s="66" t="str">
        <f>IF(J2979&lt;&gt;"OK","",E2979*(1+G2979)*H2979)</f>
        <v/>
      </c>
      <c r="J2979" s="69" t="str">
        <f>IF(AND(A2979="",B2979=""),"",IF(A2979="","Produit manquant",IF(COUNTIF(prod_ref,A2979)=0,"Produit inconnu",IF(B2979="","Matière manquante",IF(ISNA(MATCH(B2979,mat_ref,0)),"Matière inconnue",IF(INDEX(mat_check,MATCH(B2979,mat_ref,0))&lt;&gt;"OK","Matière à corriger",IF(OR(NOT(ISNUMBER(E2979)),N(E2979)&lt;=0),"Quantité invalide",IF(AND(F2979&lt;&gt;"",OR(NOT(ISNUMBER(F2979)),N(F2979)&lt;0,N(F2979)&gt;=1)),"Perte entre 0 et 99 %",IF(COUNTIFS(bom_prod,A2979,bom_mat,B2979)&gt;1,"Matière en double","OK")))))))))</f>
        <v/>
      </c>
      <c r="K2979" s="71" t="str">
        <f>IF(AND(fiche_sel&lt;&gt;"",A2979=fiche_sel),COUNTIF(A$6:A2979,fiche_sel),"")</f>
        <v/>
      </c>
    </row>
    <row r="2980">
      <c r="A2980" s="60" t="n"/>
      <c r="B2980" s="60" t="n"/>
      <c r="C2980" s="71" t="str">
        <f>IF(B2980="","",IFERROR(INDEX(mat_des,MATCH(B2980,mat_ref,0))&amp;"","Matière inconnue"))</f>
        <v/>
      </c>
      <c r="D2980" s="69" t="str">
        <f>IF(B2980="","",IFERROR(INDEX(mat_unit,MATCH(B2980,mat_ref,0))&amp;"",""))</f>
        <v/>
      </c>
      <c r="E2980" s="72" t="n"/>
      <c r="F2980" s="65" t="n"/>
      <c r="G2980" s="68" t="str">
        <f>IF(J2980&lt;&gt;"OK","",IF(F2980="",N(INDEX(mat_loss,MATCH(B2980,mat_ref,0))),F2980))</f>
        <v/>
      </c>
      <c r="H2980" s="66" t="str">
        <f>IF(J2980&lt;&gt;"OK","",INDEX(mat_price,MATCH(B2980,mat_ref,0)))</f>
        <v/>
      </c>
      <c r="I2980" s="66" t="str">
        <f>IF(J2980&lt;&gt;"OK","",E2980*(1+G2980)*H2980)</f>
        <v/>
      </c>
      <c r="J2980" s="69" t="str">
        <f>IF(AND(A2980="",B2980=""),"",IF(A2980="","Produit manquant",IF(COUNTIF(prod_ref,A2980)=0,"Produit inconnu",IF(B2980="","Matière manquante",IF(ISNA(MATCH(B2980,mat_ref,0)),"Matière inconnue",IF(INDEX(mat_check,MATCH(B2980,mat_ref,0))&lt;&gt;"OK","Matière à corriger",IF(OR(NOT(ISNUMBER(E2980)),N(E2980)&lt;=0),"Quantité invalide",IF(AND(F2980&lt;&gt;"",OR(NOT(ISNUMBER(F2980)),N(F2980)&lt;0,N(F2980)&gt;=1)),"Perte entre 0 et 99 %",IF(COUNTIFS(bom_prod,A2980,bom_mat,B2980)&gt;1,"Matière en double","OK")))))))))</f>
        <v/>
      </c>
      <c r="K2980" s="71" t="str">
        <f>IF(AND(fiche_sel&lt;&gt;"",A2980=fiche_sel),COUNTIF(A$6:A2980,fiche_sel),"")</f>
        <v/>
      </c>
    </row>
    <row r="2981">
      <c r="A2981" s="60" t="n"/>
      <c r="B2981" s="60" t="n"/>
      <c r="C2981" s="71" t="str">
        <f>IF(B2981="","",IFERROR(INDEX(mat_des,MATCH(B2981,mat_ref,0))&amp;"","Matière inconnue"))</f>
        <v/>
      </c>
      <c r="D2981" s="69" t="str">
        <f>IF(B2981="","",IFERROR(INDEX(mat_unit,MATCH(B2981,mat_ref,0))&amp;"",""))</f>
        <v/>
      </c>
      <c r="E2981" s="72" t="n"/>
      <c r="F2981" s="65" t="n"/>
      <c r="G2981" s="68" t="str">
        <f>IF(J2981&lt;&gt;"OK","",IF(F2981="",N(INDEX(mat_loss,MATCH(B2981,mat_ref,0))),F2981))</f>
        <v/>
      </c>
      <c r="H2981" s="66" t="str">
        <f>IF(J2981&lt;&gt;"OK","",INDEX(mat_price,MATCH(B2981,mat_ref,0)))</f>
        <v/>
      </c>
      <c r="I2981" s="66" t="str">
        <f>IF(J2981&lt;&gt;"OK","",E2981*(1+G2981)*H2981)</f>
        <v/>
      </c>
      <c r="J2981" s="69" t="str">
        <f>IF(AND(A2981="",B2981=""),"",IF(A2981="","Produit manquant",IF(COUNTIF(prod_ref,A2981)=0,"Produit inconnu",IF(B2981="","Matière manquante",IF(ISNA(MATCH(B2981,mat_ref,0)),"Matière inconnue",IF(INDEX(mat_check,MATCH(B2981,mat_ref,0))&lt;&gt;"OK","Matière à corriger",IF(OR(NOT(ISNUMBER(E2981)),N(E2981)&lt;=0),"Quantité invalide",IF(AND(F2981&lt;&gt;"",OR(NOT(ISNUMBER(F2981)),N(F2981)&lt;0,N(F2981)&gt;=1)),"Perte entre 0 et 99 %",IF(COUNTIFS(bom_prod,A2981,bom_mat,B2981)&gt;1,"Matière en double","OK")))))))))</f>
        <v/>
      </c>
      <c r="K2981" s="71" t="str">
        <f>IF(AND(fiche_sel&lt;&gt;"",A2981=fiche_sel),COUNTIF(A$6:A2981,fiche_sel),"")</f>
        <v/>
      </c>
    </row>
    <row r="2982">
      <c r="A2982" s="60" t="n"/>
      <c r="B2982" s="60" t="n"/>
      <c r="C2982" s="71" t="str">
        <f>IF(B2982="","",IFERROR(INDEX(mat_des,MATCH(B2982,mat_ref,0))&amp;"","Matière inconnue"))</f>
        <v/>
      </c>
      <c r="D2982" s="69" t="str">
        <f>IF(B2982="","",IFERROR(INDEX(mat_unit,MATCH(B2982,mat_ref,0))&amp;"",""))</f>
        <v/>
      </c>
      <c r="E2982" s="72" t="n"/>
      <c r="F2982" s="65" t="n"/>
      <c r="G2982" s="68" t="str">
        <f>IF(J2982&lt;&gt;"OK","",IF(F2982="",N(INDEX(mat_loss,MATCH(B2982,mat_ref,0))),F2982))</f>
        <v/>
      </c>
      <c r="H2982" s="66" t="str">
        <f>IF(J2982&lt;&gt;"OK","",INDEX(mat_price,MATCH(B2982,mat_ref,0)))</f>
        <v/>
      </c>
      <c r="I2982" s="66" t="str">
        <f>IF(J2982&lt;&gt;"OK","",E2982*(1+G2982)*H2982)</f>
        <v/>
      </c>
      <c r="J2982" s="69" t="str">
        <f>IF(AND(A2982="",B2982=""),"",IF(A2982="","Produit manquant",IF(COUNTIF(prod_ref,A2982)=0,"Produit inconnu",IF(B2982="","Matière manquante",IF(ISNA(MATCH(B2982,mat_ref,0)),"Matière inconnue",IF(INDEX(mat_check,MATCH(B2982,mat_ref,0))&lt;&gt;"OK","Matière à corriger",IF(OR(NOT(ISNUMBER(E2982)),N(E2982)&lt;=0),"Quantité invalide",IF(AND(F2982&lt;&gt;"",OR(NOT(ISNUMBER(F2982)),N(F2982)&lt;0,N(F2982)&gt;=1)),"Perte entre 0 et 99 %",IF(COUNTIFS(bom_prod,A2982,bom_mat,B2982)&gt;1,"Matière en double","OK")))))))))</f>
        <v/>
      </c>
      <c r="K2982" s="71" t="str">
        <f>IF(AND(fiche_sel&lt;&gt;"",A2982=fiche_sel),COUNTIF(A$6:A2982,fiche_sel),"")</f>
        <v/>
      </c>
    </row>
    <row r="2983">
      <c r="A2983" s="60" t="n"/>
      <c r="B2983" s="60" t="n"/>
      <c r="C2983" s="71" t="str">
        <f>IF(B2983="","",IFERROR(INDEX(mat_des,MATCH(B2983,mat_ref,0))&amp;"","Matière inconnue"))</f>
        <v/>
      </c>
      <c r="D2983" s="69" t="str">
        <f>IF(B2983="","",IFERROR(INDEX(mat_unit,MATCH(B2983,mat_ref,0))&amp;"",""))</f>
        <v/>
      </c>
      <c r="E2983" s="72" t="n"/>
      <c r="F2983" s="65" t="n"/>
      <c r="G2983" s="68" t="str">
        <f>IF(J2983&lt;&gt;"OK","",IF(F2983="",N(INDEX(mat_loss,MATCH(B2983,mat_ref,0))),F2983))</f>
        <v/>
      </c>
      <c r="H2983" s="66" t="str">
        <f>IF(J2983&lt;&gt;"OK","",INDEX(mat_price,MATCH(B2983,mat_ref,0)))</f>
        <v/>
      </c>
      <c r="I2983" s="66" t="str">
        <f>IF(J2983&lt;&gt;"OK","",E2983*(1+G2983)*H2983)</f>
        <v/>
      </c>
      <c r="J2983" s="69" t="str">
        <f>IF(AND(A2983="",B2983=""),"",IF(A2983="","Produit manquant",IF(COUNTIF(prod_ref,A2983)=0,"Produit inconnu",IF(B2983="","Matière manquante",IF(ISNA(MATCH(B2983,mat_ref,0)),"Matière inconnue",IF(INDEX(mat_check,MATCH(B2983,mat_ref,0))&lt;&gt;"OK","Matière à corriger",IF(OR(NOT(ISNUMBER(E2983)),N(E2983)&lt;=0),"Quantité invalide",IF(AND(F2983&lt;&gt;"",OR(NOT(ISNUMBER(F2983)),N(F2983)&lt;0,N(F2983)&gt;=1)),"Perte entre 0 et 99 %",IF(COUNTIFS(bom_prod,A2983,bom_mat,B2983)&gt;1,"Matière en double","OK")))))))))</f>
        <v/>
      </c>
      <c r="K2983" s="71" t="str">
        <f>IF(AND(fiche_sel&lt;&gt;"",A2983=fiche_sel),COUNTIF(A$6:A2983,fiche_sel),"")</f>
        <v/>
      </c>
    </row>
    <row r="2984">
      <c r="A2984" s="60" t="n"/>
      <c r="B2984" s="60" t="n"/>
      <c r="C2984" s="71" t="str">
        <f>IF(B2984="","",IFERROR(INDEX(mat_des,MATCH(B2984,mat_ref,0))&amp;"","Matière inconnue"))</f>
        <v/>
      </c>
      <c r="D2984" s="69" t="str">
        <f>IF(B2984="","",IFERROR(INDEX(mat_unit,MATCH(B2984,mat_ref,0))&amp;"",""))</f>
        <v/>
      </c>
      <c r="E2984" s="72" t="n"/>
      <c r="F2984" s="65" t="n"/>
      <c r="G2984" s="68" t="str">
        <f>IF(J2984&lt;&gt;"OK","",IF(F2984="",N(INDEX(mat_loss,MATCH(B2984,mat_ref,0))),F2984))</f>
        <v/>
      </c>
      <c r="H2984" s="66" t="str">
        <f>IF(J2984&lt;&gt;"OK","",INDEX(mat_price,MATCH(B2984,mat_ref,0)))</f>
        <v/>
      </c>
      <c r="I2984" s="66" t="str">
        <f>IF(J2984&lt;&gt;"OK","",E2984*(1+G2984)*H2984)</f>
        <v/>
      </c>
      <c r="J2984" s="69" t="str">
        <f>IF(AND(A2984="",B2984=""),"",IF(A2984="","Produit manquant",IF(COUNTIF(prod_ref,A2984)=0,"Produit inconnu",IF(B2984="","Matière manquante",IF(ISNA(MATCH(B2984,mat_ref,0)),"Matière inconnue",IF(INDEX(mat_check,MATCH(B2984,mat_ref,0))&lt;&gt;"OK","Matière à corriger",IF(OR(NOT(ISNUMBER(E2984)),N(E2984)&lt;=0),"Quantité invalide",IF(AND(F2984&lt;&gt;"",OR(NOT(ISNUMBER(F2984)),N(F2984)&lt;0,N(F2984)&gt;=1)),"Perte entre 0 et 99 %",IF(COUNTIFS(bom_prod,A2984,bom_mat,B2984)&gt;1,"Matière en double","OK")))))))))</f>
        <v/>
      </c>
      <c r="K2984" s="71" t="str">
        <f>IF(AND(fiche_sel&lt;&gt;"",A2984=fiche_sel),COUNTIF(A$6:A2984,fiche_sel),"")</f>
        <v/>
      </c>
    </row>
    <row r="2985">
      <c r="A2985" s="60" t="n"/>
      <c r="B2985" s="60" t="n"/>
      <c r="C2985" s="71" t="str">
        <f>IF(B2985="","",IFERROR(INDEX(mat_des,MATCH(B2985,mat_ref,0))&amp;"","Matière inconnue"))</f>
        <v/>
      </c>
      <c r="D2985" s="69" t="str">
        <f>IF(B2985="","",IFERROR(INDEX(mat_unit,MATCH(B2985,mat_ref,0))&amp;"",""))</f>
        <v/>
      </c>
      <c r="E2985" s="72" t="n"/>
      <c r="F2985" s="65" t="n"/>
      <c r="G2985" s="68" t="str">
        <f>IF(J2985&lt;&gt;"OK","",IF(F2985="",N(INDEX(mat_loss,MATCH(B2985,mat_ref,0))),F2985))</f>
        <v/>
      </c>
      <c r="H2985" s="66" t="str">
        <f>IF(J2985&lt;&gt;"OK","",INDEX(mat_price,MATCH(B2985,mat_ref,0)))</f>
        <v/>
      </c>
      <c r="I2985" s="66" t="str">
        <f>IF(J2985&lt;&gt;"OK","",E2985*(1+G2985)*H2985)</f>
        <v/>
      </c>
      <c r="J2985" s="69" t="str">
        <f>IF(AND(A2985="",B2985=""),"",IF(A2985="","Produit manquant",IF(COUNTIF(prod_ref,A2985)=0,"Produit inconnu",IF(B2985="","Matière manquante",IF(ISNA(MATCH(B2985,mat_ref,0)),"Matière inconnue",IF(INDEX(mat_check,MATCH(B2985,mat_ref,0))&lt;&gt;"OK","Matière à corriger",IF(OR(NOT(ISNUMBER(E2985)),N(E2985)&lt;=0),"Quantité invalide",IF(AND(F2985&lt;&gt;"",OR(NOT(ISNUMBER(F2985)),N(F2985)&lt;0,N(F2985)&gt;=1)),"Perte entre 0 et 99 %",IF(COUNTIFS(bom_prod,A2985,bom_mat,B2985)&gt;1,"Matière en double","OK")))))))))</f>
        <v/>
      </c>
      <c r="K2985" s="71" t="str">
        <f>IF(AND(fiche_sel&lt;&gt;"",A2985=fiche_sel),COUNTIF(A$6:A2985,fiche_sel),"")</f>
        <v/>
      </c>
    </row>
    <row r="2986">
      <c r="A2986" s="60" t="n"/>
      <c r="B2986" s="60" t="n"/>
      <c r="C2986" s="71" t="str">
        <f>IF(B2986="","",IFERROR(INDEX(mat_des,MATCH(B2986,mat_ref,0))&amp;"","Matière inconnue"))</f>
        <v/>
      </c>
      <c r="D2986" s="69" t="str">
        <f>IF(B2986="","",IFERROR(INDEX(mat_unit,MATCH(B2986,mat_ref,0))&amp;"",""))</f>
        <v/>
      </c>
      <c r="E2986" s="72" t="n"/>
      <c r="F2986" s="65" t="n"/>
      <c r="G2986" s="68" t="str">
        <f>IF(J2986&lt;&gt;"OK","",IF(F2986="",N(INDEX(mat_loss,MATCH(B2986,mat_ref,0))),F2986))</f>
        <v/>
      </c>
      <c r="H2986" s="66" t="str">
        <f>IF(J2986&lt;&gt;"OK","",INDEX(mat_price,MATCH(B2986,mat_ref,0)))</f>
        <v/>
      </c>
      <c r="I2986" s="66" t="str">
        <f>IF(J2986&lt;&gt;"OK","",E2986*(1+G2986)*H2986)</f>
        <v/>
      </c>
      <c r="J2986" s="69" t="str">
        <f>IF(AND(A2986="",B2986=""),"",IF(A2986="","Produit manquant",IF(COUNTIF(prod_ref,A2986)=0,"Produit inconnu",IF(B2986="","Matière manquante",IF(ISNA(MATCH(B2986,mat_ref,0)),"Matière inconnue",IF(INDEX(mat_check,MATCH(B2986,mat_ref,0))&lt;&gt;"OK","Matière à corriger",IF(OR(NOT(ISNUMBER(E2986)),N(E2986)&lt;=0),"Quantité invalide",IF(AND(F2986&lt;&gt;"",OR(NOT(ISNUMBER(F2986)),N(F2986)&lt;0,N(F2986)&gt;=1)),"Perte entre 0 et 99 %",IF(COUNTIFS(bom_prod,A2986,bom_mat,B2986)&gt;1,"Matière en double","OK")))))))))</f>
        <v/>
      </c>
      <c r="K2986" s="71" t="str">
        <f>IF(AND(fiche_sel&lt;&gt;"",A2986=fiche_sel),COUNTIF(A$6:A2986,fiche_sel),"")</f>
        <v/>
      </c>
    </row>
    <row r="2987">
      <c r="A2987" s="60" t="n"/>
      <c r="B2987" s="60" t="n"/>
      <c r="C2987" s="71" t="str">
        <f>IF(B2987="","",IFERROR(INDEX(mat_des,MATCH(B2987,mat_ref,0))&amp;"","Matière inconnue"))</f>
        <v/>
      </c>
      <c r="D2987" s="69" t="str">
        <f>IF(B2987="","",IFERROR(INDEX(mat_unit,MATCH(B2987,mat_ref,0))&amp;"",""))</f>
        <v/>
      </c>
      <c r="E2987" s="72" t="n"/>
      <c r="F2987" s="65" t="n"/>
      <c r="G2987" s="68" t="str">
        <f>IF(J2987&lt;&gt;"OK","",IF(F2987="",N(INDEX(mat_loss,MATCH(B2987,mat_ref,0))),F2987))</f>
        <v/>
      </c>
      <c r="H2987" s="66" t="str">
        <f>IF(J2987&lt;&gt;"OK","",INDEX(mat_price,MATCH(B2987,mat_ref,0)))</f>
        <v/>
      </c>
      <c r="I2987" s="66" t="str">
        <f>IF(J2987&lt;&gt;"OK","",E2987*(1+G2987)*H2987)</f>
        <v/>
      </c>
      <c r="J2987" s="69" t="str">
        <f>IF(AND(A2987="",B2987=""),"",IF(A2987="","Produit manquant",IF(COUNTIF(prod_ref,A2987)=0,"Produit inconnu",IF(B2987="","Matière manquante",IF(ISNA(MATCH(B2987,mat_ref,0)),"Matière inconnue",IF(INDEX(mat_check,MATCH(B2987,mat_ref,0))&lt;&gt;"OK","Matière à corriger",IF(OR(NOT(ISNUMBER(E2987)),N(E2987)&lt;=0),"Quantité invalide",IF(AND(F2987&lt;&gt;"",OR(NOT(ISNUMBER(F2987)),N(F2987)&lt;0,N(F2987)&gt;=1)),"Perte entre 0 et 99 %",IF(COUNTIFS(bom_prod,A2987,bom_mat,B2987)&gt;1,"Matière en double","OK")))))))))</f>
        <v/>
      </c>
      <c r="K2987" s="71" t="str">
        <f>IF(AND(fiche_sel&lt;&gt;"",A2987=fiche_sel),COUNTIF(A$6:A2987,fiche_sel),"")</f>
        <v/>
      </c>
    </row>
    <row r="2988">
      <c r="A2988" s="60" t="n"/>
      <c r="B2988" s="60" t="n"/>
      <c r="C2988" s="71" t="str">
        <f>IF(B2988="","",IFERROR(INDEX(mat_des,MATCH(B2988,mat_ref,0))&amp;"","Matière inconnue"))</f>
        <v/>
      </c>
      <c r="D2988" s="69" t="str">
        <f>IF(B2988="","",IFERROR(INDEX(mat_unit,MATCH(B2988,mat_ref,0))&amp;"",""))</f>
        <v/>
      </c>
      <c r="E2988" s="72" t="n"/>
      <c r="F2988" s="65" t="n"/>
      <c r="G2988" s="68" t="str">
        <f>IF(J2988&lt;&gt;"OK","",IF(F2988="",N(INDEX(mat_loss,MATCH(B2988,mat_ref,0))),F2988))</f>
        <v/>
      </c>
      <c r="H2988" s="66" t="str">
        <f>IF(J2988&lt;&gt;"OK","",INDEX(mat_price,MATCH(B2988,mat_ref,0)))</f>
        <v/>
      </c>
      <c r="I2988" s="66" t="str">
        <f>IF(J2988&lt;&gt;"OK","",E2988*(1+G2988)*H2988)</f>
        <v/>
      </c>
      <c r="J2988" s="69" t="str">
        <f>IF(AND(A2988="",B2988=""),"",IF(A2988="","Produit manquant",IF(COUNTIF(prod_ref,A2988)=0,"Produit inconnu",IF(B2988="","Matière manquante",IF(ISNA(MATCH(B2988,mat_ref,0)),"Matière inconnue",IF(INDEX(mat_check,MATCH(B2988,mat_ref,0))&lt;&gt;"OK","Matière à corriger",IF(OR(NOT(ISNUMBER(E2988)),N(E2988)&lt;=0),"Quantité invalide",IF(AND(F2988&lt;&gt;"",OR(NOT(ISNUMBER(F2988)),N(F2988)&lt;0,N(F2988)&gt;=1)),"Perte entre 0 et 99 %",IF(COUNTIFS(bom_prod,A2988,bom_mat,B2988)&gt;1,"Matière en double","OK")))))))))</f>
        <v/>
      </c>
      <c r="K2988" s="71" t="str">
        <f>IF(AND(fiche_sel&lt;&gt;"",A2988=fiche_sel),COUNTIF(A$6:A2988,fiche_sel),"")</f>
        <v/>
      </c>
    </row>
    <row r="2989">
      <c r="A2989" s="60" t="n"/>
      <c r="B2989" s="60" t="n"/>
      <c r="C2989" s="71" t="str">
        <f>IF(B2989="","",IFERROR(INDEX(mat_des,MATCH(B2989,mat_ref,0))&amp;"","Matière inconnue"))</f>
        <v/>
      </c>
      <c r="D2989" s="69" t="str">
        <f>IF(B2989="","",IFERROR(INDEX(mat_unit,MATCH(B2989,mat_ref,0))&amp;"",""))</f>
        <v/>
      </c>
      <c r="E2989" s="72" t="n"/>
      <c r="F2989" s="65" t="n"/>
      <c r="G2989" s="68" t="str">
        <f>IF(J2989&lt;&gt;"OK","",IF(F2989="",N(INDEX(mat_loss,MATCH(B2989,mat_ref,0))),F2989))</f>
        <v/>
      </c>
      <c r="H2989" s="66" t="str">
        <f>IF(J2989&lt;&gt;"OK","",INDEX(mat_price,MATCH(B2989,mat_ref,0)))</f>
        <v/>
      </c>
      <c r="I2989" s="66" t="str">
        <f>IF(J2989&lt;&gt;"OK","",E2989*(1+G2989)*H2989)</f>
        <v/>
      </c>
      <c r="J2989" s="69" t="str">
        <f>IF(AND(A2989="",B2989=""),"",IF(A2989="","Produit manquant",IF(COUNTIF(prod_ref,A2989)=0,"Produit inconnu",IF(B2989="","Matière manquante",IF(ISNA(MATCH(B2989,mat_ref,0)),"Matière inconnue",IF(INDEX(mat_check,MATCH(B2989,mat_ref,0))&lt;&gt;"OK","Matière à corriger",IF(OR(NOT(ISNUMBER(E2989)),N(E2989)&lt;=0),"Quantité invalide",IF(AND(F2989&lt;&gt;"",OR(NOT(ISNUMBER(F2989)),N(F2989)&lt;0,N(F2989)&gt;=1)),"Perte entre 0 et 99 %",IF(COUNTIFS(bom_prod,A2989,bom_mat,B2989)&gt;1,"Matière en double","OK")))))))))</f>
        <v/>
      </c>
      <c r="K2989" s="71" t="str">
        <f>IF(AND(fiche_sel&lt;&gt;"",A2989=fiche_sel),COUNTIF(A$6:A2989,fiche_sel),"")</f>
        <v/>
      </c>
    </row>
    <row r="2990">
      <c r="A2990" s="60" t="n"/>
      <c r="B2990" s="60" t="n"/>
      <c r="C2990" s="71" t="str">
        <f>IF(B2990="","",IFERROR(INDEX(mat_des,MATCH(B2990,mat_ref,0))&amp;"","Matière inconnue"))</f>
        <v/>
      </c>
      <c r="D2990" s="69" t="str">
        <f>IF(B2990="","",IFERROR(INDEX(mat_unit,MATCH(B2990,mat_ref,0))&amp;"",""))</f>
        <v/>
      </c>
      <c r="E2990" s="72" t="n"/>
      <c r="F2990" s="65" t="n"/>
      <c r="G2990" s="68" t="str">
        <f>IF(J2990&lt;&gt;"OK","",IF(F2990="",N(INDEX(mat_loss,MATCH(B2990,mat_ref,0))),F2990))</f>
        <v/>
      </c>
      <c r="H2990" s="66" t="str">
        <f>IF(J2990&lt;&gt;"OK","",INDEX(mat_price,MATCH(B2990,mat_ref,0)))</f>
        <v/>
      </c>
      <c r="I2990" s="66" t="str">
        <f>IF(J2990&lt;&gt;"OK","",E2990*(1+G2990)*H2990)</f>
        <v/>
      </c>
      <c r="J2990" s="69" t="str">
        <f>IF(AND(A2990="",B2990=""),"",IF(A2990="","Produit manquant",IF(COUNTIF(prod_ref,A2990)=0,"Produit inconnu",IF(B2990="","Matière manquante",IF(ISNA(MATCH(B2990,mat_ref,0)),"Matière inconnue",IF(INDEX(mat_check,MATCH(B2990,mat_ref,0))&lt;&gt;"OK","Matière à corriger",IF(OR(NOT(ISNUMBER(E2990)),N(E2990)&lt;=0),"Quantité invalide",IF(AND(F2990&lt;&gt;"",OR(NOT(ISNUMBER(F2990)),N(F2990)&lt;0,N(F2990)&gt;=1)),"Perte entre 0 et 99 %",IF(COUNTIFS(bom_prod,A2990,bom_mat,B2990)&gt;1,"Matière en double","OK")))))))))</f>
        <v/>
      </c>
      <c r="K2990" s="71" t="str">
        <f>IF(AND(fiche_sel&lt;&gt;"",A2990=fiche_sel),COUNTIF(A$6:A2990,fiche_sel),"")</f>
        <v/>
      </c>
    </row>
    <row r="2991">
      <c r="A2991" s="60" t="n"/>
      <c r="B2991" s="60" t="n"/>
      <c r="C2991" s="71" t="str">
        <f>IF(B2991="","",IFERROR(INDEX(mat_des,MATCH(B2991,mat_ref,0))&amp;"","Matière inconnue"))</f>
        <v/>
      </c>
      <c r="D2991" s="69" t="str">
        <f>IF(B2991="","",IFERROR(INDEX(mat_unit,MATCH(B2991,mat_ref,0))&amp;"",""))</f>
        <v/>
      </c>
      <c r="E2991" s="72" t="n"/>
      <c r="F2991" s="65" t="n"/>
      <c r="G2991" s="68" t="str">
        <f>IF(J2991&lt;&gt;"OK","",IF(F2991="",N(INDEX(mat_loss,MATCH(B2991,mat_ref,0))),F2991))</f>
        <v/>
      </c>
      <c r="H2991" s="66" t="str">
        <f>IF(J2991&lt;&gt;"OK","",INDEX(mat_price,MATCH(B2991,mat_ref,0)))</f>
        <v/>
      </c>
      <c r="I2991" s="66" t="str">
        <f>IF(J2991&lt;&gt;"OK","",E2991*(1+G2991)*H2991)</f>
        <v/>
      </c>
      <c r="J2991" s="69" t="str">
        <f>IF(AND(A2991="",B2991=""),"",IF(A2991="","Produit manquant",IF(COUNTIF(prod_ref,A2991)=0,"Produit inconnu",IF(B2991="","Matière manquante",IF(ISNA(MATCH(B2991,mat_ref,0)),"Matière inconnue",IF(INDEX(mat_check,MATCH(B2991,mat_ref,0))&lt;&gt;"OK","Matière à corriger",IF(OR(NOT(ISNUMBER(E2991)),N(E2991)&lt;=0),"Quantité invalide",IF(AND(F2991&lt;&gt;"",OR(NOT(ISNUMBER(F2991)),N(F2991)&lt;0,N(F2991)&gt;=1)),"Perte entre 0 et 99 %",IF(COUNTIFS(bom_prod,A2991,bom_mat,B2991)&gt;1,"Matière en double","OK")))))))))</f>
        <v/>
      </c>
      <c r="K2991" s="71" t="str">
        <f>IF(AND(fiche_sel&lt;&gt;"",A2991=fiche_sel),COUNTIF(A$6:A2991,fiche_sel),"")</f>
        <v/>
      </c>
    </row>
    <row r="2992">
      <c r="A2992" s="60" t="n"/>
      <c r="B2992" s="60" t="n"/>
      <c r="C2992" s="71" t="str">
        <f>IF(B2992="","",IFERROR(INDEX(mat_des,MATCH(B2992,mat_ref,0))&amp;"","Matière inconnue"))</f>
        <v/>
      </c>
      <c r="D2992" s="69" t="str">
        <f>IF(B2992="","",IFERROR(INDEX(mat_unit,MATCH(B2992,mat_ref,0))&amp;"",""))</f>
        <v/>
      </c>
      <c r="E2992" s="72" t="n"/>
      <c r="F2992" s="65" t="n"/>
      <c r="G2992" s="68" t="str">
        <f>IF(J2992&lt;&gt;"OK","",IF(F2992="",N(INDEX(mat_loss,MATCH(B2992,mat_ref,0))),F2992))</f>
        <v/>
      </c>
      <c r="H2992" s="66" t="str">
        <f>IF(J2992&lt;&gt;"OK","",INDEX(mat_price,MATCH(B2992,mat_ref,0)))</f>
        <v/>
      </c>
      <c r="I2992" s="66" t="str">
        <f>IF(J2992&lt;&gt;"OK","",E2992*(1+G2992)*H2992)</f>
        <v/>
      </c>
      <c r="J2992" s="69" t="str">
        <f>IF(AND(A2992="",B2992=""),"",IF(A2992="","Produit manquant",IF(COUNTIF(prod_ref,A2992)=0,"Produit inconnu",IF(B2992="","Matière manquante",IF(ISNA(MATCH(B2992,mat_ref,0)),"Matière inconnue",IF(INDEX(mat_check,MATCH(B2992,mat_ref,0))&lt;&gt;"OK","Matière à corriger",IF(OR(NOT(ISNUMBER(E2992)),N(E2992)&lt;=0),"Quantité invalide",IF(AND(F2992&lt;&gt;"",OR(NOT(ISNUMBER(F2992)),N(F2992)&lt;0,N(F2992)&gt;=1)),"Perte entre 0 et 99 %",IF(COUNTIFS(bom_prod,A2992,bom_mat,B2992)&gt;1,"Matière en double","OK")))))))))</f>
        <v/>
      </c>
      <c r="K2992" s="71" t="str">
        <f>IF(AND(fiche_sel&lt;&gt;"",A2992=fiche_sel),COUNTIF(A$6:A2992,fiche_sel),"")</f>
        <v/>
      </c>
    </row>
    <row r="2993">
      <c r="A2993" s="60" t="n"/>
      <c r="B2993" s="60" t="n"/>
      <c r="C2993" s="71" t="str">
        <f>IF(B2993="","",IFERROR(INDEX(mat_des,MATCH(B2993,mat_ref,0))&amp;"","Matière inconnue"))</f>
        <v/>
      </c>
      <c r="D2993" s="69" t="str">
        <f>IF(B2993="","",IFERROR(INDEX(mat_unit,MATCH(B2993,mat_ref,0))&amp;"",""))</f>
        <v/>
      </c>
      <c r="E2993" s="72" t="n"/>
      <c r="F2993" s="65" t="n"/>
      <c r="G2993" s="68" t="str">
        <f>IF(J2993&lt;&gt;"OK","",IF(F2993="",N(INDEX(mat_loss,MATCH(B2993,mat_ref,0))),F2993))</f>
        <v/>
      </c>
      <c r="H2993" s="66" t="str">
        <f>IF(J2993&lt;&gt;"OK","",INDEX(mat_price,MATCH(B2993,mat_ref,0)))</f>
        <v/>
      </c>
      <c r="I2993" s="66" t="str">
        <f>IF(J2993&lt;&gt;"OK","",E2993*(1+G2993)*H2993)</f>
        <v/>
      </c>
      <c r="J2993" s="69" t="str">
        <f>IF(AND(A2993="",B2993=""),"",IF(A2993="","Produit manquant",IF(COUNTIF(prod_ref,A2993)=0,"Produit inconnu",IF(B2993="","Matière manquante",IF(ISNA(MATCH(B2993,mat_ref,0)),"Matière inconnue",IF(INDEX(mat_check,MATCH(B2993,mat_ref,0))&lt;&gt;"OK","Matière à corriger",IF(OR(NOT(ISNUMBER(E2993)),N(E2993)&lt;=0),"Quantité invalide",IF(AND(F2993&lt;&gt;"",OR(NOT(ISNUMBER(F2993)),N(F2993)&lt;0,N(F2993)&gt;=1)),"Perte entre 0 et 99 %",IF(COUNTIFS(bom_prod,A2993,bom_mat,B2993)&gt;1,"Matière en double","OK")))))))))</f>
        <v/>
      </c>
      <c r="K2993" s="71" t="str">
        <f>IF(AND(fiche_sel&lt;&gt;"",A2993=fiche_sel),COUNTIF(A$6:A2993,fiche_sel),"")</f>
        <v/>
      </c>
    </row>
    <row r="2994">
      <c r="A2994" s="60" t="n"/>
      <c r="B2994" s="60" t="n"/>
      <c r="C2994" s="71" t="str">
        <f>IF(B2994="","",IFERROR(INDEX(mat_des,MATCH(B2994,mat_ref,0))&amp;"","Matière inconnue"))</f>
        <v/>
      </c>
      <c r="D2994" s="69" t="str">
        <f>IF(B2994="","",IFERROR(INDEX(mat_unit,MATCH(B2994,mat_ref,0))&amp;"",""))</f>
        <v/>
      </c>
      <c r="E2994" s="72" t="n"/>
      <c r="F2994" s="65" t="n"/>
      <c r="G2994" s="68" t="str">
        <f>IF(J2994&lt;&gt;"OK","",IF(F2994="",N(INDEX(mat_loss,MATCH(B2994,mat_ref,0))),F2994))</f>
        <v/>
      </c>
      <c r="H2994" s="66" t="str">
        <f>IF(J2994&lt;&gt;"OK","",INDEX(mat_price,MATCH(B2994,mat_ref,0)))</f>
        <v/>
      </c>
      <c r="I2994" s="66" t="str">
        <f>IF(J2994&lt;&gt;"OK","",E2994*(1+G2994)*H2994)</f>
        <v/>
      </c>
      <c r="J2994" s="69" t="str">
        <f>IF(AND(A2994="",B2994=""),"",IF(A2994="","Produit manquant",IF(COUNTIF(prod_ref,A2994)=0,"Produit inconnu",IF(B2994="","Matière manquante",IF(ISNA(MATCH(B2994,mat_ref,0)),"Matière inconnue",IF(INDEX(mat_check,MATCH(B2994,mat_ref,0))&lt;&gt;"OK","Matière à corriger",IF(OR(NOT(ISNUMBER(E2994)),N(E2994)&lt;=0),"Quantité invalide",IF(AND(F2994&lt;&gt;"",OR(NOT(ISNUMBER(F2994)),N(F2994)&lt;0,N(F2994)&gt;=1)),"Perte entre 0 et 99 %",IF(COUNTIFS(bom_prod,A2994,bom_mat,B2994)&gt;1,"Matière en double","OK")))))))))</f>
        <v/>
      </c>
      <c r="K2994" s="71" t="str">
        <f>IF(AND(fiche_sel&lt;&gt;"",A2994=fiche_sel),COUNTIF(A$6:A2994,fiche_sel),"")</f>
        <v/>
      </c>
    </row>
    <row r="2995">
      <c r="A2995" s="60" t="n"/>
      <c r="B2995" s="60" t="n"/>
      <c r="C2995" s="71" t="str">
        <f>IF(B2995="","",IFERROR(INDEX(mat_des,MATCH(B2995,mat_ref,0))&amp;"","Matière inconnue"))</f>
        <v/>
      </c>
      <c r="D2995" s="69" t="str">
        <f>IF(B2995="","",IFERROR(INDEX(mat_unit,MATCH(B2995,mat_ref,0))&amp;"",""))</f>
        <v/>
      </c>
      <c r="E2995" s="72" t="n"/>
      <c r="F2995" s="65" t="n"/>
      <c r="G2995" s="68" t="str">
        <f>IF(J2995&lt;&gt;"OK","",IF(F2995="",N(INDEX(mat_loss,MATCH(B2995,mat_ref,0))),F2995))</f>
        <v/>
      </c>
      <c r="H2995" s="66" t="str">
        <f>IF(J2995&lt;&gt;"OK","",INDEX(mat_price,MATCH(B2995,mat_ref,0)))</f>
        <v/>
      </c>
      <c r="I2995" s="66" t="str">
        <f>IF(J2995&lt;&gt;"OK","",E2995*(1+G2995)*H2995)</f>
        <v/>
      </c>
      <c r="J2995" s="69" t="str">
        <f>IF(AND(A2995="",B2995=""),"",IF(A2995="","Produit manquant",IF(COUNTIF(prod_ref,A2995)=0,"Produit inconnu",IF(B2995="","Matière manquante",IF(ISNA(MATCH(B2995,mat_ref,0)),"Matière inconnue",IF(INDEX(mat_check,MATCH(B2995,mat_ref,0))&lt;&gt;"OK","Matière à corriger",IF(OR(NOT(ISNUMBER(E2995)),N(E2995)&lt;=0),"Quantité invalide",IF(AND(F2995&lt;&gt;"",OR(NOT(ISNUMBER(F2995)),N(F2995)&lt;0,N(F2995)&gt;=1)),"Perte entre 0 et 99 %",IF(COUNTIFS(bom_prod,A2995,bom_mat,B2995)&gt;1,"Matière en double","OK")))))))))</f>
        <v/>
      </c>
      <c r="K2995" s="71" t="str">
        <f>IF(AND(fiche_sel&lt;&gt;"",A2995=fiche_sel),COUNTIF(A$6:A2995,fiche_sel),"")</f>
        <v/>
      </c>
    </row>
    <row r="2996">
      <c r="A2996" s="60" t="n"/>
      <c r="B2996" s="60" t="n"/>
      <c r="C2996" s="71" t="str">
        <f>IF(B2996="","",IFERROR(INDEX(mat_des,MATCH(B2996,mat_ref,0))&amp;"","Matière inconnue"))</f>
        <v/>
      </c>
      <c r="D2996" s="69" t="str">
        <f>IF(B2996="","",IFERROR(INDEX(mat_unit,MATCH(B2996,mat_ref,0))&amp;"",""))</f>
        <v/>
      </c>
      <c r="E2996" s="72" t="n"/>
      <c r="F2996" s="65" t="n"/>
      <c r="G2996" s="68" t="str">
        <f>IF(J2996&lt;&gt;"OK","",IF(F2996="",N(INDEX(mat_loss,MATCH(B2996,mat_ref,0))),F2996))</f>
        <v/>
      </c>
      <c r="H2996" s="66" t="str">
        <f>IF(J2996&lt;&gt;"OK","",INDEX(mat_price,MATCH(B2996,mat_ref,0)))</f>
        <v/>
      </c>
      <c r="I2996" s="66" t="str">
        <f>IF(J2996&lt;&gt;"OK","",E2996*(1+G2996)*H2996)</f>
        <v/>
      </c>
      <c r="J2996" s="69" t="str">
        <f>IF(AND(A2996="",B2996=""),"",IF(A2996="","Produit manquant",IF(COUNTIF(prod_ref,A2996)=0,"Produit inconnu",IF(B2996="","Matière manquante",IF(ISNA(MATCH(B2996,mat_ref,0)),"Matière inconnue",IF(INDEX(mat_check,MATCH(B2996,mat_ref,0))&lt;&gt;"OK","Matière à corriger",IF(OR(NOT(ISNUMBER(E2996)),N(E2996)&lt;=0),"Quantité invalide",IF(AND(F2996&lt;&gt;"",OR(NOT(ISNUMBER(F2996)),N(F2996)&lt;0,N(F2996)&gt;=1)),"Perte entre 0 et 99 %",IF(COUNTIFS(bom_prod,A2996,bom_mat,B2996)&gt;1,"Matière en double","OK")))))))))</f>
        <v/>
      </c>
      <c r="K2996" s="71" t="str">
        <f>IF(AND(fiche_sel&lt;&gt;"",A2996=fiche_sel),COUNTIF(A$6:A2996,fiche_sel),"")</f>
        <v/>
      </c>
    </row>
    <row r="2997">
      <c r="A2997" s="60" t="n"/>
      <c r="B2997" s="60" t="n"/>
      <c r="C2997" s="71" t="str">
        <f>IF(B2997="","",IFERROR(INDEX(mat_des,MATCH(B2997,mat_ref,0))&amp;"","Matière inconnue"))</f>
        <v/>
      </c>
      <c r="D2997" s="69" t="str">
        <f>IF(B2997="","",IFERROR(INDEX(mat_unit,MATCH(B2997,mat_ref,0))&amp;"",""))</f>
        <v/>
      </c>
      <c r="E2997" s="72" t="n"/>
      <c r="F2997" s="65" t="n"/>
      <c r="G2997" s="68" t="str">
        <f>IF(J2997&lt;&gt;"OK","",IF(F2997="",N(INDEX(mat_loss,MATCH(B2997,mat_ref,0))),F2997))</f>
        <v/>
      </c>
      <c r="H2997" s="66" t="str">
        <f>IF(J2997&lt;&gt;"OK","",INDEX(mat_price,MATCH(B2997,mat_ref,0)))</f>
        <v/>
      </c>
      <c r="I2997" s="66" t="str">
        <f>IF(J2997&lt;&gt;"OK","",E2997*(1+G2997)*H2997)</f>
        <v/>
      </c>
      <c r="J2997" s="69" t="str">
        <f>IF(AND(A2997="",B2997=""),"",IF(A2997="","Produit manquant",IF(COUNTIF(prod_ref,A2997)=0,"Produit inconnu",IF(B2997="","Matière manquante",IF(ISNA(MATCH(B2997,mat_ref,0)),"Matière inconnue",IF(INDEX(mat_check,MATCH(B2997,mat_ref,0))&lt;&gt;"OK","Matière à corriger",IF(OR(NOT(ISNUMBER(E2997)),N(E2997)&lt;=0),"Quantité invalide",IF(AND(F2997&lt;&gt;"",OR(NOT(ISNUMBER(F2997)),N(F2997)&lt;0,N(F2997)&gt;=1)),"Perte entre 0 et 99 %",IF(COUNTIFS(bom_prod,A2997,bom_mat,B2997)&gt;1,"Matière en double","OK")))))))))</f>
        <v/>
      </c>
      <c r="K2997" s="71" t="str">
        <f>IF(AND(fiche_sel&lt;&gt;"",A2997=fiche_sel),COUNTIF(A$6:A2997,fiche_sel),"")</f>
        <v/>
      </c>
    </row>
    <row r="2998">
      <c r="A2998" s="60" t="n"/>
      <c r="B2998" s="60" t="n"/>
      <c r="C2998" s="71" t="str">
        <f>IF(B2998="","",IFERROR(INDEX(mat_des,MATCH(B2998,mat_ref,0))&amp;"","Matière inconnue"))</f>
        <v/>
      </c>
      <c r="D2998" s="69" t="str">
        <f>IF(B2998="","",IFERROR(INDEX(mat_unit,MATCH(B2998,mat_ref,0))&amp;"",""))</f>
        <v/>
      </c>
      <c r="E2998" s="72" t="n"/>
      <c r="F2998" s="65" t="n"/>
      <c r="G2998" s="68" t="str">
        <f>IF(J2998&lt;&gt;"OK","",IF(F2998="",N(INDEX(mat_loss,MATCH(B2998,mat_ref,0))),F2998))</f>
        <v/>
      </c>
      <c r="H2998" s="66" t="str">
        <f>IF(J2998&lt;&gt;"OK","",INDEX(mat_price,MATCH(B2998,mat_ref,0)))</f>
        <v/>
      </c>
      <c r="I2998" s="66" t="str">
        <f>IF(J2998&lt;&gt;"OK","",E2998*(1+G2998)*H2998)</f>
        <v/>
      </c>
      <c r="J2998" s="69" t="str">
        <f>IF(AND(A2998="",B2998=""),"",IF(A2998="","Produit manquant",IF(COUNTIF(prod_ref,A2998)=0,"Produit inconnu",IF(B2998="","Matière manquante",IF(ISNA(MATCH(B2998,mat_ref,0)),"Matière inconnue",IF(INDEX(mat_check,MATCH(B2998,mat_ref,0))&lt;&gt;"OK","Matière à corriger",IF(OR(NOT(ISNUMBER(E2998)),N(E2998)&lt;=0),"Quantité invalide",IF(AND(F2998&lt;&gt;"",OR(NOT(ISNUMBER(F2998)),N(F2998)&lt;0,N(F2998)&gt;=1)),"Perte entre 0 et 99 %",IF(COUNTIFS(bom_prod,A2998,bom_mat,B2998)&gt;1,"Matière en double","OK")))))))))</f>
        <v/>
      </c>
      <c r="K2998" s="71" t="str">
        <f>IF(AND(fiche_sel&lt;&gt;"",A2998=fiche_sel),COUNTIF(A$6:A2998,fiche_sel),"")</f>
        <v/>
      </c>
    </row>
    <row r="2999">
      <c r="A2999" s="60" t="n"/>
      <c r="B2999" s="60" t="n"/>
      <c r="C2999" s="71" t="str">
        <f>IF(B2999="","",IFERROR(INDEX(mat_des,MATCH(B2999,mat_ref,0))&amp;"","Matière inconnue"))</f>
        <v/>
      </c>
      <c r="D2999" s="69" t="str">
        <f>IF(B2999="","",IFERROR(INDEX(mat_unit,MATCH(B2999,mat_ref,0))&amp;"",""))</f>
        <v/>
      </c>
      <c r="E2999" s="72" t="n"/>
      <c r="F2999" s="65" t="n"/>
      <c r="G2999" s="68" t="str">
        <f>IF(J2999&lt;&gt;"OK","",IF(F2999="",N(INDEX(mat_loss,MATCH(B2999,mat_ref,0))),F2999))</f>
        <v/>
      </c>
      <c r="H2999" s="66" t="str">
        <f>IF(J2999&lt;&gt;"OK","",INDEX(mat_price,MATCH(B2999,mat_ref,0)))</f>
        <v/>
      </c>
      <c r="I2999" s="66" t="str">
        <f>IF(J2999&lt;&gt;"OK","",E2999*(1+G2999)*H2999)</f>
        <v/>
      </c>
      <c r="J2999" s="69" t="str">
        <f>IF(AND(A2999="",B2999=""),"",IF(A2999="","Produit manquant",IF(COUNTIF(prod_ref,A2999)=0,"Produit inconnu",IF(B2999="","Matière manquante",IF(ISNA(MATCH(B2999,mat_ref,0)),"Matière inconnue",IF(INDEX(mat_check,MATCH(B2999,mat_ref,0))&lt;&gt;"OK","Matière à corriger",IF(OR(NOT(ISNUMBER(E2999)),N(E2999)&lt;=0),"Quantité invalide",IF(AND(F2999&lt;&gt;"",OR(NOT(ISNUMBER(F2999)),N(F2999)&lt;0,N(F2999)&gt;=1)),"Perte entre 0 et 99 %",IF(COUNTIFS(bom_prod,A2999,bom_mat,B2999)&gt;1,"Matière en double","OK")))))))))</f>
        <v/>
      </c>
      <c r="K2999" s="71" t="str">
        <f>IF(AND(fiche_sel&lt;&gt;"",A2999=fiche_sel),COUNTIF(A$6:A2999,fiche_sel),"")</f>
        <v/>
      </c>
    </row>
    <row r="3000">
      <c r="A3000" s="60" t="n"/>
      <c r="B3000" s="60" t="n"/>
      <c r="C3000" s="71" t="str">
        <f>IF(B3000="","",IFERROR(INDEX(mat_des,MATCH(B3000,mat_ref,0))&amp;"","Matière inconnue"))</f>
        <v/>
      </c>
      <c r="D3000" s="69" t="str">
        <f>IF(B3000="","",IFERROR(INDEX(mat_unit,MATCH(B3000,mat_ref,0))&amp;"",""))</f>
        <v/>
      </c>
      <c r="E3000" s="72" t="n"/>
      <c r="F3000" s="65" t="n"/>
      <c r="G3000" s="68" t="str">
        <f>IF(J3000&lt;&gt;"OK","",IF(F3000="",N(INDEX(mat_loss,MATCH(B3000,mat_ref,0))),F3000))</f>
        <v/>
      </c>
      <c r="H3000" s="66" t="str">
        <f>IF(J3000&lt;&gt;"OK","",INDEX(mat_price,MATCH(B3000,mat_ref,0)))</f>
        <v/>
      </c>
      <c r="I3000" s="66" t="str">
        <f>IF(J3000&lt;&gt;"OK","",E3000*(1+G3000)*H3000)</f>
        <v/>
      </c>
      <c r="J3000" s="69" t="str">
        <f>IF(AND(A3000="",B3000=""),"",IF(A3000="","Produit manquant",IF(COUNTIF(prod_ref,A3000)=0,"Produit inconnu",IF(B3000="","Matière manquante",IF(ISNA(MATCH(B3000,mat_ref,0)),"Matière inconnue",IF(INDEX(mat_check,MATCH(B3000,mat_ref,0))&lt;&gt;"OK","Matière à corriger",IF(OR(NOT(ISNUMBER(E3000)),N(E3000)&lt;=0),"Quantité invalide",IF(AND(F3000&lt;&gt;"",OR(NOT(ISNUMBER(F3000)),N(F3000)&lt;0,N(F3000)&gt;=1)),"Perte entre 0 et 99 %",IF(COUNTIFS(bom_prod,A3000,bom_mat,B3000)&gt;1,"Matière en double","OK")))))))))</f>
        <v/>
      </c>
      <c r="K3000" s="71" t="str">
        <f>IF(AND(fiche_sel&lt;&gt;"",A3000=fiche_sel),COUNTIF(A$6:A3000,fiche_sel),"")</f>
        <v/>
      </c>
    </row>
    <row r="3001">
      <c r="A3001" s="60" t="n"/>
      <c r="B3001" s="60" t="n"/>
      <c r="C3001" s="71" t="str">
        <f>IF(B3001="","",IFERROR(INDEX(mat_des,MATCH(B3001,mat_ref,0))&amp;"","Matière inconnue"))</f>
        <v/>
      </c>
      <c r="D3001" s="69" t="str">
        <f>IF(B3001="","",IFERROR(INDEX(mat_unit,MATCH(B3001,mat_ref,0))&amp;"",""))</f>
        <v/>
      </c>
      <c r="E3001" s="72" t="n"/>
      <c r="F3001" s="65" t="n"/>
      <c r="G3001" s="68" t="str">
        <f>IF(J3001&lt;&gt;"OK","",IF(F3001="",N(INDEX(mat_loss,MATCH(B3001,mat_ref,0))),F3001))</f>
        <v/>
      </c>
      <c r="H3001" s="66" t="str">
        <f>IF(J3001&lt;&gt;"OK","",INDEX(mat_price,MATCH(B3001,mat_ref,0)))</f>
        <v/>
      </c>
      <c r="I3001" s="66" t="str">
        <f>IF(J3001&lt;&gt;"OK","",E3001*(1+G3001)*H3001)</f>
        <v/>
      </c>
      <c r="J3001" s="69" t="str">
        <f>IF(AND(A3001="",B3001=""),"",IF(A3001="","Produit manquant",IF(COUNTIF(prod_ref,A3001)=0,"Produit inconnu",IF(B3001="","Matière manquante",IF(ISNA(MATCH(B3001,mat_ref,0)),"Matière inconnue",IF(INDEX(mat_check,MATCH(B3001,mat_ref,0))&lt;&gt;"OK","Matière à corriger",IF(OR(NOT(ISNUMBER(E3001)),N(E3001)&lt;=0),"Quantité invalide",IF(AND(F3001&lt;&gt;"",OR(NOT(ISNUMBER(F3001)),N(F3001)&lt;0,N(F3001)&gt;=1)),"Perte entre 0 et 99 %",IF(COUNTIFS(bom_prod,A3001,bom_mat,B3001)&gt;1,"Matière en double","OK")))))))))</f>
        <v/>
      </c>
      <c r="K3001" s="71" t="str">
        <f>IF(AND(fiche_sel&lt;&gt;"",A3001=fiche_sel),COUNTIF(A$6:A3001,fiche_sel),"")</f>
        <v/>
      </c>
    </row>
    <row r="3002">
      <c r="A3002" s="60" t="n"/>
      <c r="B3002" s="60" t="n"/>
      <c r="C3002" s="71" t="str">
        <f>IF(B3002="","",IFERROR(INDEX(mat_des,MATCH(B3002,mat_ref,0))&amp;"","Matière inconnue"))</f>
        <v/>
      </c>
      <c r="D3002" s="69" t="str">
        <f>IF(B3002="","",IFERROR(INDEX(mat_unit,MATCH(B3002,mat_ref,0))&amp;"",""))</f>
        <v/>
      </c>
      <c r="E3002" s="72" t="n"/>
      <c r="F3002" s="65" t="n"/>
      <c r="G3002" s="68" t="str">
        <f>IF(J3002&lt;&gt;"OK","",IF(F3002="",N(INDEX(mat_loss,MATCH(B3002,mat_ref,0))),F3002))</f>
        <v/>
      </c>
      <c r="H3002" s="66" t="str">
        <f>IF(J3002&lt;&gt;"OK","",INDEX(mat_price,MATCH(B3002,mat_ref,0)))</f>
        <v/>
      </c>
      <c r="I3002" s="66" t="str">
        <f>IF(J3002&lt;&gt;"OK","",E3002*(1+G3002)*H3002)</f>
        <v/>
      </c>
      <c r="J3002" s="69" t="str">
        <f>IF(AND(A3002="",B3002=""),"",IF(A3002="","Produit manquant",IF(COUNTIF(prod_ref,A3002)=0,"Produit inconnu",IF(B3002="","Matière manquante",IF(ISNA(MATCH(B3002,mat_ref,0)),"Matière inconnue",IF(INDEX(mat_check,MATCH(B3002,mat_ref,0))&lt;&gt;"OK","Matière à corriger",IF(OR(NOT(ISNUMBER(E3002)),N(E3002)&lt;=0),"Quantité invalide",IF(AND(F3002&lt;&gt;"",OR(NOT(ISNUMBER(F3002)),N(F3002)&lt;0,N(F3002)&gt;=1)),"Perte entre 0 et 99 %",IF(COUNTIFS(bom_prod,A3002,bom_mat,B3002)&gt;1,"Matière en double","OK")))))))))</f>
        <v/>
      </c>
      <c r="K3002" s="71" t="str">
        <f>IF(AND(fiche_sel&lt;&gt;"",A3002=fiche_sel),COUNTIF(A$6:A3002,fiche_sel),"")</f>
        <v/>
      </c>
    </row>
    <row r="3003">
      <c r="A3003" s="60" t="n"/>
      <c r="B3003" s="60" t="n"/>
      <c r="C3003" s="71" t="str">
        <f>IF(B3003="","",IFERROR(INDEX(mat_des,MATCH(B3003,mat_ref,0))&amp;"","Matière inconnue"))</f>
        <v/>
      </c>
      <c r="D3003" s="69" t="str">
        <f>IF(B3003="","",IFERROR(INDEX(mat_unit,MATCH(B3003,mat_ref,0))&amp;"",""))</f>
        <v/>
      </c>
      <c r="E3003" s="72" t="n"/>
      <c r="F3003" s="65" t="n"/>
      <c r="G3003" s="68" t="str">
        <f>IF(J3003&lt;&gt;"OK","",IF(F3003="",N(INDEX(mat_loss,MATCH(B3003,mat_ref,0))),F3003))</f>
        <v/>
      </c>
      <c r="H3003" s="66" t="str">
        <f>IF(J3003&lt;&gt;"OK","",INDEX(mat_price,MATCH(B3003,mat_ref,0)))</f>
        <v/>
      </c>
      <c r="I3003" s="66" t="str">
        <f>IF(J3003&lt;&gt;"OK","",E3003*(1+G3003)*H3003)</f>
        <v/>
      </c>
      <c r="J3003" s="69" t="str">
        <f>IF(AND(A3003="",B3003=""),"",IF(A3003="","Produit manquant",IF(COUNTIF(prod_ref,A3003)=0,"Produit inconnu",IF(B3003="","Matière manquante",IF(ISNA(MATCH(B3003,mat_ref,0)),"Matière inconnue",IF(INDEX(mat_check,MATCH(B3003,mat_ref,0))&lt;&gt;"OK","Matière à corriger",IF(OR(NOT(ISNUMBER(E3003)),N(E3003)&lt;=0),"Quantité invalide",IF(AND(F3003&lt;&gt;"",OR(NOT(ISNUMBER(F3003)),N(F3003)&lt;0,N(F3003)&gt;=1)),"Perte entre 0 et 99 %",IF(COUNTIFS(bom_prod,A3003,bom_mat,B3003)&gt;1,"Matière en double","OK")))))))))</f>
        <v/>
      </c>
      <c r="K3003" s="71" t="str">
        <f>IF(AND(fiche_sel&lt;&gt;"",A3003=fiche_sel),COUNTIF(A$6:A3003,fiche_sel),"")</f>
        <v/>
      </c>
    </row>
    <row r="3004">
      <c r="A3004" s="60" t="n"/>
      <c r="B3004" s="60" t="n"/>
      <c r="C3004" s="71" t="str">
        <f>IF(B3004="","",IFERROR(INDEX(mat_des,MATCH(B3004,mat_ref,0))&amp;"","Matière inconnue"))</f>
        <v/>
      </c>
      <c r="D3004" s="69" t="str">
        <f>IF(B3004="","",IFERROR(INDEX(mat_unit,MATCH(B3004,mat_ref,0))&amp;"",""))</f>
        <v/>
      </c>
      <c r="E3004" s="72" t="n"/>
      <c r="F3004" s="65" t="n"/>
      <c r="G3004" s="68" t="str">
        <f>IF(J3004&lt;&gt;"OK","",IF(F3004="",N(INDEX(mat_loss,MATCH(B3004,mat_ref,0))),F3004))</f>
        <v/>
      </c>
      <c r="H3004" s="66" t="str">
        <f>IF(J3004&lt;&gt;"OK","",INDEX(mat_price,MATCH(B3004,mat_ref,0)))</f>
        <v/>
      </c>
      <c r="I3004" s="66" t="str">
        <f>IF(J3004&lt;&gt;"OK","",E3004*(1+G3004)*H3004)</f>
        <v/>
      </c>
      <c r="J3004" s="69" t="str">
        <f>IF(AND(A3004="",B3004=""),"",IF(A3004="","Produit manquant",IF(COUNTIF(prod_ref,A3004)=0,"Produit inconnu",IF(B3004="","Matière manquante",IF(ISNA(MATCH(B3004,mat_ref,0)),"Matière inconnue",IF(INDEX(mat_check,MATCH(B3004,mat_ref,0))&lt;&gt;"OK","Matière à corriger",IF(OR(NOT(ISNUMBER(E3004)),N(E3004)&lt;=0),"Quantité invalide",IF(AND(F3004&lt;&gt;"",OR(NOT(ISNUMBER(F3004)),N(F3004)&lt;0,N(F3004)&gt;=1)),"Perte entre 0 et 99 %",IF(COUNTIFS(bom_prod,A3004,bom_mat,B3004)&gt;1,"Matière en double","OK")))))))))</f>
        <v/>
      </c>
      <c r="K3004" s="71" t="str">
        <f>IF(AND(fiche_sel&lt;&gt;"",A3004=fiche_sel),COUNTIF(A$6:A3004,fiche_sel),"")</f>
        <v/>
      </c>
    </row>
    <row r="3005">
      <c r="A3005" s="60" t="n"/>
      <c r="B3005" s="60" t="n"/>
      <c r="C3005" s="71" t="str">
        <f>IF(B3005="","",IFERROR(INDEX(mat_des,MATCH(B3005,mat_ref,0))&amp;"","Matière inconnue"))</f>
        <v/>
      </c>
      <c r="D3005" s="69" t="str">
        <f>IF(B3005="","",IFERROR(INDEX(mat_unit,MATCH(B3005,mat_ref,0))&amp;"",""))</f>
        <v/>
      </c>
      <c r="E3005" s="72" t="n"/>
      <c r="F3005" s="65" t="n"/>
      <c r="G3005" s="68" t="str">
        <f>IF(J3005&lt;&gt;"OK","",IF(F3005="",N(INDEX(mat_loss,MATCH(B3005,mat_ref,0))),F3005))</f>
        <v/>
      </c>
      <c r="H3005" s="66" t="str">
        <f>IF(J3005&lt;&gt;"OK","",INDEX(mat_price,MATCH(B3005,mat_ref,0)))</f>
        <v/>
      </c>
      <c r="I3005" s="66" t="str">
        <f>IF(J3005&lt;&gt;"OK","",E3005*(1+G3005)*H3005)</f>
        <v/>
      </c>
      <c r="J3005" s="69" t="str">
        <f>IF(AND(A3005="",B3005=""),"",IF(A3005="","Produit manquant",IF(COUNTIF(prod_ref,A3005)=0,"Produit inconnu",IF(B3005="","Matière manquante",IF(ISNA(MATCH(B3005,mat_ref,0)),"Matière inconnue",IF(INDEX(mat_check,MATCH(B3005,mat_ref,0))&lt;&gt;"OK","Matière à corriger",IF(OR(NOT(ISNUMBER(E3005)),N(E3005)&lt;=0),"Quantité invalide",IF(AND(F3005&lt;&gt;"",OR(NOT(ISNUMBER(F3005)),N(F3005)&lt;0,N(F3005)&gt;=1)),"Perte entre 0 et 99 %",IF(COUNTIFS(bom_prod,A3005,bom_mat,B3005)&gt;1,"Matière en double","OK")))))))))</f>
        <v/>
      </c>
      <c r="K3005" s="71" t="str">
        <f>IF(AND(fiche_sel&lt;&gt;"",A3005=fiche_sel),COUNTIF(A$6:A3005,fiche_sel),"")</f>
        <v/>
      </c>
    </row>
  </sheetData>
  <autoFilter ref="A5:J3005"/>
  <conditionalFormatting sqref="J6:J3005">
    <cfRule type="expression" priority="1" dxfId="2">
      <formula>AND($J6&lt;&gt;"",$J6&lt;&gt;"OK")</formula>
    </cfRule>
    <cfRule type="expression" priority="2" dxfId="0">
      <formula>$J6="OK"</formula>
    </cfRule>
  </conditionalFormatting>
  <conditionalFormatting sqref="H6:H3005">
    <cfRule type="expression" priority="3" dxfId="5">
      <formula>p_currency="MAD"</formula>
    </cfRule>
    <cfRule type="expression" priority="5" dxfId="6">
      <formula>p_currency="EUR"</formula>
    </cfRule>
    <cfRule type="expression" priority="7" dxfId="7">
      <formula>p_currency="USD"</formula>
    </cfRule>
  </conditionalFormatting>
  <conditionalFormatting sqref="I6:I3005">
    <cfRule type="expression" priority="4" dxfId="5">
      <formula>p_currency="MAD"</formula>
    </cfRule>
    <cfRule type="expression" priority="6" dxfId="6">
      <formula>p_currency="EUR"</formula>
    </cfRule>
    <cfRule type="expression" priority="8" dxfId="7">
      <formula>p_currency="USD"</formula>
    </cfRule>
  </conditionalFormatting>
  <dataValidations count="4">
    <dataValidation sqref="A6:A3005" showDropDown="0" showInputMessage="1" showErrorMessage="1" allowBlank="1" errorTitle="Produit" error="Choisissez le produit dans la liste (feuille « Produits »)." promptTitle="Produit" prompt="Choisissez le produit dans la liste (feuille « Produits »)." type="list">
      <formula1>=prod_ref</formula1>
    </dataValidation>
    <dataValidation sqref="B6:B3005" showDropDown="0" showInputMessage="1" showErrorMessage="1" allowBlank="1" errorTitle="Matière" error="Choisissez la matière dans la liste (feuille « Matières »)." promptTitle="Matière" prompt="Choisissez la matière dans la liste (feuille « Matières »)." type="list">
      <formula1>=mat_ref</formula1>
    </dataValidation>
    <dataValidation sqref="E6:E3005" showDropDown="0" showInputMessage="1" showErrorMessage="1" allowBlank="1" errorTitle="Quantité par pièce" error="Quantité consommée pour une pièce finie, dans l'unité de la matière : 1,35 kg de tôle, 4 vis, 0,22 m de rond." promptTitle="Quantité par pièce" prompt="Quantité consommée pour une pièce finie, dans l'unité de la matière : 1,35 kg de tôle, 4 vis, 0,22 m de rond." type="decimal" operator="greaterThan">
      <formula1>0</formula1>
    </dataValidation>
    <dataValidation sqref="F6:F3005" showDropDown="0" showInputMessage="1" showErrorMessage="1" allowBlank="1" errorTitle="Perte spécifique" error="Facultatif. Remplace le taux de perte de la matière pour ce produit seulement. Entre 0 et 99 %." promptTitle="Perte spécifique" prompt="Facultatif. Remplace le taux de perte de la matière pour ce produit seulement. Entre 0 et 99 %." type="decimal" operator="between">
      <formula1>0</formula1>
      <formula2>0.99</formula2>
    </dataValidation>
  </dataValidations>
  <hyperlinks>
    <hyperlink ref="J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N2005"/>
  <sheetViews>
    <sheetView showGridLines="0" tabSelected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8" customWidth="1" min="2" max="2"/>
    <col width="24" customWidth="1" min="3" max="3"/>
    <col width="10" customWidth="1" min="4" max="4"/>
    <col width="11" customWidth="1" min="5" max="5"/>
    <col width="12" customWidth="1" min="6" max="6"/>
    <col width="11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26" customWidth="1" min="13" max="13"/>
    <col hidden="1" width="7" customWidth="1" min="14" max="14"/>
  </cols>
  <sheetData>
    <row r="1" ht="38" customHeight="1">
      <c r="A1" s="2" t="inlineStr">
        <is>
          <t>Gammes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8" t="inlineStr">
        <is>
          <t>⌂ Mode d'emploi</t>
        </is>
      </c>
    </row>
    <row r="2" ht="22" customHeight="1">
      <c r="A2" s="4" t="inlineStr">
        <is>
          <t>Une ligne par opération d'un produit. Réglage en heures, une fois par lot. Temps par pièce en minutes.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18" customHeight="1">
      <c r="K3" s="16" t="inlineStr">
        <is>
          <t>Saisie</t>
        </is>
      </c>
      <c r="L3" s="17" t="inlineStr">
        <is>
          <t>Calcul auto</t>
        </is>
      </c>
    </row>
    <row r="5" ht="34" customHeight="1">
      <c r="A5" s="42" t="inlineStr">
        <is>
          <t>Produit</t>
        </is>
      </c>
      <c r="B5" s="42" t="inlineStr">
        <is>
          <t>N° op.</t>
        </is>
      </c>
      <c r="C5" s="42" t="inlineStr">
        <is>
          <t>Opération</t>
        </is>
      </c>
      <c r="D5" s="42" t="inlineStr">
        <is>
          <t>Poste</t>
        </is>
      </c>
      <c r="E5" s="42" t="inlineStr">
        <is>
          <t>Réglage (h)</t>
        </is>
      </c>
      <c r="F5" s="42" t="inlineStr">
        <is>
          <t>Temps par pièce (min)</t>
        </is>
      </c>
      <c r="G5" s="42" t="inlineStr">
        <is>
          <t>Opérateurs</t>
        </is>
      </c>
      <c r="H5" s="42" t="inlineStr">
        <is>
          <t>Taux main-d'œuvre</t>
        </is>
      </c>
      <c r="I5" s="42" t="inlineStr">
        <is>
          <t>Taux machine</t>
        </is>
      </c>
      <c r="J5" s="42" t="inlineStr">
        <is>
          <t>Réglage par lot</t>
        </is>
      </c>
      <c r="K5" s="42" t="inlineStr">
        <is>
          <t>Main-d'œuvre / pièce</t>
        </is>
      </c>
      <c r="L5" s="42" t="inlineStr">
        <is>
          <t>Machine / pièce</t>
        </is>
      </c>
      <c r="M5" s="42" t="inlineStr">
        <is>
          <t>Contrôle</t>
        </is>
      </c>
      <c r="N5" s="42" t="inlineStr">
        <is>
          <t>Rang fiche</t>
        </is>
      </c>
    </row>
    <row r="6">
      <c r="A6" s="60" t="n"/>
      <c r="B6" s="73" t="n"/>
      <c r="C6" s="60" t="n"/>
      <c r="D6" s="61" t="n"/>
      <c r="E6" s="74" t="n"/>
      <c r="F6" s="74" t="n"/>
      <c r="G6" s="73" t="n"/>
      <c r="H6" s="66" t="str">
        <f>IF(M6&lt;&gt;"OK","",INDEX(po_mo,MATCH(D6,po_code,0)))</f>
        <v/>
      </c>
      <c r="I6" s="66" t="str">
        <f>IF(M6&lt;&gt;"OK","",INDEX(po_mac,MATCH(D6,po_code,0)))</f>
        <v/>
      </c>
      <c r="J6" s="66" t="str">
        <f>IF(M6&lt;&gt;"OK","",N(E6)*(H6*IF(G6="",1,G6)+I6))</f>
        <v/>
      </c>
      <c r="K6" s="66" t="str">
        <f>IF(M6&lt;&gt;"OK","",N(F6)/60*H6*IF(G6="",1,G6))</f>
        <v/>
      </c>
      <c r="L6" s="66" t="str">
        <f>IF(M6&lt;&gt;"OK","",N(F6)/60*I6)</f>
        <v/>
      </c>
      <c r="M6" s="69" t="str">
        <f>IF(AND(A6="",D6=""),"",IF(A6="","Produit manquant",IF(COUNTIF(prod_ref,A6)=0,"Produit inconnu",IF(D6="","Poste manquant",IF(ISNA(MATCH(D6,po_code,0)),"Poste inconnu",IF(INDEX(po_check,MATCH(D6,po_code,0))&lt;&gt;"OK","Poste à corriger",IF(AND(E6&lt;&gt;"",OR(NOT(ISNUMBER(E6)),N(E6)&lt;0)),"Réglage invalide",IF(AND(F6&lt;&gt;"",OR(NOT(ISNUMBER(F6)),N(F6)&lt;0)),"Temps par pièce invalide",IF(N(E6)+N(F6)=0,"Temps manquant",IF(AND(G6&lt;&gt;"",OR(NOT(ISNUMBER(G6)),N(G6)&lt;=0)),"Opérateurs invalide","OK"))))))))))</f>
        <v/>
      </c>
      <c r="N6" s="71" t="str">
        <f>IF(AND(fiche_sel&lt;&gt;"",A6=fiche_sel),COUNTIF(A$6:A6,fiche_sel),"")</f>
        <v/>
      </c>
    </row>
    <row r="7">
      <c r="A7" s="60" t="n"/>
      <c r="B7" s="73" t="n"/>
      <c r="C7" s="60" t="n"/>
      <c r="D7" s="61" t="n"/>
      <c r="E7" s="74" t="n"/>
      <c r="F7" s="74" t="n"/>
      <c r="G7" s="73" t="n"/>
      <c r="H7" s="66" t="str">
        <f>IF(M7&lt;&gt;"OK","",INDEX(po_mo,MATCH(D7,po_code,0)))</f>
        <v/>
      </c>
      <c r="I7" s="66" t="str">
        <f>IF(M7&lt;&gt;"OK","",INDEX(po_mac,MATCH(D7,po_code,0)))</f>
        <v/>
      </c>
      <c r="J7" s="66" t="str">
        <f>IF(M7&lt;&gt;"OK","",N(E7)*(H7*IF(G7="",1,G7)+I7))</f>
        <v/>
      </c>
      <c r="K7" s="66" t="str">
        <f>IF(M7&lt;&gt;"OK","",N(F7)/60*H7*IF(G7="",1,G7))</f>
        <v/>
      </c>
      <c r="L7" s="66" t="str">
        <f>IF(M7&lt;&gt;"OK","",N(F7)/60*I7)</f>
        <v/>
      </c>
      <c r="M7" s="69" t="str">
        <f>IF(AND(A7="",D7=""),"",IF(A7="","Produit manquant",IF(COUNTIF(prod_ref,A7)=0,"Produit inconnu",IF(D7="","Poste manquant",IF(ISNA(MATCH(D7,po_code,0)),"Poste inconnu",IF(INDEX(po_check,MATCH(D7,po_code,0))&lt;&gt;"OK","Poste à corriger",IF(AND(E7&lt;&gt;"",OR(NOT(ISNUMBER(E7)),N(E7)&lt;0)),"Réglage invalide",IF(AND(F7&lt;&gt;"",OR(NOT(ISNUMBER(F7)),N(F7)&lt;0)),"Temps par pièce invalide",IF(N(E7)+N(F7)=0,"Temps manquant",IF(AND(G7&lt;&gt;"",OR(NOT(ISNUMBER(G7)),N(G7)&lt;=0)),"Opérateurs invalide","OK"))))))))))</f>
        <v/>
      </c>
      <c r="N7" s="71" t="str">
        <f>IF(AND(fiche_sel&lt;&gt;"",A7=fiche_sel),COUNTIF(A$6:A7,fiche_sel),"")</f>
        <v/>
      </c>
    </row>
    <row r="8">
      <c r="A8" s="60" t="n"/>
      <c r="B8" s="73" t="n"/>
      <c r="C8" s="60" t="n"/>
      <c r="D8" s="61" t="n"/>
      <c r="E8" s="74" t="n"/>
      <c r="F8" s="74" t="n"/>
      <c r="G8" s="73" t="n"/>
      <c r="H8" s="66" t="str">
        <f>IF(M8&lt;&gt;"OK","",INDEX(po_mo,MATCH(D8,po_code,0)))</f>
        <v/>
      </c>
      <c r="I8" s="66" t="str">
        <f>IF(M8&lt;&gt;"OK","",INDEX(po_mac,MATCH(D8,po_code,0)))</f>
        <v/>
      </c>
      <c r="J8" s="66" t="str">
        <f>IF(M8&lt;&gt;"OK","",N(E8)*(H8*IF(G8="",1,G8)+I8))</f>
        <v/>
      </c>
      <c r="K8" s="66" t="str">
        <f>IF(M8&lt;&gt;"OK","",N(F8)/60*H8*IF(G8="",1,G8))</f>
        <v/>
      </c>
      <c r="L8" s="66" t="str">
        <f>IF(M8&lt;&gt;"OK","",N(F8)/60*I8)</f>
        <v/>
      </c>
      <c r="M8" s="69" t="str">
        <f>IF(AND(A8="",D8=""),"",IF(A8="","Produit manquant",IF(COUNTIF(prod_ref,A8)=0,"Produit inconnu",IF(D8="","Poste manquant",IF(ISNA(MATCH(D8,po_code,0)),"Poste inconnu",IF(INDEX(po_check,MATCH(D8,po_code,0))&lt;&gt;"OK","Poste à corriger",IF(AND(E8&lt;&gt;"",OR(NOT(ISNUMBER(E8)),N(E8)&lt;0)),"Réglage invalide",IF(AND(F8&lt;&gt;"",OR(NOT(ISNUMBER(F8)),N(F8)&lt;0)),"Temps par pièce invalide",IF(N(E8)+N(F8)=0,"Temps manquant",IF(AND(G8&lt;&gt;"",OR(NOT(ISNUMBER(G8)),N(G8)&lt;=0)),"Opérateurs invalide","OK"))))))))))</f>
        <v/>
      </c>
      <c r="N8" s="71" t="str">
        <f>IF(AND(fiche_sel&lt;&gt;"",A8=fiche_sel),COUNTIF(A$6:A8,fiche_sel),"")</f>
        <v/>
      </c>
    </row>
    <row r="9">
      <c r="A9" s="60" t="n"/>
      <c r="B9" s="73" t="n"/>
      <c r="C9" s="60" t="n"/>
      <c r="D9" s="61" t="n"/>
      <c r="E9" s="74" t="n"/>
      <c r="F9" s="74" t="n"/>
      <c r="G9" s="73" t="n"/>
      <c r="H9" s="66" t="str">
        <f>IF(M9&lt;&gt;"OK","",INDEX(po_mo,MATCH(D9,po_code,0)))</f>
        <v/>
      </c>
      <c r="I9" s="66" t="str">
        <f>IF(M9&lt;&gt;"OK","",INDEX(po_mac,MATCH(D9,po_code,0)))</f>
        <v/>
      </c>
      <c r="J9" s="66" t="str">
        <f>IF(M9&lt;&gt;"OK","",N(E9)*(H9*IF(G9="",1,G9)+I9))</f>
        <v/>
      </c>
      <c r="K9" s="66" t="str">
        <f>IF(M9&lt;&gt;"OK","",N(F9)/60*H9*IF(G9="",1,G9))</f>
        <v/>
      </c>
      <c r="L9" s="66" t="str">
        <f>IF(M9&lt;&gt;"OK","",N(F9)/60*I9)</f>
        <v/>
      </c>
      <c r="M9" s="69" t="str">
        <f>IF(AND(A9="",D9=""),"",IF(A9="","Produit manquant",IF(COUNTIF(prod_ref,A9)=0,"Produit inconnu",IF(D9="","Poste manquant",IF(ISNA(MATCH(D9,po_code,0)),"Poste inconnu",IF(INDEX(po_check,MATCH(D9,po_code,0))&lt;&gt;"OK","Poste à corriger",IF(AND(E9&lt;&gt;"",OR(NOT(ISNUMBER(E9)),N(E9)&lt;0)),"Réglage invalide",IF(AND(F9&lt;&gt;"",OR(NOT(ISNUMBER(F9)),N(F9)&lt;0)),"Temps par pièce invalide",IF(N(E9)+N(F9)=0,"Temps manquant",IF(AND(G9&lt;&gt;"",OR(NOT(ISNUMBER(G9)),N(G9)&lt;=0)),"Opérateurs invalide","OK"))))))))))</f>
        <v/>
      </c>
      <c r="N9" s="71" t="str">
        <f>IF(AND(fiche_sel&lt;&gt;"",A9=fiche_sel),COUNTIF(A$6:A9,fiche_sel),"")</f>
        <v/>
      </c>
    </row>
    <row r="10">
      <c r="A10" s="60" t="n"/>
      <c r="B10" s="73" t="n"/>
      <c r="C10" s="60" t="n"/>
      <c r="D10" s="61" t="n"/>
      <c r="E10" s="74" t="n"/>
      <c r="F10" s="74" t="n"/>
      <c r="G10" s="73" t="n"/>
      <c r="H10" s="66" t="str">
        <f>IF(M10&lt;&gt;"OK","",INDEX(po_mo,MATCH(D10,po_code,0)))</f>
        <v/>
      </c>
      <c r="I10" s="66" t="str">
        <f>IF(M10&lt;&gt;"OK","",INDEX(po_mac,MATCH(D10,po_code,0)))</f>
        <v/>
      </c>
      <c r="J10" s="66" t="str">
        <f>IF(M10&lt;&gt;"OK","",N(E10)*(H10*IF(G10="",1,G10)+I10))</f>
        <v/>
      </c>
      <c r="K10" s="66" t="str">
        <f>IF(M10&lt;&gt;"OK","",N(F10)/60*H10*IF(G10="",1,G10))</f>
        <v/>
      </c>
      <c r="L10" s="66" t="str">
        <f>IF(M10&lt;&gt;"OK","",N(F10)/60*I10)</f>
        <v/>
      </c>
      <c r="M10" s="69" t="str">
        <f>IF(AND(A10="",D10=""),"",IF(A10="","Produit manquant",IF(COUNTIF(prod_ref,A10)=0,"Produit inconnu",IF(D10="","Poste manquant",IF(ISNA(MATCH(D10,po_code,0)),"Poste inconnu",IF(INDEX(po_check,MATCH(D10,po_code,0))&lt;&gt;"OK","Poste à corriger",IF(AND(E10&lt;&gt;"",OR(NOT(ISNUMBER(E10)),N(E10)&lt;0)),"Réglage invalide",IF(AND(F10&lt;&gt;"",OR(NOT(ISNUMBER(F10)),N(F10)&lt;0)),"Temps par pièce invalide",IF(N(E10)+N(F10)=0,"Temps manquant",IF(AND(G10&lt;&gt;"",OR(NOT(ISNUMBER(G10)),N(G10)&lt;=0)),"Opérateurs invalide","OK"))))))))))</f>
        <v/>
      </c>
      <c r="N10" s="71" t="str">
        <f>IF(AND(fiche_sel&lt;&gt;"",A10=fiche_sel),COUNTIF(A$6:A10,fiche_sel),"")</f>
        <v/>
      </c>
    </row>
    <row r="11">
      <c r="A11" s="60" t="n"/>
      <c r="B11" s="73" t="n"/>
      <c r="C11" s="60" t="n"/>
      <c r="D11" s="61" t="n"/>
      <c r="E11" s="74" t="n"/>
      <c r="F11" s="74" t="n"/>
      <c r="G11" s="73" t="n"/>
      <c r="H11" s="66" t="str">
        <f>IF(M11&lt;&gt;"OK","",INDEX(po_mo,MATCH(D11,po_code,0)))</f>
        <v/>
      </c>
      <c r="I11" s="66" t="str">
        <f>IF(M11&lt;&gt;"OK","",INDEX(po_mac,MATCH(D11,po_code,0)))</f>
        <v/>
      </c>
      <c r="J11" s="66" t="str">
        <f>IF(M11&lt;&gt;"OK","",N(E11)*(H11*IF(G11="",1,G11)+I11))</f>
        <v/>
      </c>
      <c r="K11" s="66" t="str">
        <f>IF(M11&lt;&gt;"OK","",N(F11)/60*H11*IF(G11="",1,G11))</f>
        <v/>
      </c>
      <c r="L11" s="66" t="str">
        <f>IF(M11&lt;&gt;"OK","",N(F11)/60*I11)</f>
        <v/>
      </c>
      <c r="M11" s="69" t="str">
        <f>IF(AND(A11="",D11=""),"",IF(A11="","Produit manquant",IF(COUNTIF(prod_ref,A11)=0,"Produit inconnu",IF(D11="","Poste manquant",IF(ISNA(MATCH(D11,po_code,0)),"Poste inconnu",IF(INDEX(po_check,MATCH(D11,po_code,0))&lt;&gt;"OK","Poste à corriger",IF(AND(E11&lt;&gt;"",OR(NOT(ISNUMBER(E11)),N(E11)&lt;0)),"Réglage invalide",IF(AND(F11&lt;&gt;"",OR(NOT(ISNUMBER(F11)),N(F11)&lt;0)),"Temps par pièce invalide",IF(N(E11)+N(F11)=0,"Temps manquant",IF(AND(G11&lt;&gt;"",OR(NOT(ISNUMBER(G11)),N(G11)&lt;=0)),"Opérateurs invalide","OK"))))))))))</f>
        <v/>
      </c>
      <c r="N11" s="71" t="str">
        <f>IF(AND(fiche_sel&lt;&gt;"",A11=fiche_sel),COUNTIF(A$6:A11,fiche_sel),"")</f>
        <v/>
      </c>
    </row>
    <row r="12">
      <c r="A12" s="60" t="n"/>
      <c r="B12" s="73" t="n"/>
      <c r="C12" s="60" t="n"/>
      <c r="D12" s="61" t="n"/>
      <c r="E12" s="74" t="n"/>
      <c r="F12" s="74" t="n"/>
      <c r="G12" s="73" t="n"/>
      <c r="H12" s="66" t="str">
        <f>IF(M12&lt;&gt;"OK","",INDEX(po_mo,MATCH(D12,po_code,0)))</f>
        <v/>
      </c>
      <c r="I12" s="66" t="str">
        <f>IF(M12&lt;&gt;"OK","",INDEX(po_mac,MATCH(D12,po_code,0)))</f>
        <v/>
      </c>
      <c r="J12" s="66" t="str">
        <f>IF(M12&lt;&gt;"OK","",N(E12)*(H12*IF(G12="",1,G12)+I12))</f>
        <v/>
      </c>
      <c r="K12" s="66" t="str">
        <f>IF(M12&lt;&gt;"OK","",N(F12)/60*H12*IF(G12="",1,G12))</f>
        <v/>
      </c>
      <c r="L12" s="66" t="str">
        <f>IF(M12&lt;&gt;"OK","",N(F12)/60*I12)</f>
        <v/>
      </c>
      <c r="M12" s="69" t="str">
        <f>IF(AND(A12="",D12=""),"",IF(A12="","Produit manquant",IF(COUNTIF(prod_ref,A12)=0,"Produit inconnu",IF(D12="","Poste manquant",IF(ISNA(MATCH(D12,po_code,0)),"Poste inconnu",IF(INDEX(po_check,MATCH(D12,po_code,0))&lt;&gt;"OK","Poste à corriger",IF(AND(E12&lt;&gt;"",OR(NOT(ISNUMBER(E12)),N(E12)&lt;0)),"Réglage invalide",IF(AND(F12&lt;&gt;"",OR(NOT(ISNUMBER(F12)),N(F12)&lt;0)),"Temps par pièce invalide",IF(N(E12)+N(F12)=0,"Temps manquant",IF(AND(G12&lt;&gt;"",OR(NOT(ISNUMBER(G12)),N(G12)&lt;=0)),"Opérateurs invalide","OK"))))))))))</f>
        <v/>
      </c>
      <c r="N12" s="71" t="str">
        <f>IF(AND(fiche_sel&lt;&gt;"",A12=fiche_sel),COUNTIF(A$6:A12,fiche_sel),"")</f>
        <v/>
      </c>
    </row>
    <row r="13">
      <c r="A13" s="60" t="n"/>
      <c r="B13" s="73" t="n"/>
      <c r="C13" s="60" t="n"/>
      <c r="D13" s="61" t="n"/>
      <c r="E13" s="74" t="n"/>
      <c r="F13" s="74" t="n"/>
      <c r="G13" s="73" t="n"/>
      <c r="H13" s="66" t="str">
        <f>IF(M13&lt;&gt;"OK","",INDEX(po_mo,MATCH(D13,po_code,0)))</f>
        <v/>
      </c>
      <c r="I13" s="66" t="str">
        <f>IF(M13&lt;&gt;"OK","",INDEX(po_mac,MATCH(D13,po_code,0)))</f>
        <v/>
      </c>
      <c r="J13" s="66" t="str">
        <f>IF(M13&lt;&gt;"OK","",N(E13)*(H13*IF(G13="",1,G13)+I13))</f>
        <v/>
      </c>
      <c r="K13" s="66" t="str">
        <f>IF(M13&lt;&gt;"OK","",N(F13)/60*H13*IF(G13="",1,G13))</f>
        <v/>
      </c>
      <c r="L13" s="66" t="str">
        <f>IF(M13&lt;&gt;"OK","",N(F13)/60*I13)</f>
        <v/>
      </c>
      <c r="M13" s="69" t="str">
        <f>IF(AND(A13="",D13=""),"",IF(A13="","Produit manquant",IF(COUNTIF(prod_ref,A13)=0,"Produit inconnu",IF(D13="","Poste manquant",IF(ISNA(MATCH(D13,po_code,0)),"Poste inconnu",IF(INDEX(po_check,MATCH(D13,po_code,0))&lt;&gt;"OK","Poste à corriger",IF(AND(E13&lt;&gt;"",OR(NOT(ISNUMBER(E13)),N(E13)&lt;0)),"Réglage invalide",IF(AND(F13&lt;&gt;"",OR(NOT(ISNUMBER(F13)),N(F13)&lt;0)),"Temps par pièce invalide",IF(N(E13)+N(F13)=0,"Temps manquant",IF(AND(G13&lt;&gt;"",OR(NOT(ISNUMBER(G13)),N(G13)&lt;=0)),"Opérateurs invalide","OK"))))))))))</f>
        <v/>
      </c>
      <c r="N13" s="71" t="str">
        <f>IF(AND(fiche_sel&lt;&gt;"",A13=fiche_sel),COUNTIF(A$6:A13,fiche_sel),"")</f>
        <v/>
      </c>
    </row>
    <row r="14">
      <c r="A14" s="60" t="n"/>
      <c r="B14" s="73" t="n"/>
      <c r="C14" s="60" t="n"/>
      <c r="D14" s="61" t="n"/>
      <c r="E14" s="74" t="n"/>
      <c r="F14" s="74" t="n"/>
      <c r="G14" s="73" t="n"/>
      <c r="H14" s="66" t="str">
        <f>IF(M14&lt;&gt;"OK","",INDEX(po_mo,MATCH(D14,po_code,0)))</f>
        <v/>
      </c>
      <c r="I14" s="66" t="str">
        <f>IF(M14&lt;&gt;"OK","",INDEX(po_mac,MATCH(D14,po_code,0)))</f>
        <v/>
      </c>
      <c r="J14" s="66" t="str">
        <f>IF(M14&lt;&gt;"OK","",N(E14)*(H14*IF(G14="",1,G14)+I14))</f>
        <v/>
      </c>
      <c r="K14" s="66" t="str">
        <f>IF(M14&lt;&gt;"OK","",N(F14)/60*H14*IF(G14="",1,G14))</f>
        <v/>
      </c>
      <c r="L14" s="66" t="str">
        <f>IF(M14&lt;&gt;"OK","",N(F14)/60*I14)</f>
        <v/>
      </c>
      <c r="M14" s="69" t="str">
        <f>IF(AND(A14="",D14=""),"",IF(A14="","Produit manquant",IF(COUNTIF(prod_ref,A14)=0,"Produit inconnu",IF(D14="","Poste manquant",IF(ISNA(MATCH(D14,po_code,0)),"Poste inconnu",IF(INDEX(po_check,MATCH(D14,po_code,0))&lt;&gt;"OK","Poste à corriger",IF(AND(E14&lt;&gt;"",OR(NOT(ISNUMBER(E14)),N(E14)&lt;0)),"Réglage invalide",IF(AND(F14&lt;&gt;"",OR(NOT(ISNUMBER(F14)),N(F14)&lt;0)),"Temps par pièce invalide",IF(N(E14)+N(F14)=0,"Temps manquant",IF(AND(G14&lt;&gt;"",OR(NOT(ISNUMBER(G14)),N(G14)&lt;=0)),"Opérateurs invalide","OK"))))))))))</f>
        <v/>
      </c>
      <c r="N14" s="71" t="str">
        <f>IF(AND(fiche_sel&lt;&gt;"",A14=fiche_sel),COUNTIF(A$6:A14,fiche_sel),"")</f>
        <v/>
      </c>
    </row>
    <row r="15">
      <c r="A15" s="60" t="n"/>
      <c r="B15" s="73" t="n"/>
      <c r="C15" s="60" t="n"/>
      <c r="D15" s="61" t="n"/>
      <c r="E15" s="74" t="n"/>
      <c r="F15" s="74" t="n"/>
      <c r="G15" s="73" t="n"/>
      <c r="H15" s="66" t="str">
        <f>IF(M15&lt;&gt;"OK","",INDEX(po_mo,MATCH(D15,po_code,0)))</f>
        <v/>
      </c>
      <c r="I15" s="66" t="str">
        <f>IF(M15&lt;&gt;"OK","",INDEX(po_mac,MATCH(D15,po_code,0)))</f>
        <v/>
      </c>
      <c r="J15" s="66" t="str">
        <f>IF(M15&lt;&gt;"OK","",N(E15)*(H15*IF(G15="",1,G15)+I15))</f>
        <v/>
      </c>
      <c r="K15" s="66" t="str">
        <f>IF(M15&lt;&gt;"OK","",N(F15)/60*H15*IF(G15="",1,G15))</f>
        <v/>
      </c>
      <c r="L15" s="66" t="str">
        <f>IF(M15&lt;&gt;"OK","",N(F15)/60*I15)</f>
        <v/>
      </c>
      <c r="M15" s="69" t="str">
        <f>IF(AND(A15="",D15=""),"",IF(A15="","Produit manquant",IF(COUNTIF(prod_ref,A15)=0,"Produit inconnu",IF(D15="","Poste manquant",IF(ISNA(MATCH(D15,po_code,0)),"Poste inconnu",IF(INDEX(po_check,MATCH(D15,po_code,0))&lt;&gt;"OK","Poste à corriger",IF(AND(E15&lt;&gt;"",OR(NOT(ISNUMBER(E15)),N(E15)&lt;0)),"Réglage invalide",IF(AND(F15&lt;&gt;"",OR(NOT(ISNUMBER(F15)),N(F15)&lt;0)),"Temps par pièce invalide",IF(N(E15)+N(F15)=0,"Temps manquant",IF(AND(G15&lt;&gt;"",OR(NOT(ISNUMBER(G15)),N(G15)&lt;=0)),"Opérateurs invalide","OK"))))))))))</f>
        <v/>
      </c>
      <c r="N15" s="71" t="str">
        <f>IF(AND(fiche_sel&lt;&gt;"",A15=fiche_sel),COUNTIF(A$6:A15,fiche_sel),"")</f>
        <v/>
      </c>
    </row>
    <row r="16">
      <c r="A16" s="60" t="n"/>
      <c r="B16" s="73" t="n"/>
      <c r="C16" s="60" t="n"/>
      <c r="D16" s="61" t="n"/>
      <c r="E16" s="74" t="n"/>
      <c r="F16" s="74" t="n"/>
      <c r="G16" s="73" t="n"/>
      <c r="H16" s="66" t="str">
        <f>IF(M16&lt;&gt;"OK","",INDEX(po_mo,MATCH(D16,po_code,0)))</f>
        <v/>
      </c>
      <c r="I16" s="66" t="str">
        <f>IF(M16&lt;&gt;"OK","",INDEX(po_mac,MATCH(D16,po_code,0)))</f>
        <v/>
      </c>
      <c r="J16" s="66" t="str">
        <f>IF(M16&lt;&gt;"OK","",N(E16)*(H16*IF(G16="",1,G16)+I16))</f>
        <v/>
      </c>
      <c r="K16" s="66" t="str">
        <f>IF(M16&lt;&gt;"OK","",N(F16)/60*H16*IF(G16="",1,G16))</f>
        <v/>
      </c>
      <c r="L16" s="66" t="str">
        <f>IF(M16&lt;&gt;"OK","",N(F16)/60*I16)</f>
        <v/>
      </c>
      <c r="M16" s="69" t="str">
        <f>IF(AND(A16="",D16=""),"",IF(A16="","Produit manquant",IF(COUNTIF(prod_ref,A16)=0,"Produit inconnu",IF(D16="","Poste manquant",IF(ISNA(MATCH(D16,po_code,0)),"Poste inconnu",IF(INDEX(po_check,MATCH(D16,po_code,0))&lt;&gt;"OK","Poste à corriger",IF(AND(E16&lt;&gt;"",OR(NOT(ISNUMBER(E16)),N(E16)&lt;0)),"Réglage invalide",IF(AND(F16&lt;&gt;"",OR(NOT(ISNUMBER(F16)),N(F16)&lt;0)),"Temps par pièce invalide",IF(N(E16)+N(F16)=0,"Temps manquant",IF(AND(G16&lt;&gt;"",OR(NOT(ISNUMBER(G16)),N(G16)&lt;=0)),"Opérateurs invalide","OK"))))))))))</f>
        <v/>
      </c>
      <c r="N16" s="71" t="str">
        <f>IF(AND(fiche_sel&lt;&gt;"",A16=fiche_sel),COUNTIF(A$6:A16,fiche_sel),"")</f>
        <v/>
      </c>
    </row>
    <row r="17">
      <c r="A17" s="60" t="n"/>
      <c r="B17" s="73" t="n"/>
      <c r="C17" s="60" t="n"/>
      <c r="D17" s="61" t="n"/>
      <c r="E17" s="74" t="n"/>
      <c r="F17" s="74" t="n"/>
      <c r="G17" s="73" t="n"/>
      <c r="H17" s="66" t="str">
        <f>IF(M17&lt;&gt;"OK","",INDEX(po_mo,MATCH(D17,po_code,0)))</f>
        <v/>
      </c>
      <c r="I17" s="66" t="str">
        <f>IF(M17&lt;&gt;"OK","",INDEX(po_mac,MATCH(D17,po_code,0)))</f>
        <v/>
      </c>
      <c r="J17" s="66" t="str">
        <f>IF(M17&lt;&gt;"OK","",N(E17)*(H17*IF(G17="",1,G17)+I17))</f>
        <v/>
      </c>
      <c r="K17" s="66" t="str">
        <f>IF(M17&lt;&gt;"OK","",N(F17)/60*H17*IF(G17="",1,G17))</f>
        <v/>
      </c>
      <c r="L17" s="66" t="str">
        <f>IF(M17&lt;&gt;"OK","",N(F17)/60*I17)</f>
        <v/>
      </c>
      <c r="M17" s="69" t="str">
        <f>IF(AND(A17="",D17=""),"",IF(A17="","Produit manquant",IF(COUNTIF(prod_ref,A17)=0,"Produit inconnu",IF(D17="","Poste manquant",IF(ISNA(MATCH(D17,po_code,0)),"Poste inconnu",IF(INDEX(po_check,MATCH(D17,po_code,0))&lt;&gt;"OK","Poste à corriger",IF(AND(E17&lt;&gt;"",OR(NOT(ISNUMBER(E17)),N(E17)&lt;0)),"Réglage invalide",IF(AND(F17&lt;&gt;"",OR(NOT(ISNUMBER(F17)),N(F17)&lt;0)),"Temps par pièce invalide",IF(N(E17)+N(F17)=0,"Temps manquant",IF(AND(G17&lt;&gt;"",OR(NOT(ISNUMBER(G17)),N(G17)&lt;=0)),"Opérateurs invalide","OK"))))))))))</f>
        <v/>
      </c>
      <c r="N17" s="71" t="str">
        <f>IF(AND(fiche_sel&lt;&gt;"",A17=fiche_sel),COUNTIF(A$6:A17,fiche_sel),"")</f>
        <v/>
      </c>
    </row>
    <row r="18">
      <c r="A18" s="60" t="n"/>
      <c r="B18" s="73" t="n"/>
      <c r="C18" s="60" t="n"/>
      <c r="D18" s="61" t="n"/>
      <c r="E18" s="74" t="n"/>
      <c r="F18" s="74" t="n"/>
      <c r="G18" s="73" t="n"/>
      <c r="H18" s="66" t="str">
        <f>IF(M18&lt;&gt;"OK","",INDEX(po_mo,MATCH(D18,po_code,0)))</f>
        <v/>
      </c>
      <c r="I18" s="66" t="str">
        <f>IF(M18&lt;&gt;"OK","",INDEX(po_mac,MATCH(D18,po_code,0)))</f>
        <v/>
      </c>
      <c r="J18" s="66" t="str">
        <f>IF(M18&lt;&gt;"OK","",N(E18)*(H18*IF(G18="",1,G18)+I18))</f>
        <v/>
      </c>
      <c r="K18" s="66" t="str">
        <f>IF(M18&lt;&gt;"OK","",N(F18)/60*H18*IF(G18="",1,G18))</f>
        <v/>
      </c>
      <c r="L18" s="66" t="str">
        <f>IF(M18&lt;&gt;"OK","",N(F18)/60*I18)</f>
        <v/>
      </c>
      <c r="M18" s="69" t="str">
        <f>IF(AND(A18="",D18=""),"",IF(A18="","Produit manquant",IF(COUNTIF(prod_ref,A18)=0,"Produit inconnu",IF(D18="","Poste manquant",IF(ISNA(MATCH(D18,po_code,0)),"Poste inconnu",IF(INDEX(po_check,MATCH(D18,po_code,0))&lt;&gt;"OK","Poste à corriger",IF(AND(E18&lt;&gt;"",OR(NOT(ISNUMBER(E18)),N(E18)&lt;0)),"Réglage invalide",IF(AND(F18&lt;&gt;"",OR(NOT(ISNUMBER(F18)),N(F18)&lt;0)),"Temps par pièce invalide",IF(N(E18)+N(F18)=0,"Temps manquant",IF(AND(G18&lt;&gt;"",OR(NOT(ISNUMBER(G18)),N(G18)&lt;=0)),"Opérateurs invalide","OK"))))))))))</f>
        <v/>
      </c>
      <c r="N18" s="71" t="str">
        <f>IF(AND(fiche_sel&lt;&gt;"",A18=fiche_sel),COUNTIF(A$6:A18,fiche_sel),"")</f>
        <v/>
      </c>
    </row>
    <row r="19">
      <c r="A19" s="60" t="n"/>
      <c r="B19" s="73" t="n"/>
      <c r="C19" s="60" t="n"/>
      <c r="D19" s="61" t="n"/>
      <c r="E19" s="74" t="n"/>
      <c r="F19" s="74" t="n"/>
      <c r="G19" s="73" t="n"/>
      <c r="H19" s="66" t="str">
        <f>IF(M19&lt;&gt;"OK","",INDEX(po_mo,MATCH(D19,po_code,0)))</f>
        <v/>
      </c>
      <c r="I19" s="66" t="str">
        <f>IF(M19&lt;&gt;"OK","",INDEX(po_mac,MATCH(D19,po_code,0)))</f>
        <v/>
      </c>
      <c r="J19" s="66" t="str">
        <f>IF(M19&lt;&gt;"OK","",N(E19)*(H19*IF(G19="",1,G19)+I19))</f>
        <v/>
      </c>
      <c r="K19" s="66" t="str">
        <f>IF(M19&lt;&gt;"OK","",N(F19)/60*H19*IF(G19="",1,G19))</f>
        <v/>
      </c>
      <c r="L19" s="66" t="str">
        <f>IF(M19&lt;&gt;"OK","",N(F19)/60*I19)</f>
        <v/>
      </c>
      <c r="M19" s="69" t="str">
        <f>IF(AND(A19="",D19=""),"",IF(A19="","Produit manquant",IF(COUNTIF(prod_ref,A19)=0,"Produit inconnu",IF(D19="","Poste manquant",IF(ISNA(MATCH(D19,po_code,0)),"Poste inconnu",IF(INDEX(po_check,MATCH(D19,po_code,0))&lt;&gt;"OK","Poste à corriger",IF(AND(E19&lt;&gt;"",OR(NOT(ISNUMBER(E19)),N(E19)&lt;0)),"Réglage invalide",IF(AND(F19&lt;&gt;"",OR(NOT(ISNUMBER(F19)),N(F19)&lt;0)),"Temps par pièce invalide",IF(N(E19)+N(F19)=0,"Temps manquant",IF(AND(G19&lt;&gt;"",OR(NOT(ISNUMBER(G19)),N(G19)&lt;=0)),"Opérateurs invalide","OK"))))))))))</f>
        <v/>
      </c>
      <c r="N19" s="71" t="str">
        <f>IF(AND(fiche_sel&lt;&gt;"",A19=fiche_sel),COUNTIF(A$6:A19,fiche_sel),"")</f>
        <v/>
      </c>
    </row>
    <row r="20">
      <c r="A20" s="60" t="n"/>
      <c r="B20" s="73" t="n"/>
      <c r="C20" s="60" t="n"/>
      <c r="D20" s="61" t="n"/>
      <c r="E20" s="74" t="n"/>
      <c r="F20" s="74" t="n"/>
      <c r="G20" s="73" t="n"/>
      <c r="H20" s="66" t="str">
        <f>IF(M20&lt;&gt;"OK","",INDEX(po_mo,MATCH(D20,po_code,0)))</f>
        <v/>
      </c>
      <c r="I20" s="66" t="str">
        <f>IF(M20&lt;&gt;"OK","",INDEX(po_mac,MATCH(D20,po_code,0)))</f>
        <v/>
      </c>
      <c r="J20" s="66" t="str">
        <f>IF(M20&lt;&gt;"OK","",N(E20)*(H20*IF(G20="",1,G20)+I20))</f>
        <v/>
      </c>
      <c r="K20" s="66" t="str">
        <f>IF(M20&lt;&gt;"OK","",N(F20)/60*H20*IF(G20="",1,G20))</f>
        <v/>
      </c>
      <c r="L20" s="66" t="str">
        <f>IF(M20&lt;&gt;"OK","",N(F20)/60*I20)</f>
        <v/>
      </c>
      <c r="M20" s="69" t="str">
        <f>IF(AND(A20="",D20=""),"",IF(A20="","Produit manquant",IF(COUNTIF(prod_ref,A20)=0,"Produit inconnu",IF(D20="","Poste manquant",IF(ISNA(MATCH(D20,po_code,0)),"Poste inconnu",IF(INDEX(po_check,MATCH(D20,po_code,0))&lt;&gt;"OK","Poste à corriger",IF(AND(E20&lt;&gt;"",OR(NOT(ISNUMBER(E20)),N(E20)&lt;0)),"Réglage invalide",IF(AND(F20&lt;&gt;"",OR(NOT(ISNUMBER(F20)),N(F20)&lt;0)),"Temps par pièce invalide",IF(N(E20)+N(F20)=0,"Temps manquant",IF(AND(G20&lt;&gt;"",OR(NOT(ISNUMBER(G20)),N(G20)&lt;=0)),"Opérateurs invalide","OK"))))))))))</f>
        <v/>
      </c>
      <c r="N20" s="71" t="str">
        <f>IF(AND(fiche_sel&lt;&gt;"",A20=fiche_sel),COUNTIF(A$6:A20,fiche_sel),"")</f>
        <v/>
      </c>
    </row>
    <row r="21">
      <c r="A21" s="60" t="n"/>
      <c r="B21" s="73" t="n"/>
      <c r="C21" s="60" t="n"/>
      <c r="D21" s="61" t="n"/>
      <c r="E21" s="74" t="n"/>
      <c r="F21" s="74" t="n"/>
      <c r="G21" s="73" t="n"/>
      <c r="H21" s="66" t="str">
        <f>IF(M21&lt;&gt;"OK","",INDEX(po_mo,MATCH(D21,po_code,0)))</f>
        <v/>
      </c>
      <c r="I21" s="66" t="str">
        <f>IF(M21&lt;&gt;"OK","",INDEX(po_mac,MATCH(D21,po_code,0)))</f>
        <v/>
      </c>
      <c r="J21" s="66" t="str">
        <f>IF(M21&lt;&gt;"OK","",N(E21)*(H21*IF(G21="",1,G21)+I21))</f>
        <v/>
      </c>
      <c r="K21" s="66" t="str">
        <f>IF(M21&lt;&gt;"OK","",N(F21)/60*H21*IF(G21="",1,G21))</f>
        <v/>
      </c>
      <c r="L21" s="66" t="str">
        <f>IF(M21&lt;&gt;"OK","",N(F21)/60*I21)</f>
        <v/>
      </c>
      <c r="M21" s="69" t="str">
        <f>IF(AND(A21="",D21=""),"",IF(A21="","Produit manquant",IF(COUNTIF(prod_ref,A21)=0,"Produit inconnu",IF(D21="","Poste manquant",IF(ISNA(MATCH(D21,po_code,0)),"Poste inconnu",IF(INDEX(po_check,MATCH(D21,po_code,0))&lt;&gt;"OK","Poste à corriger",IF(AND(E21&lt;&gt;"",OR(NOT(ISNUMBER(E21)),N(E21)&lt;0)),"Réglage invalide",IF(AND(F21&lt;&gt;"",OR(NOT(ISNUMBER(F21)),N(F21)&lt;0)),"Temps par pièce invalide",IF(N(E21)+N(F21)=0,"Temps manquant",IF(AND(G21&lt;&gt;"",OR(NOT(ISNUMBER(G21)),N(G21)&lt;=0)),"Opérateurs invalide","OK"))))))))))</f>
        <v/>
      </c>
      <c r="N21" s="71" t="str">
        <f>IF(AND(fiche_sel&lt;&gt;"",A21=fiche_sel),COUNTIF(A$6:A21,fiche_sel),"")</f>
        <v/>
      </c>
    </row>
    <row r="22">
      <c r="A22" s="60" t="n"/>
      <c r="B22" s="73" t="n"/>
      <c r="C22" s="60" t="n"/>
      <c r="D22" s="61" t="n"/>
      <c r="E22" s="74" t="n"/>
      <c r="F22" s="74" t="n"/>
      <c r="G22" s="73" t="n"/>
      <c r="H22" s="66" t="str">
        <f>IF(M22&lt;&gt;"OK","",INDEX(po_mo,MATCH(D22,po_code,0)))</f>
        <v/>
      </c>
      <c r="I22" s="66" t="str">
        <f>IF(M22&lt;&gt;"OK","",INDEX(po_mac,MATCH(D22,po_code,0)))</f>
        <v/>
      </c>
      <c r="J22" s="66" t="str">
        <f>IF(M22&lt;&gt;"OK","",N(E22)*(H22*IF(G22="",1,G22)+I22))</f>
        <v/>
      </c>
      <c r="K22" s="66" t="str">
        <f>IF(M22&lt;&gt;"OK","",N(F22)/60*H22*IF(G22="",1,G22))</f>
        <v/>
      </c>
      <c r="L22" s="66" t="str">
        <f>IF(M22&lt;&gt;"OK","",N(F22)/60*I22)</f>
        <v/>
      </c>
      <c r="M22" s="69" t="str">
        <f>IF(AND(A22="",D22=""),"",IF(A22="","Produit manquant",IF(COUNTIF(prod_ref,A22)=0,"Produit inconnu",IF(D22="","Poste manquant",IF(ISNA(MATCH(D22,po_code,0)),"Poste inconnu",IF(INDEX(po_check,MATCH(D22,po_code,0))&lt;&gt;"OK","Poste à corriger",IF(AND(E22&lt;&gt;"",OR(NOT(ISNUMBER(E22)),N(E22)&lt;0)),"Réglage invalide",IF(AND(F22&lt;&gt;"",OR(NOT(ISNUMBER(F22)),N(F22)&lt;0)),"Temps par pièce invalide",IF(N(E22)+N(F22)=0,"Temps manquant",IF(AND(G22&lt;&gt;"",OR(NOT(ISNUMBER(G22)),N(G22)&lt;=0)),"Opérateurs invalide","OK"))))))))))</f>
        <v/>
      </c>
      <c r="N22" s="71" t="str">
        <f>IF(AND(fiche_sel&lt;&gt;"",A22=fiche_sel),COUNTIF(A$6:A22,fiche_sel),"")</f>
        <v/>
      </c>
    </row>
    <row r="23">
      <c r="A23" s="60" t="n"/>
      <c r="B23" s="73" t="n"/>
      <c r="C23" s="60" t="n"/>
      <c r="D23" s="61" t="n"/>
      <c r="E23" s="74" t="n"/>
      <c r="F23" s="74" t="n"/>
      <c r="G23" s="73" t="n"/>
      <c r="H23" s="66" t="str">
        <f>IF(M23&lt;&gt;"OK","",INDEX(po_mo,MATCH(D23,po_code,0)))</f>
        <v/>
      </c>
      <c r="I23" s="66" t="str">
        <f>IF(M23&lt;&gt;"OK","",INDEX(po_mac,MATCH(D23,po_code,0)))</f>
        <v/>
      </c>
      <c r="J23" s="66" t="str">
        <f>IF(M23&lt;&gt;"OK","",N(E23)*(H23*IF(G23="",1,G23)+I23))</f>
        <v/>
      </c>
      <c r="K23" s="66" t="str">
        <f>IF(M23&lt;&gt;"OK","",N(F23)/60*H23*IF(G23="",1,G23))</f>
        <v/>
      </c>
      <c r="L23" s="66" t="str">
        <f>IF(M23&lt;&gt;"OK","",N(F23)/60*I23)</f>
        <v/>
      </c>
      <c r="M23" s="69" t="str">
        <f>IF(AND(A23="",D23=""),"",IF(A23="","Produit manquant",IF(COUNTIF(prod_ref,A23)=0,"Produit inconnu",IF(D23="","Poste manquant",IF(ISNA(MATCH(D23,po_code,0)),"Poste inconnu",IF(INDEX(po_check,MATCH(D23,po_code,0))&lt;&gt;"OK","Poste à corriger",IF(AND(E23&lt;&gt;"",OR(NOT(ISNUMBER(E23)),N(E23)&lt;0)),"Réglage invalide",IF(AND(F23&lt;&gt;"",OR(NOT(ISNUMBER(F23)),N(F23)&lt;0)),"Temps par pièce invalide",IF(N(E23)+N(F23)=0,"Temps manquant",IF(AND(G23&lt;&gt;"",OR(NOT(ISNUMBER(G23)),N(G23)&lt;=0)),"Opérateurs invalide","OK"))))))))))</f>
        <v/>
      </c>
      <c r="N23" s="71" t="str">
        <f>IF(AND(fiche_sel&lt;&gt;"",A23=fiche_sel),COUNTIF(A$6:A23,fiche_sel),"")</f>
        <v/>
      </c>
    </row>
    <row r="24">
      <c r="A24" s="60" t="n"/>
      <c r="B24" s="73" t="n"/>
      <c r="C24" s="60" t="n"/>
      <c r="D24" s="61" t="n"/>
      <c r="E24" s="74" t="n"/>
      <c r="F24" s="74" t="n"/>
      <c r="G24" s="73" t="n"/>
      <c r="H24" s="66" t="str">
        <f>IF(M24&lt;&gt;"OK","",INDEX(po_mo,MATCH(D24,po_code,0)))</f>
        <v/>
      </c>
      <c r="I24" s="66" t="str">
        <f>IF(M24&lt;&gt;"OK","",INDEX(po_mac,MATCH(D24,po_code,0)))</f>
        <v/>
      </c>
      <c r="J24" s="66" t="str">
        <f>IF(M24&lt;&gt;"OK","",N(E24)*(H24*IF(G24="",1,G24)+I24))</f>
        <v/>
      </c>
      <c r="K24" s="66" t="str">
        <f>IF(M24&lt;&gt;"OK","",N(F24)/60*H24*IF(G24="",1,G24))</f>
        <v/>
      </c>
      <c r="L24" s="66" t="str">
        <f>IF(M24&lt;&gt;"OK","",N(F24)/60*I24)</f>
        <v/>
      </c>
      <c r="M24" s="69" t="str">
        <f>IF(AND(A24="",D24=""),"",IF(A24="","Produit manquant",IF(COUNTIF(prod_ref,A24)=0,"Produit inconnu",IF(D24="","Poste manquant",IF(ISNA(MATCH(D24,po_code,0)),"Poste inconnu",IF(INDEX(po_check,MATCH(D24,po_code,0))&lt;&gt;"OK","Poste à corriger",IF(AND(E24&lt;&gt;"",OR(NOT(ISNUMBER(E24)),N(E24)&lt;0)),"Réglage invalide",IF(AND(F24&lt;&gt;"",OR(NOT(ISNUMBER(F24)),N(F24)&lt;0)),"Temps par pièce invalide",IF(N(E24)+N(F24)=0,"Temps manquant",IF(AND(G24&lt;&gt;"",OR(NOT(ISNUMBER(G24)),N(G24)&lt;=0)),"Opérateurs invalide","OK"))))))))))</f>
        <v/>
      </c>
      <c r="N24" s="71" t="str">
        <f>IF(AND(fiche_sel&lt;&gt;"",A24=fiche_sel),COUNTIF(A$6:A24,fiche_sel),"")</f>
        <v/>
      </c>
    </row>
    <row r="25">
      <c r="A25" s="60" t="n"/>
      <c r="B25" s="73" t="n"/>
      <c r="C25" s="60" t="n"/>
      <c r="D25" s="61" t="n"/>
      <c r="E25" s="74" t="n"/>
      <c r="F25" s="74" t="n"/>
      <c r="G25" s="73" t="n"/>
      <c r="H25" s="66" t="str">
        <f>IF(M25&lt;&gt;"OK","",INDEX(po_mo,MATCH(D25,po_code,0)))</f>
        <v/>
      </c>
      <c r="I25" s="66" t="str">
        <f>IF(M25&lt;&gt;"OK","",INDEX(po_mac,MATCH(D25,po_code,0)))</f>
        <v/>
      </c>
      <c r="J25" s="66" t="str">
        <f>IF(M25&lt;&gt;"OK","",N(E25)*(H25*IF(G25="",1,G25)+I25))</f>
        <v/>
      </c>
      <c r="K25" s="66" t="str">
        <f>IF(M25&lt;&gt;"OK","",N(F25)/60*H25*IF(G25="",1,G25))</f>
        <v/>
      </c>
      <c r="L25" s="66" t="str">
        <f>IF(M25&lt;&gt;"OK","",N(F25)/60*I25)</f>
        <v/>
      </c>
      <c r="M25" s="69" t="str">
        <f>IF(AND(A25="",D25=""),"",IF(A25="","Produit manquant",IF(COUNTIF(prod_ref,A25)=0,"Produit inconnu",IF(D25="","Poste manquant",IF(ISNA(MATCH(D25,po_code,0)),"Poste inconnu",IF(INDEX(po_check,MATCH(D25,po_code,0))&lt;&gt;"OK","Poste à corriger",IF(AND(E25&lt;&gt;"",OR(NOT(ISNUMBER(E25)),N(E25)&lt;0)),"Réglage invalide",IF(AND(F25&lt;&gt;"",OR(NOT(ISNUMBER(F25)),N(F25)&lt;0)),"Temps par pièce invalide",IF(N(E25)+N(F25)=0,"Temps manquant",IF(AND(G25&lt;&gt;"",OR(NOT(ISNUMBER(G25)),N(G25)&lt;=0)),"Opérateurs invalide","OK"))))))))))</f>
        <v/>
      </c>
      <c r="N25" s="71" t="str">
        <f>IF(AND(fiche_sel&lt;&gt;"",A25=fiche_sel),COUNTIF(A$6:A25,fiche_sel),"")</f>
        <v/>
      </c>
    </row>
    <row r="26">
      <c r="A26" s="60" t="n"/>
      <c r="B26" s="73" t="n"/>
      <c r="C26" s="60" t="n"/>
      <c r="D26" s="61" t="n"/>
      <c r="E26" s="74" t="n"/>
      <c r="F26" s="74" t="n"/>
      <c r="G26" s="73" t="n"/>
      <c r="H26" s="66" t="str">
        <f>IF(M26&lt;&gt;"OK","",INDEX(po_mo,MATCH(D26,po_code,0)))</f>
        <v/>
      </c>
      <c r="I26" s="66" t="str">
        <f>IF(M26&lt;&gt;"OK","",INDEX(po_mac,MATCH(D26,po_code,0)))</f>
        <v/>
      </c>
      <c r="J26" s="66" t="str">
        <f>IF(M26&lt;&gt;"OK","",N(E26)*(H26*IF(G26="",1,G26)+I26))</f>
        <v/>
      </c>
      <c r="K26" s="66" t="str">
        <f>IF(M26&lt;&gt;"OK","",N(F26)/60*H26*IF(G26="",1,G26))</f>
        <v/>
      </c>
      <c r="L26" s="66" t="str">
        <f>IF(M26&lt;&gt;"OK","",N(F26)/60*I26)</f>
        <v/>
      </c>
      <c r="M26" s="69" t="str">
        <f>IF(AND(A26="",D26=""),"",IF(A26="","Produit manquant",IF(COUNTIF(prod_ref,A26)=0,"Produit inconnu",IF(D26="","Poste manquant",IF(ISNA(MATCH(D26,po_code,0)),"Poste inconnu",IF(INDEX(po_check,MATCH(D26,po_code,0))&lt;&gt;"OK","Poste à corriger",IF(AND(E26&lt;&gt;"",OR(NOT(ISNUMBER(E26)),N(E26)&lt;0)),"Réglage invalide",IF(AND(F26&lt;&gt;"",OR(NOT(ISNUMBER(F26)),N(F26)&lt;0)),"Temps par pièce invalide",IF(N(E26)+N(F26)=0,"Temps manquant",IF(AND(G26&lt;&gt;"",OR(NOT(ISNUMBER(G26)),N(G26)&lt;=0)),"Opérateurs invalide","OK"))))))))))</f>
        <v/>
      </c>
      <c r="N26" s="71" t="str">
        <f>IF(AND(fiche_sel&lt;&gt;"",A26=fiche_sel),COUNTIF(A$6:A26,fiche_sel),"")</f>
        <v/>
      </c>
    </row>
    <row r="27">
      <c r="A27" s="60" t="n"/>
      <c r="B27" s="73" t="n"/>
      <c r="C27" s="60" t="n"/>
      <c r="D27" s="61" t="n"/>
      <c r="E27" s="74" t="n"/>
      <c r="F27" s="74" t="n"/>
      <c r="G27" s="73" t="n"/>
      <c r="H27" s="66" t="str">
        <f>IF(M27&lt;&gt;"OK","",INDEX(po_mo,MATCH(D27,po_code,0)))</f>
        <v/>
      </c>
      <c r="I27" s="66" t="str">
        <f>IF(M27&lt;&gt;"OK","",INDEX(po_mac,MATCH(D27,po_code,0)))</f>
        <v/>
      </c>
      <c r="J27" s="66" t="str">
        <f>IF(M27&lt;&gt;"OK","",N(E27)*(H27*IF(G27="",1,G27)+I27))</f>
        <v/>
      </c>
      <c r="K27" s="66" t="str">
        <f>IF(M27&lt;&gt;"OK","",N(F27)/60*H27*IF(G27="",1,G27))</f>
        <v/>
      </c>
      <c r="L27" s="66" t="str">
        <f>IF(M27&lt;&gt;"OK","",N(F27)/60*I27)</f>
        <v/>
      </c>
      <c r="M27" s="69" t="str">
        <f>IF(AND(A27="",D27=""),"",IF(A27="","Produit manquant",IF(COUNTIF(prod_ref,A27)=0,"Produit inconnu",IF(D27="","Poste manquant",IF(ISNA(MATCH(D27,po_code,0)),"Poste inconnu",IF(INDEX(po_check,MATCH(D27,po_code,0))&lt;&gt;"OK","Poste à corriger",IF(AND(E27&lt;&gt;"",OR(NOT(ISNUMBER(E27)),N(E27)&lt;0)),"Réglage invalide",IF(AND(F27&lt;&gt;"",OR(NOT(ISNUMBER(F27)),N(F27)&lt;0)),"Temps par pièce invalide",IF(N(E27)+N(F27)=0,"Temps manquant",IF(AND(G27&lt;&gt;"",OR(NOT(ISNUMBER(G27)),N(G27)&lt;=0)),"Opérateurs invalide","OK"))))))))))</f>
        <v/>
      </c>
      <c r="N27" s="71" t="str">
        <f>IF(AND(fiche_sel&lt;&gt;"",A27=fiche_sel),COUNTIF(A$6:A27,fiche_sel),"")</f>
        <v/>
      </c>
    </row>
    <row r="28">
      <c r="A28" s="60" t="n"/>
      <c r="B28" s="73" t="n"/>
      <c r="C28" s="60" t="n"/>
      <c r="D28" s="61" t="n"/>
      <c r="E28" s="74" t="n"/>
      <c r="F28" s="74" t="n"/>
      <c r="G28" s="73" t="n"/>
      <c r="H28" s="66" t="str">
        <f>IF(M28&lt;&gt;"OK","",INDEX(po_mo,MATCH(D28,po_code,0)))</f>
        <v/>
      </c>
      <c r="I28" s="66" t="str">
        <f>IF(M28&lt;&gt;"OK","",INDEX(po_mac,MATCH(D28,po_code,0)))</f>
        <v/>
      </c>
      <c r="J28" s="66" t="str">
        <f>IF(M28&lt;&gt;"OK","",N(E28)*(H28*IF(G28="",1,G28)+I28))</f>
        <v/>
      </c>
      <c r="K28" s="66" t="str">
        <f>IF(M28&lt;&gt;"OK","",N(F28)/60*H28*IF(G28="",1,G28))</f>
        <v/>
      </c>
      <c r="L28" s="66" t="str">
        <f>IF(M28&lt;&gt;"OK","",N(F28)/60*I28)</f>
        <v/>
      </c>
      <c r="M28" s="69" t="str">
        <f>IF(AND(A28="",D28=""),"",IF(A28="","Produit manquant",IF(COUNTIF(prod_ref,A28)=0,"Produit inconnu",IF(D28="","Poste manquant",IF(ISNA(MATCH(D28,po_code,0)),"Poste inconnu",IF(INDEX(po_check,MATCH(D28,po_code,0))&lt;&gt;"OK","Poste à corriger",IF(AND(E28&lt;&gt;"",OR(NOT(ISNUMBER(E28)),N(E28)&lt;0)),"Réglage invalide",IF(AND(F28&lt;&gt;"",OR(NOT(ISNUMBER(F28)),N(F28)&lt;0)),"Temps par pièce invalide",IF(N(E28)+N(F28)=0,"Temps manquant",IF(AND(G28&lt;&gt;"",OR(NOT(ISNUMBER(G28)),N(G28)&lt;=0)),"Opérateurs invalide","OK"))))))))))</f>
        <v/>
      </c>
      <c r="N28" s="71" t="str">
        <f>IF(AND(fiche_sel&lt;&gt;"",A28=fiche_sel),COUNTIF(A$6:A28,fiche_sel),"")</f>
        <v/>
      </c>
    </row>
    <row r="29">
      <c r="A29" s="60" t="n"/>
      <c r="B29" s="73" t="n"/>
      <c r="C29" s="60" t="n"/>
      <c r="D29" s="61" t="n"/>
      <c r="E29" s="74" t="n"/>
      <c r="F29" s="74" t="n"/>
      <c r="G29" s="73" t="n"/>
      <c r="H29" s="66" t="str">
        <f>IF(M29&lt;&gt;"OK","",INDEX(po_mo,MATCH(D29,po_code,0)))</f>
        <v/>
      </c>
      <c r="I29" s="66" t="str">
        <f>IF(M29&lt;&gt;"OK","",INDEX(po_mac,MATCH(D29,po_code,0)))</f>
        <v/>
      </c>
      <c r="J29" s="66" t="str">
        <f>IF(M29&lt;&gt;"OK","",N(E29)*(H29*IF(G29="",1,G29)+I29))</f>
        <v/>
      </c>
      <c r="K29" s="66" t="str">
        <f>IF(M29&lt;&gt;"OK","",N(F29)/60*H29*IF(G29="",1,G29))</f>
        <v/>
      </c>
      <c r="L29" s="66" t="str">
        <f>IF(M29&lt;&gt;"OK","",N(F29)/60*I29)</f>
        <v/>
      </c>
      <c r="M29" s="69" t="str">
        <f>IF(AND(A29="",D29=""),"",IF(A29="","Produit manquant",IF(COUNTIF(prod_ref,A29)=0,"Produit inconnu",IF(D29="","Poste manquant",IF(ISNA(MATCH(D29,po_code,0)),"Poste inconnu",IF(INDEX(po_check,MATCH(D29,po_code,0))&lt;&gt;"OK","Poste à corriger",IF(AND(E29&lt;&gt;"",OR(NOT(ISNUMBER(E29)),N(E29)&lt;0)),"Réglage invalide",IF(AND(F29&lt;&gt;"",OR(NOT(ISNUMBER(F29)),N(F29)&lt;0)),"Temps par pièce invalide",IF(N(E29)+N(F29)=0,"Temps manquant",IF(AND(G29&lt;&gt;"",OR(NOT(ISNUMBER(G29)),N(G29)&lt;=0)),"Opérateurs invalide","OK"))))))))))</f>
        <v/>
      </c>
      <c r="N29" s="71" t="str">
        <f>IF(AND(fiche_sel&lt;&gt;"",A29=fiche_sel),COUNTIF(A$6:A29,fiche_sel),"")</f>
        <v/>
      </c>
    </row>
    <row r="30">
      <c r="A30" s="60" t="n"/>
      <c r="B30" s="73" t="n"/>
      <c r="C30" s="60" t="n"/>
      <c r="D30" s="61" t="n"/>
      <c r="E30" s="74" t="n"/>
      <c r="F30" s="74" t="n"/>
      <c r="G30" s="73" t="n"/>
      <c r="H30" s="66" t="str">
        <f>IF(M30&lt;&gt;"OK","",INDEX(po_mo,MATCH(D30,po_code,0)))</f>
        <v/>
      </c>
      <c r="I30" s="66" t="str">
        <f>IF(M30&lt;&gt;"OK","",INDEX(po_mac,MATCH(D30,po_code,0)))</f>
        <v/>
      </c>
      <c r="J30" s="66" t="str">
        <f>IF(M30&lt;&gt;"OK","",N(E30)*(H30*IF(G30="",1,G30)+I30))</f>
        <v/>
      </c>
      <c r="K30" s="66" t="str">
        <f>IF(M30&lt;&gt;"OK","",N(F30)/60*H30*IF(G30="",1,G30))</f>
        <v/>
      </c>
      <c r="L30" s="66" t="str">
        <f>IF(M30&lt;&gt;"OK","",N(F30)/60*I30)</f>
        <v/>
      </c>
      <c r="M30" s="69" t="str">
        <f>IF(AND(A30="",D30=""),"",IF(A30="","Produit manquant",IF(COUNTIF(prod_ref,A30)=0,"Produit inconnu",IF(D30="","Poste manquant",IF(ISNA(MATCH(D30,po_code,0)),"Poste inconnu",IF(INDEX(po_check,MATCH(D30,po_code,0))&lt;&gt;"OK","Poste à corriger",IF(AND(E30&lt;&gt;"",OR(NOT(ISNUMBER(E30)),N(E30)&lt;0)),"Réglage invalide",IF(AND(F30&lt;&gt;"",OR(NOT(ISNUMBER(F30)),N(F30)&lt;0)),"Temps par pièce invalide",IF(N(E30)+N(F30)=0,"Temps manquant",IF(AND(G30&lt;&gt;"",OR(NOT(ISNUMBER(G30)),N(G30)&lt;=0)),"Opérateurs invalide","OK"))))))))))</f>
        <v/>
      </c>
      <c r="N30" s="71" t="str">
        <f>IF(AND(fiche_sel&lt;&gt;"",A30=fiche_sel),COUNTIF(A$6:A30,fiche_sel),"")</f>
        <v/>
      </c>
    </row>
    <row r="31">
      <c r="A31" s="60" t="n"/>
      <c r="B31" s="73" t="n"/>
      <c r="C31" s="60" t="n"/>
      <c r="D31" s="61" t="n"/>
      <c r="E31" s="74" t="n"/>
      <c r="F31" s="74" t="n"/>
      <c r="G31" s="73" t="n"/>
      <c r="H31" s="66" t="str">
        <f>IF(M31&lt;&gt;"OK","",INDEX(po_mo,MATCH(D31,po_code,0)))</f>
        <v/>
      </c>
      <c r="I31" s="66" t="str">
        <f>IF(M31&lt;&gt;"OK","",INDEX(po_mac,MATCH(D31,po_code,0)))</f>
        <v/>
      </c>
      <c r="J31" s="66" t="str">
        <f>IF(M31&lt;&gt;"OK","",N(E31)*(H31*IF(G31="",1,G31)+I31))</f>
        <v/>
      </c>
      <c r="K31" s="66" t="str">
        <f>IF(M31&lt;&gt;"OK","",N(F31)/60*H31*IF(G31="",1,G31))</f>
        <v/>
      </c>
      <c r="L31" s="66" t="str">
        <f>IF(M31&lt;&gt;"OK","",N(F31)/60*I31)</f>
        <v/>
      </c>
      <c r="M31" s="69" t="str">
        <f>IF(AND(A31="",D31=""),"",IF(A31="","Produit manquant",IF(COUNTIF(prod_ref,A31)=0,"Produit inconnu",IF(D31="","Poste manquant",IF(ISNA(MATCH(D31,po_code,0)),"Poste inconnu",IF(INDEX(po_check,MATCH(D31,po_code,0))&lt;&gt;"OK","Poste à corriger",IF(AND(E31&lt;&gt;"",OR(NOT(ISNUMBER(E31)),N(E31)&lt;0)),"Réglage invalide",IF(AND(F31&lt;&gt;"",OR(NOT(ISNUMBER(F31)),N(F31)&lt;0)),"Temps par pièce invalide",IF(N(E31)+N(F31)=0,"Temps manquant",IF(AND(G31&lt;&gt;"",OR(NOT(ISNUMBER(G31)),N(G31)&lt;=0)),"Opérateurs invalide","OK"))))))))))</f>
        <v/>
      </c>
      <c r="N31" s="71" t="str">
        <f>IF(AND(fiche_sel&lt;&gt;"",A31=fiche_sel),COUNTIF(A$6:A31,fiche_sel),"")</f>
        <v/>
      </c>
    </row>
    <row r="32">
      <c r="A32" s="60" t="n"/>
      <c r="B32" s="73" t="n"/>
      <c r="C32" s="60" t="n"/>
      <c r="D32" s="61" t="n"/>
      <c r="E32" s="74" t="n"/>
      <c r="F32" s="74" t="n"/>
      <c r="G32" s="73" t="n"/>
      <c r="H32" s="66" t="str">
        <f>IF(M32&lt;&gt;"OK","",INDEX(po_mo,MATCH(D32,po_code,0)))</f>
        <v/>
      </c>
      <c r="I32" s="66" t="str">
        <f>IF(M32&lt;&gt;"OK","",INDEX(po_mac,MATCH(D32,po_code,0)))</f>
        <v/>
      </c>
      <c r="J32" s="66" t="str">
        <f>IF(M32&lt;&gt;"OK","",N(E32)*(H32*IF(G32="",1,G32)+I32))</f>
        <v/>
      </c>
      <c r="K32" s="66" t="str">
        <f>IF(M32&lt;&gt;"OK","",N(F32)/60*H32*IF(G32="",1,G32))</f>
        <v/>
      </c>
      <c r="L32" s="66" t="str">
        <f>IF(M32&lt;&gt;"OK","",N(F32)/60*I32)</f>
        <v/>
      </c>
      <c r="M32" s="69" t="str">
        <f>IF(AND(A32="",D32=""),"",IF(A32="","Produit manquant",IF(COUNTIF(prod_ref,A32)=0,"Produit inconnu",IF(D32="","Poste manquant",IF(ISNA(MATCH(D32,po_code,0)),"Poste inconnu",IF(INDEX(po_check,MATCH(D32,po_code,0))&lt;&gt;"OK","Poste à corriger",IF(AND(E32&lt;&gt;"",OR(NOT(ISNUMBER(E32)),N(E32)&lt;0)),"Réglage invalide",IF(AND(F32&lt;&gt;"",OR(NOT(ISNUMBER(F32)),N(F32)&lt;0)),"Temps par pièce invalide",IF(N(E32)+N(F32)=0,"Temps manquant",IF(AND(G32&lt;&gt;"",OR(NOT(ISNUMBER(G32)),N(G32)&lt;=0)),"Opérateurs invalide","OK"))))))))))</f>
        <v/>
      </c>
      <c r="N32" s="71" t="str">
        <f>IF(AND(fiche_sel&lt;&gt;"",A32=fiche_sel),COUNTIF(A$6:A32,fiche_sel),"")</f>
        <v/>
      </c>
    </row>
    <row r="33">
      <c r="A33" s="60" t="n"/>
      <c r="B33" s="73" t="n"/>
      <c r="C33" s="60" t="n"/>
      <c r="D33" s="61" t="n"/>
      <c r="E33" s="74" t="n"/>
      <c r="F33" s="74" t="n"/>
      <c r="G33" s="73" t="n"/>
      <c r="H33" s="66" t="str">
        <f>IF(M33&lt;&gt;"OK","",INDEX(po_mo,MATCH(D33,po_code,0)))</f>
        <v/>
      </c>
      <c r="I33" s="66" t="str">
        <f>IF(M33&lt;&gt;"OK","",INDEX(po_mac,MATCH(D33,po_code,0)))</f>
        <v/>
      </c>
      <c r="J33" s="66" t="str">
        <f>IF(M33&lt;&gt;"OK","",N(E33)*(H33*IF(G33="",1,G33)+I33))</f>
        <v/>
      </c>
      <c r="K33" s="66" t="str">
        <f>IF(M33&lt;&gt;"OK","",N(F33)/60*H33*IF(G33="",1,G33))</f>
        <v/>
      </c>
      <c r="L33" s="66" t="str">
        <f>IF(M33&lt;&gt;"OK","",N(F33)/60*I33)</f>
        <v/>
      </c>
      <c r="M33" s="69" t="str">
        <f>IF(AND(A33="",D33=""),"",IF(A33="","Produit manquant",IF(COUNTIF(prod_ref,A33)=0,"Produit inconnu",IF(D33="","Poste manquant",IF(ISNA(MATCH(D33,po_code,0)),"Poste inconnu",IF(INDEX(po_check,MATCH(D33,po_code,0))&lt;&gt;"OK","Poste à corriger",IF(AND(E33&lt;&gt;"",OR(NOT(ISNUMBER(E33)),N(E33)&lt;0)),"Réglage invalide",IF(AND(F33&lt;&gt;"",OR(NOT(ISNUMBER(F33)),N(F33)&lt;0)),"Temps par pièce invalide",IF(N(E33)+N(F33)=0,"Temps manquant",IF(AND(G33&lt;&gt;"",OR(NOT(ISNUMBER(G33)),N(G33)&lt;=0)),"Opérateurs invalide","OK"))))))))))</f>
        <v/>
      </c>
      <c r="N33" s="71" t="str">
        <f>IF(AND(fiche_sel&lt;&gt;"",A33=fiche_sel),COUNTIF(A$6:A33,fiche_sel),"")</f>
        <v/>
      </c>
    </row>
    <row r="34">
      <c r="A34" s="60" t="n"/>
      <c r="B34" s="73" t="n"/>
      <c r="C34" s="60" t="n"/>
      <c r="D34" s="61" t="n"/>
      <c r="E34" s="74" t="n"/>
      <c r="F34" s="74" t="n"/>
      <c r="G34" s="73" t="n"/>
      <c r="H34" s="66" t="str">
        <f>IF(M34&lt;&gt;"OK","",INDEX(po_mo,MATCH(D34,po_code,0)))</f>
        <v/>
      </c>
      <c r="I34" s="66" t="str">
        <f>IF(M34&lt;&gt;"OK","",INDEX(po_mac,MATCH(D34,po_code,0)))</f>
        <v/>
      </c>
      <c r="J34" s="66" t="str">
        <f>IF(M34&lt;&gt;"OK","",N(E34)*(H34*IF(G34="",1,G34)+I34))</f>
        <v/>
      </c>
      <c r="K34" s="66" t="str">
        <f>IF(M34&lt;&gt;"OK","",N(F34)/60*H34*IF(G34="",1,G34))</f>
        <v/>
      </c>
      <c r="L34" s="66" t="str">
        <f>IF(M34&lt;&gt;"OK","",N(F34)/60*I34)</f>
        <v/>
      </c>
      <c r="M34" s="69" t="str">
        <f>IF(AND(A34="",D34=""),"",IF(A34="","Produit manquant",IF(COUNTIF(prod_ref,A34)=0,"Produit inconnu",IF(D34="","Poste manquant",IF(ISNA(MATCH(D34,po_code,0)),"Poste inconnu",IF(INDEX(po_check,MATCH(D34,po_code,0))&lt;&gt;"OK","Poste à corriger",IF(AND(E34&lt;&gt;"",OR(NOT(ISNUMBER(E34)),N(E34)&lt;0)),"Réglage invalide",IF(AND(F34&lt;&gt;"",OR(NOT(ISNUMBER(F34)),N(F34)&lt;0)),"Temps par pièce invalide",IF(N(E34)+N(F34)=0,"Temps manquant",IF(AND(G34&lt;&gt;"",OR(NOT(ISNUMBER(G34)),N(G34)&lt;=0)),"Opérateurs invalide","OK"))))))))))</f>
        <v/>
      </c>
      <c r="N34" s="71" t="str">
        <f>IF(AND(fiche_sel&lt;&gt;"",A34=fiche_sel),COUNTIF(A$6:A34,fiche_sel),"")</f>
        <v/>
      </c>
    </row>
    <row r="35">
      <c r="A35" s="60" t="n"/>
      <c r="B35" s="73" t="n"/>
      <c r="C35" s="60" t="n"/>
      <c r="D35" s="61" t="n"/>
      <c r="E35" s="74" t="n"/>
      <c r="F35" s="74" t="n"/>
      <c r="G35" s="73" t="n"/>
      <c r="H35" s="66" t="str">
        <f>IF(M35&lt;&gt;"OK","",INDEX(po_mo,MATCH(D35,po_code,0)))</f>
        <v/>
      </c>
      <c r="I35" s="66" t="str">
        <f>IF(M35&lt;&gt;"OK","",INDEX(po_mac,MATCH(D35,po_code,0)))</f>
        <v/>
      </c>
      <c r="J35" s="66" t="str">
        <f>IF(M35&lt;&gt;"OK","",N(E35)*(H35*IF(G35="",1,G35)+I35))</f>
        <v/>
      </c>
      <c r="K35" s="66" t="str">
        <f>IF(M35&lt;&gt;"OK","",N(F35)/60*H35*IF(G35="",1,G35))</f>
        <v/>
      </c>
      <c r="L35" s="66" t="str">
        <f>IF(M35&lt;&gt;"OK","",N(F35)/60*I35)</f>
        <v/>
      </c>
      <c r="M35" s="69" t="str">
        <f>IF(AND(A35="",D35=""),"",IF(A35="","Produit manquant",IF(COUNTIF(prod_ref,A35)=0,"Produit inconnu",IF(D35="","Poste manquant",IF(ISNA(MATCH(D35,po_code,0)),"Poste inconnu",IF(INDEX(po_check,MATCH(D35,po_code,0))&lt;&gt;"OK","Poste à corriger",IF(AND(E35&lt;&gt;"",OR(NOT(ISNUMBER(E35)),N(E35)&lt;0)),"Réglage invalide",IF(AND(F35&lt;&gt;"",OR(NOT(ISNUMBER(F35)),N(F35)&lt;0)),"Temps par pièce invalide",IF(N(E35)+N(F35)=0,"Temps manquant",IF(AND(G35&lt;&gt;"",OR(NOT(ISNUMBER(G35)),N(G35)&lt;=0)),"Opérateurs invalide","OK"))))))))))</f>
        <v/>
      </c>
      <c r="N35" s="71" t="str">
        <f>IF(AND(fiche_sel&lt;&gt;"",A35=fiche_sel),COUNTIF(A$6:A35,fiche_sel),"")</f>
        <v/>
      </c>
    </row>
    <row r="36">
      <c r="A36" s="60" t="n"/>
      <c r="B36" s="73" t="n"/>
      <c r="C36" s="60" t="n"/>
      <c r="D36" s="61" t="n"/>
      <c r="E36" s="74" t="n"/>
      <c r="F36" s="74" t="n"/>
      <c r="G36" s="73" t="n"/>
      <c r="H36" s="66" t="str">
        <f>IF(M36&lt;&gt;"OK","",INDEX(po_mo,MATCH(D36,po_code,0)))</f>
        <v/>
      </c>
      <c r="I36" s="66" t="str">
        <f>IF(M36&lt;&gt;"OK","",INDEX(po_mac,MATCH(D36,po_code,0)))</f>
        <v/>
      </c>
      <c r="J36" s="66" t="str">
        <f>IF(M36&lt;&gt;"OK","",N(E36)*(H36*IF(G36="",1,G36)+I36))</f>
        <v/>
      </c>
      <c r="K36" s="66" t="str">
        <f>IF(M36&lt;&gt;"OK","",N(F36)/60*H36*IF(G36="",1,G36))</f>
        <v/>
      </c>
      <c r="L36" s="66" t="str">
        <f>IF(M36&lt;&gt;"OK","",N(F36)/60*I36)</f>
        <v/>
      </c>
      <c r="M36" s="69" t="str">
        <f>IF(AND(A36="",D36=""),"",IF(A36="","Produit manquant",IF(COUNTIF(prod_ref,A36)=0,"Produit inconnu",IF(D36="","Poste manquant",IF(ISNA(MATCH(D36,po_code,0)),"Poste inconnu",IF(INDEX(po_check,MATCH(D36,po_code,0))&lt;&gt;"OK","Poste à corriger",IF(AND(E36&lt;&gt;"",OR(NOT(ISNUMBER(E36)),N(E36)&lt;0)),"Réglage invalide",IF(AND(F36&lt;&gt;"",OR(NOT(ISNUMBER(F36)),N(F36)&lt;0)),"Temps par pièce invalide",IF(N(E36)+N(F36)=0,"Temps manquant",IF(AND(G36&lt;&gt;"",OR(NOT(ISNUMBER(G36)),N(G36)&lt;=0)),"Opérateurs invalide","OK"))))))))))</f>
        <v/>
      </c>
      <c r="N36" s="71" t="str">
        <f>IF(AND(fiche_sel&lt;&gt;"",A36=fiche_sel),COUNTIF(A$6:A36,fiche_sel),"")</f>
        <v/>
      </c>
    </row>
    <row r="37">
      <c r="A37" s="60" t="n"/>
      <c r="B37" s="73" t="n"/>
      <c r="C37" s="60" t="n"/>
      <c r="D37" s="61" t="n"/>
      <c r="E37" s="74" t="n"/>
      <c r="F37" s="74" t="n"/>
      <c r="G37" s="73" t="n"/>
      <c r="H37" s="66" t="str">
        <f>IF(M37&lt;&gt;"OK","",INDEX(po_mo,MATCH(D37,po_code,0)))</f>
        <v/>
      </c>
      <c r="I37" s="66" t="str">
        <f>IF(M37&lt;&gt;"OK","",INDEX(po_mac,MATCH(D37,po_code,0)))</f>
        <v/>
      </c>
      <c r="J37" s="66" t="str">
        <f>IF(M37&lt;&gt;"OK","",N(E37)*(H37*IF(G37="",1,G37)+I37))</f>
        <v/>
      </c>
      <c r="K37" s="66" t="str">
        <f>IF(M37&lt;&gt;"OK","",N(F37)/60*H37*IF(G37="",1,G37))</f>
        <v/>
      </c>
      <c r="L37" s="66" t="str">
        <f>IF(M37&lt;&gt;"OK","",N(F37)/60*I37)</f>
        <v/>
      </c>
      <c r="M37" s="69" t="str">
        <f>IF(AND(A37="",D37=""),"",IF(A37="","Produit manquant",IF(COUNTIF(prod_ref,A37)=0,"Produit inconnu",IF(D37="","Poste manquant",IF(ISNA(MATCH(D37,po_code,0)),"Poste inconnu",IF(INDEX(po_check,MATCH(D37,po_code,0))&lt;&gt;"OK","Poste à corriger",IF(AND(E37&lt;&gt;"",OR(NOT(ISNUMBER(E37)),N(E37)&lt;0)),"Réglage invalide",IF(AND(F37&lt;&gt;"",OR(NOT(ISNUMBER(F37)),N(F37)&lt;0)),"Temps par pièce invalide",IF(N(E37)+N(F37)=0,"Temps manquant",IF(AND(G37&lt;&gt;"",OR(NOT(ISNUMBER(G37)),N(G37)&lt;=0)),"Opérateurs invalide","OK"))))))))))</f>
        <v/>
      </c>
      <c r="N37" s="71" t="str">
        <f>IF(AND(fiche_sel&lt;&gt;"",A37=fiche_sel),COUNTIF(A$6:A37,fiche_sel),"")</f>
        <v/>
      </c>
    </row>
    <row r="38">
      <c r="A38" s="60" t="n"/>
      <c r="B38" s="73" t="n"/>
      <c r="C38" s="60" t="n"/>
      <c r="D38" s="61" t="n"/>
      <c r="E38" s="74" t="n"/>
      <c r="F38" s="74" t="n"/>
      <c r="G38" s="73" t="n"/>
      <c r="H38" s="66" t="str">
        <f>IF(M38&lt;&gt;"OK","",INDEX(po_mo,MATCH(D38,po_code,0)))</f>
        <v/>
      </c>
      <c r="I38" s="66" t="str">
        <f>IF(M38&lt;&gt;"OK","",INDEX(po_mac,MATCH(D38,po_code,0)))</f>
        <v/>
      </c>
      <c r="J38" s="66" t="str">
        <f>IF(M38&lt;&gt;"OK","",N(E38)*(H38*IF(G38="",1,G38)+I38))</f>
        <v/>
      </c>
      <c r="K38" s="66" t="str">
        <f>IF(M38&lt;&gt;"OK","",N(F38)/60*H38*IF(G38="",1,G38))</f>
        <v/>
      </c>
      <c r="L38" s="66" t="str">
        <f>IF(M38&lt;&gt;"OK","",N(F38)/60*I38)</f>
        <v/>
      </c>
      <c r="M38" s="69" t="str">
        <f>IF(AND(A38="",D38=""),"",IF(A38="","Produit manquant",IF(COUNTIF(prod_ref,A38)=0,"Produit inconnu",IF(D38="","Poste manquant",IF(ISNA(MATCH(D38,po_code,0)),"Poste inconnu",IF(INDEX(po_check,MATCH(D38,po_code,0))&lt;&gt;"OK","Poste à corriger",IF(AND(E38&lt;&gt;"",OR(NOT(ISNUMBER(E38)),N(E38)&lt;0)),"Réglage invalide",IF(AND(F38&lt;&gt;"",OR(NOT(ISNUMBER(F38)),N(F38)&lt;0)),"Temps par pièce invalide",IF(N(E38)+N(F38)=0,"Temps manquant",IF(AND(G38&lt;&gt;"",OR(NOT(ISNUMBER(G38)),N(G38)&lt;=0)),"Opérateurs invalide","OK"))))))))))</f>
        <v/>
      </c>
      <c r="N38" s="71" t="str">
        <f>IF(AND(fiche_sel&lt;&gt;"",A38=fiche_sel),COUNTIF(A$6:A38,fiche_sel),"")</f>
        <v/>
      </c>
    </row>
    <row r="39">
      <c r="A39" s="60" t="n"/>
      <c r="B39" s="73" t="n"/>
      <c r="C39" s="60" t="n"/>
      <c r="D39" s="61" t="n"/>
      <c r="E39" s="74" t="n"/>
      <c r="F39" s="74" t="n"/>
      <c r="G39" s="73" t="n"/>
      <c r="H39" s="66" t="str">
        <f>IF(M39&lt;&gt;"OK","",INDEX(po_mo,MATCH(D39,po_code,0)))</f>
        <v/>
      </c>
      <c r="I39" s="66" t="str">
        <f>IF(M39&lt;&gt;"OK","",INDEX(po_mac,MATCH(D39,po_code,0)))</f>
        <v/>
      </c>
      <c r="J39" s="66" t="str">
        <f>IF(M39&lt;&gt;"OK","",N(E39)*(H39*IF(G39="",1,G39)+I39))</f>
        <v/>
      </c>
      <c r="K39" s="66" t="str">
        <f>IF(M39&lt;&gt;"OK","",N(F39)/60*H39*IF(G39="",1,G39))</f>
        <v/>
      </c>
      <c r="L39" s="66" t="str">
        <f>IF(M39&lt;&gt;"OK","",N(F39)/60*I39)</f>
        <v/>
      </c>
      <c r="M39" s="69" t="str">
        <f>IF(AND(A39="",D39=""),"",IF(A39="","Produit manquant",IF(COUNTIF(prod_ref,A39)=0,"Produit inconnu",IF(D39="","Poste manquant",IF(ISNA(MATCH(D39,po_code,0)),"Poste inconnu",IF(INDEX(po_check,MATCH(D39,po_code,0))&lt;&gt;"OK","Poste à corriger",IF(AND(E39&lt;&gt;"",OR(NOT(ISNUMBER(E39)),N(E39)&lt;0)),"Réglage invalide",IF(AND(F39&lt;&gt;"",OR(NOT(ISNUMBER(F39)),N(F39)&lt;0)),"Temps par pièce invalide",IF(N(E39)+N(F39)=0,"Temps manquant",IF(AND(G39&lt;&gt;"",OR(NOT(ISNUMBER(G39)),N(G39)&lt;=0)),"Opérateurs invalide","OK"))))))))))</f>
        <v/>
      </c>
      <c r="N39" s="71" t="str">
        <f>IF(AND(fiche_sel&lt;&gt;"",A39=fiche_sel),COUNTIF(A$6:A39,fiche_sel),"")</f>
        <v/>
      </c>
    </row>
    <row r="40">
      <c r="A40" s="60" t="n"/>
      <c r="B40" s="73" t="n"/>
      <c r="C40" s="60" t="n"/>
      <c r="D40" s="61" t="n"/>
      <c r="E40" s="74" t="n"/>
      <c r="F40" s="74" t="n"/>
      <c r="G40" s="73" t="n"/>
      <c r="H40" s="66" t="str">
        <f>IF(M40&lt;&gt;"OK","",INDEX(po_mo,MATCH(D40,po_code,0)))</f>
        <v/>
      </c>
      <c r="I40" s="66" t="str">
        <f>IF(M40&lt;&gt;"OK","",INDEX(po_mac,MATCH(D40,po_code,0)))</f>
        <v/>
      </c>
      <c r="J40" s="66" t="str">
        <f>IF(M40&lt;&gt;"OK","",N(E40)*(H40*IF(G40="",1,G40)+I40))</f>
        <v/>
      </c>
      <c r="K40" s="66" t="str">
        <f>IF(M40&lt;&gt;"OK","",N(F40)/60*H40*IF(G40="",1,G40))</f>
        <v/>
      </c>
      <c r="L40" s="66" t="str">
        <f>IF(M40&lt;&gt;"OK","",N(F40)/60*I40)</f>
        <v/>
      </c>
      <c r="M40" s="69" t="str">
        <f>IF(AND(A40="",D40=""),"",IF(A40="","Produit manquant",IF(COUNTIF(prod_ref,A40)=0,"Produit inconnu",IF(D40="","Poste manquant",IF(ISNA(MATCH(D40,po_code,0)),"Poste inconnu",IF(INDEX(po_check,MATCH(D40,po_code,0))&lt;&gt;"OK","Poste à corriger",IF(AND(E40&lt;&gt;"",OR(NOT(ISNUMBER(E40)),N(E40)&lt;0)),"Réglage invalide",IF(AND(F40&lt;&gt;"",OR(NOT(ISNUMBER(F40)),N(F40)&lt;0)),"Temps par pièce invalide",IF(N(E40)+N(F40)=0,"Temps manquant",IF(AND(G40&lt;&gt;"",OR(NOT(ISNUMBER(G40)),N(G40)&lt;=0)),"Opérateurs invalide","OK"))))))))))</f>
        <v/>
      </c>
      <c r="N40" s="71" t="str">
        <f>IF(AND(fiche_sel&lt;&gt;"",A40=fiche_sel),COUNTIF(A$6:A40,fiche_sel),"")</f>
        <v/>
      </c>
    </row>
    <row r="41">
      <c r="A41" s="60" t="n"/>
      <c r="B41" s="73" t="n"/>
      <c r="C41" s="60" t="n"/>
      <c r="D41" s="61" t="n"/>
      <c r="E41" s="74" t="n"/>
      <c r="F41" s="74" t="n"/>
      <c r="G41" s="73" t="n"/>
      <c r="H41" s="66" t="str">
        <f>IF(M41&lt;&gt;"OK","",INDEX(po_mo,MATCH(D41,po_code,0)))</f>
        <v/>
      </c>
      <c r="I41" s="66" t="str">
        <f>IF(M41&lt;&gt;"OK","",INDEX(po_mac,MATCH(D41,po_code,0)))</f>
        <v/>
      </c>
      <c r="J41" s="66" t="str">
        <f>IF(M41&lt;&gt;"OK","",N(E41)*(H41*IF(G41="",1,G41)+I41))</f>
        <v/>
      </c>
      <c r="K41" s="66" t="str">
        <f>IF(M41&lt;&gt;"OK","",N(F41)/60*H41*IF(G41="",1,G41))</f>
        <v/>
      </c>
      <c r="L41" s="66" t="str">
        <f>IF(M41&lt;&gt;"OK","",N(F41)/60*I41)</f>
        <v/>
      </c>
      <c r="M41" s="69" t="str">
        <f>IF(AND(A41="",D41=""),"",IF(A41="","Produit manquant",IF(COUNTIF(prod_ref,A41)=0,"Produit inconnu",IF(D41="","Poste manquant",IF(ISNA(MATCH(D41,po_code,0)),"Poste inconnu",IF(INDEX(po_check,MATCH(D41,po_code,0))&lt;&gt;"OK","Poste à corriger",IF(AND(E41&lt;&gt;"",OR(NOT(ISNUMBER(E41)),N(E41)&lt;0)),"Réglage invalide",IF(AND(F41&lt;&gt;"",OR(NOT(ISNUMBER(F41)),N(F41)&lt;0)),"Temps par pièce invalide",IF(N(E41)+N(F41)=0,"Temps manquant",IF(AND(G41&lt;&gt;"",OR(NOT(ISNUMBER(G41)),N(G41)&lt;=0)),"Opérateurs invalide","OK"))))))))))</f>
        <v/>
      </c>
      <c r="N41" s="71" t="str">
        <f>IF(AND(fiche_sel&lt;&gt;"",A41=fiche_sel),COUNTIF(A$6:A41,fiche_sel),"")</f>
        <v/>
      </c>
    </row>
    <row r="42">
      <c r="A42" s="60" t="n"/>
      <c r="B42" s="73" t="n"/>
      <c r="C42" s="60" t="n"/>
      <c r="D42" s="61" t="n"/>
      <c r="E42" s="74" t="n"/>
      <c r="F42" s="74" t="n"/>
      <c r="G42" s="73" t="n"/>
      <c r="H42" s="66" t="str">
        <f>IF(M42&lt;&gt;"OK","",INDEX(po_mo,MATCH(D42,po_code,0)))</f>
        <v/>
      </c>
      <c r="I42" s="66" t="str">
        <f>IF(M42&lt;&gt;"OK","",INDEX(po_mac,MATCH(D42,po_code,0)))</f>
        <v/>
      </c>
      <c r="J42" s="66" t="str">
        <f>IF(M42&lt;&gt;"OK","",N(E42)*(H42*IF(G42="",1,G42)+I42))</f>
        <v/>
      </c>
      <c r="K42" s="66" t="str">
        <f>IF(M42&lt;&gt;"OK","",N(F42)/60*H42*IF(G42="",1,G42))</f>
        <v/>
      </c>
      <c r="L42" s="66" t="str">
        <f>IF(M42&lt;&gt;"OK","",N(F42)/60*I42)</f>
        <v/>
      </c>
      <c r="M42" s="69" t="str">
        <f>IF(AND(A42="",D42=""),"",IF(A42="","Produit manquant",IF(COUNTIF(prod_ref,A42)=0,"Produit inconnu",IF(D42="","Poste manquant",IF(ISNA(MATCH(D42,po_code,0)),"Poste inconnu",IF(INDEX(po_check,MATCH(D42,po_code,0))&lt;&gt;"OK","Poste à corriger",IF(AND(E42&lt;&gt;"",OR(NOT(ISNUMBER(E42)),N(E42)&lt;0)),"Réglage invalide",IF(AND(F42&lt;&gt;"",OR(NOT(ISNUMBER(F42)),N(F42)&lt;0)),"Temps par pièce invalide",IF(N(E42)+N(F42)=0,"Temps manquant",IF(AND(G42&lt;&gt;"",OR(NOT(ISNUMBER(G42)),N(G42)&lt;=0)),"Opérateurs invalide","OK"))))))))))</f>
        <v/>
      </c>
      <c r="N42" s="71" t="str">
        <f>IF(AND(fiche_sel&lt;&gt;"",A42=fiche_sel),COUNTIF(A$6:A42,fiche_sel),"")</f>
        <v/>
      </c>
    </row>
    <row r="43">
      <c r="A43" s="60" t="n"/>
      <c r="B43" s="73" t="n"/>
      <c r="C43" s="60" t="n"/>
      <c r="D43" s="61" t="n"/>
      <c r="E43" s="74" t="n"/>
      <c r="F43" s="74" t="n"/>
      <c r="G43" s="73" t="n"/>
      <c r="H43" s="66" t="str">
        <f>IF(M43&lt;&gt;"OK","",INDEX(po_mo,MATCH(D43,po_code,0)))</f>
        <v/>
      </c>
      <c r="I43" s="66" t="str">
        <f>IF(M43&lt;&gt;"OK","",INDEX(po_mac,MATCH(D43,po_code,0)))</f>
        <v/>
      </c>
      <c r="J43" s="66" t="str">
        <f>IF(M43&lt;&gt;"OK","",N(E43)*(H43*IF(G43="",1,G43)+I43))</f>
        <v/>
      </c>
      <c r="K43" s="66" t="str">
        <f>IF(M43&lt;&gt;"OK","",N(F43)/60*H43*IF(G43="",1,G43))</f>
        <v/>
      </c>
      <c r="L43" s="66" t="str">
        <f>IF(M43&lt;&gt;"OK","",N(F43)/60*I43)</f>
        <v/>
      </c>
      <c r="M43" s="69" t="str">
        <f>IF(AND(A43="",D43=""),"",IF(A43="","Produit manquant",IF(COUNTIF(prod_ref,A43)=0,"Produit inconnu",IF(D43="","Poste manquant",IF(ISNA(MATCH(D43,po_code,0)),"Poste inconnu",IF(INDEX(po_check,MATCH(D43,po_code,0))&lt;&gt;"OK","Poste à corriger",IF(AND(E43&lt;&gt;"",OR(NOT(ISNUMBER(E43)),N(E43)&lt;0)),"Réglage invalide",IF(AND(F43&lt;&gt;"",OR(NOT(ISNUMBER(F43)),N(F43)&lt;0)),"Temps par pièce invalide",IF(N(E43)+N(F43)=0,"Temps manquant",IF(AND(G43&lt;&gt;"",OR(NOT(ISNUMBER(G43)),N(G43)&lt;=0)),"Opérateurs invalide","OK"))))))))))</f>
        <v/>
      </c>
      <c r="N43" s="71" t="str">
        <f>IF(AND(fiche_sel&lt;&gt;"",A43=fiche_sel),COUNTIF(A$6:A43,fiche_sel),"")</f>
        <v/>
      </c>
    </row>
    <row r="44">
      <c r="A44" s="60" t="n"/>
      <c r="B44" s="73" t="n"/>
      <c r="C44" s="60" t="n"/>
      <c r="D44" s="61" t="n"/>
      <c r="E44" s="74" t="n"/>
      <c r="F44" s="74" t="n"/>
      <c r="G44" s="73" t="n"/>
      <c r="H44" s="66" t="str">
        <f>IF(M44&lt;&gt;"OK","",INDEX(po_mo,MATCH(D44,po_code,0)))</f>
        <v/>
      </c>
      <c r="I44" s="66" t="str">
        <f>IF(M44&lt;&gt;"OK","",INDEX(po_mac,MATCH(D44,po_code,0)))</f>
        <v/>
      </c>
      <c r="J44" s="66" t="str">
        <f>IF(M44&lt;&gt;"OK","",N(E44)*(H44*IF(G44="",1,G44)+I44))</f>
        <v/>
      </c>
      <c r="K44" s="66" t="str">
        <f>IF(M44&lt;&gt;"OK","",N(F44)/60*H44*IF(G44="",1,G44))</f>
        <v/>
      </c>
      <c r="L44" s="66" t="str">
        <f>IF(M44&lt;&gt;"OK","",N(F44)/60*I44)</f>
        <v/>
      </c>
      <c r="M44" s="69" t="str">
        <f>IF(AND(A44="",D44=""),"",IF(A44="","Produit manquant",IF(COUNTIF(prod_ref,A44)=0,"Produit inconnu",IF(D44="","Poste manquant",IF(ISNA(MATCH(D44,po_code,0)),"Poste inconnu",IF(INDEX(po_check,MATCH(D44,po_code,0))&lt;&gt;"OK","Poste à corriger",IF(AND(E44&lt;&gt;"",OR(NOT(ISNUMBER(E44)),N(E44)&lt;0)),"Réglage invalide",IF(AND(F44&lt;&gt;"",OR(NOT(ISNUMBER(F44)),N(F44)&lt;0)),"Temps par pièce invalide",IF(N(E44)+N(F44)=0,"Temps manquant",IF(AND(G44&lt;&gt;"",OR(NOT(ISNUMBER(G44)),N(G44)&lt;=0)),"Opérateurs invalide","OK"))))))))))</f>
        <v/>
      </c>
      <c r="N44" s="71" t="str">
        <f>IF(AND(fiche_sel&lt;&gt;"",A44=fiche_sel),COUNTIF(A$6:A44,fiche_sel),"")</f>
        <v/>
      </c>
    </row>
    <row r="45">
      <c r="A45" s="60" t="n"/>
      <c r="B45" s="73" t="n"/>
      <c r="C45" s="60" t="n"/>
      <c r="D45" s="61" t="n"/>
      <c r="E45" s="74" t="n"/>
      <c r="F45" s="74" t="n"/>
      <c r="G45" s="73" t="n"/>
      <c r="H45" s="66" t="str">
        <f>IF(M45&lt;&gt;"OK","",INDEX(po_mo,MATCH(D45,po_code,0)))</f>
        <v/>
      </c>
      <c r="I45" s="66" t="str">
        <f>IF(M45&lt;&gt;"OK","",INDEX(po_mac,MATCH(D45,po_code,0)))</f>
        <v/>
      </c>
      <c r="J45" s="66" t="str">
        <f>IF(M45&lt;&gt;"OK","",N(E45)*(H45*IF(G45="",1,G45)+I45))</f>
        <v/>
      </c>
      <c r="K45" s="66" t="str">
        <f>IF(M45&lt;&gt;"OK","",N(F45)/60*H45*IF(G45="",1,G45))</f>
        <v/>
      </c>
      <c r="L45" s="66" t="str">
        <f>IF(M45&lt;&gt;"OK","",N(F45)/60*I45)</f>
        <v/>
      </c>
      <c r="M45" s="69" t="str">
        <f>IF(AND(A45="",D45=""),"",IF(A45="","Produit manquant",IF(COUNTIF(prod_ref,A45)=0,"Produit inconnu",IF(D45="","Poste manquant",IF(ISNA(MATCH(D45,po_code,0)),"Poste inconnu",IF(INDEX(po_check,MATCH(D45,po_code,0))&lt;&gt;"OK","Poste à corriger",IF(AND(E45&lt;&gt;"",OR(NOT(ISNUMBER(E45)),N(E45)&lt;0)),"Réglage invalide",IF(AND(F45&lt;&gt;"",OR(NOT(ISNUMBER(F45)),N(F45)&lt;0)),"Temps par pièce invalide",IF(N(E45)+N(F45)=0,"Temps manquant",IF(AND(G45&lt;&gt;"",OR(NOT(ISNUMBER(G45)),N(G45)&lt;=0)),"Opérateurs invalide","OK"))))))))))</f>
        <v/>
      </c>
      <c r="N45" s="71" t="str">
        <f>IF(AND(fiche_sel&lt;&gt;"",A45=fiche_sel),COUNTIF(A$6:A45,fiche_sel),"")</f>
        <v/>
      </c>
    </row>
    <row r="46">
      <c r="A46" s="60" t="n"/>
      <c r="B46" s="73" t="n"/>
      <c r="C46" s="60" t="n"/>
      <c r="D46" s="61" t="n"/>
      <c r="E46" s="74" t="n"/>
      <c r="F46" s="74" t="n"/>
      <c r="G46" s="73" t="n"/>
      <c r="H46" s="66" t="str">
        <f>IF(M46&lt;&gt;"OK","",INDEX(po_mo,MATCH(D46,po_code,0)))</f>
        <v/>
      </c>
      <c r="I46" s="66" t="str">
        <f>IF(M46&lt;&gt;"OK","",INDEX(po_mac,MATCH(D46,po_code,0)))</f>
        <v/>
      </c>
      <c r="J46" s="66" t="str">
        <f>IF(M46&lt;&gt;"OK","",N(E46)*(H46*IF(G46="",1,G46)+I46))</f>
        <v/>
      </c>
      <c r="K46" s="66" t="str">
        <f>IF(M46&lt;&gt;"OK","",N(F46)/60*H46*IF(G46="",1,G46))</f>
        <v/>
      </c>
      <c r="L46" s="66" t="str">
        <f>IF(M46&lt;&gt;"OK","",N(F46)/60*I46)</f>
        <v/>
      </c>
      <c r="M46" s="69" t="str">
        <f>IF(AND(A46="",D46=""),"",IF(A46="","Produit manquant",IF(COUNTIF(prod_ref,A46)=0,"Produit inconnu",IF(D46="","Poste manquant",IF(ISNA(MATCH(D46,po_code,0)),"Poste inconnu",IF(INDEX(po_check,MATCH(D46,po_code,0))&lt;&gt;"OK","Poste à corriger",IF(AND(E46&lt;&gt;"",OR(NOT(ISNUMBER(E46)),N(E46)&lt;0)),"Réglage invalide",IF(AND(F46&lt;&gt;"",OR(NOT(ISNUMBER(F46)),N(F46)&lt;0)),"Temps par pièce invalide",IF(N(E46)+N(F46)=0,"Temps manquant",IF(AND(G46&lt;&gt;"",OR(NOT(ISNUMBER(G46)),N(G46)&lt;=0)),"Opérateurs invalide","OK"))))))))))</f>
        <v/>
      </c>
      <c r="N46" s="71" t="str">
        <f>IF(AND(fiche_sel&lt;&gt;"",A46=fiche_sel),COUNTIF(A$6:A46,fiche_sel),"")</f>
        <v/>
      </c>
    </row>
    <row r="47">
      <c r="A47" s="60" t="n"/>
      <c r="B47" s="73" t="n"/>
      <c r="C47" s="60" t="n"/>
      <c r="D47" s="61" t="n"/>
      <c r="E47" s="74" t="n"/>
      <c r="F47" s="74" t="n"/>
      <c r="G47" s="73" t="n"/>
      <c r="H47" s="66" t="str">
        <f>IF(M47&lt;&gt;"OK","",INDEX(po_mo,MATCH(D47,po_code,0)))</f>
        <v/>
      </c>
      <c r="I47" s="66" t="str">
        <f>IF(M47&lt;&gt;"OK","",INDEX(po_mac,MATCH(D47,po_code,0)))</f>
        <v/>
      </c>
      <c r="J47" s="66" t="str">
        <f>IF(M47&lt;&gt;"OK","",N(E47)*(H47*IF(G47="",1,G47)+I47))</f>
        <v/>
      </c>
      <c r="K47" s="66" t="str">
        <f>IF(M47&lt;&gt;"OK","",N(F47)/60*H47*IF(G47="",1,G47))</f>
        <v/>
      </c>
      <c r="L47" s="66" t="str">
        <f>IF(M47&lt;&gt;"OK","",N(F47)/60*I47)</f>
        <v/>
      </c>
      <c r="M47" s="69" t="str">
        <f>IF(AND(A47="",D47=""),"",IF(A47="","Produit manquant",IF(COUNTIF(prod_ref,A47)=0,"Produit inconnu",IF(D47="","Poste manquant",IF(ISNA(MATCH(D47,po_code,0)),"Poste inconnu",IF(INDEX(po_check,MATCH(D47,po_code,0))&lt;&gt;"OK","Poste à corriger",IF(AND(E47&lt;&gt;"",OR(NOT(ISNUMBER(E47)),N(E47)&lt;0)),"Réglage invalide",IF(AND(F47&lt;&gt;"",OR(NOT(ISNUMBER(F47)),N(F47)&lt;0)),"Temps par pièce invalide",IF(N(E47)+N(F47)=0,"Temps manquant",IF(AND(G47&lt;&gt;"",OR(NOT(ISNUMBER(G47)),N(G47)&lt;=0)),"Opérateurs invalide","OK"))))))))))</f>
        <v/>
      </c>
      <c r="N47" s="71" t="str">
        <f>IF(AND(fiche_sel&lt;&gt;"",A47=fiche_sel),COUNTIF(A$6:A47,fiche_sel),"")</f>
        <v/>
      </c>
    </row>
    <row r="48">
      <c r="A48" s="60" t="n"/>
      <c r="B48" s="73" t="n"/>
      <c r="C48" s="60" t="n"/>
      <c r="D48" s="61" t="n"/>
      <c r="E48" s="74" t="n"/>
      <c r="F48" s="74" t="n"/>
      <c r="G48" s="73" t="n"/>
      <c r="H48" s="66" t="str">
        <f>IF(M48&lt;&gt;"OK","",INDEX(po_mo,MATCH(D48,po_code,0)))</f>
        <v/>
      </c>
      <c r="I48" s="66" t="str">
        <f>IF(M48&lt;&gt;"OK","",INDEX(po_mac,MATCH(D48,po_code,0)))</f>
        <v/>
      </c>
      <c r="J48" s="66" t="str">
        <f>IF(M48&lt;&gt;"OK","",N(E48)*(H48*IF(G48="",1,G48)+I48))</f>
        <v/>
      </c>
      <c r="K48" s="66" t="str">
        <f>IF(M48&lt;&gt;"OK","",N(F48)/60*H48*IF(G48="",1,G48))</f>
        <v/>
      </c>
      <c r="L48" s="66" t="str">
        <f>IF(M48&lt;&gt;"OK","",N(F48)/60*I48)</f>
        <v/>
      </c>
      <c r="M48" s="69" t="str">
        <f>IF(AND(A48="",D48=""),"",IF(A48="","Produit manquant",IF(COUNTIF(prod_ref,A48)=0,"Produit inconnu",IF(D48="","Poste manquant",IF(ISNA(MATCH(D48,po_code,0)),"Poste inconnu",IF(INDEX(po_check,MATCH(D48,po_code,0))&lt;&gt;"OK","Poste à corriger",IF(AND(E48&lt;&gt;"",OR(NOT(ISNUMBER(E48)),N(E48)&lt;0)),"Réglage invalide",IF(AND(F48&lt;&gt;"",OR(NOT(ISNUMBER(F48)),N(F48)&lt;0)),"Temps par pièce invalide",IF(N(E48)+N(F48)=0,"Temps manquant",IF(AND(G48&lt;&gt;"",OR(NOT(ISNUMBER(G48)),N(G48)&lt;=0)),"Opérateurs invalide","OK"))))))))))</f>
        <v/>
      </c>
      <c r="N48" s="71" t="str">
        <f>IF(AND(fiche_sel&lt;&gt;"",A48=fiche_sel),COUNTIF(A$6:A48,fiche_sel),"")</f>
        <v/>
      </c>
    </row>
    <row r="49">
      <c r="A49" s="60" t="n"/>
      <c r="B49" s="73" t="n"/>
      <c r="C49" s="60" t="n"/>
      <c r="D49" s="61" t="n"/>
      <c r="E49" s="74" t="n"/>
      <c r="F49" s="74" t="n"/>
      <c r="G49" s="73" t="n"/>
      <c r="H49" s="66" t="str">
        <f>IF(M49&lt;&gt;"OK","",INDEX(po_mo,MATCH(D49,po_code,0)))</f>
        <v/>
      </c>
      <c r="I49" s="66" t="str">
        <f>IF(M49&lt;&gt;"OK","",INDEX(po_mac,MATCH(D49,po_code,0)))</f>
        <v/>
      </c>
      <c r="J49" s="66" t="str">
        <f>IF(M49&lt;&gt;"OK","",N(E49)*(H49*IF(G49="",1,G49)+I49))</f>
        <v/>
      </c>
      <c r="K49" s="66" t="str">
        <f>IF(M49&lt;&gt;"OK","",N(F49)/60*H49*IF(G49="",1,G49))</f>
        <v/>
      </c>
      <c r="L49" s="66" t="str">
        <f>IF(M49&lt;&gt;"OK","",N(F49)/60*I49)</f>
        <v/>
      </c>
      <c r="M49" s="69" t="str">
        <f>IF(AND(A49="",D49=""),"",IF(A49="","Produit manquant",IF(COUNTIF(prod_ref,A49)=0,"Produit inconnu",IF(D49="","Poste manquant",IF(ISNA(MATCH(D49,po_code,0)),"Poste inconnu",IF(INDEX(po_check,MATCH(D49,po_code,0))&lt;&gt;"OK","Poste à corriger",IF(AND(E49&lt;&gt;"",OR(NOT(ISNUMBER(E49)),N(E49)&lt;0)),"Réglage invalide",IF(AND(F49&lt;&gt;"",OR(NOT(ISNUMBER(F49)),N(F49)&lt;0)),"Temps par pièce invalide",IF(N(E49)+N(F49)=0,"Temps manquant",IF(AND(G49&lt;&gt;"",OR(NOT(ISNUMBER(G49)),N(G49)&lt;=0)),"Opérateurs invalide","OK"))))))))))</f>
        <v/>
      </c>
      <c r="N49" s="71" t="str">
        <f>IF(AND(fiche_sel&lt;&gt;"",A49=fiche_sel),COUNTIF(A$6:A49,fiche_sel),"")</f>
        <v/>
      </c>
    </row>
    <row r="50">
      <c r="A50" s="60" t="n"/>
      <c r="B50" s="73" t="n"/>
      <c r="C50" s="60" t="n"/>
      <c r="D50" s="61" t="n"/>
      <c r="E50" s="74" t="n"/>
      <c r="F50" s="74" t="n"/>
      <c r="G50" s="73" t="n"/>
      <c r="H50" s="66" t="str">
        <f>IF(M50&lt;&gt;"OK","",INDEX(po_mo,MATCH(D50,po_code,0)))</f>
        <v/>
      </c>
      <c r="I50" s="66" t="str">
        <f>IF(M50&lt;&gt;"OK","",INDEX(po_mac,MATCH(D50,po_code,0)))</f>
        <v/>
      </c>
      <c r="J50" s="66" t="str">
        <f>IF(M50&lt;&gt;"OK","",N(E50)*(H50*IF(G50="",1,G50)+I50))</f>
        <v/>
      </c>
      <c r="K50" s="66" t="str">
        <f>IF(M50&lt;&gt;"OK","",N(F50)/60*H50*IF(G50="",1,G50))</f>
        <v/>
      </c>
      <c r="L50" s="66" t="str">
        <f>IF(M50&lt;&gt;"OK","",N(F50)/60*I50)</f>
        <v/>
      </c>
      <c r="M50" s="69" t="str">
        <f>IF(AND(A50="",D50=""),"",IF(A50="","Produit manquant",IF(COUNTIF(prod_ref,A50)=0,"Produit inconnu",IF(D50="","Poste manquant",IF(ISNA(MATCH(D50,po_code,0)),"Poste inconnu",IF(INDEX(po_check,MATCH(D50,po_code,0))&lt;&gt;"OK","Poste à corriger",IF(AND(E50&lt;&gt;"",OR(NOT(ISNUMBER(E50)),N(E50)&lt;0)),"Réglage invalide",IF(AND(F50&lt;&gt;"",OR(NOT(ISNUMBER(F50)),N(F50)&lt;0)),"Temps par pièce invalide",IF(N(E50)+N(F50)=0,"Temps manquant",IF(AND(G50&lt;&gt;"",OR(NOT(ISNUMBER(G50)),N(G50)&lt;=0)),"Opérateurs invalide","OK"))))))))))</f>
        <v/>
      </c>
      <c r="N50" s="71" t="str">
        <f>IF(AND(fiche_sel&lt;&gt;"",A50=fiche_sel),COUNTIF(A$6:A50,fiche_sel),"")</f>
        <v/>
      </c>
    </row>
    <row r="51">
      <c r="A51" s="60" t="n"/>
      <c r="B51" s="73" t="n"/>
      <c r="C51" s="60" t="n"/>
      <c r="D51" s="61" t="n"/>
      <c r="E51" s="74" t="n"/>
      <c r="F51" s="74" t="n"/>
      <c r="G51" s="73" t="n"/>
      <c r="H51" s="66" t="str">
        <f>IF(M51&lt;&gt;"OK","",INDEX(po_mo,MATCH(D51,po_code,0)))</f>
        <v/>
      </c>
      <c r="I51" s="66" t="str">
        <f>IF(M51&lt;&gt;"OK","",INDEX(po_mac,MATCH(D51,po_code,0)))</f>
        <v/>
      </c>
      <c r="J51" s="66" t="str">
        <f>IF(M51&lt;&gt;"OK","",N(E51)*(H51*IF(G51="",1,G51)+I51))</f>
        <v/>
      </c>
      <c r="K51" s="66" t="str">
        <f>IF(M51&lt;&gt;"OK","",N(F51)/60*H51*IF(G51="",1,G51))</f>
        <v/>
      </c>
      <c r="L51" s="66" t="str">
        <f>IF(M51&lt;&gt;"OK","",N(F51)/60*I51)</f>
        <v/>
      </c>
      <c r="M51" s="69" t="str">
        <f>IF(AND(A51="",D51=""),"",IF(A51="","Produit manquant",IF(COUNTIF(prod_ref,A51)=0,"Produit inconnu",IF(D51="","Poste manquant",IF(ISNA(MATCH(D51,po_code,0)),"Poste inconnu",IF(INDEX(po_check,MATCH(D51,po_code,0))&lt;&gt;"OK","Poste à corriger",IF(AND(E51&lt;&gt;"",OR(NOT(ISNUMBER(E51)),N(E51)&lt;0)),"Réglage invalide",IF(AND(F51&lt;&gt;"",OR(NOT(ISNUMBER(F51)),N(F51)&lt;0)),"Temps par pièce invalide",IF(N(E51)+N(F51)=0,"Temps manquant",IF(AND(G51&lt;&gt;"",OR(NOT(ISNUMBER(G51)),N(G51)&lt;=0)),"Opérateurs invalide","OK"))))))))))</f>
        <v/>
      </c>
      <c r="N51" s="71" t="str">
        <f>IF(AND(fiche_sel&lt;&gt;"",A51=fiche_sel),COUNTIF(A$6:A51,fiche_sel),"")</f>
        <v/>
      </c>
    </row>
    <row r="52">
      <c r="A52" s="60" t="n"/>
      <c r="B52" s="73" t="n"/>
      <c r="C52" s="60" t="n"/>
      <c r="D52" s="61" t="n"/>
      <c r="E52" s="74" t="n"/>
      <c r="F52" s="74" t="n"/>
      <c r="G52" s="73" t="n"/>
      <c r="H52" s="66" t="str">
        <f>IF(M52&lt;&gt;"OK","",INDEX(po_mo,MATCH(D52,po_code,0)))</f>
        <v/>
      </c>
      <c r="I52" s="66" t="str">
        <f>IF(M52&lt;&gt;"OK","",INDEX(po_mac,MATCH(D52,po_code,0)))</f>
        <v/>
      </c>
      <c r="J52" s="66" t="str">
        <f>IF(M52&lt;&gt;"OK","",N(E52)*(H52*IF(G52="",1,G52)+I52))</f>
        <v/>
      </c>
      <c r="K52" s="66" t="str">
        <f>IF(M52&lt;&gt;"OK","",N(F52)/60*H52*IF(G52="",1,G52))</f>
        <v/>
      </c>
      <c r="L52" s="66" t="str">
        <f>IF(M52&lt;&gt;"OK","",N(F52)/60*I52)</f>
        <v/>
      </c>
      <c r="M52" s="69" t="str">
        <f>IF(AND(A52="",D52=""),"",IF(A52="","Produit manquant",IF(COUNTIF(prod_ref,A52)=0,"Produit inconnu",IF(D52="","Poste manquant",IF(ISNA(MATCH(D52,po_code,0)),"Poste inconnu",IF(INDEX(po_check,MATCH(D52,po_code,0))&lt;&gt;"OK","Poste à corriger",IF(AND(E52&lt;&gt;"",OR(NOT(ISNUMBER(E52)),N(E52)&lt;0)),"Réglage invalide",IF(AND(F52&lt;&gt;"",OR(NOT(ISNUMBER(F52)),N(F52)&lt;0)),"Temps par pièce invalide",IF(N(E52)+N(F52)=0,"Temps manquant",IF(AND(G52&lt;&gt;"",OR(NOT(ISNUMBER(G52)),N(G52)&lt;=0)),"Opérateurs invalide","OK"))))))))))</f>
        <v/>
      </c>
      <c r="N52" s="71" t="str">
        <f>IF(AND(fiche_sel&lt;&gt;"",A52=fiche_sel),COUNTIF(A$6:A52,fiche_sel),"")</f>
        <v/>
      </c>
    </row>
    <row r="53">
      <c r="A53" s="60" t="n"/>
      <c r="B53" s="73" t="n"/>
      <c r="C53" s="60" t="n"/>
      <c r="D53" s="61" t="n"/>
      <c r="E53" s="74" t="n"/>
      <c r="F53" s="74" t="n"/>
      <c r="G53" s="73" t="n"/>
      <c r="H53" s="66" t="str">
        <f>IF(M53&lt;&gt;"OK","",INDEX(po_mo,MATCH(D53,po_code,0)))</f>
        <v/>
      </c>
      <c r="I53" s="66" t="str">
        <f>IF(M53&lt;&gt;"OK","",INDEX(po_mac,MATCH(D53,po_code,0)))</f>
        <v/>
      </c>
      <c r="J53" s="66" t="str">
        <f>IF(M53&lt;&gt;"OK","",N(E53)*(H53*IF(G53="",1,G53)+I53))</f>
        <v/>
      </c>
      <c r="K53" s="66" t="str">
        <f>IF(M53&lt;&gt;"OK","",N(F53)/60*H53*IF(G53="",1,G53))</f>
        <v/>
      </c>
      <c r="L53" s="66" t="str">
        <f>IF(M53&lt;&gt;"OK","",N(F53)/60*I53)</f>
        <v/>
      </c>
      <c r="M53" s="69" t="str">
        <f>IF(AND(A53="",D53=""),"",IF(A53="","Produit manquant",IF(COUNTIF(prod_ref,A53)=0,"Produit inconnu",IF(D53="","Poste manquant",IF(ISNA(MATCH(D53,po_code,0)),"Poste inconnu",IF(INDEX(po_check,MATCH(D53,po_code,0))&lt;&gt;"OK","Poste à corriger",IF(AND(E53&lt;&gt;"",OR(NOT(ISNUMBER(E53)),N(E53)&lt;0)),"Réglage invalide",IF(AND(F53&lt;&gt;"",OR(NOT(ISNUMBER(F53)),N(F53)&lt;0)),"Temps par pièce invalide",IF(N(E53)+N(F53)=0,"Temps manquant",IF(AND(G53&lt;&gt;"",OR(NOT(ISNUMBER(G53)),N(G53)&lt;=0)),"Opérateurs invalide","OK"))))))))))</f>
        <v/>
      </c>
      <c r="N53" s="71" t="str">
        <f>IF(AND(fiche_sel&lt;&gt;"",A53=fiche_sel),COUNTIF(A$6:A53,fiche_sel),"")</f>
        <v/>
      </c>
    </row>
    <row r="54">
      <c r="A54" s="60" t="n"/>
      <c r="B54" s="73" t="n"/>
      <c r="C54" s="60" t="n"/>
      <c r="D54" s="61" t="n"/>
      <c r="E54" s="74" t="n"/>
      <c r="F54" s="74" t="n"/>
      <c r="G54" s="73" t="n"/>
      <c r="H54" s="66" t="str">
        <f>IF(M54&lt;&gt;"OK","",INDEX(po_mo,MATCH(D54,po_code,0)))</f>
        <v/>
      </c>
      <c r="I54" s="66" t="str">
        <f>IF(M54&lt;&gt;"OK","",INDEX(po_mac,MATCH(D54,po_code,0)))</f>
        <v/>
      </c>
      <c r="J54" s="66" t="str">
        <f>IF(M54&lt;&gt;"OK","",N(E54)*(H54*IF(G54="",1,G54)+I54))</f>
        <v/>
      </c>
      <c r="K54" s="66" t="str">
        <f>IF(M54&lt;&gt;"OK","",N(F54)/60*H54*IF(G54="",1,G54))</f>
        <v/>
      </c>
      <c r="L54" s="66" t="str">
        <f>IF(M54&lt;&gt;"OK","",N(F54)/60*I54)</f>
        <v/>
      </c>
      <c r="M54" s="69" t="str">
        <f>IF(AND(A54="",D54=""),"",IF(A54="","Produit manquant",IF(COUNTIF(prod_ref,A54)=0,"Produit inconnu",IF(D54="","Poste manquant",IF(ISNA(MATCH(D54,po_code,0)),"Poste inconnu",IF(INDEX(po_check,MATCH(D54,po_code,0))&lt;&gt;"OK","Poste à corriger",IF(AND(E54&lt;&gt;"",OR(NOT(ISNUMBER(E54)),N(E54)&lt;0)),"Réglage invalide",IF(AND(F54&lt;&gt;"",OR(NOT(ISNUMBER(F54)),N(F54)&lt;0)),"Temps par pièce invalide",IF(N(E54)+N(F54)=0,"Temps manquant",IF(AND(G54&lt;&gt;"",OR(NOT(ISNUMBER(G54)),N(G54)&lt;=0)),"Opérateurs invalide","OK"))))))))))</f>
        <v/>
      </c>
      <c r="N54" s="71" t="str">
        <f>IF(AND(fiche_sel&lt;&gt;"",A54=fiche_sel),COUNTIF(A$6:A54,fiche_sel),"")</f>
        <v/>
      </c>
    </row>
    <row r="55">
      <c r="A55" s="60" t="n"/>
      <c r="B55" s="73" t="n"/>
      <c r="C55" s="60" t="n"/>
      <c r="D55" s="61" t="n"/>
      <c r="E55" s="74" t="n"/>
      <c r="F55" s="74" t="n"/>
      <c r="G55" s="73" t="n"/>
      <c r="H55" s="66" t="str">
        <f>IF(M55&lt;&gt;"OK","",INDEX(po_mo,MATCH(D55,po_code,0)))</f>
        <v/>
      </c>
      <c r="I55" s="66" t="str">
        <f>IF(M55&lt;&gt;"OK","",INDEX(po_mac,MATCH(D55,po_code,0)))</f>
        <v/>
      </c>
      <c r="J55" s="66" t="str">
        <f>IF(M55&lt;&gt;"OK","",N(E55)*(H55*IF(G55="",1,G55)+I55))</f>
        <v/>
      </c>
      <c r="K55" s="66" t="str">
        <f>IF(M55&lt;&gt;"OK","",N(F55)/60*H55*IF(G55="",1,G55))</f>
        <v/>
      </c>
      <c r="L55" s="66" t="str">
        <f>IF(M55&lt;&gt;"OK","",N(F55)/60*I55)</f>
        <v/>
      </c>
      <c r="M55" s="69" t="str">
        <f>IF(AND(A55="",D55=""),"",IF(A55="","Produit manquant",IF(COUNTIF(prod_ref,A55)=0,"Produit inconnu",IF(D55="","Poste manquant",IF(ISNA(MATCH(D55,po_code,0)),"Poste inconnu",IF(INDEX(po_check,MATCH(D55,po_code,0))&lt;&gt;"OK","Poste à corriger",IF(AND(E55&lt;&gt;"",OR(NOT(ISNUMBER(E55)),N(E55)&lt;0)),"Réglage invalide",IF(AND(F55&lt;&gt;"",OR(NOT(ISNUMBER(F55)),N(F55)&lt;0)),"Temps par pièce invalide",IF(N(E55)+N(F55)=0,"Temps manquant",IF(AND(G55&lt;&gt;"",OR(NOT(ISNUMBER(G55)),N(G55)&lt;=0)),"Opérateurs invalide","OK"))))))))))</f>
        <v/>
      </c>
      <c r="N55" s="71" t="str">
        <f>IF(AND(fiche_sel&lt;&gt;"",A55=fiche_sel),COUNTIF(A$6:A55,fiche_sel),"")</f>
        <v/>
      </c>
    </row>
    <row r="56">
      <c r="A56" s="60" t="n"/>
      <c r="B56" s="73" t="n"/>
      <c r="C56" s="60" t="n"/>
      <c r="D56" s="61" t="n"/>
      <c r="E56" s="74" t="n"/>
      <c r="F56" s="74" t="n"/>
      <c r="G56" s="73" t="n"/>
      <c r="H56" s="66" t="str">
        <f>IF(M56&lt;&gt;"OK","",INDEX(po_mo,MATCH(D56,po_code,0)))</f>
        <v/>
      </c>
      <c r="I56" s="66" t="str">
        <f>IF(M56&lt;&gt;"OK","",INDEX(po_mac,MATCH(D56,po_code,0)))</f>
        <v/>
      </c>
      <c r="J56" s="66" t="str">
        <f>IF(M56&lt;&gt;"OK","",N(E56)*(H56*IF(G56="",1,G56)+I56))</f>
        <v/>
      </c>
      <c r="K56" s="66" t="str">
        <f>IF(M56&lt;&gt;"OK","",N(F56)/60*H56*IF(G56="",1,G56))</f>
        <v/>
      </c>
      <c r="L56" s="66" t="str">
        <f>IF(M56&lt;&gt;"OK","",N(F56)/60*I56)</f>
        <v/>
      </c>
      <c r="M56" s="69" t="str">
        <f>IF(AND(A56="",D56=""),"",IF(A56="","Produit manquant",IF(COUNTIF(prod_ref,A56)=0,"Produit inconnu",IF(D56="","Poste manquant",IF(ISNA(MATCH(D56,po_code,0)),"Poste inconnu",IF(INDEX(po_check,MATCH(D56,po_code,0))&lt;&gt;"OK","Poste à corriger",IF(AND(E56&lt;&gt;"",OR(NOT(ISNUMBER(E56)),N(E56)&lt;0)),"Réglage invalide",IF(AND(F56&lt;&gt;"",OR(NOT(ISNUMBER(F56)),N(F56)&lt;0)),"Temps par pièce invalide",IF(N(E56)+N(F56)=0,"Temps manquant",IF(AND(G56&lt;&gt;"",OR(NOT(ISNUMBER(G56)),N(G56)&lt;=0)),"Opérateurs invalide","OK"))))))))))</f>
        <v/>
      </c>
      <c r="N56" s="71" t="str">
        <f>IF(AND(fiche_sel&lt;&gt;"",A56=fiche_sel),COUNTIF(A$6:A56,fiche_sel),"")</f>
        <v/>
      </c>
    </row>
    <row r="57">
      <c r="A57" s="60" t="n"/>
      <c r="B57" s="73" t="n"/>
      <c r="C57" s="60" t="n"/>
      <c r="D57" s="61" t="n"/>
      <c r="E57" s="74" t="n"/>
      <c r="F57" s="74" t="n"/>
      <c r="G57" s="73" t="n"/>
      <c r="H57" s="66" t="str">
        <f>IF(M57&lt;&gt;"OK","",INDEX(po_mo,MATCH(D57,po_code,0)))</f>
        <v/>
      </c>
      <c r="I57" s="66" t="str">
        <f>IF(M57&lt;&gt;"OK","",INDEX(po_mac,MATCH(D57,po_code,0)))</f>
        <v/>
      </c>
      <c r="J57" s="66" t="str">
        <f>IF(M57&lt;&gt;"OK","",N(E57)*(H57*IF(G57="",1,G57)+I57))</f>
        <v/>
      </c>
      <c r="K57" s="66" t="str">
        <f>IF(M57&lt;&gt;"OK","",N(F57)/60*H57*IF(G57="",1,G57))</f>
        <v/>
      </c>
      <c r="L57" s="66" t="str">
        <f>IF(M57&lt;&gt;"OK","",N(F57)/60*I57)</f>
        <v/>
      </c>
      <c r="M57" s="69" t="str">
        <f>IF(AND(A57="",D57=""),"",IF(A57="","Produit manquant",IF(COUNTIF(prod_ref,A57)=0,"Produit inconnu",IF(D57="","Poste manquant",IF(ISNA(MATCH(D57,po_code,0)),"Poste inconnu",IF(INDEX(po_check,MATCH(D57,po_code,0))&lt;&gt;"OK","Poste à corriger",IF(AND(E57&lt;&gt;"",OR(NOT(ISNUMBER(E57)),N(E57)&lt;0)),"Réglage invalide",IF(AND(F57&lt;&gt;"",OR(NOT(ISNUMBER(F57)),N(F57)&lt;0)),"Temps par pièce invalide",IF(N(E57)+N(F57)=0,"Temps manquant",IF(AND(G57&lt;&gt;"",OR(NOT(ISNUMBER(G57)),N(G57)&lt;=0)),"Opérateurs invalide","OK"))))))))))</f>
        <v/>
      </c>
      <c r="N57" s="71" t="str">
        <f>IF(AND(fiche_sel&lt;&gt;"",A57=fiche_sel),COUNTIF(A$6:A57,fiche_sel),"")</f>
        <v/>
      </c>
    </row>
    <row r="58">
      <c r="A58" s="60" t="n"/>
      <c r="B58" s="73" t="n"/>
      <c r="C58" s="60" t="n"/>
      <c r="D58" s="61" t="n"/>
      <c r="E58" s="74" t="n"/>
      <c r="F58" s="74" t="n"/>
      <c r="G58" s="73" t="n"/>
      <c r="H58" s="66" t="str">
        <f>IF(M58&lt;&gt;"OK","",INDEX(po_mo,MATCH(D58,po_code,0)))</f>
        <v/>
      </c>
      <c r="I58" s="66" t="str">
        <f>IF(M58&lt;&gt;"OK","",INDEX(po_mac,MATCH(D58,po_code,0)))</f>
        <v/>
      </c>
      <c r="J58" s="66" t="str">
        <f>IF(M58&lt;&gt;"OK","",N(E58)*(H58*IF(G58="",1,G58)+I58))</f>
        <v/>
      </c>
      <c r="K58" s="66" t="str">
        <f>IF(M58&lt;&gt;"OK","",N(F58)/60*H58*IF(G58="",1,G58))</f>
        <v/>
      </c>
      <c r="L58" s="66" t="str">
        <f>IF(M58&lt;&gt;"OK","",N(F58)/60*I58)</f>
        <v/>
      </c>
      <c r="M58" s="69" t="str">
        <f>IF(AND(A58="",D58=""),"",IF(A58="","Produit manquant",IF(COUNTIF(prod_ref,A58)=0,"Produit inconnu",IF(D58="","Poste manquant",IF(ISNA(MATCH(D58,po_code,0)),"Poste inconnu",IF(INDEX(po_check,MATCH(D58,po_code,0))&lt;&gt;"OK","Poste à corriger",IF(AND(E58&lt;&gt;"",OR(NOT(ISNUMBER(E58)),N(E58)&lt;0)),"Réglage invalide",IF(AND(F58&lt;&gt;"",OR(NOT(ISNUMBER(F58)),N(F58)&lt;0)),"Temps par pièce invalide",IF(N(E58)+N(F58)=0,"Temps manquant",IF(AND(G58&lt;&gt;"",OR(NOT(ISNUMBER(G58)),N(G58)&lt;=0)),"Opérateurs invalide","OK"))))))))))</f>
        <v/>
      </c>
      <c r="N58" s="71" t="str">
        <f>IF(AND(fiche_sel&lt;&gt;"",A58=fiche_sel),COUNTIF(A$6:A58,fiche_sel),"")</f>
        <v/>
      </c>
    </row>
    <row r="59">
      <c r="A59" s="60" t="n"/>
      <c r="B59" s="73" t="n"/>
      <c r="C59" s="60" t="n"/>
      <c r="D59" s="61" t="n"/>
      <c r="E59" s="74" t="n"/>
      <c r="F59" s="74" t="n"/>
      <c r="G59" s="73" t="n"/>
      <c r="H59" s="66" t="str">
        <f>IF(M59&lt;&gt;"OK","",INDEX(po_mo,MATCH(D59,po_code,0)))</f>
        <v/>
      </c>
      <c r="I59" s="66" t="str">
        <f>IF(M59&lt;&gt;"OK","",INDEX(po_mac,MATCH(D59,po_code,0)))</f>
        <v/>
      </c>
      <c r="J59" s="66" t="str">
        <f>IF(M59&lt;&gt;"OK","",N(E59)*(H59*IF(G59="",1,G59)+I59))</f>
        <v/>
      </c>
      <c r="K59" s="66" t="str">
        <f>IF(M59&lt;&gt;"OK","",N(F59)/60*H59*IF(G59="",1,G59))</f>
        <v/>
      </c>
      <c r="L59" s="66" t="str">
        <f>IF(M59&lt;&gt;"OK","",N(F59)/60*I59)</f>
        <v/>
      </c>
      <c r="M59" s="69" t="str">
        <f>IF(AND(A59="",D59=""),"",IF(A59="","Produit manquant",IF(COUNTIF(prod_ref,A59)=0,"Produit inconnu",IF(D59="","Poste manquant",IF(ISNA(MATCH(D59,po_code,0)),"Poste inconnu",IF(INDEX(po_check,MATCH(D59,po_code,0))&lt;&gt;"OK","Poste à corriger",IF(AND(E59&lt;&gt;"",OR(NOT(ISNUMBER(E59)),N(E59)&lt;0)),"Réglage invalide",IF(AND(F59&lt;&gt;"",OR(NOT(ISNUMBER(F59)),N(F59)&lt;0)),"Temps par pièce invalide",IF(N(E59)+N(F59)=0,"Temps manquant",IF(AND(G59&lt;&gt;"",OR(NOT(ISNUMBER(G59)),N(G59)&lt;=0)),"Opérateurs invalide","OK"))))))))))</f>
        <v/>
      </c>
      <c r="N59" s="71" t="str">
        <f>IF(AND(fiche_sel&lt;&gt;"",A59=fiche_sel),COUNTIF(A$6:A59,fiche_sel),"")</f>
        <v/>
      </c>
    </row>
    <row r="60">
      <c r="A60" s="60" t="n"/>
      <c r="B60" s="73" t="n"/>
      <c r="C60" s="60" t="n"/>
      <c r="D60" s="61" t="n"/>
      <c r="E60" s="74" t="n"/>
      <c r="F60" s="74" t="n"/>
      <c r="G60" s="73" t="n"/>
      <c r="H60" s="66" t="str">
        <f>IF(M60&lt;&gt;"OK","",INDEX(po_mo,MATCH(D60,po_code,0)))</f>
        <v/>
      </c>
      <c r="I60" s="66" t="str">
        <f>IF(M60&lt;&gt;"OK","",INDEX(po_mac,MATCH(D60,po_code,0)))</f>
        <v/>
      </c>
      <c r="J60" s="66" t="str">
        <f>IF(M60&lt;&gt;"OK","",N(E60)*(H60*IF(G60="",1,G60)+I60))</f>
        <v/>
      </c>
      <c r="K60" s="66" t="str">
        <f>IF(M60&lt;&gt;"OK","",N(F60)/60*H60*IF(G60="",1,G60))</f>
        <v/>
      </c>
      <c r="L60" s="66" t="str">
        <f>IF(M60&lt;&gt;"OK","",N(F60)/60*I60)</f>
        <v/>
      </c>
      <c r="M60" s="69" t="str">
        <f>IF(AND(A60="",D60=""),"",IF(A60="","Produit manquant",IF(COUNTIF(prod_ref,A60)=0,"Produit inconnu",IF(D60="","Poste manquant",IF(ISNA(MATCH(D60,po_code,0)),"Poste inconnu",IF(INDEX(po_check,MATCH(D60,po_code,0))&lt;&gt;"OK","Poste à corriger",IF(AND(E60&lt;&gt;"",OR(NOT(ISNUMBER(E60)),N(E60)&lt;0)),"Réglage invalide",IF(AND(F60&lt;&gt;"",OR(NOT(ISNUMBER(F60)),N(F60)&lt;0)),"Temps par pièce invalide",IF(N(E60)+N(F60)=0,"Temps manquant",IF(AND(G60&lt;&gt;"",OR(NOT(ISNUMBER(G60)),N(G60)&lt;=0)),"Opérateurs invalide","OK"))))))))))</f>
        <v/>
      </c>
      <c r="N60" s="71" t="str">
        <f>IF(AND(fiche_sel&lt;&gt;"",A60=fiche_sel),COUNTIF(A$6:A60,fiche_sel),"")</f>
        <v/>
      </c>
    </row>
    <row r="61">
      <c r="A61" s="60" t="n"/>
      <c r="B61" s="73" t="n"/>
      <c r="C61" s="60" t="n"/>
      <c r="D61" s="61" t="n"/>
      <c r="E61" s="74" t="n"/>
      <c r="F61" s="74" t="n"/>
      <c r="G61" s="73" t="n"/>
      <c r="H61" s="66" t="str">
        <f>IF(M61&lt;&gt;"OK","",INDEX(po_mo,MATCH(D61,po_code,0)))</f>
        <v/>
      </c>
      <c r="I61" s="66" t="str">
        <f>IF(M61&lt;&gt;"OK","",INDEX(po_mac,MATCH(D61,po_code,0)))</f>
        <v/>
      </c>
      <c r="J61" s="66" t="str">
        <f>IF(M61&lt;&gt;"OK","",N(E61)*(H61*IF(G61="",1,G61)+I61))</f>
        <v/>
      </c>
      <c r="K61" s="66" t="str">
        <f>IF(M61&lt;&gt;"OK","",N(F61)/60*H61*IF(G61="",1,G61))</f>
        <v/>
      </c>
      <c r="L61" s="66" t="str">
        <f>IF(M61&lt;&gt;"OK","",N(F61)/60*I61)</f>
        <v/>
      </c>
      <c r="M61" s="69" t="str">
        <f>IF(AND(A61="",D61=""),"",IF(A61="","Produit manquant",IF(COUNTIF(prod_ref,A61)=0,"Produit inconnu",IF(D61="","Poste manquant",IF(ISNA(MATCH(D61,po_code,0)),"Poste inconnu",IF(INDEX(po_check,MATCH(D61,po_code,0))&lt;&gt;"OK","Poste à corriger",IF(AND(E61&lt;&gt;"",OR(NOT(ISNUMBER(E61)),N(E61)&lt;0)),"Réglage invalide",IF(AND(F61&lt;&gt;"",OR(NOT(ISNUMBER(F61)),N(F61)&lt;0)),"Temps par pièce invalide",IF(N(E61)+N(F61)=0,"Temps manquant",IF(AND(G61&lt;&gt;"",OR(NOT(ISNUMBER(G61)),N(G61)&lt;=0)),"Opérateurs invalide","OK"))))))))))</f>
        <v/>
      </c>
      <c r="N61" s="71" t="str">
        <f>IF(AND(fiche_sel&lt;&gt;"",A61=fiche_sel),COUNTIF(A$6:A61,fiche_sel),"")</f>
        <v/>
      </c>
    </row>
    <row r="62">
      <c r="A62" s="60" t="n"/>
      <c r="B62" s="73" t="n"/>
      <c r="C62" s="60" t="n"/>
      <c r="D62" s="61" t="n"/>
      <c r="E62" s="74" t="n"/>
      <c r="F62" s="74" t="n"/>
      <c r="G62" s="73" t="n"/>
      <c r="H62" s="66" t="str">
        <f>IF(M62&lt;&gt;"OK","",INDEX(po_mo,MATCH(D62,po_code,0)))</f>
        <v/>
      </c>
      <c r="I62" s="66" t="str">
        <f>IF(M62&lt;&gt;"OK","",INDEX(po_mac,MATCH(D62,po_code,0)))</f>
        <v/>
      </c>
      <c r="J62" s="66" t="str">
        <f>IF(M62&lt;&gt;"OK","",N(E62)*(H62*IF(G62="",1,G62)+I62))</f>
        <v/>
      </c>
      <c r="K62" s="66" t="str">
        <f>IF(M62&lt;&gt;"OK","",N(F62)/60*H62*IF(G62="",1,G62))</f>
        <v/>
      </c>
      <c r="L62" s="66" t="str">
        <f>IF(M62&lt;&gt;"OK","",N(F62)/60*I62)</f>
        <v/>
      </c>
      <c r="M62" s="69" t="str">
        <f>IF(AND(A62="",D62=""),"",IF(A62="","Produit manquant",IF(COUNTIF(prod_ref,A62)=0,"Produit inconnu",IF(D62="","Poste manquant",IF(ISNA(MATCH(D62,po_code,0)),"Poste inconnu",IF(INDEX(po_check,MATCH(D62,po_code,0))&lt;&gt;"OK","Poste à corriger",IF(AND(E62&lt;&gt;"",OR(NOT(ISNUMBER(E62)),N(E62)&lt;0)),"Réglage invalide",IF(AND(F62&lt;&gt;"",OR(NOT(ISNUMBER(F62)),N(F62)&lt;0)),"Temps par pièce invalide",IF(N(E62)+N(F62)=0,"Temps manquant",IF(AND(G62&lt;&gt;"",OR(NOT(ISNUMBER(G62)),N(G62)&lt;=0)),"Opérateurs invalide","OK"))))))))))</f>
        <v/>
      </c>
      <c r="N62" s="71" t="str">
        <f>IF(AND(fiche_sel&lt;&gt;"",A62=fiche_sel),COUNTIF(A$6:A62,fiche_sel),"")</f>
        <v/>
      </c>
    </row>
    <row r="63">
      <c r="A63" s="60" t="n"/>
      <c r="B63" s="73" t="n"/>
      <c r="C63" s="60" t="n"/>
      <c r="D63" s="61" t="n"/>
      <c r="E63" s="74" t="n"/>
      <c r="F63" s="74" t="n"/>
      <c r="G63" s="73" t="n"/>
      <c r="H63" s="66" t="str">
        <f>IF(M63&lt;&gt;"OK","",INDEX(po_mo,MATCH(D63,po_code,0)))</f>
        <v/>
      </c>
      <c r="I63" s="66" t="str">
        <f>IF(M63&lt;&gt;"OK","",INDEX(po_mac,MATCH(D63,po_code,0)))</f>
        <v/>
      </c>
      <c r="J63" s="66" t="str">
        <f>IF(M63&lt;&gt;"OK","",N(E63)*(H63*IF(G63="",1,G63)+I63))</f>
        <v/>
      </c>
      <c r="K63" s="66" t="str">
        <f>IF(M63&lt;&gt;"OK","",N(F63)/60*H63*IF(G63="",1,G63))</f>
        <v/>
      </c>
      <c r="L63" s="66" t="str">
        <f>IF(M63&lt;&gt;"OK","",N(F63)/60*I63)</f>
        <v/>
      </c>
      <c r="M63" s="69" t="str">
        <f>IF(AND(A63="",D63=""),"",IF(A63="","Produit manquant",IF(COUNTIF(prod_ref,A63)=0,"Produit inconnu",IF(D63="","Poste manquant",IF(ISNA(MATCH(D63,po_code,0)),"Poste inconnu",IF(INDEX(po_check,MATCH(D63,po_code,0))&lt;&gt;"OK","Poste à corriger",IF(AND(E63&lt;&gt;"",OR(NOT(ISNUMBER(E63)),N(E63)&lt;0)),"Réglage invalide",IF(AND(F63&lt;&gt;"",OR(NOT(ISNUMBER(F63)),N(F63)&lt;0)),"Temps par pièce invalide",IF(N(E63)+N(F63)=0,"Temps manquant",IF(AND(G63&lt;&gt;"",OR(NOT(ISNUMBER(G63)),N(G63)&lt;=0)),"Opérateurs invalide","OK"))))))))))</f>
        <v/>
      </c>
      <c r="N63" s="71" t="str">
        <f>IF(AND(fiche_sel&lt;&gt;"",A63=fiche_sel),COUNTIF(A$6:A63,fiche_sel),"")</f>
        <v/>
      </c>
    </row>
    <row r="64">
      <c r="A64" s="60" t="n"/>
      <c r="B64" s="73" t="n"/>
      <c r="C64" s="60" t="n"/>
      <c r="D64" s="61" t="n"/>
      <c r="E64" s="74" t="n"/>
      <c r="F64" s="74" t="n"/>
      <c r="G64" s="73" t="n"/>
      <c r="H64" s="66" t="str">
        <f>IF(M64&lt;&gt;"OK","",INDEX(po_mo,MATCH(D64,po_code,0)))</f>
        <v/>
      </c>
      <c r="I64" s="66" t="str">
        <f>IF(M64&lt;&gt;"OK","",INDEX(po_mac,MATCH(D64,po_code,0)))</f>
        <v/>
      </c>
      <c r="J64" s="66" t="str">
        <f>IF(M64&lt;&gt;"OK","",N(E64)*(H64*IF(G64="",1,G64)+I64))</f>
        <v/>
      </c>
      <c r="K64" s="66" t="str">
        <f>IF(M64&lt;&gt;"OK","",N(F64)/60*H64*IF(G64="",1,G64))</f>
        <v/>
      </c>
      <c r="L64" s="66" t="str">
        <f>IF(M64&lt;&gt;"OK","",N(F64)/60*I64)</f>
        <v/>
      </c>
      <c r="M64" s="69" t="str">
        <f>IF(AND(A64="",D64=""),"",IF(A64="","Produit manquant",IF(COUNTIF(prod_ref,A64)=0,"Produit inconnu",IF(D64="","Poste manquant",IF(ISNA(MATCH(D64,po_code,0)),"Poste inconnu",IF(INDEX(po_check,MATCH(D64,po_code,0))&lt;&gt;"OK","Poste à corriger",IF(AND(E64&lt;&gt;"",OR(NOT(ISNUMBER(E64)),N(E64)&lt;0)),"Réglage invalide",IF(AND(F64&lt;&gt;"",OR(NOT(ISNUMBER(F64)),N(F64)&lt;0)),"Temps par pièce invalide",IF(N(E64)+N(F64)=0,"Temps manquant",IF(AND(G64&lt;&gt;"",OR(NOT(ISNUMBER(G64)),N(G64)&lt;=0)),"Opérateurs invalide","OK"))))))))))</f>
        <v/>
      </c>
      <c r="N64" s="71" t="str">
        <f>IF(AND(fiche_sel&lt;&gt;"",A64=fiche_sel),COUNTIF(A$6:A64,fiche_sel),"")</f>
        <v/>
      </c>
    </row>
    <row r="65">
      <c r="A65" s="60" t="n"/>
      <c r="B65" s="73" t="n"/>
      <c r="C65" s="60" t="n"/>
      <c r="D65" s="61" t="n"/>
      <c r="E65" s="74" t="n"/>
      <c r="F65" s="74" t="n"/>
      <c r="G65" s="73" t="n"/>
      <c r="H65" s="66" t="str">
        <f>IF(M65&lt;&gt;"OK","",INDEX(po_mo,MATCH(D65,po_code,0)))</f>
        <v/>
      </c>
      <c r="I65" s="66" t="str">
        <f>IF(M65&lt;&gt;"OK","",INDEX(po_mac,MATCH(D65,po_code,0)))</f>
        <v/>
      </c>
      <c r="J65" s="66" t="str">
        <f>IF(M65&lt;&gt;"OK","",N(E65)*(H65*IF(G65="",1,G65)+I65))</f>
        <v/>
      </c>
      <c r="K65" s="66" t="str">
        <f>IF(M65&lt;&gt;"OK","",N(F65)/60*H65*IF(G65="",1,G65))</f>
        <v/>
      </c>
      <c r="L65" s="66" t="str">
        <f>IF(M65&lt;&gt;"OK","",N(F65)/60*I65)</f>
        <v/>
      </c>
      <c r="M65" s="69" t="str">
        <f>IF(AND(A65="",D65=""),"",IF(A65="","Produit manquant",IF(COUNTIF(prod_ref,A65)=0,"Produit inconnu",IF(D65="","Poste manquant",IF(ISNA(MATCH(D65,po_code,0)),"Poste inconnu",IF(INDEX(po_check,MATCH(D65,po_code,0))&lt;&gt;"OK","Poste à corriger",IF(AND(E65&lt;&gt;"",OR(NOT(ISNUMBER(E65)),N(E65)&lt;0)),"Réglage invalide",IF(AND(F65&lt;&gt;"",OR(NOT(ISNUMBER(F65)),N(F65)&lt;0)),"Temps par pièce invalide",IF(N(E65)+N(F65)=0,"Temps manquant",IF(AND(G65&lt;&gt;"",OR(NOT(ISNUMBER(G65)),N(G65)&lt;=0)),"Opérateurs invalide","OK"))))))))))</f>
        <v/>
      </c>
      <c r="N65" s="71" t="str">
        <f>IF(AND(fiche_sel&lt;&gt;"",A65=fiche_sel),COUNTIF(A$6:A65,fiche_sel),"")</f>
        <v/>
      </c>
    </row>
    <row r="66">
      <c r="A66" s="60" t="n"/>
      <c r="B66" s="73" t="n"/>
      <c r="C66" s="60" t="n"/>
      <c r="D66" s="61" t="n"/>
      <c r="E66" s="74" t="n"/>
      <c r="F66" s="74" t="n"/>
      <c r="G66" s="73" t="n"/>
      <c r="H66" s="66" t="str">
        <f>IF(M66&lt;&gt;"OK","",INDEX(po_mo,MATCH(D66,po_code,0)))</f>
        <v/>
      </c>
      <c r="I66" s="66" t="str">
        <f>IF(M66&lt;&gt;"OK","",INDEX(po_mac,MATCH(D66,po_code,0)))</f>
        <v/>
      </c>
      <c r="J66" s="66" t="str">
        <f>IF(M66&lt;&gt;"OK","",N(E66)*(H66*IF(G66="",1,G66)+I66))</f>
        <v/>
      </c>
      <c r="K66" s="66" t="str">
        <f>IF(M66&lt;&gt;"OK","",N(F66)/60*H66*IF(G66="",1,G66))</f>
        <v/>
      </c>
      <c r="L66" s="66" t="str">
        <f>IF(M66&lt;&gt;"OK","",N(F66)/60*I66)</f>
        <v/>
      </c>
      <c r="M66" s="69" t="str">
        <f>IF(AND(A66="",D66=""),"",IF(A66="","Produit manquant",IF(COUNTIF(prod_ref,A66)=0,"Produit inconnu",IF(D66="","Poste manquant",IF(ISNA(MATCH(D66,po_code,0)),"Poste inconnu",IF(INDEX(po_check,MATCH(D66,po_code,0))&lt;&gt;"OK","Poste à corriger",IF(AND(E66&lt;&gt;"",OR(NOT(ISNUMBER(E66)),N(E66)&lt;0)),"Réglage invalide",IF(AND(F66&lt;&gt;"",OR(NOT(ISNUMBER(F66)),N(F66)&lt;0)),"Temps par pièce invalide",IF(N(E66)+N(F66)=0,"Temps manquant",IF(AND(G66&lt;&gt;"",OR(NOT(ISNUMBER(G66)),N(G66)&lt;=0)),"Opérateurs invalide","OK"))))))))))</f>
        <v/>
      </c>
      <c r="N66" s="71" t="str">
        <f>IF(AND(fiche_sel&lt;&gt;"",A66=fiche_sel),COUNTIF(A$6:A66,fiche_sel),"")</f>
        <v/>
      </c>
    </row>
    <row r="67">
      <c r="A67" s="60" t="n"/>
      <c r="B67" s="73" t="n"/>
      <c r="C67" s="60" t="n"/>
      <c r="D67" s="61" t="n"/>
      <c r="E67" s="74" t="n"/>
      <c r="F67" s="74" t="n"/>
      <c r="G67" s="73" t="n"/>
      <c r="H67" s="66" t="str">
        <f>IF(M67&lt;&gt;"OK","",INDEX(po_mo,MATCH(D67,po_code,0)))</f>
        <v/>
      </c>
      <c r="I67" s="66" t="str">
        <f>IF(M67&lt;&gt;"OK","",INDEX(po_mac,MATCH(D67,po_code,0)))</f>
        <v/>
      </c>
      <c r="J67" s="66" t="str">
        <f>IF(M67&lt;&gt;"OK","",N(E67)*(H67*IF(G67="",1,G67)+I67))</f>
        <v/>
      </c>
      <c r="K67" s="66" t="str">
        <f>IF(M67&lt;&gt;"OK","",N(F67)/60*H67*IF(G67="",1,G67))</f>
        <v/>
      </c>
      <c r="L67" s="66" t="str">
        <f>IF(M67&lt;&gt;"OK","",N(F67)/60*I67)</f>
        <v/>
      </c>
      <c r="M67" s="69" t="str">
        <f>IF(AND(A67="",D67=""),"",IF(A67="","Produit manquant",IF(COUNTIF(prod_ref,A67)=0,"Produit inconnu",IF(D67="","Poste manquant",IF(ISNA(MATCH(D67,po_code,0)),"Poste inconnu",IF(INDEX(po_check,MATCH(D67,po_code,0))&lt;&gt;"OK","Poste à corriger",IF(AND(E67&lt;&gt;"",OR(NOT(ISNUMBER(E67)),N(E67)&lt;0)),"Réglage invalide",IF(AND(F67&lt;&gt;"",OR(NOT(ISNUMBER(F67)),N(F67)&lt;0)),"Temps par pièce invalide",IF(N(E67)+N(F67)=0,"Temps manquant",IF(AND(G67&lt;&gt;"",OR(NOT(ISNUMBER(G67)),N(G67)&lt;=0)),"Opérateurs invalide","OK"))))))))))</f>
        <v/>
      </c>
      <c r="N67" s="71" t="str">
        <f>IF(AND(fiche_sel&lt;&gt;"",A67=fiche_sel),COUNTIF(A$6:A67,fiche_sel),"")</f>
        <v/>
      </c>
    </row>
    <row r="68">
      <c r="A68" s="60" t="n"/>
      <c r="B68" s="73" t="n"/>
      <c r="C68" s="60" t="n"/>
      <c r="D68" s="61" t="n"/>
      <c r="E68" s="74" t="n"/>
      <c r="F68" s="74" t="n"/>
      <c r="G68" s="73" t="n"/>
      <c r="H68" s="66" t="str">
        <f>IF(M68&lt;&gt;"OK","",INDEX(po_mo,MATCH(D68,po_code,0)))</f>
        <v/>
      </c>
      <c r="I68" s="66" t="str">
        <f>IF(M68&lt;&gt;"OK","",INDEX(po_mac,MATCH(D68,po_code,0)))</f>
        <v/>
      </c>
      <c r="J68" s="66" t="str">
        <f>IF(M68&lt;&gt;"OK","",N(E68)*(H68*IF(G68="",1,G68)+I68))</f>
        <v/>
      </c>
      <c r="K68" s="66" t="str">
        <f>IF(M68&lt;&gt;"OK","",N(F68)/60*H68*IF(G68="",1,G68))</f>
        <v/>
      </c>
      <c r="L68" s="66" t="str">
        <f>IF(M68&lt;&gt;"OK","",N(F68)/60*I68)</f>
        <v/>
      </c>
      <c r="M68" s="69" t="str">
        <f>IF(AND(A68="",D68=""),"",IF(A68="","Produit manquant",IF(COUNTIF(prod_ref,A68)=0,"Produit inconnu",IF(D68="","Poste manquant",IF(ISNA(MATCH(D68,po_code,0)),"Poste inconnu",IF(INDEX(po_check,MATCH(D68,po_code,0))&lt;&gt;"OK","Poste à corriger",IF(AND(E68&lt;&gt;"",OR(NOT(ISNUMBER(E68)),N(E68)&lt;0)),"Réglage invalide",IF(AND(F68&lt;&gt;"",OR(NOT(ISNUMBER(F68)),N(F68)&lt;0)),"Temps par pièce invalide",IF(N(E68)+N(F68)=0,"Temps manquant",IF(AND(G68&lt;&gt;"",OR(NOT(ISNUMBER(G68)),N(G68)&lt;=0)),"Opérateurs invalide","OK"))))))))))</f>
        <v/>
      </c>
      <c r="N68" s="71" t="str">
        <f>IF(AND(fiche_sel&lt;&gt;"",A68=fiche_sel),COUNTIF(A$6:A68,fiche_sel),"")</f>
        <v/>
      </c>
    </row>
    <row r="69">
      <c r="A69" s="60" t="n"/>
      <c r="B69" s="73" t="n"/>
      <c r="C69" s="60" t="n"/>
      <c r="D69" s="61" t="n"/>
      <c r="E69" s="74" t="n"/>
      <c r="F69" s="74" t="n"/>
      <c r="G69" s="73" t="n"/>
      <c r="H69" s="66" t="str">
        <f>IF(M69&lt;&gt;"OK","",INDEX(po_mo,MATCH(D69,po_code,0)))</f>
        <v/>
      </c>
      <c r="I69" s="66" t="str">
        <f>IF(M69&lt;&gt;"OK","",INDEX(po_mac,MATCH(D69,po_code,0)))</f>
        <v/>
      </c>
      <c r="J69" s="66" t="str">
        <f>IF(M69&lt;&gt;"OK","",N(E69)*(H69*IF(G69="",1,G69)+I69))</f>
        <v/>
      </c>
      <c r="K69" s="66" t="str">
        <f>IF(M69&lt;&gt;"OK","",N(F69)/60*H69*IF(G69="",1,G69))</f>
        <v/>
      </c>
      <c r="L69" s="66" t="str">
        <f>IF(M69&lt;&gt;"OK","",N(F69)/60*I69)</f>
        <v/>
      </c>
      <c r="M69" s="69" t="str">
        <f>IF(AND(A69="",D69=""),"",IF(A69="","Produit manquant",IF(COUNTIF(prod_ref,A69)=0,"Produit inconnu",IF(D69="","Poste manquant",IF(ISNA(MATCH(D69,po_code,0)),"Poste inconnu",IF(INDEX(po_check,MATCH(D69,po_code,0))&lt;&gt;"OK","Poste à corriger",IF(AND(E69&lt;&gt;"",OR(NOT(ISNUMBER(E69)),N(E69)&lt;0)),"Réglage invalide",IF(AND(F69&lt;&gt;"",OR(NOT(ISNUMBER(F69)),N(F69)&lt;0)),"Temps par pièce invalide",IF(N(E69)+N(F69)=0,"Temps manquant",IF(AND(G69&lt;&gt;"",OR(NOT(ISNUMBER(G69)),N(G69)&lt;=0)),"Opérateurs invalide","OK"))))))))))</f>
        <v/>
      </c>
      <c r="N69" s="71" t="str">
        <f>IF(AND(fiche_sel&lt;&gt;"",A69=fiche_sel),COUNTIF(A$6:A69,fiche_sel),"")</f>
        <v/>
      </c>
    </row>
    <row r="70">
      <c r="A70" s="60" t="n"/>
      <c r="B70" s="73" t="n"/>
      <c r="C70" s="60" t="n"/>
      <c r="D70" s="61" t="n"/>
      <c r="E70" s="74" t="n"/>
      <c r="F70" s="74" t="n"/>
      <c r="G70" s="73" t="n"/>
      <c r="H70" s="66" t="str">
        <f>IF(M70&lt;&gt;"OK","",INDEX(po_mo,MATCH(D70,po_code,0)))</f>
        <v/>
      </c>
      <c r="I70" s="66" t="str">
        <f>IF(M70&lt;&gt;"OK","",INDEX(po_mac,MATCH(D70,po_code,0)))</f>
        <v/>
      </c>
      <c r="J70" s="66" t="str">
        <f>IF(M70&lt;&gt;"OK","",N(E70)*(H70*IF(G70="",1,G70)+I70))</f>
        <v/>
      </c>
      <c r="K70" s="66" t="str">
        <f>IF(M70&lt;&gt;"OK","",N(F70)/60*H70*IF(G70="",1,G70))</f>
        <v/>
      </c>
      <c r="L70" s="66" t="str">
        <f>IF(M70&lt;&gt;"OK","",N(F70)/60*I70)</f>
        <v/>
      </c>
      <c r="M70" s="69" t="str">
        <f>IF(AND(A70="",D70=""),"",IF(A70="","Produit manquant",IF(COUNTIF(prod_ref,A70)=0,"Produit inconnu",IF(D70="","Poste manquant",IF(ISNA(MATCH(D70,po_code,0)),"Poste inconnu",IF(INDEX(po_check,MATCH(D70,po_code,0))&lt;&gt;"OK","Poste à corriger",IF(AND(E70&lt;&gt;"",OR(NOT(ISNUMBER(E70)),N(E70)&lt;0)),"Réglage invalide",IF(AND(F70&lt;&gt;"",OR(NOT(ISNUMBER(F70)),N(F70)&lt;0)),"Temps par pièce invalide",IF(N(E70)+N(F70)=0,"Temps manquant",IF(AND(G70&lt;&gt;"",OR(NOT(ISNUMBER(G70)),N(G70)&lt;=0)),"Opérateurs invalide","OK"))))))))))</f>
        <v/>
      </c>
      <c r="N70" s="71" t="str">
        <f>IF(AND(fiche_sel&lt;&gt;"",A70=fiche_sel),COUNTIF(A$6:A70,fiche_sel),"")</f>
        <v/>
      </c>
    </row>
    <row r="71">
      <c r="A71" s="60" t="n"/>
      <c r="B71" s="73" t="n"/>
      <c r="C71" s="60" t="n"/>
      <c r="D71" s="61" t="n"/>
      <c r="E71" s="74" t="n"/>
      <c r="F71" s="74" t="n"/>
      <c r="G71" s="73" t="n"/>
      <c r="H71" s="66" t="str">
        <f>IF(M71&lt;&gt;"OK","",INDEX(po_mo,MATCH(D71,po_code,0)))</f>
        <v/>
      </c>
      <c r="I71" s="66" t="str">
        <f>IF(M71&lt;&gt;"OK","",INDEX(po_mac,MATCH(D71,po_code,0)))</f>
        <v/>
      </c>
      <c r="J71" s="66" t="str">
        <f>IF(M71&lt;&gt;"OK","",N(E71)*(H71*IF(G71="",1,G71)+I71))</f>
        <v/>
      </c>
      <c r="K71" s="66" t="str">
        <f>IF(M71&lt;&gt;"OK","",N(F71)/60*H71*IF(G71="",1,G71))</f>
        <v/>
      </c>
      <c r="L71" s="66" t="str">
        <f>IF(M71&lt;&gt;"OK","",N(F71)/60*I71)</f>
        <v/>
      </c>
      <c r="M71" s="69" t="str">
        <f>IF(AND(A71="",D71=""),"",IF(A71="","Produit manquant",IF(COUNTIF(prod_ref,A71)=0,"Produit inconnu",IF(D71="","Poste manquant",IF(ISNA(MATCH(D71,po_code,0)),"Poste inconnu",IF(INDEX(po_check,MATCH(D71,po_code,0))&lt;&gt;"OK","Poste à corriger",IF(AND(E71&lt;&gt;"",OR(NOT(ISNUMBER(E71)),N(E71)&lt;0)),"Réglage invalide",IF(AND(F71&lt;&gt;"",OR(NOT(ISNUMBER(F71)),N(F71)&lt;0)),"Temps par pièce invalide",IF(N(E71)+N(F71)=0,"Temps manquant",IF(AND(G71&lt;&gt;"",OR(NOT(ISNUMBER(G71)),N(G71)&lt;=0)),"Opérateurs invalide","OK"))))))))))</f>
        <v/>
      </c>
      <c r="N71" s="71" t="str">
        <f>IF(AND(fiche_sel&lt;&gt;"",A71=fiche_sel),COUNTIF(A$6:A71,fiche_sel),"")</f>
        <v/>
      </c>
    </row>
    <row r="72">
      <c r="A72" s="60" t="n"/>
      <c r="B72" s="73" t="n"/>
      <c r="C72" s="60" t="n"/>
      <c r="D72" s="61" t="n"/>
      <c r="E72" s="74" t="n"/>
      <c r="F72" s="74" t="n"/>
      <c r="G72" s="73" t="n"/>
      <c r="H72" s="66" t="str">
        <f>IF(M72&lt;&gt;"OK","",INDEX(po_mo,MATCH(D72,po_code,0)))</f>
        <v/>
      </c>
      <c r="I72" s="66" t="str">
        <f>IF(M72&lt;&gt;"OK","",INDEX(po_mac,MATCH(D72,po_code,0)))</f>
        <v/>
      </c>
      <c r="J72" s="66" t="str">
        <f>IF(M72&lt;&gt;"OK","",N(E72)*(H72*IF(G72="",1,G72)+I72))</f>
        <v/>
      </c>
      <c r="K72" s="66" t="str">
        <f>IF(M72&lt;&gt;"OK","",N(F72)/60*H72*IF(G72="",1,G72))</f>
        <v/>
      </c>
      <c r="L72" s="66" t="str">
        <f>IF(M72&lt;&gt;"OK","",N(F72)/60*I72)</f>
        <v/>
      </c>
      <c r="M72" s="69" t="str">
        <f>IF(AND(A72="",D72=""),"",IF(A72="","Produit manquant",IF(COUNTIF(prod_ref,A72)=0,"Produit inconnu",IF(D72="","Poste manquant",IF(ISNA(MATCH(D72,po_code,0)),"Poste inconnu",IF(INDEX(po_check,MATCH(D72,po_code,0))&lt;&gt;"OK","Poste à corriger",IF(AND(E72&lt;&gt;"",OR(NOT(ISNUMBER(E72)),N(E72)&lt;0)),"Réglage invalide",IF(AND(F72&lt;&gt;"",OR(NOT(ISNUMBER(F72)),N(F72)&lt;0)),"Temps par pièce invalide",IF(N(E72)+N(F72)=0,"Temps manquant",IF(AND(G72&lt;&gt;"",OR(NOT(ISNUMBER(G72)),N(G72)&lt;=0)),"Opérateurs invalide","OK"))))))))))</f>
        <v/>
      </c>
      <c r="N72" s="71" t="str">
        <f>IF(AND(fiche_sel&lt;&gt;"",A72=fiche_sel),COUNTIF(A$6:A72,fiche_sel),"")</f>
        <v/>
      </c>
    </row>
    <row r="73">
      <c r="A73" s="60" t="n"/>
      <c r="B73" s="73" t="n"/>
      <c r="C73" s="60" t="n"/>
      <c r="D73" s="61" t="n"/>
      <c r="E73" s="74" t="n"/>
      <c r="F73" s="74" t="n"/>
      <c r="G73" s="73" t="n"/>
      <c r="H73" s="66" t="str">
        <f>IF(M73&lt;&gt;"OK","",INDEX(po_mo,MATCH(D73,po_code,0)))</f>
        <v/>
      </c>
      <c r="I73" s="66" t="str">
        <f>IF(M73&lt;&gt;"OK","",INDEX(po_mac,MATCH(D73,po_code,0)))</f>
        <v/>
      </c>
      <c r="J73" s="66" t="str">
        <f>IF(M73&lt;&gt;"OK","",N(E73)*(H73*IF(G73="",1,G73)+I73))</f>
        <v/>
      </c>
      <c r="K73" s="66" t="str">
        <f>IF(M73&lt;&gt;"OK","",N(F73)/60*H73*IF(G73="",1,G73))</f>
        <v/>
      </c>
      <c r="L73" s="66" t="str">
        <f>IF(M73&lt;&gt;"OK","",N(F73)/60*I73)</f>
        <v/>
      </c>
      <c r="M73" s="69" t="str">
        <f>IF(AND(A73="",D73=""),"",IF(A73="","Produit manquant",IF(COUNTIF(prod_ref,A73)=0,"Produit inconnu",IF(D73="","Poste manquant",IF(ISNA(MATCH(D73,po_code,0)),"Poste inconnu",IF(INDEX(po_check,MATCH(D73,po_code,0))&lt;&gt;"OK","Poste à corriger",IF(AND(E73&lt;&gt;"",OR(NOT(ISNUMBER(E73)),N(E73)&lt;0)),"Réglage invalide",IF(AND(F73&lt;&gt;"",OR(NOT(ISNUMBER(F73)),N(F73)&lt;0)),"Temps par pièce invalide",IF(N(E73)+N(F73)=0,"Temps manquant",IF(AND(G73&lt;&gt;"",OR(NOT(ISNUMBER(G73)),N(G73)&lt;=0)),"Opérateurs invalide","OK"))))))))))</f>
        <v/>
      </c>
      <c r="N73" s="71" t="str">
        <f>IF(AND(fiche_sel&lt;&gt;"",A73=fiche_sel),COUNTIF(A$6:A73,fiche_sel),"")</f>
        <v/>
      </c>
    </row>
    <row r="74">
      <c r="A74" s="60" t="n"/>
      <c r="B74" s="73" t="n"/>
      <c r="C74" s="60" t="n"/>
      <c r="D74" s="61" t="n"/>
      <c r="E74" s="74" t="n"/>
      <c r="F74" s="74" t="n"/>
      <c r="G74" s="73" t="n"/>
      <c r="H74" s="66" t="str">
        <f>IF(M74&lt;&gt;"OK","",INDEX(po_mo,MATCH(D74,po_code,0)))</f>
        <v/>
      </c>
      <c r="I74" s="66" t="str">
        <f>IF(M74&lt;&gt;"OK","",INDEX(po_mac,MATCH(D74,po_code,0)))</f>
        <v/>
      </c>
      <c r="J74" s="66" t="str">
        <f>IF(M74&lt;&gt;"OK","",N(E74)*(H74*IF(G74="",1,G74)+I74))</f>
        <v/>
      </c>
      <c r="K74" s="66" t="str">
        <f>IF(M74&lt;&gt;"OK","",N(F74)/60*H74*IF(G74="",1,G74))</f>
        <v/>
      </c>
      <c r="L74" s="66" t="str">
        <f>IF(M74&lt;&gt;"OK","",N(F74)/60*I74)</f>
        <v/>
      </c>
      <c r="M74" s="69" t="str">
        <f>IF(AND(A74="",D74=""),"",IF(A74="","Produit manquant",IF(COUNTIF(prod_ref,A74)=0,"Produit inconnu",IF(D74="","Poste manquant",IF(ISNA(MATCH(D74,po_code,0)),"Poste inconnu",IF(INDEX(po_check,MATCH(D74,po_code,0))&lt;&gt;"OK","Poste à corriger",IF(AND(E74&lt;&gt;"",OR(NOT(ISNUMBER(E74)),N(E74)&lt;0)),"Réglage invalide",IF(AND(F74&lt;&gt;"",OR(NOT(ISNUMBER(F74)),N(F74)&lt;0)),"Temps par pièce invalide",IF(N(E74)+N(F74)=0,"Temps manquant",IF(AND(G74&lt;&gt;"",OR(NOT(ISNUMBER(G74)),N(G74)&lt;=0)),"Opérateurs invalide","OK"))))))))))</f>
        <v/>
      </c>
      <c r="N74" s="71" t="str">
        <f>IF(AND(fiche_sel&lt;&gt;"",A74=fiche_sel),COUNTIF(A$6:A74,fiche_sel),"")</f>
        <v/>
      </c>
    </row>
    <row r="75">
      <c r="A75" s="60" t="n"/>
      <c r="B75" s="73" t="n"/>
      <c r="C75" s="60" t="n"/>
      <c r="D75" s="61" t="n"/>
      <c r="E75" s="74" t="n"/>
      <c r="F75" s="74" t="n"/>
      <c r="G75" s="73" t="n"/>
      <c r="H75" s="66" t="str">
        <f>IF(M75&lt;&gt;"OK","",INDEX(po_mo,MATCH(D75,po_code,0)))</f>
        <v/>
      </c>
      <c r="I75" s="66" t="str">
        <f>IF(M75&lt;&gt;"OK","",INDEX(po_mac,MATCH(D75,po_code,0)))</f>
        <v/>
      </c>
      <c r="J75" s="66" t="str">
        <f>IF(M75&lt;&gt;"OK","",N(E75)*(H75*IF(G75="",1,G75)+I75))</f>
        <v/>
      </c>
      <c r="K75" s="66" t="str">
        <f>IF(M75&lt;&gt;"OK","",N(F75)/60*H75*IF(G75="",1,G75))</f>
        <v/>
      </c>
      <c r="L75" s="66" t="str">
        <f>IF(M75&lt;&gt;"OK","",N(F75)/60*I75)</f>
        <v/>
      </c>
      <c r="M75" s="69" t="str">
        <f>IF(AND(A75="",D75=""),"",IF(A75="","Produit manquant",IF(COUNTIF(prod_ref,A75)=0,"Produit inconnu",IF(D75="","Poste manquant",IF(ISNA(MATCH(D75,po_code,0)),"Poste inconnu",IF(INDEX(po_check,MATCH(D75,po_code,0))&lt;&gt;"OK","Poste à corriger",IF(AND(E75&lt;&gt;"",OR(NOT(ISNUMBER(E75)),N(E75)&lt;0)),"Réglage invalide",IF(AND(F75&lt;&gt;"",OR(NOT(ISNUMBER(F75)),N(F75)&lt;0)),"Temps par pièce invalide",IF(N(E75)+N(F75)=0,"Temps manquant",IF(AND(G75&lt;&gt;"",OR(NOT(ISNUMBER(G75)),N(G75)&lt;=0)),"Opérateurs invalide","OK"))))))))))</f>
        <v/>
      </c>
      <c r="N75" s="71" t="str">
        <f>IF(AND(fiche_sel&lt;&gt;"",A75=fiche_sel),COUNTIF(A$6:A75,fiche_sel),"")</f>
        <v/>
      </c>
    </row>
    <row r="76">
      <c r="A76" s="60" t="n"/>
      <c r="B76" s="73" t="n"/>
      <c r="C76" s="60" t="n"/>
      <c r="D76" s="61" t="n"/>
      <c r="E76" s="74" t="n"/>
      <c r="F76" s="74" t="n"/>
      <c r="G76" s="73" t="n"/>
      <c r="H76" s="66" t="str">
        <f>IF(M76&lt;&gt;"OK","",INDEX(po_mo,MATCH(D76,po_code,0)))</f>
        <v/>
      </c>
      <c r="I76" s="66" t="str">
        <f>IF(M76&lt;&gt;"OK","",INDEX(po_mac,MATCH(D76,po_code,0)))</f>
        <v/>
      </c>
      <c r="J76" s="66" t="str">
        <f>IF(M76&lt;&gt;"OK","",N(E76)*(H76*IF(G76="",1,G76)+I76))</f>
        <v/>
      </c>
      <c r="K76" s="66" t="str">
        <f>IF(M76&lt;&gt;"OK","",N(F76)/60*H76*IF(G76="",1,G76))</f>
        <v/>
      </c>
      <c r="L76" s="66" t="str">
        <f>IF(M76&lt;&gt;"OK","",N(F76)/60*I76)</f>
        <v/>
      </c>
      <c r="M76" s="69" t="str">
        <f>IF(AND(A76="",D76=""),"",IF(A76="","Produit manquant",IF(COUNTIF(prod_ref,A76)=0,"Produit inconnu",IF(D76="","Poste manquant",IF(ISNA(MATCH(D76,po_code,0)),"Poste inconnu",IF(INDEX(po_check,MATCH(D76,po_code,0))&lt;&gt;"OK","Poste à corriger",IF(AND(E76&lt;&gt;"",OR(NOT(ISNUMBER(E76)),N(E76)&lt;0)),"Réglage invalide",IF(AND(F76&lt;&gt;"",OR(NOT(ISNUMBER(F76)),N(F76)&lt;0)),"Temps par pièce invalide",IF(N(E76)+N(F76)=0,"Temps manquant",IF(AND(G76&lt;&gt;"",OR(NOT(ISNUMBER(G76)),N(G76)&lt;=0)),"Opérateurs invalide","OK"))))))))))</f>
        <v/>
      </c>
      <c r="N76" s="71" t="str">
        <f>IF(AND(fiche_sel&lt;&gt;"",A76=fiche_sel),COUNTIF(A$6:A76,fiche_sel),"")</f>
        <v/>
      </c>
    </row>
    <row r="77">
      <c r="A77" s="60" t="n"/>
      <c r="B77" s="73" t="n"/>
      <c r="C77" s="60" t="n"/>
      <c r="D77" s="61" t="n"/>
      <c r="E77" s="74" t="n"/>
      <c r="F77" s="74" t="n"/>
      <c r="G77" s="73" t="n"/>
      <c r="H77" s="66" t="str">
        <f>IF(M77&lt;&gt;"OK","",INDEX(po_mo,MATCH(D77,po_code,0)))</f>
        <v/>
      </c>
      <c r="I77" s="66" t="str">
        <f>IF(M77&lt;&gt;"OK","",INDEX(po_mac,MATCH(D77,po_code,0)))</f>
        <v/>
      </c>
      <c r="J77" s="66" t="str">
        <f>IF(M77&lt;&gt;"OK","",N(E77)*(H77*IF(G77="",1,G77)+I77))</f>
        <v/>
      </c>
      <c r="K77" s="66" t="str">
        <f>IF(M77&lt;&gt;"OK","",N(F77)/60*H77*IF(G77="",1,G77))</f>
        <v/>
      </c>
      <c r="L77" s="66" t="str">
        <f>IF(M77&lt;&gt;"OK","",N(F77)/60*I77)</f>
        <v/>
      </c>
      <c r="M77" s="69" t="str">
        <f>IF(AND(A77="",D77=""),"",IF(A77="","Produit manquant",IF(COUNTIF(prod_ref,A77)=0,"Produit inconnu",IF(D77="","Poste manquant",IF(ISNA(MATCH(D77,po_code,0)),"Poste inconnu",IF(INDEX(po_check,MATCH(D77,po_code,0))&lt;&gt;"OK","Poste à corriger",IF(AND(E77&lt;&gt;"",OR(NOT(ISNUMBER(E77)),N(E77)&lt;0)),"Réglage invalide",IF(AND(F77&lt;&gt;"",OR(NOT(ISNUMBER(F77)),N(F77)&lt;0)),"Temps par pièce invalide",IF(N(E77)+N(F77)=0,"Temps manquant",IF(AND(G77&lt;&gt;"",OR(NOT(ISNUMBER(G77)),N(G77)&lt;=0)),"Opérateurs invalide","OK"))))))))))</f>
        <v/>
      </c>
      <c r="N77" s="71" t="str">
        <f>IF(AND(fiche_sel&lt;&gt;"",A77=fiche_sel),COUNTIF(A$6:A77,fiche_sel),"")</f>
        <v/>
      </c>
    </row>
    <row r="78">
      <c r="A78" s="60" t="n"/>
      <c r="B78" s="73" t="n"/>
      <c r="C78" s="60" t="n"/>
      <c r="D78" s="61" t="n"/>
      <c r="E78" s="74" t="n"/>
      <c r="F78" s="74" t="n"/>
      <c r="G78" s="73" t="n"/>
      <c r="H78" s="66" t="str">
        <f>IF(M78&lt;&gt;"OK","",INDEX(po_mo,MATCH(D78,po_code,0)))</f>
        <v/>
      </c>
      <c r="I78" s="66" t="str">
        <f>IF(M78&lt;&gt;"OK","",INDEX(po_mac,MATCH(D78,po_code,0)))</f>
        <v/>
      </c>
      <c r="J78" s="66" t="str">
        <f>IF(M78&lt;&gt;"OK","",N(E78)*(H78*IF(G78="",1,G78)+I78))</f>
        <v/>
      </c>
      <c r="K78" s="66" t="str">
        <f>IF(M78&lt;&gt;"OK","",N(F78)/60*H78*IF(G78="",1,G78))</f>
        <v/>
      </c>
      <c r="L78" s="66" t="str">
        <f>IF(M78&lt;&gt;"OK","",N(F78)/60*I78)</f>
        <v/>
      </c>
      <c r="M78" s="69" t="str">
        <f>IF(AND(A78="",D78=""),"",IF(A78="","Produit manquant",IF(COUNTIF(prod_ref,A78)=0,"Produit inconnu",IF(D78="","Poste manquant",IF(ISNA(MATCH(D78,po_code,0)),"Poste inconnu",IF(INDEX(po_check,MATCH(D78,po_code,0))&lt;&gt;"OK","Poste à corriger",IF(AND(E78&lt;&gt;"",OR(NOT(ISNUMBER(E78)),N(E78)&lt;0)),"Réglage invalide",IF(AND(F78&lt;&gt;"",OR(NOT(ISNUMBER(F78)),N(F78)&lt;0)),"Temps par pièce invalide",IF(N(E78)+N(F78)=0,"Temps manquant",IF(AND(G78&lt;&gt;"",OR(NOT(ISNUMBER(G78)),N(G78)&lt;=0)),"Opérateurs invalide","OK"))))))))))</f>
        <v/>
      </c>
      <c r="N78" s="71" t="str">
        <f>IF(AND(fiche_sel&lt;&gt;"",A78=fiche_sel),COUNTIF(A$6:A78,fiche_sel),"")</f>
        <v/>
      </c>
    </row>
    <row r="79">
      <c r="A79" s="60" t="n"/>
      <c r="B79" s="73" t="n"/>
      <c r="C79" s="60" t="n"/>
      <c r="D79" s="61" t="n"/>
      <c r="E79" s="74" t="n"/>
      <c r="F79" s="74" t="n"/>
      <c r="G79" s="73" t="n"/>
      <c r="H79" s="66" t="str">
        <f>IF(M79&lt;&gt;"OK","",INDEX(po_mo,MATCH(D79,po_code,0)))</f>
        <v/>
      </c>
      <c r="I79" s="66" t="str">
        <f>IF(M79&lt;&gt;"OK","",INDEX(po_mac,MATCH(D79,po_code,0)))</f>
        <v/>
      </c>
      <c r="J79" s="66" t="str">
        <f>IF(M79&lt;&gt;"OK","",N(E79)*(H79*IF(G79="",1,G79)+I79))</f>
        <v/>
      </c>
      <c r="K79" s="66" t="str">
        <f>IF(M79&lt;&gt;"OK","",N(F79)/60*H79*IF(G79="",1,G79))</f>
        <v/>
      </c>
      <c r="L79" s="66" t="str">
        <f>IF(M79&lt;&gt;"OK","",N(F79)/60*I79)</f>
        <v/>
      </c>
      <c r="M79" s="69" t="str">
        <f>IF(AND(A79="",D79=""),"",IF(A79="","Produit manquant",IF(COUNTIF(prod_ref,A79)=0,"Produit inconnu",IF(D79="","Poste manquant",IF(ISNA(MATCH(D79,po_code,0)),"Poste inconnu",IF(INDEX(po_check,MATCH(D79,po_code,0))&lt;&gt;"OK","Poste à corriger",IF(AND(E79&lt;&gt;"",OR(NOT(ISNUMBER(E79)),N(E79)&lt;0)),"Réglage invalide",IF(AND(F79&lt;&gt;"",OR(NOT(ISNUMBER(F79)),N(F79)&lt;0)),"Temps par pièce invalide",IF(N(E79)+N(F79)=0,"Temps manquant",IF(AND(G79&lt;&gt;"",OR(NOT(ISNUMBER(G79)),N(G79)&lt;=0)),"Opérateurs invalide","OK"))))))))))</f>
        <v/>
      </c>
      <c r="N79" s="71" t="str">
        <f>IF(AND(fiche_sel&lt;&gt;"",A79=fiche_sel),COUNTIF(A$6:A79,fiche_sel),"")</f>
        <v/>
      </c>
    </row>
    <row r="80">
      <c r="A80" s="60" t="n"/>
      <c r="B80" s="73" t="n"/>
      <c r="C80" s="60" t="n"/>
      <c r="D80" s="61" t="n"/>
      <c r="E80" s="74" t="n"/>
      <c r="F80" s="74" t="n"/>
      <c r="G80" s="73" t="n"/>
      <c r="H80" s="66" t="str">
        <f>IF(M80&lt;&gt;"OK","",INDEX(po_mo,MATCH(D80,po_code,0)))</f>
        <v/>
      </c>
      <c r="I80" s="66" t="str">
        <f>IF(M80&lt;&gt;"OK","",INDEX(po_mac,MATCH(D80,po_code,0)))</f>
        <v/>
      </c>
      <c r="J80" s="66" t="str">
        <f>IF(M80&lt;&gt;"OK","",N(E80)*(H80*IF(G80="",1,G80)+I80))</f>
        <v/>
      </c>
      <c r="K80" s="66" t="str">
        <f>IF(M80&lt;&gt;"OK","",N(F80)/60*H80*IF(G80="",1,G80))</f>
        <v/>
      </c>
      <c r="L80" s="66" t="str">
        <f>IF(M80&lt;&gt;"OK","",N(F80)/60*I80)</f>
        <v/>
      </c>
      <c r="M80" s="69" t="str">
        <f>IF(AND(A80="",D80=""),"",IF(A80="","Produit manquant",IF(COUNTIF(prod_ref,A80)=0,"Produit inconnu",IF(D80="","Poste manquant",IF(ISNA(MATCH(D80,po_code,0)),"Poste inconnu",IF(INDEX(po_check,MATCH(D80,po_code,0))&lt;&gt;"OK","Poste à corriger",IF(AND(E80&lt;&gt;"",OR(NOT(ISNUMBER(E80)),N(E80)&lt;0)),"Réglage invalide",IF(AND(F80&lt;&gt;"",OR(NOT(ISNUMBER(F80)),N(F80)&lt;0)),"Temps par pièce invalide",IF(N(E80)+N(F80)=0,"Temps manquant",IF(AND(G80&lt;&gt;"",OR(NOT(ISNUMBER(G80)),N(G80)&lt;=0)),"Opérateurs invalide","OK"))))))))))</f>
        <v/>
      </c>
      <c r="N80" s="71" t="str">
        <f>IF(AND(fiche_sel&lt;&gt;"",A80=fiche_sel),COUNTIF(A$6:A80,fiche_sel),"")</f>
        <v/>
      </c>
    </row>
    <row r="81">
      <c r="A81" s="60" t="n"/>
      <c r="B81" s="73" t="n"/>
      <c r="C81" s="60" t="n"/>
      <c r="D81" s="61" t="n"/>
      <c r="E81" s="74" t="n"/>
      <c r="F81" s="74" t="n"/>
      <c r="G81" s="73" t="n"/>
      <c r="H81" s="66" t="str">
        <f>IF(M81&lt;&gt;"OK","",INDEX(po_mo,MATCH(D81,po_code,0)))</f>
        <v/>
      </c>
      <c r="I81" s="66" t="str">
        <f>IF(M81&lt;&gt;"OK","",INDEX(po_mac,MATCH(D81,po_code,0)))</f>
        <v/>
      </c>
      <c r="J81" s="66" t="str">
        <f>IF(M81&lt;&gt;"OK","",N(E81)*(H81*IF(G81="",1,G81)+I81))</f>
        <v/>
      </c>
      <c r="K81" s="66" t="str">
        <f>IF(M81&lt;&gt;"OK","",N(F81)/60*H81*IF(G81="",1,G81))</f>
        <v/>
      </c>
      <c r="L81" s="66" t="str">
        <f>IF(M81&lt;&gt;"OK","",N(F81)/60*I81)</f>
        <v/>
      </c>
      <c r="M81" s="69" t="str">
        <f>IF(AND(A81="",D81=""),"",IF(A81="","Produit manquant",IF(COUNTIF(prod_ref,A81)=0,"Produit inconnu",IF(D81="","Poste manquant",IF(ISNA(MATCH(D81,po_code,0)),"Poste inconnu",IF(INDEX(po_check,MATCH(D81,po_code,0))&lt;&gt;"OK","Poste à corriger",IF(AND(E81&lt;&gt;"",OR(NOT(ISNUMBER(E81)),N(E81)&lt;0)),"Réglage invalide",IF(AND(F81&lt;&gt;"",OR(NOT(ISNUMBER(F81)),N(F81)&lt;0)),"Temps par pièce invalide",IF(N(E81)+N(F81)=0,"Temps manquant",IF(AND(G81&lt;&gt;"",OR(NOT(ISNUMBER(G81)),N(G81)&lt;=0)),"Opérateurs invalide","OK"))))))))))</f>
        <v/>
      </c>
      <c r="N81" s="71" t="str">
        <f>IF(AND(fiche_sel&lt;&gt;"",A81=fiche_sel),COUNTIF(A$6:A81,fiche_sel),"")</f>
        <v/>
      </c>
    </row>
    <row r="82">
      <c r="A82" s="60" t="n"/>
      <c r="B82" s="73" t="n"/>
      <c r="C82" s="60" t="n"/>
      <c r="D82" s="61" t="n"/>
      <c r="E82" s="74" t="n"/>
      <c r="F82" s="74" t="n"/>
      <c r="G82" s="73" t="n"/>
      <c r="H82" s="66" t="str">
        <f>IF(M82&lt;&gt;"OK","",INDEX(po_mo,MATCH(D82,po_code,0)))</f>
        <v/>
      </c>
      <c r="I82" s="66" t="str">
        <f>IF(M82&lt;&gt;"OK","",INDEX(po_mac,MATCH(D82,po_code,0)))</f>
        <v/>
      </c>
      <c r="J82" s="66" t="str">
        <f>IF(M82&lt;&gt;"OK","",N(E82)*(H82*IF(G82="",1,G82)+I82))</f>
        <v/>
      </c>
      <c r="K82" s="66" t="str">
        <f>IF(M82&lt;&gt;"OK","",N(F82)/60*H82*IF(G82="",1,G82))</f>
        <v/>
      </c>
      <c r="L82" s="66" t="str">
        <f>IF(M82&lt;&gt;"OK","",N(F82)/60*I82)</f>
        <v/>
      </c>
      <c r="M82" s="69" t="str">
        <f>IF(AND(A82="",D82=""),"",IF(A82="","Produit manquant",IF(COUNTIF(prod_ref,A82)=0,"Produit inconnu",IF(D82="","Poste manquant",IF(ISNA(MATCH(D82,po_code,0)),"Poste inconnu",IF(INDEX(po_check,MATCH(D82,po_code,0))&lt;&gt;"OK","Poste à corriger",IF(AND(E82&lt;&gt;"",OR(NOT(ISNUMBER(E82)),N(E82)&lt;0)),"Réglage invalide",IF(AND(F82&lt;&gt;"",OR(NOT(ISNUMBER(F82)),N(F82)&lt;0)),"Temps par pièce invalide",IF(N(E82)+N(F82)=0,"Temps manquant",IF(AND(G82&lt;&gt;"",OR(NOT(ISNUMBER(G82)),N(G82)&lt;=0)),"Opérateurs invalide","OK"))))))))))</f>
        <v/>
      </c>
      <c r="N82" s="71" t="str">
        <f>IF(AND(fiche_sel&lt;&gt;"",A82=fiche_sel),COUNTIF(A$6:A82,fiche_sel),"")</f>
        <v/>
      </c>
    </row>
    <row r="83">
      <c r="A83" s="60" t="n"/>
      <c r="B83" s="73" t="n"/>
      <c r="C83" s="60" t="n"/>
      <c r="D83" s="61" t="n"/>
      <c r="E83" s="74" t="n"/>
      <c r="F83" s="74" t="n"/>
      <c r="G83" s="73" t="n"/>
      <c r="H83" s="66" t="str">
        <f>IF(M83&lt;&gt;"OK","",INDEX(po_mo,MATCH(D83,po_code,0)))</f>
        <v/>
      </c>
      <c r="I83" s="66" t="str">
        <f>IF(M83&lt;&gt;"OK","",INDEX(po_mac,MATCH(D83,po_code,0)))</f>
        <v/>
      </c>
      <c r="J83" s="66" t="str">
        <f>IF(M83&lt;&gt;"OK","",N(E83)*(H83*IF(G83="",1,G83)+I83))</f>
        <v/>
      </c>
      <c r="K83" s="66" t="str">
        <f>IF(M83&lt;&gt;"OK","",N(F83)/60*H83*IF(G83="",1,G83))</f>
        <v/>
      </c>
      <c r="L83" s="66" t="str">
        <f>IF(M83&lt;&gt;"OK","",N(F83)/60*I83)</f>
        <v/>
      </c>
      <c r="M83" s="69" t="str">
        <f>IF(AND(A83="",D83=""),"",IF(A83="","Produit manquant",IF(COUNTIF(prod_ref,A83)=0,"Produit inconnu",IF(D83="","Poste manquant",IF(ISNA(MATCH(D83,po_code,0)),"Poste inconnu",IF(INDEX(po_check,MATCH(D83,po_code,0))&lt;&gt;"OK","Poste à corriger",IF(AND(E83&lt;&gt;"",OR(NOT(ISNUMBER(E83)),N(E83)&lt;0)),"Réglage invalide",IF(AND(F83&lt;&gt;"",OR(NOT(ISNUMBER(F83)),N(F83)&lt;0)),"Temps par pièce invalide",IF(N(E83)+N(F83)=0,"Temps manquant",IF(AND(G83&lt;&gt;"",OR(NOT(ISNUMBER(G83)),N(G83)&lt;=0)),"Opérateurs invalide","OK"))))))))))</f>
        <v/>
      </c>
      <c r="N83" s="71" t="str">
        <f>IF(AND(fiche_sel&lt;&gt;"",A83=fiche_sel),COUNTIF(A$6:A83,fiche_sel),"")</f>
        <v/>
      </c>
    </row>
    <row r="84">
      <c r="A84" s="60" t="n"/>
      <c r="B84" s="73" t="n"/>
      <c r="C84" s="60" t="n"/>
      <c r="D84" s="61" t="n"/>
      <c r="E84" s="74" t="n"/>
      <c r="F84" s="74" t="n"/>
      <c r="G84" s="73" t="n"/>
      <c r="H84" s="66" t="str">
        <f>IF(M84&lt;&gt;"OK","",INDEX(po_mo,MATCH(D84,po_code,0)))</f>
        <v/>
      </c>
      <c r="I84" s="66" t="str">
        <f>IF(M84&lt;&gt;"OK","",INDEX(po_mac,MATCH(D84,po_code,0)))</f>
        <v/>
      </c>
      <c r="J84" s="66" t="str">
        <f>IF(M84&lt;&gt;"OK","",N(E84)*(H84*IF(G84="",1,G84)+I84))</f>
        <v/>
      </c>
      <c r="K84" s="66" t="str">
        <f>IF(M84&lt;&gt;"OK","",N(F84)/60*H84*IF(G84="",1,G84))</f>
        <v/>
      </c>
      <c r="L84" s="66" t="str">
        <f>IF(M84&lt;&gt;"OK","",N(F84)/60*I84)</f>
        <v/>
      </c>
      <c r="M84" s="69" t="str">
        <f>IF(AND(A84="",D84=""),"",IF(A84="","Produit manquant",IF(COUNTIF(prod_ref,A84)=0,"Produit inconnu",IF(D84="","Poste manquant",IF(ISNA(MATCH(D84,po_code,0)),"Poste inconnu",IF(INDEX(po_check,MATCH(D84,po_code,0))&lt;&gt;"OK","Poste à corriger",IF(AND(E84&lt;&gt;"",OR(NOT(ISNUMBER(E84)),N(E84)&lt;0)),"Réglage invalide",IF(AND(F84&lt;&gt;"",OR(NOT(ISNUMBER(F84)),N(F84)&lt;0)),"Temps par pièce invalide",IF(N(E84)+N(F84)=0,"Temps manquant",IF(AND(G84&lt;&gt;"",OR(NOT(ISNUMBER(G84)),N(G84)&lt;=0)),"Opérateurs invalide","OK"))))))))))</f>
        <v/>
      </c>
      <c r="N84" s="71" t="str">
        <f>IF(AND(fiche_sel&lt;&gt;"",A84=fiche_sel),COUNTIF(A$6:A84,fiche_sel),"")</f>
        <v/>
      </c>
    </row>
    <row r="85">
      <c r="A85" s="60" t="n"/>
      <c r="B85" s="73" t="n"/>
      <c r="C85" s="60" t="n"/>
      <c r="D85" s="61" t="n"/>
      <c r="E85" s="74" t="n"/>
      <c r="F85" s="74" t="n"/>
      <c r="G85" s="73" t="n"/>
      <c r="H85" s="66" t="str">
        <f>IF(M85&lt;&gt;"OK","",INDEX(po_mo,MATCH(D85,po_code,0)))</f>
        <v/>
      </c>
      <c r="I85" s="66" t="str">
        <f>IF(M85&lt;&gt;"OK","",INDEX(po_mac,MATCH(D85,po_code,0)))</f>
        <v/>
      </c>
      <c r="J85" s="66" t="str">
        <f>IF(M85&lt;&gt;"OK","",N(E85)*(H85*IF(G85="",1,G85)+I85))</f>
        <v/>
      </c>
      <c r="K85" s="66" t="str">
        <f>IF(M85&lt;&gt;"OK","",N(F85)/60*H85*IF(G85="",1,G85))</f>
        <v/>
      </c>
      <c r="L85" s="66" t="str">
        <f>IF(M85&lt;&gt;"OK","",N(F85)/60*I85)</f>
        <v/>
      </c>
      <c r="M85" s="69" t="str">
        <f>IF(AND(A85="",D85=""),"",IF(A85="","Produit manquant",IF(COUNTIF(prod_ref,A85)=0,"Produit inconnu",IF(D85="","Poste manquant",IF(ISNA(MATCH(D85,po_code,0)),"Poste inconnu",IF(INDEX(po_check,MATCH(D85,po_code,0))&lt;&gt;"OK","Poste à corriger",IF(AND(E85&lt;&gt;"",OR(NOT(ISNUMBER(E85)),N(E85)&lt;0)),"Réglage invalide",IF(AND(F85&lt;&gt;"",OR(NOT(ISNUMBER(F85)),N(F85)&lt;0)),"Temps par pièce invalide",IF(N(E85)+N(F85)=0,"Temps manquant",IF(AND(G85&lt;&gt;"",OR(NOT(ISNUMBER(G85)),N(G85)&lt;=0)),"Opérateurs invalide","OK"))))))))))</f>
        <v/>
      </c>
      <c r="N85" s="71" t="str">
        <f>IF(AND(fiche_sel&lt;&gt;"",A85=fiche_sel),COUNTIF(A$6:A85,fiche_sel),"")</f>
        <v/>
      </c>
    </row>
    <row r="86">
      <c r="A86" s="60" t="n"/>
      <c r="B86" s="73" t="n"/>
      <c r="C86" s="60" t="n"/>
      <c r="D86" s="61" t="n"/>
      <c r="E86" s="74" t="n"/>
      <c r="F86" s="74" t="n"/>
      <c r="G86" s="73" t="n"/>
      <c r="H86" s="66" t="str">
        <f>IF(M86&lt;&gt;"OK","",INDEX(po_mo,MATCH(D86,po_code,0)))</f>
        <v/>
      </c>
      <c r="I86" s="66" t="str">
        <f>IF(M86&lt;&gt;"OK","",INDEX(po_mac,MATCH(D86,po_code,0)))</f>
        <v/>
      </c>
      <c r="J86" s="66" t="str">
        <f>IF(M86&lt;&gt;"OK","",N(E86)*(H86*IF(G86="",1,G86)+I86))</f>
        <v/>
      </c>
      <c r="K86" s="66" t="str">
        <f>IF(M86&lt;&gt;"OK","",N(F86)/60*H86*IF(G86="",1,G86))</f>
        <v/>
      </c>
      <c r="L86" s="66" t="str">
        <f>IF(M86&lt;&gt;"OK","",N(F86)/60*I86)</f>
        <v/>
      </c>
      <c r="M86" s="69" t="str">
        <f>IF(AND(A86="",D86=""),"",IF(A86="","Produit manquant",IF(COUNTIF(prod_ref,A86)=0,"Produit inconnu",IF(D86="","Poste manquant",IF(ISNA(MATCH(D86,po_code,0)),"Poste inconnu",IF(INDEX(po_check,MATCH(D86,po_code,0))&lt;&gt;"OK","Poste à corriger",IF(AND(E86&lt;&gt;"",OR(NOT(ISNUMBER(E86)),N(E86)&lt;0)),"Réglage invalide",IF(AND(F86&lt;&gt;"",OR(NOT(ISNUMBER(F86)),N(F86)&lt;0)),"Temps par pièce invalide",IF(N(E86)+N(F86)=0,"Temps manquant",IF(AND(G86&lt;&gt;"",OR(NOT(ISNUMBER(G86)),N(G86)&lt;=0)),"Opérateurs invalide","OK"))))))))))</f>
        <v/>
      </c>
      <c r="N86" s="71" t="str">
        <f>IF(AND(fiche_sel&lt;&gt;"",A86=fiche_sel),COUNTIF(A$6:A86,fiche_sel),"")</f>
        <v/>
      </c>
    </row>
    <row r="87">
      <c r="A87" s="60" t="n"/>
      <c r="B87" s="73" t="n"/>
      <c r="C87" s="60" t="n"/>
      <c r="D87" s="61" t="n"/>
      <c r="E87" s="74" t="n"/>
      <c r="F87" s="74" t="n"/>
      <c r="G87" s="73" t="n"/>
      <c r="H87" s="66" t="str">
        <f>IF(M87&lt;&gt;"OK","",INDEX(po_mo,MATCH(D87,po_code,0)))</f>
        <v/>
      </c>
      <c r="I87" s="66" t="str">
        <f>IF(M87&lt;&gt;"OK","",INDEX(po_mac,MATCH(D87,po_code,0)))</f>
        <v/>
      </c>
      <c r="J87" s="66" t="str">
        <f>IF(M87&lt;&gt;"OK","",N(E87)*(H87*IF(G87="",1,G87)+I87))</f>
        <v/>
      </c>
      <c r="K87" s="66" t="str">
        <f>IF(M87&lt;&gt;"OK","",N(F87)/60*H87*IF(G87="",1,G87))</f>
        <v/>
      </c>
      <c r="L87" s="66" t="str">
        <f>IF(M87&lt;&gt;"OK","",N(F87)/60*I87)</f>
        <v/>
      </c>
      <c r="M87" s="69" t="str">
        <f>IF(AND(A87="",D87=""),"",IF(A87="","Produit manquant",IF(COUNTIF(prod_ref,A87)=0,"Produit inconnu",IF(D87="","Poste manquant",IF(ISNA(MATCH(D87,po_code,0)),"Poste inconnu",IF(INDEX(po_check,MATCH(D87,po_code,0))&lt;&gt;"OK","Poste à corriger",IF(AND(E87&lt;&gt;"",OR(NOT(ISNUMBER(E87)),N(E87)&lt;0)),"Réglage invalide",IF(AND(F87&lt;&gt;"",OR(NOT(ISNUMBER(F87)),N(F87)&lt;0)),"Temps par pièce invalide",IF(N(E87)+N(F87)=0,"Temps manquant",IF(AND(G87&lt;&gt;"",OR(NOT(ISNUMBER(G87)),N(G87)&lt;=0)),"Opérateurs invalide","OK"))))))))))</f>
        <v/>
      </c>
      <c r="N87" s="71" t="str">
        <f>IF(AND(fiche_sel&lt;&gt;"",A87=fiche_sel),COUNTIF(A$6:A87,fiche_sel),"")</f>
        <v/>
      </c>
    </row>
    <row r="88">
      <c r="A88" s="60" t="n"/>
      <c r="B88" s="73" t="n"/>
      <c r="C88" s="60" t="n"/>
      <c r="D88" s="61" t="n"/>
      <c r="E88" s="74" t="n"/>
      <c r="F88" s="74" t="n"/>
      <c r="G88" s="73" t="n"/>
      <c r="H88" s="66" t="str">
        <f>IF(M88&lt;&gt;"OK","",INDEX(po_mo,MATCH(D88,po_code,0)))</f>
        <v/>
      </c>
      <c r="I88" s="66" t="str">
        <f>IF(M88&lt;&gt;"OK","",INDEX(po_mac,MATCH(D88,po_code,0)))</f>
        <v/>
      </c>
      <c r="J88" s="66" t="str">
        <f>IF(M88&lt;&gt;"OK","",N(E88)*(H88*IF(G88="",1,G88)+I88))</f>
        <v/>
      </c>
      <c r="K88" s="66" t="str">
        <f>IF(M88&lt;&gt;"OK","",N(F88)/60*H88*IF(G88="",1,G88))</f>
        <v/>
      </c>
      <c r="L88" s="66" t="str">
        <f>IF(M88&lt;&gt;"OK","",N(F88)/60*I88)</f>
        <v/>
      </c>
      <c r="M88" s="69" t="str">
        <f>IF(AND(A88="",D88=""),"",IF(A88="","Produit manquant",IF(COUNTIF(prod_ref,A88)=0,"Produit inconnu",IF(D88="","Poste manquant",IF(ISNA(MATCH(D88,po_code,0)),"Poste inconnu",IF(INDEX(po_check,MATCH(D88,po_code,0))&lt;&gt;"OK","Poste à corriger",IF(AND(E88&lt;&gt;"",OR(NOT(ISNUMBER(E88)),N(E88)&lt;0)),"Réglage invalide",IF(AND(F88&lt;&gt;"",OR(NOT(ISNUMBER(F88)),N(F88)&lt;0)),"Temps par pièce invalide",IF(N(E88)+N(F88)=0,"Temps manquant",IF(AND(G88&lt;&gt;"",OR(NOT(ISNUMBER(G88)),N(G88)&lt;=0)),"Opérateurs invalide","OK"))))))))))</f>
        <v/>
      </c>
      <c r="N88" s="71" t="str">
        <f>IF(AND(fiche_sel&lt;&gt;"",A88=fiche_sel),COUNTIF(A$6:A88,fiche_sel),"")</f>
        <v/>
      </c>
    </row>
    <row r="89">
      <c r="A89" s="60" t="n"/>
      <c r="B89" s="73" t="n"/>
      <c r="C89" s="60" t="n"/>
      <c r="D89" s="61" t="n"/>
      <c r="E89" s="74" t="n"/>
      <c r="F89" s="74" t="n"/>
      <c r="G89" s="73" t="n"/>
      <c r="H89" s="66" t="str">
        <f>IF(M89&lt;&gt;"OK","",INDEX(po_mo,MATCH(D89,po_code,0)))</f>
        <v/>
      </c>
      <c r="I89" s="66" t="str">
        <f>IF(M89&lt;&gt;"OK","",INDEX(po_mac,MATCH(D89,po_code,0)))</f>
        <v/>
      </c>
      <c r="J89" s="66" t="str">
        <f>IF(M89&lt;&gt;"OK","",N(E89)*(H89*IF(G89="",1,G89)+I89))</f>
        <v/>
      </c>
      <c r="K89" s="66" t="str">
        <f>IF(M89&lt;&gt;"OK","",N(F89)/60*H89*IF(G89="",1,G89))</f>
        <v/>
      </c>
      <c r="L89" s="66" t="str">
        <f>IF(M89&lt;&gt;"OK","",N(F89)/60*I89)</f>
        <v/>
      </c>
      <c r="M89" s="69" t="str">
        <f>IF(AND(A89="",D89=""),"",IF(A89="","Produit manquant",IF(COUNTIF(prod_ref,A89)=0,"Produit inconnu",IF(D89="","Poste manquant",IF(ISNA(MATCH(D89,po_code,0)),"Poste inconnu",IF(INDEX(po_check,MATCH(D89,po_code,0))&lt;&gt;"OK","Poste à corriger",IF(AND(E89&lt;&gt;"",OR(NOT(ISNUMBER(E89)),N(E89)&lt;0)),"Réglage invalide",IF(AND(F89&lt;&gt;"",OR(NOT(ISNUMBER(F89)),N(F89)&lt;0)),"Temps par pièce invalide",IF(N(E89)+N(F89)=0,"Temps manquant",IF(AND(G89&lt;&gt;"",OR(NOT(ISNUMBER(G89)),N(G89)&lt;=0)),"Opérateurs invalide","OK"))))))))))</f>
        <v/>
      </c>
      <c r="N89" s="71" t="str">
        <f>IF(AND(fiche_sel&lt;&gt;"",A89=fiche_sel),COUNTIF(A$6:A89,fiche_sel),"")</f>
        <v/>
      </c>
    </row>
    <row r="90">
      <c r="A90" s="60" t="n"/>
      <c r="B90" s="73" t="n"/>
      <c r="C90" s="60" t="n"/>
      <c r="D90" s="61" t="n"/>
      <c r="E90" s="74" t="n"/>
      <c r="F90" s="74" t="n"/>
      <c r="G90" s="73" t="n"/>
      <c r="H90" s="66" t="str">
        <f>IF(M90&lt;&gt;"OK","",INDEX(po_mo,MATCH(D90,po_code,0)))</f>
        <v/>
      </c>
      <c r="I90" s="66" t="str">
        <f>IF(M90&lt;&gt;"OK","",INDEX(po_mac,MATCH(D90,po_code,0)))</f>
        <v/>
      </c>
      <c r="J90" s="66" t="str">
        <f>IF(M90&lt;&gt;"OK","",N(E90)*(H90*IF(G90="",1,G90)+I90))</f>
        <v/>
      </c>
      <c r="K90" s="66" t="str">
        <f>IF(M90&lt;&gt;"OK","",N(F90)/60*H90*IF(G90="",1,G90))</f>
        <v/>
      </c>
      <c r="L90" s="66" t="str">
        <f>IF(M90&lt;&gt;"OK","",N(F90)/60*I90)</f>
        <v/>
      </c>
      <c r="M90" s="69" t="str">
        <f>IF(AND(A90="",D90=""),"",IF(A90="","Produit manquant",IF(COUNTIF(prod_ref,A90)=0,"Produit inconnu",IF(D90="","Poste manquant",IF(ISNA(MATCH(D90,po_code,0)),"Poste inconnu",IF(INDEX(po_check,MATCH(D90,po_code,0))&lt;&gt;"OK","Poste à corriger",IF(AND(E90&lt;&gt;"",OR(NOT(ISNUMBER(E90)),N(E90)&lt;0)),"Réglage invalide",IF(AND(F90&lt;&gt;"",OR(NOT(ISNUMBER(F90)),N(F90)&lt;0)),"Temps par pièce invalide",IF(N(E90)+N(F90)=0,"Temps manquant",IF(AND(G90&lt;&gt;"",OR(NOT(ISNUMBER(G90)),N(G90)&lt;=0)),"Opérateurs invalide","OK"))))))))))</f>
        <v/>
      </c>
      <c r="N90" s="71" t="str">
        <f>IF(AND(fiche_sel&lt;&gt;"",A90=fiche_sel),COUNTIF(A$6:A90,fiche_sel),"")</f>
        <v/>
      </c>
    </row>
    <row r="91">
      <c r="A91" s="60" t="n"/>
      <c r="B91" s="73" t="n"/>
      <c r="C91" s="60" t="n"/>
      <c r="D91" s="61" t="n"/>
      <c r="E91" s="74" t="n"/>
      <c r="F91" s="74" t="n"/>
      <c r="G91" s="73" t="n"/>
      <c r="H91" s="66" t="str">
        <f>IF(M91&lt;&gt;"OK","",INDEX(po_mo,MATCH(D91,po_code,0)))</f>
        <v/>
      </c>
      <c r="I91" s="66" t="str">
        <f>IF(M91&lt;&gt;"OK","",INDEX(po_mac,MATCH(D91,po_code,0)))</f>
        <v/>
      </c>
      <c r="J91" s="66" t="str">
        <f>IF(M91&lt;&gt;"OK","",N(E91)*(H91*IF(G91="",1,G91)+I91))</f>
        <v/>
      </c>
      <c r="K91" s="66" t="str">
        <f>IF(M91&lt;&gt;"OK","",N(F91)/60*H91*IF(G91="",1,G91))</f>
        <v/>
      </c>
      <c r="L91" s="66" t="str">
        <f>IF(M91&lt;&gt;"OK","",N(F91)/60*I91)</f>
        <v/>
      </c>
      <c r="M91" s="69" t="str">
        <f>IF(AND(A91="",D91=""),"",IF(A91="","Produit manquant",IF(COUNTIF(prod_ref,A91)=0,"Produit inconnu",IF(D91="","Poste manquant",IF(ISNA(MATCH(D91,po_code,0)),"Poste inconnu",IF(INDEX(po_check,MATCH(D91,po_code,0))&lt;&gt;"OK","Poste à corriger",IF(AND(E91&lt;&gt;"",OR(NOT(ISNUMBER(E91)),N(E91)&lt;0)),"Réglage invalide",IF(AND(F91&lt;&gt;"",OR(NOT(ISNUMBER(F91)),N(F91)&lt;0)),"Temps par pièce invalide",IF(N(E91)+N(F91)=0,"Temps manquant",IF(AND(G91&lt;&gt;"",OR(NOT(ISNUMBER(G91)),N(G91)&lt;=0)),"Opérateurs invalide","OK"))))))))))</f>
        <v/>
      </c>
      <c r="N91" s="71" t="str">
        <f>IF(AND(fiche_sel&lt;&gt;"",A91=fiche_sel),COUNTIF(A$6:A91,fiche_sel),"")</f>
        <v/>
      </c>
    </row>
    <row r="92">
      <c r="A92" s="60" t="n"/>
      <c r="B92" s="73" t="n"/>
      <c r="C92" s="60" t="n"/>
      <c r="D92" s="61" t="n"/>
      <c r="E92" s="74" t="n"/>
      <c r="F92" s="74" t="n"/>
      <c r="G92" s="73" t="n"/>
      <c r="H92" s="66" t="str">
        <f>IF(M92&lt;&gt;"OK","",INDEX(po_mo,MATCH(D92,po_code,0)))</f>
        <v/>
      </c>
      <c r="I92" s="66" t="str">
        <f>IF(M92&lt;&gt;"OK","",INDEX(po_mac,MATCH(D92,po_code,0)))</f>
        <v/>
      </c>
      <c r="J92" s="66" t="str">
        <f>IF(M92&lt;&gt;"OK","",N(E92)*(H92*IF(G92="",1,G92)+I92))</f>
        <v/>
      </c>
      <c r="K92" s="66" t="str">
        <f>IF(M92&lt;&gt;"OK","",N(F92)/60*H92*IF(G92="",1,G92))</f>
        <v/>
      </c>
      <c r="L92" s="66" t="str">
        <f>IF(M92&lt;&gt;"OK","",N(F92)/60*I92)</f>
        <v/>
      </c>
      <c r="M92" s="69" t="str">
        <f>IF(AND(A92="",D92=""),"",IF(A92="","Produit manquant",IF(COUNTIF(prod_ref,A92)=0,"Produit inconnu",IF(D92="","Poste manquant",IF(ISNA(MATCH(D92,po_code,0)),"Poste inconnu",IF(INDEX(po_check,MATCH(D92,po_code,0))&lt;&gt;"OK","Poste à corriger",IF(AND(E92&lt;&gt;"",OR(NOT(ISNUMBER(E92)),N(E92)&lt;0)),"Réglage invalide",IF(AND(F92&lt;&gt;"",OR(NOT(ISNUMBER(F92)),N(F92)&lt;0)),"Temps par pièce invalide",IF(N(E92)+N(F92)=0,"Temps manquant",IF(AND(G92&lt;&gt;"",OR(NOT(ISNUMBER(G92)),N(G92)&lt;=0)),"Opérateurs invalide","OK"))))))))))</f>
        <v/>
      </c>
      <c r="N92" s="71" t="str">
        <f>IF(AND(fiche_sel&lt;&gt;"",A92=fiche_sel),COUNTIF(A$6:A92,fiche_sel),"")</f>
        <v/>
      </c>
    </row>
    <row r="93">
      <c r="A93" s="60" t="n"/>
      <c r="B93" s="73" t="n"/>
      <c r="C93" s="60" t="n"/>
      <c r="D93" s="61" t="n"/>
      <c r="E93" s="74" t="n"/>
      <c r="F93" s="74" t="n"/>
      <c r="G93" s="73" t="n"/>
      <c r="H93" s="66" t="str">
        <f>IF(M93&lt;&gt;"OK","",INDEX(po_mo,MATCH(D93,po_code,0)))</f>
        <v/>
      </c>
      <c r="I93" s="66" t="str">
        <f>IF(M93&lt;&gt;"OK","",INDEX(po_mac,MATCH(D93,po_code,0)))</f>
        <v/>
      </c>
      <c r="J93" s="66" t="str">
        <f>IF(M93&lt;&gt;"OK","",N(E93)*(H93*IF(G93="",1,G93)+I93))</f>
        <v/>
      </c>
      <c r="K93" s="66" t="str">
        <f>IF(M93&lt;&gt;"OK","",N(F93)/60*H93*IF(G93="",1,G93))</f>
        <v/>
      </c>
      <c r="L93" s="66" t="str">
        <f>IF(M93&lt;&gt;"OK","",N(F93)/60*I93)</f>
        <v/>
      </c>
      <c r="M93" s="69" t="str">
        <f>IF(AND(A93="",D93=""),"",IF(A93="","Produit manquant",IF(COUNTIF(prod_ref,A93)=0,"Produit inconnu",IF(D93="","Poste manquant",IF(ISNA(MATCH(D93,po_code,0)),"Poste inconnu",IF(INDEX(po_check,MATCH(D93,po_code,0))&lt;&gt;"OK","Poste à corriger",IF(AND(E93&lt;&gt;"",OR(NOT(ISNUMBER(E93)),N(E93)&lt;0)),"Réglage invalide",IF(AND(F93&lt;&gt;"",OR(NOT(ISNUMBER(F93)),N(F93)&lt;0)),"Temps par pièce invalide",IF(N(E93)+N(F93)=0,"Temps manquant",IF(AND(G93&lt;&gt;"",OR(NOT(ISNUMBER(G93)),N(G93)&lt;=0)),"Opérateurs invalide","OK"))))))))))</f>
        <v/>
      </c>
      <c r="N93" s="71" t="str">
        <f>IF(AND(fiche_sel&lt;&gt;"",A93=fiche_sel),COUNTIF(A$6:A93,fiche_sel),"")</f>
        <v/>
      </c>
    </row>
    <row r="94">
      <c r="A94" s="60" t="n"/>
      <c r="B94" s="73" t="n"/>
      <c r="C94" s="60" t="n"/>
      <c r="D94" s="61" t="n"/>
      <c r="E94" s="74" t="n"/>
      <c r="F94" s="74" t="n"/>
      <c r="G94" s="73" t="n"/>
      <c r="H94" s="66" t="str">
        <f>IF(M94&lt;&gt;"OK","",INDEX(po_mo,MATCH(D94,po_code,0)))</f>
        <v/>
      </c>
      <c r="I94" s="66" t="str">
        <f>IF(M94&lt;&gt;"OK","",INDEX(po_mac,MATCH(D94,po_code,0)))</f>
        <v/>
      </c>
      <c r="J94" s="66" t="str">
        <f>IF(M94&lt;&gt;"OK","",N(E94)*(H94*IF(G94="",1,G94)+I94))</f>
        <v/>
      </c>
      <c r="K94" s="66" t="str">
        <f>IF(M94&lt;&gt;"OK","",N(F94)/60*H94*IF(G94="",1,G94))</f>
        <v/>
      </c>
      <c r="L94" s="66" t="str">
        <f>IF(M94&lt;&gt;"OK","",N(F94)/60*I94)</f>
        <v/>
      </c>
      <c r="M94" s="69" t="str">
        <f>IF(AND(A94="",D94=""),"",IF(A94="","Produit manquant",IF(COUNTIF(prod_ref,A94)=0,"Produit inconnu",IF(D94="","Poste manquant",IF(ISNA(MATCH(D94,po_code,0)),"Poste inconnu",IF(INDEX(po_check,MATCH(D94,po_code,0))&lt;&gt;"OK","Poste à corriger",IF(AND(E94&lt;&gt;"",OR(NOT(ISNUMBER(E94)),N(E94)&lt;0)),"Réglage invalide",IF(AND(F94&lt;&gt;"",OR(NOT(ISNUMBER(F94)),N(F94)&lt;0)),"Temps par pièce invalide",IF(N(E94)+N(F94)=0,"Temps manquant",IF(AND(G94&lt;&gt;"",OR(NOT(ISNUMBER(G94)),N(G94)&lt;=0)),"Opérateurs invalide","OK"))))))))))</f>
        <v/>
      </c>
      <c r="N94" s="71" t="str">
        <f>IF(AND(fiche_sel&lt;&gt;"",A94=fiche_sel),COUNTIF(A$6:A94,fiche_sel),"")</f>
        <v/>
      </c>
    </row>
    <row r="95">
      <c r="A95" s="60" t="n"/>
      <c r="B95" s="73" t="n"/>
      <c r="C95" s="60" t="n"/>
      <c r="D95" s="61" t="n"/>
      <c r="E95" s="74" t="n"/>
      <c r="F95" s="74" t="n"/>
      <c r="G95" s="73" t="n"/>
      <c r="H95" s="66" t="str">
        <f>IF(M95&lt;&gt;"OK","",INDEX(po_mo,MATCH(D95,po_code,0)))</f>
        <v/>
      </c>
      <c r="I95" s="66" t="str">
        <f>IF(M95&lt;&gt;"OK","",INDEX(po_mac,MATCH(D95,po_code,0)))</f>
        <v/>
      </c>
      <c r="J95" s="66" t="str">
        <f>IF(M95&lt;&gt;"OK","",N(E95)*(H95*IF(G95="",1,G95)+I95))</f>
        <v/>
      </c>
      <c r="K95" s="66" t="str">
        <f>IF(M95&lt;&gt;"OK","",N(F95)/60*H95*IF(G95="",1,G95))</f>
        <v/>
      </c>
      <c r="L95" s="66" t="str">
        <f>IF(M95&lt;&gt;"OK","",N(F95)/60*I95)</f>
        <v/>
      </c>
      <c r="M95" s="69" t="str">
        <f>IF(AND(A95="",D95=""),"",IF(A95="","Produit manquant",IF(COUNTIF(prod_ref,A95)=0,"Produit inconnu",IF(D95="","Poste manquant",IF(ISNA(MATCH(D95,po_code,0)),"Poste inconnu",IF(INDEX(po_check,MATCH(D95,po_code,0))&lt;&gt;"OK","Poste à corriger",IF(AND(E95&lt;&gt;"",OR(NOT(ISNUMBER(E95)),N(E95)&lt;0)),"Réglage invalide",IF(AND(F95&lt;&gt;"",OR(NOT(ISNUMBER(F95)),N(F95)&lt;0)),"Temps par pièce invalide",IF(N(E95)+N(F95)=0,"Temps manquant",IF(AND(G95&lt;&gt;"",OR(NOT(ISNUMBER(G95)),N(G95)&lt;=0)),"Opérateurs invalide","OK"))))))))))</f>
        <v/>
      </c>
      <c r="N95" s="71" t="str">
        <f>IF(AND(fiche_sel&lt;&gt;"",A95=fiche_sel),COUNTIF(A$6:A95,fiche_sel),"")</f>
        <v/>
      </c>
    </row>
    <row r="96">
      <c r="A96" s="60" t="n"/>
      <c r="B96" s="73" t="n"/>
      <c r="C96" s="60" t="n"/>
      <c r="D96" s="61" t="n"/>
      <c r="E96" s="74" t="n"/>
      <c r="F96" s="74" t="n"/>
      <c r="G96" s="73" t="n"/>
      <c r="H96" s="66" t="str">
        <f>IF(M96&lt;&gt;"OK","",INDEX(po_mo,MATCH(D96,po_code,0)))</f>
        <v/>
      </c>
      <c r="I96" s="66" t="str">
        <f>IF(M96&lt;&gt;"OK","",INDEX(po_mac,MATCH(D96,po_code,0)))</f>
        <v/>
      </c>
      <c r="J96" s="66" t="str">
        <f>IF(M96&lt;&gt;"OK","",N(E96)*(H96*IF(G96="",1,G96)+I96))</f>
        <v/>
      </c>
      <c r="K96" s="66" t="str">
        <f>IF(M96&lt;&gt;"OK","",N(F96)/60*H96*IF(G96="",1,G96))</f>
        <v/>
      </c>
      <c r="L96" s="66" t="str">
        <f>IF(M96&lt;&gt;"OK","",N(F96)/60*I96)</f>
        <v/>
      </c>
      <c r="M96" s="69" t="str">
        <f>IF(AND(A96="",D96=""),"",IF(A96="","Produit manquant",IF(COUNTIF(prod_ref,A96)=0,"Produit inconnu",IF(D96="","Poste manquant",IF(ISNA(MATCH(D96,po_code,0)),"Poste inconnu",IF(INDEX(po_check,MATCH(D96,po_code,0))&lt;&gt;"OK","Poste à corriger",IF(AND(E96&lt;&gt;"",OR(NOT(ISNUMBER(E96)),N(E96)&lt;0)),"Réglage invalide",IF(AND(F96&lt;&gt;"",OR(NOT(ISNUMBER(F96)),N(F96)&lt;0)),"Temps par pièce invalide",IF(N(E96)+N(F96)=0,"Temps manquant",IF(AND(G96&lt;&gt;"",OR(NOT(ISNUMBER(G96)),N(G96)&lt;=0)),"Opérateurs invalide","OK"))))))))))</f>
        <v/>
      </c>
      <c r="N96" s="71" t="str">
        <f>IF(AND(fiche_sel&lt;&gt;"",A96=fiche_sel),COUNTIF(A$6:A96,fiche_sel),"")</f>
        <v/>
      </c>
    </row>
    <row r="97">
      <c r="A97" s="60" t="n"/>
      <c r="B97" s="73" t="n"/>
      <c r="C97" s="60" t="n"/>
      <c r="D97" s="61" t="n"/>
      <c r="E97" s="74" t="n"/>
      <c r="F97" s="74" t="n"/>
      <c r="G97" s="73" t="n"/>
      <c r="H97" s="66" t="str">
        <f>IF(M97&lt;&gt;"OK","",INDEX(po_mo,MATCH(D97,po_code,0)))</f>
        <v/>
      </c>
      <c r="I97" s="66" t="str">
        <f>IF(M97&lt;&gt;"OK","",INDEX(po_mac,MATCH(D97,po_code,0)))</f>
        <v/>
      </c>
      <c r="J97" s="66" t="str">
        <f>IF(M97&lt;&gt;"OK","",N(E97)*(H97*IF(G97="",1,G97)+I97))</f>
        <v/>
      </c>
      <c r="K97" s="66" t="str">
        <f>IF(M97&lt;&gt;"OK","",N(F97)/60*H97*IF(G97="",1,G97))</f>
        <v/>
      </c>
      <c r="L97" s="66" t="str">
        <f>IF(M97&lt;&gt;"OK","",N(F97)/60*I97)</f>
        <v/>
      </c>
      <c r="M97" s="69" t="str">
        <f>IF(AND(A97="",D97=""),"",IF(A97="","Produit manquant",IF(COUNTIF(prod_ref,A97)=0,"Produit inconnu",IF(D97="","Poste manquant",IF(ISNA(MATCH(D97,po_code,0)),"Poste inconnu",IF(INDEX(po_check,MATCH(D97,po_code,0))&lt;&gt;"OK","Poste à corriger",IF(AND(E97&lt;&gt;"",OR(NOT(ISNUMBER(E97)),N(E97)&lt;0)),"Réglage invalide",IF(AND(F97&lt;&gt;"",OR(NOT(ISNUMBER(F97)),N(F97)&lt;0)),"Temps par pièce invalide",IF(N(E97)+N(F97)=0,"Temps manquant",IF(AND(G97&lt;&gt;"",OR(NOT(ISNUMBER(G97)),N(G97)&lt;=0)),"Opérateurs invalide","OK"))))))))))</f>
        <v/>
      </c>
      <c r="N97" s="71" t="str">
        <f>IF(AND(fiche_sel&lt;&gt;"",A97=fiche_sel),COUNTIF(A$6:A97,fiche_sel),"")</f>
        <v/>
      </c>
    </row>
    <row r="98">
      <c r="A98" s="60" t="n"/>
      <c r="B98" s="73" t="n"/>
      <c r="C98" s="60" t="n"/>
      <c r="D98" s="61" t="n"/>
      <c r="E98" s="74" t="n"/>
      <c r="F98" s="74" t="n"/>
      <c r="G98" s="73" t="n"/>
      <c r="H98" s="66" t="str">
        <f>IF(M98&lt;&gt;"OK","",INDEX(po_mo,MATCH(D98,po_code,0)))</f>
        <v/>
      </c>
      <c r="I98" s="66" t="str">
        <f>IF(M98&lt;&gt;"OK","",INDEX(po_mac,MATCH(D98,po_code,0)))</f>
        <v/>
      </c>
      <c r="J98" s="66" t="str">
        <f>IF(M98&lt;&gt;"OK","",N(E98)*(H98*IF(G98="",1,G98)+I98))</f>
        <v/>
      </c>
      <c r="K98" s="66" t="str">
        <f>IF(M98&lt;&gt;"OK","",N(F98)/60*H98*IF(G98="",1,G98))</f>
        <v/>
      </c>
      <c r="L98" s="66" t="str">
        <f>IF(M98&lt;&gt;"OK","",N(F98)/60*I98)</f>
        <v/>
      </c>
      <c r="M98" s="69" t="str">
        <f>IF(AND(A98="",D98=""),"",IF(A98="","Produit manquant",IF(COUNTIF(prod_ref,A98)=0,"Produit inconnu",IF(D98="","Poste manquant",IF(ISNA(MATCH(D98,po_code,0)),"Poste inconnu",IF(INDEX(po_check,MATCH(D98,po_code,0))&lt;&gt;"OK","Poste à corriger",IF(AND(E98&lt;&gt;"",OR(NOT(ISNUMBER(E98)),N(E98)&lt;0)),"Réglage invalide",IF(AND(F98&lt;&gt;"",OR(NOT(ISNUMBER(F98)),N(F98)&lt;0)),"Temps par pièce invalide",IF(N(E98)+N(F98)=0,"Temps manquant",IF(AND(G98&lt;&gt;"",OR(NOT(ISNUMBER(G98)),N(G98)&lt;=0)),"Opérateurs invalide","OK"))))))))))</f>
        <v/>
      </c>
      <c r="N98" s="71" t="str">
        <f>IF(AND(fiche_sel&lt;&gt;"",A98=fiche_sel),COUNTIF(A$6:A98,fiche_sel),"")</f>
        <v/>
      </c>
    </row>
    <row r="99">
      <c r="A99" s="60" t="n"/>
      <c r="B99" s="73" t="n"/>
      <c r="C99" s="60" t="n"/>
      <c r="D99" s="61" t="n"/>
      <c r="E99" s="74" t="n"/>
      <c r="F99" s="74" t="n"/>
      <c r="G99" s="73" t="n"/>
      <c r="H99" s="66" t="str">
        <f>IF(M99&lt;&gt;"OK","",INDEX(po_mo,MATCH(D99,po_code,0)))</f>
        <v/>
      </c>
      <c r="I99" s="66" t="str">
        <f>IF(M99&lt;&gt;"OK","",INDEX(po_mac,MATCH(D99,po_code,0)))</f>
        <v/>
      </c>
      <c r="J99" s="66" t="str">
        <f>IF(M99&lt;&gt;"OK","",N(E99)*(H99*IF(G99="",1,G99)+I99))</f>
        <v/>
      </c>
      <c r="K99" s="66" t="str">
        <f>IF(M99&lt;&gt;"OK","",N(F99)/60*H99*IF(G99="",1,G99))</f>
        <v/>
      </c>
      <c r="L99" s="66" t="str">
        <f>IF(M99&lt;&gt;"OK","",N(F99)/60*I99)</f>
        <v/>
      </c>
      <c r="M99" s="69" t="str">
        <f>IF(AND(A99="",D99=""),"",IF(A99="","Produit manquant",IF(COUNTIF(prod_ref,A99)=0,"Produit inconnu",IF(D99="","Poste manquant",IF(ISNA(MATCH(D99,po_code,0)),"Poste inconnu",IF(INDEX(po_check,MATCH(D99,po_code,0))&lt;&gt;"OK","Poste à corriger",IF(AND(E99&lt;&gt;"",OR(NOT(ISNUMBER(E99)),N(E99)&lt;0)),"Réglage invalide",IF(AND(F99&lt;&gt;"",OR(NOT(ISNUMBER(F99)),N(F99)&lt;0)),"Temps par pièce invalide",IF(N(E99)+N(F99)=0,"Temps manquant",IF(AND(G99&lt;&gt;"",OR(NOT(ISNUMBER(G99)),N(G99)&lt;=0)),"Opérateurs invalide","OK"))))))))))</f>
        <v/>
      </c>
      <c r="N99" s="71" t="str">
        <f>IF(AND(fiche_sel&lt;&gt;"",A99=fiche_sel),COUNTIF(A$6:A99,fiche_sel),"")</f>
        <v/>
      </c>
    </row>
    <row r="100">
      <c r="A100" s="60" t="n"/>
      <c r="B100" s="73" t="n"/>
      <c r="C100" s="60" t="n"/>
      <c r="D100" s="61" t="n"/>
      <c r="E100" s="74" t="n"/>
      <c r="F100" s="74" t="n"/>
      <c r="G100" s="73" t="n"/>
      <c r="H100" s="66" t="str">
        <f>IF(M100&lt;&gt;"OK","",INDEX(po_mo,MATCH(D100,po_code,0)))</f>
        <v/>
      </c>
      <c r="I100" s="66" t="str">
        <f>IF(M100&lt;&gt;"OK","",INDEX(po_mac,MATCH(D100,po_code,0)))</f>
        <v/>
      </c>
      <c r="J100" s="66" t="str">
        <f>IF(M100&lt;&gt;"OK","",N(E100)*(H100*IF(G100="",1,G100)+I100))</f>
        <v/>
      </c>
      <c r="K100" s="66" t="str">
        <f>IF(M100&lt;&gt;"OK","",N(F100)/60*H100*IF(G100="",1,G100))</f>
        <v/>
      </c>
      <c r="L100" s="66" t="str">
        <f>IF(M100&lt;&gt;"OK","",N(F100)/60*I100)</f>
        <v/>
      </c>
      <c r="M100" s="69" t="str">
        <f>IF(AND(A100="",D100=""),"",IF(A100="","Produit manquant",IF(COUNTIF(prod_ref,A100)=0,"Produit inconnu",IF(D100="","Poste manquant",IF(ISNA(MATCH(D100,po_code,0)),"Poste inconnu",IF(INDEX(po_check,MATCH(D100,po_code,0))&lt;&gt;"OK","Poste à corriger",IF(AND(E100&lt;&gt;"",OR(NOT(ISNUMBER(E100)),N(E100)&lt;0)),"Réglage invalide",IF(AND(F100&lt;&gt;"",OR(NOT(ISNUMBER(F100)),N(F100)&lt;0)),"Temps par pièce invalide",IF(N(E100)+N(F100)=0,"Temps manquant",IF(AND(G100&lt;&gt;"",OR(NOT(ISNUMBER(G100)),N(G100)&lt;=0)),"Opérateurs invalide","OK"))))))))))</f>
        <v/>
      </c>
      <c r="N100" s="71" t="str">
        <f>IF(AND(fiche_sel&lt;&gt;"",A100=fiche_sel),COUNTIF(A$6:A100,fiche_sel),"")</f>
        <v/>
      </c>
    </row>
    <row r="101">
      <c r="A101" s="60" t="n"/>
      <c r="B101" s="73" t="n"/>
      <c r="C101" s="60" t="n"/>
      <c r="D101" s="61" t="n"/>
      <c r="E101" s="74" t="n"/>
      <c r="F101" s="74" t="n"/>
      <c r="G101" s="73" t="n"/>
      <c r="H101" s="66" t="str">
        <f>IF(M101&lt;&gt;"OK","",INDEX(po_mo,MATCH(D101,po_code,0)))</f>
        <v/>
      </c>
      <c r="I101" s="66" t="str">
        <f>IF(M101&lt;&gt;"OK","",INDEX(po_mac,MATCH(D101,po_code,0)))</f>
        <v/>
      </c>
      <c r="J101" s="66" t="str">
        <f>IF(M101&lt;&gt;"OK","",N(E101)*(H101*IF(G101="",1,G101)+I101))</f>
        <v/>
      </c>
      <c r="K101" s="66" t="str">
        <f>IF(M101&lt;&gt;"OK","",N(F101)/60*H101*IF(G101="",1,G101))</f>
        <v/>
      </c>
      <c r="L101" s="66" t="str">
        <f>IF(M101&lt;&gt;"OK","",N(F101)/60*I101)</f>
        <v/>
      </c>
      <c r="M101" s="69" t="str">
        <f>IF(AND(A101="",D101=""),"",IF(A101="","Produit manquant",IF(COUNTIF(prod_ref,A101)=0,"Produit inconnu",IF(D101="","Poste manquant",IF(ISNA(MATCH(D101,po_code,0)),"Poste inconnu",IF(INDEX(po_check,MATCH(D101,po_code,0))&lt;&gt;"OK","Poste à corriger",IF(AND(E101&lt;&gt;"",OR(NOT(ISNUMBER(E101)),N(E101)&lt;0)),"Réglage invalide",IF(AND(F101&lt;&gt;"",OR(NOT(ISNUMBER(F101)),N(F101)&lt;0)),"Temps par pièce invalide",IF(N(E101)+N(F101)=0,"Temps manquant",IF(AND(G101&lt;&gt;"",OR(NOT(ISNUMBER(G101)),N(G101)&lt;=0)),"Opérateurs invalide","OK"))))))))))</f>
        <v/>
      </c>
      <c r="N101" s="71" t="str">
        <f>IF(AND(fiche_sel&lt;&gt;"",A101=fiche_sel),COUNTIF(A$6:A101,fiche_sel),"")</f>
        <v/>
      </c>
    </row>
    <row r="102">
      <c r="A102" s="60" t="n"/>
      <c r="B102" s="73" t="n"/>
      <c r="C102" s="60" t="n"/>
      <c r="D102" s="61" t="n"/>
      <c r="E102" s="74" t="n"/>
      <c r="F102" s="74" t="n"/>
      <c r="G102" s="73" t="n"/>
      <c r="H102" s="66" t="str">
        <f>IF(M102&lt;&gt;"OK","",INDEX(po_mo,MATCH(D102,po_code,0)))</f>
        <v/>
      </c>
      <c r="I102" s="66" t="str">
        <f>IF(M102&lt;&gt;"OK","",INDEX(po_mac,MATCH(D102,po_code,0)))</f>
        <v/>
      </c>
      <c r="J102" s="66" t="str">
        <f>IF(M102&lt;&gt;"OK","",N(E102)*(H102*IF(G102="",1,G102)+I102))</f>
        <v/>
      </c>
      <c r="K102" s="66" t="str">
        <f>IF(M102&lt;&gt;"OK","",N(F102)/60*H102*IF(G102="",1,G102))</f>
        <v/>
      </c>
      <c r="L102" s="66" t="str">
        <f>IF(M102&lt;&gt;"OK","",N(F102)/60*I102)</f>
        <v/>
      </c>
      <c r="M102" s="69" t="str">
        <f>IF(AND(A102="",D102=""),"",IF(A102="","Produit manquant",IF(COUNTIF(prod_ref,A102)=0,"Produit inconnu",IF(D102="","Poste manquant",IF(ISNA(MATCH(D102,po_code,0)),"Poste inconnu",IF(INDEX(po_check,MATCH(D102,po_code,0))&lt;&gt;"OK","Poste à corriger",IF(AND(E102&lt;&gt;"",OR(NOT(ISNUMBER(E102)),N(E102)&lt;0)),"Réglage invalide",IF(AND(F102&lt;&gt;"",OR(NOT(ISNUMBER(F102)),N(F102)&lt;0)),"Temps par pièce invalide",IF(N(E102)+N(F102)=0,"Temps manquant",IF(AND(G102&lt;&gt;"",OR(NOT(ISNUMBER(G102)),N(G102)&lt;=0)),"Opérateurs invalide","OK"))))))))))</f>
        <v/>
      </c>
      <c r="N102" s="71" t="str">
        <f>IF(AND(fiche_sel&lt;&gt;"",A102=fiche_sel),COUNTIF(A$6:A102,fiche_sel),"")</f>
        <v/>
      </c>
    </row>
    <row r="103">
      <c r="A103" s="60" t="n"/>
      <c r="B103" s="73" t="n"/>
      <c r="C103" s="60" t="n"/>
      <c r="D103" s="61" t="n"/>
      <c r="E103" s="74" t="n"/>
      <c r="F103" s="74" t="n"/>
      <c r="G103" s="73" t="n"/>
      <c r="H103" s="66" t="str">
        <f>IF(M103&lt;&gt;"OK","",INDEX(po_mo,MATCH(D103,po_code,0)))</f>
        <v/>
      </c>
      <c r="I103" s="66" t="str">
        <f>IF(M103&lt;&gt;"OK","",INDEX(po_mac,MATCH(D103,po_code,0)))</f>
        <v/>
      </c>
      <c r="J103" s="66" t="str">
        <f>IF(M103&lt;&gt;"OK","",N(E103)*(H103*IF(G103="",1,G103)+I103))</f>
        <v/>
      </c>
      <c r="K103" s="66" t="str">
        <f>IF(M103&lt;&gt;"OK","",N(F103)/60*H103*IF(G103="",1,G103))</f>
        <v/>
      </c>
      <c r="L103" s="66" t="str">
        <f>IF(M103&lt;&gt;"OK","",N(F103)/60*I103)</f>
        <v/>
      </c>
      <c r="M103" s="69" t="str">
        <f>IF(AND(A103="",D103=""),"",IF(A103="","Produit manquant",IF(COUNTIF(prod_ref,A103)=0,"Produit inconnu",IF(D103="","Poste manquant",IF(ISNA(MATCH(D103,po_code,0)),"Poste inconnu",IF(INDEX(po_check,MATCH(D103,po_code,0))&lt;&gt;"OK","Poste à corriger",IF(AND(E103&lt;&gt;"",OR(NOT(ISNUMBER(E103)),N(E103)&lt;0)),"Réglage invalide",IF(AND(F103&lt;&gt;"",OR(NOT(ISNUMBER(F103)),N(F103)&lt;0)),"Temps par pièce invalide",IF(N(E103)+N(F103)=0,"Temps manquant",IF(AND(G103&lt;&gt;"",OR(NOT(ISNUMBER(G103)),N(G103)&lt;=0)),"Opérateurs invalide","OK"))))))))))</f>
        <v/>
      </c>
      <c r="N103" s="71" t="str">
        <f>IF(AND(fiche_sel&lt;&gt;"",A103=fiche_sel),COUNTIF(A$6:A103,fiche_sel),"")</f>
        <v/>
      </c>
    </row>
    <row r="104">
      <c r="A104" s="60" t="n"/>
      <c r="B104" s="73" t="n"/>
      <c r="C104" s="60" t="n"/>
      <c r="D104" s="61" t="n"/>
      <c r="E104" s="74" t="n"/>
      <c r="F104" s="74" t="n"/>
      <c r="G104" s="73" t="n"/>
      <c r="H104" s="66" t="str">
        <f>IF(M104&lt;&gt;"OK","",INDEX(po_mo,MATCH(D104,po_code,0)))</f>
        <v/>
      </c>
      <c r="I104" s="66" t="str">
        <f>IF(M104&lt;&gt;"OK","",INDEX(po_mac,MATCH(D104,po_code,0)))</f>
        <v/>
      </c>
      <c r="J104" s="66" t="str">
        <f>IF(M104&lt;&gt;"OK","",N(E104)*(H104*IF(G104="",1,G104)+I104))</f>
        <v/>
      </c>
      <c r="K104" s="66" t="str">
        <f>IF(M104&lt;&gt;"OK","",N(F104)/60*H104*IF(G104="",1,G104))</f>
        <v/>
      </c>
      <c r="L104" s="66" t="str">
        <f>IF(M104&lt;&gt;"OK","",N(F104)/60*I104)</f>
        <v/>
      </c>
      <c r="M104" s="69" t="str">
        <f>IF(AND(A104="",D104=""),"",IF(A104="","Produit manquant",IF(COUNTIF(prod_ref,A104)=0,"Produit inconnu",IF(D104="","Poste manquant",IF(ISNA(MATCH(D104,po_code,0)),"Poste inconnu",IF(INDEX(po_check,MATCH(D104,po_code,0))&lt;&gt;"OK","Poste à corriger",IF(AND(E104&lt;&gt;"",OR(NOT(ISNUMBER(E104)),N(E104)&lt;0)),"Réglage invalide",IF(AND(F104&lt;&gt;"",OR(NOT(ISNUMBER(F104)),N(F104)&lt;0)),"Temps par pièce invalide",IF(N(E104)+N(F104)=0,"Temps manquant",IF(AND(G104&lt;&gt;"",OR(NOT(ISNUMBER(G104)),N(G104)&lt;=0)),"Opérateurs invalide","OK"))))))))))</f>
        <v/>
      </c>
      <c r="N104" s="71" t="str">
        <f>IF(AND(fiche_sel&lt;&gt;"",A104=fiche_sel),COUNTIF(A$6:A104,fiche_sel),"")</f>
        <v/>
      </c>
    </row>
    <row r="105">
      <c r="A105" s="60" t="n"/>
      <c r="B105" s="73" t="n"/>
      <c r="C105" s="60" t="n"/>
      <c r="D105" s="61" t="n"/>
      <c r="E105" s="74" t="n"/>
      <c r="F105" s="74" t="n"/>
      <c r="G105" s="73" t="n"/>
      <c r="H105" s="66" t="str">
        <f>IF(M105&lt;&gt;"OK","",INDEX(po_mo,MATCH(D105,po_code,0)))</f>
        <v/>
      </c>
      <c r="I105" s="66" t="str">
        <f>IF(M105&lt;&gt;"OK","",INDEX(po_mac,MATCH(D105,po_code,0)))</f>
        <v/>
      </c>
      <c r="J105" s="66" t="str">
        <f>IF(M105&lt;&gt;"OK","",N(E105)*(H105*IF(G105="",1,G105)+I105))</f>
        <v/>
      </c>
      <c r="K105" s="66" t="str">
        <f>IF(M105&lt;&gt;"OK","",N(F105)/60*H105*IF(G105="",1,G105))</f>
        <v/>
      </c>
      <c r="L105" s="66" t="str">
        <f>IF(M105&lt;&gt;"OK","",N(F105)/60*I105)</f>
        <v/>
      </c>
      <c r="M105" s="69" t="str">
        <f>IF(AND(A105="",D105=""),"",IF(A105="","Produit manquant",IF(COUNTIF(prod_ref,A105)=0,"Produit inconnu",IF(D105="","Poste manquant",IF(ISNA(MATCH(D105,po_code,0)),"Poste inconnu",IF(INDEX(po_check,MATCH(D105,po_code,0))&lt;&gt;"OK","Poste à corriger",IF(AND(E105&lt;&gt;"",OR(NOT(ISNUMBER(E105)),N(E105)&lt;0)),"Réglage invalide",IF(AND(F105&lt;&gt;"",OR(NOT(ISNUMBER(F105)),N(F105)&lt;0)),"Temps par pièce invalide",IF(N(E105)+N(F105)=0,"Temps manquant",IF(AND(G105&lt;&gt;"",OR(NOT(ISNUMBER(G105)),N(G105)&lt;=0)),"Opérateurs invalide","OK"))))))))))</f>
        <v/>
      </c>
      <c r="N105" s="71" t="str">
        <f>IF(AND(fiche_sel&lt;&gt;"",A105=fiche_sel),COUNTIF(A$6:A105,fiche_sel),"")</f>
        <v/>
      </c>
    </row>
    <row r="106">
      <c r="A106" s="60" t="n"/>
      <c r="B106" s="73" t="n"/>
      <c r="C106" s="60" t="n"/>
      <c r="D106" s="61" t="n"/>
      <c r="E106" s="74" t="n"/>
      <c r="F106" s="74" t="n"/>
      <c r="G106" s="73" t="n"/>
      <c r="H106" s="66" t="str">
        <f>IF(M106&lt;&gt;"OK","",INDEX(po_mo,MATCH(D106,po_code,0)))</f>
        <v/>
      </c>
      <c r="I106" s="66" t="str">
        <f>IF(M106&lt;&gt;"OK","",INDEX(po_mac,MATCH(D106,po_code,0)))</f>
        <v/>
      </c>
      <c r="J106" s="66" t="str">
        <f>IF(M106&lt;&gt;"OK","",N(E106)*(H106*IF(G106="",1,G106)+I106))</f>
        <v/>
      </c>
      <c r="K106" s="66" t="str">
        <f>IF(M106&lt;&gt;"OK","",N(F106)/60*H106*IF(G106="",1,G106))</f>
        <v/>
      </c>
      <c r="L106" s="66" t="str">
        <f>IF(M106&lt;&gt;"OK","",N(F106)/60*I106)</f>
        <v/>
      </c>
      <c r="M106" s="69" t="str">
        <f>IF(AND(A106="",D106=""),"",IF(A106="","Produit manquant",IF(COUNTIF(prod_ref,A106)=0,"Produit inconnu",IF(D106="","Poste manquant",IF(ISNA(MATCH(D106,po_code,0)),"Poste inconnu",IF(INDEX(po_check,MATCH(D106,po_code,0))&lt;&gt;"OK","Poste à corriger",IF(AND(E106&lt;&gt;"",OR(NOT(ISNUMBER(E106)),N(E106)&lt;0)),"Réglage invalide",IF(AND(F106&lt;&gt;"",OR(NOT(ISNUMBER(F106)),N(F106)&lt;0)),"Temps par pièce invalide",IF(N(E106)+N(F106)=0,"Temps manquant",IF(AND(G106&lt;&gt;"",OR(NOT(ISNUMBER(G106)),N(G106)&lt;=0)),"Opérateurs invalide","OK"))))))))))</f>
        <v/>
      </c>
      <c r="N106" s="71" t="str">
        <f>IF(AND(fiche_sel&lt;&gt;"",A106=fiche_sel),COUNTIF(A$6:A106,fiche_sel),"")</f>
        <v/>
      </c>
    </row>
    <row r="107">
      <c r="A107" s="60" t="n"/>
      <c r="B107" s="73" t="n"/>
      <c r="C107" s="60" t="n"/>
      <c r="D107" s="61" t="n"/>
      <c r="E107" s="74" t="n"/>
      <c r="F107" s="74" t="n"/>
      <c r="G107" s="73" t="n"/>
      <c r="H107" s="66" t="str">
        <f>IF(M107&lt;&gt;"OK","",INDEX(po_mo,MATCH(D107,po_code,0)))</f>
        <v/>
      </c>
      <c r="I107" s="66" t="str">
        <f>IF(M107&lt;&gt;"OK","",INDEX(po_mac,MATCH(D107,po_code,0)))</f>
        <v/>
      </c>
      <c r="J107" s="66" t="str">
        <f>IF(M107&lt;&gt;"OK","",N(E107)*(H107*IF(G107="",1,G107)+I107))</f>
        <v/>
      </c>
      <c r="K107" s="66" t="str">
        <f>IF(M107&lt;&gt;"OK","",N(F107)/60*H107*IF(G107="",1,G107))</f>
        <v/>
      </c>
      <c r="L107" s="66" t="str">
        <f>IF(M107&lt;&gt;"OK","",N(F107)/60*I107)</f>
        <v/>
      </c>
      <c r="M107" s="69" t="str">
        <f>IF(AND(A107="",D107=""),"",IF(A107="","Produit manquant",IF(COUNTIF(prod_ref,A107)=0,"Produit inconnu",IF(D107="","Poste manquant",IF(ISNA(MATCH(D107,po_code,0)),"Poste inconnu",IF(INDEX(po_check,MATCH(D107,po_code,0))&lt;&gt;"OK","Poste à corriger",IF(AND(E107&lt;&gt;"",OR(NOT(ISNUMBER(E107)),N(E107)&lt;0)),"Réglage invalide",IF(AND(F107&lt;&gt;"",OR(NOT(ISNUMBER(F107)),N(F107)&lt;0)),"Temps par pièce invalide",IF(N(E107)+N(F107)=0,"Temps manquant",IF(AND(G107&lt;&gt;"",OR(NOT(ISNUMBER(G107)),N(G107)&lt;=0)),"Opérateurs invalide","OK"))))))))))</f>
        <v/>
      </c>
      <c r="N107" s="71" t="str">
        <f>IF(AND(fiche_sel&lt;&gt;"",A107=fiche_sel),COUNTIF(A$6:A107,fiche_sel),"")</f>
        <v/>
      </c>
    </row>
    <row r="108">
      <c r="A108" s="60" t="n"/>
      <c r="B108" s="73" t="n"/>
      <c r="C108" s="60" t="n"/>
      <c r="D108" s="61" t="n"/>
      <c r="E108" s="74" t="n"/>
      <c r="F108" s="74" t="n"/>
      <c r="G108" s="73" t="n"/>
      <c r="H108" s="66" t="str">
        <f>IF(M108&lt;&gt;"OK","",INDEX(po_mo,MATCH(D108,po_code,0)))</f>
        <v/>
      </c>
      <c r="I108" s="66" t="str">
        <f>IF(M108&lt;&gt;"OK","",INDEX(po_mac,MATCH(D108,po_code,0)))</f>
        <v/>
      </c>
      <c r="J108" s="66" t="str">
        <f>IF(M108&lt;&gt;"OK","",N(E108)*(H108*IF(G108="",1,G108)+I108))</f>
        <v/>
      </c>
      <c r="K108" s="66" t="str">
        <f>IF(M108&lt;&gt;"OK","",N(F108)/60*H108*IF(G108="",1,G108))</f>
        <v/>
      </c>
      <c r="L108" s="66" t="str">
        <f>IF(M108&lt;&gt;"OK","",N(F108)/60*I108)</f>
        <v/>
      </c>
      <c r="M108" s="69" t="str">
        <f>IF(AND(A108="",D108=""),"",IF(A108="","Produit manquant",IF(COUNTIF(prod_ref,A108)=0,"Produit inconnu",IF(D108="","Poste manquant",IF(ISNA(MATCH(D108,po_code,0)),"Poste inconnu",IF(INDEX(po_check,MATCH(D108,po_code,0))&lt;&gt;"OK","Poste à corriger",IF(AND(E108&lt;&gt;"",OR(NOT(ISNUMBER(E108)),N(E108)&lt;0)),"Réglage invalide",IF(AND(F108&lt;&gt;"",OR(NOT(ISNUMBER(F108)),N(F108)&lt;0)),"Temps par pièce invalide",IF(N(E108)+N(F108)=0,"Temps manquant",IF(AND(G108&lt;&gt;"",OR(NOT(ISNUMBER(G108)),N(G108)&lt;=0)),"Opérateurs invalide","OK"))))))))))</f>
        <v/>
      </c>
      <c r="N108" s="71" t="str">
        <f>IF(AND(fiche_sel&lt;&gt;"",A108=fiche_sel),COUNTIF(A$6:A108,fiche_sel),"")</f>
        <v/>
      </c>
    </row>
    <row r="109">
      <c r="A109" s="60" t="n"/>
      <c r="B109" s="73" t="n"/>
      <c r="C109" s="60" t="n"/>
      <c r="D109" s="61" t="n"/>
      <c r="E109" s="74" t="n"/>
      <c r="F109" s="74" t="n"/>
      <c r="G109" s="73" t="n"/>
      <c r="H109" s="66" t="str">
        <f>IF(M109&lt;&gt;"OK","",INDEX(po_mo,MATCH(D109,po_code,0)))</f>
        <v/>
      </c>
      <c r="I109" s="66" t="str">
        <f>IF(M109&lt;&gt;"OK","",INDEX(po_mac,MATCH(D109,po_code,0)))</f>
        <v/>
      </c>
      <c r="J109" s="66" t="str">
        <f>IF(M109&lt;&gt;"OK","",N(E109)*(H109*IF(G109="",1,G109)+I109))</f>
        <v/>
      </c>
      <c r="K109" s="66" t="str">
        <f>IF(M109&lt;&gt;"OK","",N(F109)/60*H109*IF(G109="",1,G109))</f>
        <v/>
      </c>
      <c r="L109" s="66" t="str">
        <f>IF(M109&lt;&gt;"OK","",N(F109)/60*I109)</f>
        <v/>
      </c>
      <c r="M109" s="69" t="str">
        <f>IF(AND(A109="",D109=""),"",IF(A109="","Produit manquant",IF(COUNTIF(prod_ref,A109)=0,"Produit inconnu",IF(D109="","Poste manquant",IF(ISNA(MATCH(D109,po_code,0)),"Poste inconnu",IF(INDEX(po_check,MATCH(D109,po_code,0))&lt;&gt;"OK","Poste à corriger",IF(AND(E109&lt;&gt;"",OR(NOT(ISNUMBER(E109)),N(E109)&lt;0)),"Réglage invalide",IF(AND(F109&lt;&gt;"",OR(NOT(ISNUMBER(F109)),N(F109)&lt;0)),"Temps par pièce invalide",IF(N(E109)+N(F109)=0,"Temps manquant",IF(AND(G109&lt;&gt;"",OR(NOT(ISNUMBER(G109)),N(G109)&lt;=0)),"Opérateurs invalide","OK"))))))))))</f>
        <v/>
      </c>
      <c r="N109" s="71" t="str">
        <f>IF(AND(fiche_sel&lt;&gt;"",A109=fiche_sel),COUNTIF(A$6:A109,fiche_sel),"")</f>
        <v/>
      </c>
    </row>
    <row r="110">
      <c r="A110" s="60" t="n"/>
      <c r="B110" s="73" t="n"/>
      <c r="C110" s="60" t="n"/>
      <c r="D110" s="61" t="n"/>
      <c r="E110" s="74" t="n"/>
      <c r="F110" s="74" t="n"/>
      <c r="G110" s="73" t="n"/>
      <c r="H110" s="66" t="str">
        <f>IF(M110&lt;&gt;"OK","",INDEX(po_mo,MATCH(D110,po_code,0)))</f>
        <v/>
      </c>
      <c r="I110" s="66" t="str">
        <f>IF(M110&lt;&gt;"OK","",INDEX(po_mac,MATCH(D110,po_code,0)))</f>
        <v/>
      </c>
      <c r="J110" s="66" t="str">
        <f>IF(M110&lt;&gt;"OK","",N(E110)*(H110*IF(G110="",1,G110)+I110))</f>
        <v/>
      </c>
      <c r="K110" s="66" t="str">
        <f>IF(M110&lt;&gt;"OK","",N(F110)/60*H110*IF(G110="",1,G110))</f>
        <v/>
      </c>
      <c r="L110" s="66" t="str">
        <f>IF(M110&lt;&gt;"OK","",N(F110)/60*I110)</f>
        <v/>
      </c>
      <c r="M110" s="69" t="str">
        <f>IF(AND(A110="",D110=""),"",IF(A110="","Produit manquant",IF(COUNTIF(prod_ref,A110)=0,"Produit inconnu",IF(D110="","Poste manquant",IF(ISNA(MATCH(D110,po_code,0)),"Poste inconnu",IF(INDEX(po_check,MATCH(D110,po_code,0))&lt;&gt;"OK","Poste à corriger",IF(AND(E110&lt;&gt;"",OR(NOT(ISNUMBER(E110)),N(E110)&lt;0)),"Réglage invalide",IF(AND(F110&lt;&gt;"",OR(NOT(ISNUMBER(F110)),N(F110)&lt;0)),"Temps par pièce invalide",IF(N(E110)+N(F110)=0,"Temps manquant",IF(AND(G110&lt;&gt;"",OR(NOT(ISNUMBER(G110)),N(G110)&lt;=0)),"Opérateurs invalide","OK"))))))))))</f>
        <v/>
      </c>
      <c r="N110" s="71" t="str">
        <f>IF(AND(fiche_sel&lt;&gt;"",A110=fiche_sel),COUNTIF(A$6:A110,fiche_sel),"")</f>
        <v/>
      </c>
    </row>
    <row r="111">
      <c r="A111" s="60" t="n"/>
      <c r="B111" s="73" t="n"/>
      <c r="C111" s="60" t="n"/>
      <c r="D111" s="61" t="n"/>
      <c r="E111" s="74" t="n"/>
      <c r="F111" s="74" t="n"/>
      <c r="G111" s="73" t="n"/>
      <c r="H111" s="66" t="str">
        <f>IF(M111&lt;&gt;"OK","",INDEX(po_mo,MATCH(D111,po_code,0)))</f>
        <v/>
      </c>
      <c r="I111" s="66" t="str">
        <f>IF(M111&lt;&gt;"OK","",INDEX(po_mac,MATCH(D111,po_code,0)))</f>
        <v/>
      </c>
      <c r="J111" s="66" t="str">
        <f>IF(M111&lt;&gt;"OK","",N(E111)*(H111*IF(G111="",1,G111)+I111))</f>
        <v/>
      </c>
      <c r="K111" s="66" t="str">
        <f>IF(M111&lt;&gt;"OK","",N(F111)/60*H111*IF(G111="",1,G111))</f>
        <v/>
      </c>
      <c r="L111" s="66" t="str">
        <f>IF(M111&lt;&gt;"OK","",N(F111)/60*I111)</f>
        <v/>
      </c>
      <c r="M111" s="69" t="str">
        <f>IF(AND(A111="",D111=""),"",IF(A111="","Produit manquant",IF(COUNTIF(prod_ref,A111)=0,"Produit inconnu",IF(D111="","Poste manquant",IF(ISNA(MATCH(D111,po_code,0)),"Poste inconnu",IF(INDEX(po_check,MATCH(D111,po_code,0))&lt;&gt;"OK","Poste à corriger",IF(AND(E111&lt;&gt;"",OR(NOT(ISNUMBER(E111)),N(E111)&lt;0)),"Réglage invalide",IF(AND(F111&lt;&gt;"",OR(NOT(ISNUMBER(F111)),N(F111)&lt;0)),"Temps par pièce invalide",IF(N(E111)+N(F111)=0,"Temps manquant",IF(AND(G111&lt;&gt;"",OR(NOT(ISNUMBER(G111)),N(G111)&lt;=0)),"Opérateurs invalide","OK"))))))))))</f>
        <v/>
      </c>
      <c r="N111" s="71" t="str">
        <f>IF(AND(fiche_sel&lt;&gt;"",A111=fiche_sel),COUNTIF(A$6:A111,fiche_sel),"")</f>
        <v/>
      </c>
    </row>
    <row r="112">
      <c r="A112" s="60" t="n"/>
      <c r="B112" s="73" t="n"/>
      <c r="C112" s="60" t="n"/>
      <c r="D112" s="61" t="n"/>
      <c r="E112" s="74" t="n"/>
      <c r="F112" s="74" t="n"/>
      <c r="G112" s="73" t="n"/>
      <c r="H112" s="66" t="str">
        <f>IF(M112&lt;&gt;"OK","",INDEX(po_mo,MATCH(D112,po_code,0)))</f>
        <v/>
      </c>
      <c r="I112" s="66" t="str">
        <f>IF(M112&lt;&gt;"OK","",INDEX(po_mac,MATCH(D112,po_code,0)))</f>
        <v/>
      </c>
      <c r="J112" s="66" t="str">
        <f>IF(M112&lt;&gt;"OK","",N(E112)*(H112*IF(G112="",1,G112)+I112))</f>
        <v/>
      </c>
      <c r="K112" s="66" t="str">
        <f>IF(M112&lt;&gt;"OK","",N(F112)/60*H112*IF(G112="",1,G112))</f>
        <v/>
      </c>
      <c r="L112" s="66" t="str">
        <f>IF(M112&lt;&gt;"OK","",N(F112)/60*I112)</f>
        <v/>
      </c>
      <c r="M112" s="69" t="str">
        <f>IF(AND(A112="",D112=""),"",IF(A112="","Produit manquant",IF(COUNTIF(prod_ref,A112)=0,"Produit inconnu",IF(D112="","Poste manquant",IF(ISNA(MATCH(D112,po_code,0)),"Poste inconnu",IF(INDEX(po_check,MATCH(D112,po_code,0))&lt;&gt;"OK","Poste à corriger",IF(AND(E112&lt;&gt;"",OR(NOT(ISNUMBER(E112)),N(E112)&lt;0)),"Réglage invalide",IF(AND(F112&lt;&gt;"",OR(NOT(ISNUMBER(F112)),N(F112)&lt;0)),"Temps par pièce invalide",IF(N(E112)+N(F112)=0,"Temps manquant",IF(AND(G112&lt;&gt;"",OR(NOT(ISNUMBER(G112)),N(G112)&lt;=0)),"Opérateurs invalide","OK"))))))))))</f>
        <v/>
      </c>
      <c r="N112" s="71" t="str">
        <f>IF(AND(fiche_sel&lt;&gt;"",A112=fiche_sel),COUNTIF(A$6:A112,fiche_sel),"")</f>
        <v/>
      </c>
    </row>
    <row r="113">
      <c r="A113" s="60" t="n"/>
      <c r="B113" s="73" t="n"/>
      <c r="C113" s="60" t="n"/>
      <c r="D113" s="61" t="n"/>
      <c r="E113" s="74" t="n"/>
      <c r="F113" s="74" t="n"/>
      <c r="G113" s="73" t="n"/>
      <c r="H113" s="66" t="str">
        <f>IF(M113&lt;&gt;"OK","",INDEX(po_mo,MATCH(D113,po_code,0)))</f>
        <v/>
      </c>
      <c r="I113" s="66" t="str">
        <f>IF(M113&lt;&gt;"OK","",INDEX(po_mac,MATCH(D113,po_code,0)))</f>
        <v/>
      </c>
      <c r="J113" s="66" t="str">
        <f>IF(M113&lt;&gt;"OK","",N(E113)*(H113*IF(G113="",1,G113)+I113))</f>
        <v/>
      </c>
      <c r="K113" s="66" t="str">
        <f>IF(M113&lt;&gt;"OK","",N(F113)/60*H113*IF(G113="",1,G113))</f>
        <v/>
      </c>
      <c r="L113" s="66" t="str">
        <f>IF(M113&lt;&gt;"OK","",N(F113)/60*I113)</f>
        <v/>
      </c>
      <c r="M113" s="69" t="str">
        <f>IF(AND(A113="",D113=""),"",IF(A113="","Produit manquant",IF(COUNTIF(prod_ref,A113)=0,"Produit inconnu",IF(D113="","Poste manquant",IF(ISNA(MATCH(D113,po_code,0)),"Poste inconnu",IF(INDEX(po_check,MATCH(D113,po_code,0))&lt;&gt;"OK","Poste à corriger",IF(AND(E113&lt;&gt;"",OR(NOT(ISNUMBER(E113)),N(E113)&lt;0)),"Réglage invalide",IF(AND(F113&lt;&gt;"",OR(NOT(ISNUMBER(F113)),N(F113)&lt;0)),"Temps par pièce invalide",IF(N(E113)+N(F113)=0,"Temps manquant",IF(AND(G113&lt;&gt;"",OR(NOT(ISNUMBER(G113)),N(G113)&lt;=0)),"Opérateurs invalide","OK"))))))))))</f>
        <v/>
      </c>
      <c r="N113" s="71" t="str">
        <f>IF(AND(fiche_sel&lt;&gt;"",A113=fiche_sel),COUNTIF(A$6:A113,fiche_sel),"")</f>
        <v/>
      </c>
    </row>
    <row r="114">
      <c r="A114" s="60" t="n"/>
      <c r="B114" s="73" t="n"/>
      <c r="C114" s="60" t="n"/>
      <c r="D114" s="61" t="n"/>
      <c r="E114" s="74" t="n"/>
      <c r="F114" s="74" t="n"/>
      <c r="G114" s="73" t="n"/>
      <c r="H114" s="66" t="str">
        <f>IF(M114&lt;&gt;"OK","",INDEX(po_mo,MATCH(D114,po_code,0)))</f>
        <v/>
      </c>
      <c r="I114" s="66" t="str">
        <f>IF(M114&lt;&gt;"OK","",INDEX(po_mac,MATCH(D114,po_code,0)))</f>
        <v/>
      </c>
      <c r="J114" s="66" t="str">
        <f>IF(M114&lt;&gt;"OK","",N(E114)*(H114*IF(G114="",1,G114)+I114))</f>
        <v/>
      </c>
      <c r="K114" s="66" t="str">
        <f>IF(M114&lt;&gt;"OK","",N(F114)/60*H114*IF(G114="",1,G114))</f>
        <v/>
      </c>
      <c r="L114" s="66" t="str">
        <f>IF(M114&lt;&gt;"OK","",N(F114)/60*I114)</f>
        <v/>
      </c>
      <c r="M114" s="69" t="str">
        <f>IF(AND(A114="",D114=""),"",IF(A114="","Produit manquant",IF(COUNTIF(prod_ref,A114)=0,"Produit inconnu",IF(D114="","Poste manquant",IF(ISNA(MATCH(D114,po_code,0)),"Poste inconnu",IF(INDEX(po_check,MATCH(D114,po_code,0))&lt;&gt;"OK","Poste à corriger",IF(AND(E114&lt;&gt;"",OR(NOT(ISNUMBER(E114)),N(E114)&lt;0)),"Réglage invalide",IF(AND(F114&lt;&gt;"",OR(NOT(ISNUMBER(F114)),N(F114)&lt;0)),"Temps par pièce invalide",IF(N(E114)+N(F114)=0,"Temps manquant",IF(AND(G114&lt;&gt;"",OR(NOT(ISNUMBER(G114)),N(G114)&lt;=0)),"Opérateurs invalide","OK"))))))))))</f>
        <v/>
      </c>
      <c r="N114" s="71" t="str">
        <f>IF(AND(fiche_sel&lt;&gt;"",A114=fiche_sel),COUNTIF(A$6:A114,fiche_sel),"")</f>
        <v/>
      </c>
    </row>
    <row r="115">
      <c r="A115" s="60" t="n"/>
      <c r="B115" s="73" t="n"/>
      <c r="C115" s="60" t="n"/>
      <c r="D115" s="61" t="n"/>
      <c r="E115" s="74" t="n"/>
      <c r="F115" s="74" t="n"/>
      <c r="G115" s="73" t="n"/>
      <c r="H115" s="66" t="str">
        <f>IF(M115&lt;&gt;"OK","",INDEX(po_mo,MATCH(D115,po_code,0)))</f>
        <v/>
      </c>
      <c r="I115" s="66" t="str">
        <f>IF(M115&lt;&gt;"OK","",INDEX(po_mac,MATCH(D115,po_code,0)))</f>
        <v/>
      </c>
      <c r="J115" s="66" t="str">
        <f>IF(M115&lt;&gt;"OK","",N(E115)*(H115*IF(G115="",1,G115)+I115))</f>
        <v/>
      </c>
      <c r="K115" s="66" t="str">
        <f>IF(M115&lt;&gt;"OK","",N(F115)/60*H115*IF(G115="",1,G115))</f>
        <v/>
      </c>
      <c r="L115" s="66" t="str">
        <f>IF(M115&lt;&gt;"OK","",N(F115)/60*I115)</f>
        <v/>
      </c>
      <c r="M115" s="69" t="str">
        <f>IF(AND(A115="",D115=""),"",IF(A115="","Produit manquant",IF(COUNTIF(prod_ref,A115)=0,"Produit inconnu",IF(D115="","Poste manquant",IF(ISNA(MATCH(D115,po_code,0)),"Poste inconnu",IF(INDEX(po_check,MATCH(D115,po_code,0))&lt;&gt;"OK","Poste à corriger",IF(AND(E115&lt;&gt;"",OR(NOT(ISNUMBER(E115)),N(E115)&lt;0)),"Réglage invalide",IF(AND(F115&lt;&gt;"",OR(NOT(ISNUMBER(F115)),N(F115)&lt;0)),"Temps par pièce invalide",IF(N(E115)+N(F115)=0,"Temps manquant",IF(AND(G115&lt;&gt;"",OR(NOT(ISNUMBER(G115)),N(G115)&lt;=0)),"Opérateurs invalide","OK"))))))))))</f>
        <v/>
      </c>
      <c r="N115" s="71" t="str">
        <f>IF(AND(fiche_sel&lt;&gt;"",A115=fiche_sel),COUNTIF(A$6:A115,fiche_sel),"")</f>
        <v/>
      </c>
    </row>
    <row r="116">
      <c r="A116" s="60" t="n"/>
      <c r="B116" s="73" t="n"/>
      <c r="C116" s="60" t="n"/>
      <c r="D116" s="61" t="n"/>
      <c r="E116" s="74" t="n"/>
      <c r="F116" s="74" t="n"/>
      <c r="G116" s="73" t="n"/>
      <c r="H116" s="66" t="str">
        <f>IF(M116&lt;&gt;"OK","",INDEX(po_mo,MATCH(D116,po_code,0)))</f>
        <v/>
      </c>
      <c r="I116" s="66" t="str">
        <f>IF(M116&lt;&gt;"OK","",INDEX(po_mac,MATCH(D116,po_code,0)))</f>
        <v/>
      </c>
      <c r="J116" s="66" t="str">
        <f>IF(M116&lt;&gt;"OK","",N(E116)*(H116*IF(G116="",1,G116)+I116))</f>
        <v/>
      </c>
      <c r="K116" s="66" t="str">
        <f>IF(M116&lt;&gt;"OK","",N(F116)/60*H116*IF(G116="",1,G116))</f>
        <v/>
      </c>
      <c r="L116" s="66" t="str">
        <f>IF(M116&lt;&gt;"OK","",N(F116)/60*I116)</f>
        <v/>
      </c>
      <c r="M116" s="69" t="str">
        <f>IF(AND(A116="",D116=""),"",IF(A116="","Produit manquant",IF(COUNTIF(prod_ref,A116)=0,"Produit inconnu",IF(D116="","Poste manquant",IF(ISNA(MATCH(D116,po_code,0)),"Poste inconnu",IF(INDEX(po_check,MATCH(D116,po_code,0))&lt;&gt;"OK","Poste à corriger",IF(AND(E116&lt;&gt;"",OR(NOT(ISNUMBER(E116)),N(E116)&lt;0)),"Réglage invalide",IF(AND(F116&lt;&gt;"",OR(NOT(ISNUMBER(F116)),N(F116)&lt;0)),"Temps par pièce invalide",IF(N(E116)+N(F116)=0,"Temps manquant",IF(AND(G116&lt;&gt;"",OR(NOT(ISNUMBER(G116)),N(G116)&lt;=0)),"Opérateurs invalide","OK"))))))))))</f>
        <v/>
      </c>
      <c r="N116" s="71" t="str">
        <f>IF(AND(fiche_sel&lt;&gt;"",A116=fiche_sel),COUNTIF(A$6:A116,fiche_sel),"")</f>
        <v/>
      </c>
    </row>
    <row r="117">
      <c r="A117" s="60" t="n"/>
      <c r="B117" s="73" t="n"/>
      <c r="C117" s="60" t="n"/>
      <c r="D117" s="61" t="n"/>
      <c r="E117" s="74" t="n"/>
      <c r="F117" s="74" t="n"/>
      <c r="G117" s="73" t="n"/>
      <c r="H117" s="66" t="str">
        <f>IF(M117&lt;&gt;"OK","",INDEX(po_mo,MATCH(D117,po_code,0)))</f>
        <v/>
      </c>
      <c r="I117" s="66" t="str">
        <f>IF(M117&lt;&gt;"OK","",INDEX(po_mac,MATCH(D117,po_code,0)))</f>
        <v/>
      </c>
      <c r="J117" s="66" t="str">
        <f>IF(M117&lt;&gt;"OK","",N(E117)*(H117*IF(G117="",1,G117)+I117))</f>
        <v/>
      </c>
      <c r="K117" s="66" t="str">
        <f>IF(M117&lt;&gt;"OK","",N(F117)/60*H117*IF(G117="",1,G117))</f>
        <v/>
      </c>
      <c r="L117" s="66" t="str">
        <f>IF(M117&lt;&gt;"OK","",N(F117)/60*I117)</f>
        <v/>
      </c>
      <c r="M117" s="69" t="str">
        <f>IF(AND(A117="",D117=""),"",IF(A117="","Produit manquant",IF(COUNTIF(prod_ref,A117)=0,"Produit inconnu",IF(D117="","Poste manquant",IF(ISNA(MATCH(D117,po_code,0)),"Poste inconnu",IF(INDEX(po_check,MATCH(D117,po_code,0))&lt;&gt;"OK","Poste à corriger",IF(AND(E117&lt;&gt;"",OR(NOT(ISNUMBER(E117)),N(E117)&lt;0)),"Réglage invalide",IF(AND(F117&lt;&gt;"",OR(NOT(ISNUMBER(F117)),N(F117)&lt;0)),"Temps par pièce invalide",IF(N(E117)+N(F117)=0,"Temps manquant",IF(AND(G117&lt;&gt;"",OR(NOT(ISNUMBER(G117)),N(G117)&lt;=0)),"Opérateurs invalide","OK"))))))))))</f>
        <v/>
      </c>
      <c r="N117" s="71" t="str">
        <f>IF(AND(fiche_sel&lt;&gt;"",A117=fiche_sel),COUNTIF(A$6:A117,fiche_sel),"")</f>
        <v/>
      </c>
    </row>
    <row r="118">
      <c r="A118" s="60" t="n"/>
      <c r="B118" s="73" t="n"/>
      <c r="C118" s="60" t="n"/>
      <c r="D118" s="61" t="n"/>
      <c r="E118" s="74" t="n"/>
      <c r="F118" s="74" t="n"/>
      <c r="G118" s="73" t="n"/>
      <c r="H118" s="66" t="str">
        <f>IF(M118&lt;&gt;"OK","",INDEX(po_mo,MATCH(D118,po_code,0)))</f>
        <v/>
      </c>
      <c r="I118" s="66" t="str">
        <f>IF(M118&lt;&gt;"OK","",INDEX(po_mac,MATCH(D118,po_code,0)))</f>
        <v/>
      </c>
      <c r="J118" s="66" t="str">
        <f>IF(M118&lt;&gt;"OK","",N(E118)*(H118*IF(G118="",1,G118)+I118))</f>
        <v/>
      </c>
      <c r="K118" s="66" t="str">
        <f>IF(M118&lt;&gt;"OK","",N(F118)/60*H118*IF(G118="",1,G118))</f>
        <v/>
      </c>
      <c r="L118" s="66" t="str">
        <f>IF(M118&lt;&gt;"OK","",N(F118)/60*I118)</f>
        <v/>
      </c>
      <c r="M118" s="69" t="str">
        <f>IF(AND(A118="",D118=""),"",IF(A118="","Produit manquant",IF(COUNTIF(prod_ref,A118)=0,"Produit inconnu",IF(D118="","Poste manquant",IF(ISNA(MATCH(D118,po_code,0)),"Poste inconnu",IF(INDEX(po_check,MATCH(D118,po_code,0))&lt;&gt;"OK","Poste à corriger",IF(AND(E118&lt;&gt;"",OR(NOT(ISNUMBER(E118)),N(E118)&lt;0)),"Réglage invalide",IF(AND(F118&lt;&gt;"",OR(NOT(ISNUMBER(F118)),N(F118)&lt;0)),"Temps par pièce invalide",IF(N(E118)+N(F118)=0,"Temps manquant",IF(AND(G118&lt;&gt;"",OR(NOT(ISNUMBER(G118)),N(G118)&lt;=0)),"Opérateurs invalide","OK"))))))))))</f>
        <v/>
      </c>
      <c r="N118" s="71" t="str">
        <f>IF(AND(fiche_sel&lt;&gt;"",A118=fiche_sel),COUNTIF(A$6:A118,fiche_sel),"")</f>
        <v/>
      </c>
    </row>
    <row r="119">
      <c r="A119" s="60" t="n"/>
      <c r="B119" s="73" t="n"/>
      <c r="C119" s="60" t="n"/>
      <c r="D119" s="61" t="n"/>
      <c r="E119" s="74" t="n"/>
      <c r="F119" s="74" t="n"/>
      <c r="G119" s="73" t="n"/>
      <c r="H119" s="66" t="str">
        <f>IF(M119&lt;&gt;"OK","",INDEX(po_mo,MATCH(D119,po_code,0)))</f>
        <v/>
      </c>
      <c r="I119" s="66" t="str">
        <f>IF(M119&lt;&gt;"OK","",INDEX(po_mac,MATCH(D119,po_code,0)))</f>
        <v/>
      </c>
      <c r="J119" s="66" t="str">
        <f>IF(M119&lt;&gt;"OK","",N(E119)*(H119*IF(G119="",1,G119)+I119))</f>
        <v/>
      </c>
      <c r="K119" s="66" t="str">
        <f>IF(M119&lt;&gt;"OK","",N(F119)/60*H119*IF(G119="",1,G119))</f>
        <v/>
      </c>
      <c r="L119" s="66" t="str">
        <f>IF(M119&lt;&gt;"OK","",N(F119)/60*I119)</f>
        <v/>
      </c>
      <c r="M119" s="69" t="str">
        <f>IF(AND(A119="",D119=""),"",IF(A119="","Produit manquant",IF(COUNTIF(prod_ref,A119)=0,"Produit inconnu",IF(D119="","Poste manquant",IF(ISNA(MATCH(D119,po_code,0)),"Poste inconnu",IF(INDEX(po_check,MATCH(D119,po_code,0))&lt;&gt;"OK","Poste à corriger",IF(AND(E119&lt;&gt;"",OR(NOT(ISNUMBER(E119)),N(E119)&lt;0)),"Réglage invalide",IF(AND(F119&lt;&gt;"",OR(NOT(ISNUMBER(F119)),N(F119)&lt;0)),"Temps par pièce invalide",IF(N(E119)+N(F119)=0,"Temps manquant",IF(AND(G119&lt;&gt;"",OR(NOT(ISNUMBER(G119)),N(G119)&lt;=0)),"Opérateurs invalide","OK"))))))))))</f>
        <v/>
      </c>
      <c r="N119" s="71" t="str">
        <f>IF(AND(fiche_sel&lt;&gt;"",A119=fiche_sel),COUNTIF(A$6:A119,fiche_sel),"")</f>
        <v/>
      </c>
    </row>
    <row r="120">
      <c r="A120" s="60" t="n"/>
      <c r="B120" s="73" t="n"/>
      <c r="C120" s="60" t="n"/>
      <c r="D120" s="61" t="n"/>
      <c r="E120" s="74" t="n"/>
      <c r="F120" s="74" t="n"/>
      <c r="G120" s="73" t="n"/>
      <c r="H120" s="66" t="str">
        <f>IF(M120&lt;&gt;"OK","",INDEX(po_mo,MATCH(D120,po_code,0)))</f>
        <v/>
      </c>
      <c r="I120" s="66" t="str">
        <f>IF(M120&lt;&gt;"OK","",INDEX(po_mac,MATCH(D120,po_code,0)))</f>
        <v/>
      </c>
      <c r="J120" s="66" t="str">
        <f>IF(M120&lt;&gt;"OK","",N(E120)*(H120*IF(G120="",1,G120)+I120))</f>
        <v/>
      </c>
      <c r="K120" s="66" t="str">
        <f>IF(M120&lt;&gt;"OK","",N(F120)/60*H120*IF(G120="",1,G120))</f>
        <v/>
      </c>
      <c r="L120" s="66" t="str">
        <f>IF(M120&lt;&gt;"OK","",N(F120)/60*I120)</f>
        <v/>
      </c>
      <c r="M120" s="69" t="str">
        <f>IF(AND(A120="",D120=""),"",IF(A120="","Produit manquant",IF(COUNTIF(prod_ref,A120)=0,"Produit inconnu",IF(D120="","Poste manquant",IF(ISNA(MATCH(D120,po_code,0)),"Poste inconnu",IF(INDEX(po_check,MATCH(D120,po_code,0))&lt;&gt;"OK","Poste à corriger",IF(AND(E120&lt;&gt;"",OR(NOT(ISNUMBER(E120)),N(E120)&lt;0)),"Réglage invalide",IF(AND(F120&lt;&gt;"",OR(NOT(ISNUMBER(F120)),N(F120)&lt;0)),"Temps par pièce invalide",IF(N(E120)+N(F120)=0,"Temps manquant",IF(AND(G120&lt;&gt;"",OR(NOT(ISNUMBER(G120)),N(G120)&lt;=0)),"Opérateurs invalide","OK"))))))))))</f>
        <v/>
      </c>
      <c r="N120" s="71" t="str">
        <f>IF(AND(fiche_sel&lt;&gt;"",A120=fiche_sel),COUNTIF(A$6:A120,fiche_sel),"")</f>
        <v/>
      </c>
    </row>
    <row r="121">
      <c r="A121" s="60" t="n"/>
      <c r="B121" s="73" t="n"/>
      <c r="C121" s="60" t="n"/>
      <c r="D121" s="61" t="n"/>
      <c r="E121" s="74" t="n"/>
      <c r="F121" s="74" t="n"/>
      <c r="G121" s="73" t="n"/>
      <c r="H121" s="66" t="str">
        <f>IF(M121&lt;&gt;"OK","",INDEX(po_mo,MATCH(D121,po_code,0)))</f>
        <v/>
      </c>
      <c r="I121" s="66" t="str">
        <f>IF(M121&lt;&gt;"OK","",INDEX(po_mac,MATCH(D121,po_code,0)))</f>
        <v/>
      </c>
      <c r="J121" s="66" t="str">
        <f>IF(M121&lt;&gt;"OK","",N(E121)*(H121*IF(G121="",1,G121)+I121))</f>
        <v/>
      </c>
      <c r="K121" s="66" t="str">
        <f>IF(M121&lt;&gt;"OK","",N(F121)/60*H121*IF(G121="",1,G121))</f>
        <v/>
      </c>
      <c r="L121" s="66" t="str">
        <f>IF(M121&lt;&gt;"OK","",N(F121)/60*I121)</f>
        <v/>
      </c>
      <c r="M121" s="69" t="str">
        <f>IF(AND(A121="",D121=""),"",IF(A121="","Produit manquant",IF(COUNTIF(prod_ref,A121)=0,"Produit inconnu",IF(D121="","Poste manquant",IF(ISNA(MATCH(D121,po_code,0)),"Poste inconnu",IF(INDEX(po_check,MATCH(D121,po_code,0))&lt;&gt;"OK","Poste à corriger",IF(AND(E121&lt;&gt;"",OR(NOT(ISNUMBER(E121)),N(E121)&lt;0)),"Réglage invalide",IF(AND(F121&lt;&gt;"",OR(NOT(ISNUMBER(F121)),N(F121)&lt;0)),"Temps par pièce invalide",IF(N(E121)+N(F121)=0,"Temps manquant",IF(AND(G121&lt;&gt;"",OR(NOT(ISNUMBER(G121)),N(G121)&lt;=0)),"Opérateurs invalide","OK"))))))))))</f>
        <v/>
      </c>
      <c r="N121" s="71" t="str">
        <f>IF(AND(fiche_sel&lt;&gt;"",A121=fiche_sel),COUNTIF(A$6:A121,fiche_sel),"")</f>
        <v/>
      </c>
    </row>
    <row r="122">
      <c r="A122" s="60" t="n"/>
      <c r="B122" s="73" t="n"/>
      <c r="C122" s="60" t="n"/>
      <c r="D122" s="61" t="n"/>
      <c r="E122" s="74" t="n"/>
      <c r="F122" s="74" t="n"/>
      <c r="G122" s="73" t="n"/>
      <c r="H122" s="66" t="str">
        <f>IF(M122&lt;&gt;"OK","",INDEX(po_mo,MATCH(D122,po_code,0)))</f>
        <v/>
      </c>
      <c r="I122" s="66" t="str">
        <f>IF(M122&lt;&gt;"OK","",INDEX(po_mac,MATCH(D122,po_code,0)))</f>
        <v/>
      </c>
      <c r="J122" s="66" t="str">
        <f>IF(M122&lt;&gt;"OK","",N(E122)*(H122*IF(G122="",1,G122)+I122))</f>
        <v/>
      </c>
      <c r="K122" s="66" t="str">
        <f>IF(M122&lt;&gt;"OK","",N(F122)/60*H122*IF(G122="",1,G122))</f>
        <v/>
      </c>
      <c r="L122" s="66" t="str">
        <f>IF(M122&lt;&gt;"OK","",N(F122)/60*I122)</f>
        <v/>
      </c>
      <c r="M122" s="69" t="str">
        <f>IF(AND(A122="",D122=""),"",IF(A122="","Produit manquant",IF(COUNTIF(prod_ref,A122)=0,"Produit inconnu",IF(D122="","Poste manquant",IF(ISNA(MATCH(D122,po_code,0)),"Poste inconnu",IF(INDEX(po_check,MATCH(D122,po_code,0))&lt;&gt;"OK","Poste à corriger",IF(AND(E122&lt;&gt;"",OR(NOT(ISNUMBER(E122)),N(E122)&lt;0)),"Réglage invalide",IF(AND(F122&lt;&gt;"",OR(NOT(ISNUMBER(F122)),N(F122)&lt;0)),"Temps par pièce invalide",IF(N(E122)+N(F122)=0,"Temps manquant",IF(AND(G122&lt;&gt;"",OR(NOT(ISNUMBER(G122)),N(G122)&lt;=0)),"Opérateurs invalide","OK"))))))))))</f>
        <v/>
      </c>
      <c r="N122" s="71" t="str">
        <f>IF(AND(fiche_sel&lt;&gt;"",A122=fiche_sel),COUNTIF(A$6:A122,fiche_sel),"")</f>
        <v/>
      </c>
    </row>
    <row r="123">
      <c r="A123" s="60" t="n"/>
      <c r="B123" s="73" t="n"/>
      <c r="C123" s="60" t="n"/>
      <c r="D123" s="61" t="n"/>
      <c r="E123" s="74" t="n"/>
      <c r="F123" s="74" t="n"/>
      <c r="G123" s="73" t="n"/>
      <c r="H123" s="66" t="str">
        <f>IF(M123&lt;&gt;"OK","",INDEX(po_mo,MATCH(D123,po_code,0)))</f>
        <v/>
      </c>
      <c r="I123" s="66" t="str">
        <f>IF(M123&lt;&gt;"OK","",INDEX(po_mac,MATCH(D123,po_code,0)))</f>
        <v/>
      </c>
      <c r="J123" s="66" t="str">
        <f>IF(M123&lt;&gt;"OK","",N(E123)*(H123*IF(G123="",1,G123)+I123))</f>
        <v/>
      </c>
      <c r="K123" s="66" t="str">
        <f>IF(M123&lt;&gt;"OK","",N(F123)/60*H123*IF(G123="",1,G123))</f>
        <v/>
      </c>
      <c r="L123" s="66" t="str">
        <f>IF(M123&lt;&gt;"OK","",N(F123)/60*I123)</f>
        <v/>
      </c>
      <c r="M123" s="69" t="str">
        <f>IF(AND(A123="",D123=""),"",IF(A123="","Produit manquant",IF(COUNTIF(prod_ref,A123)=0,"Produit inconnu",IF(D123="","Poste manquant",IF(ISNA(MATCH(D123,po_code,0)),"Poste inconnu",IF(INDEX(po_check,MATCH(D123,po_code,0))&lt;&gt;"OK","Poste à corriger",IF(AND(E123&lt;&gt;"",OR(NOT(ISNUMBER(E123)),N(E123)&lt;0)),"Réglage invalide",IF(AND(F123&lt;&gt;"",OR(NOT(ISNUMBER(F123)),N(F123)&lt;0)),"Temps par pièce invalide",IF(N(E123)+N(F123)=0,"Temps manquant",IF(AND(G123&lt;&gt;"",OR(NOT(ISNUMBER(G123)),N(G123)&lt;=0)),"Opérateurs invalide","OK"))))))))))</f>
        <v/>
      </c>
      <c r="N123" s="71" t="str">
        <f>IF(AND(fiche_sel&lt;&gt;"",A123=fiche_sel),COUNTIF(A$6:A123,fiche_sel),"")</f>
        <v/>
      </c>
    </row>
    <row r="124">
      <c r="A124" s="60" t="n"/>
      <c r="B124" s="73" t="n"/>
      <c r="C124" s="60" t="n"/>
      <c r="D124" s="61" t="n"/>
      <c r="E124" s="74" t="n"/>
      <c r="F124" s="74" t="n"/>
      <c r="G124" s="73" t="n"/>
      <c r="H124" s="66" t="str">
        <f>IF(M124&lt;&gt;"OK","",INDEX(po_mo,MATCH(D124,po_code,0)))</f>
        <v/>
      </c>
      <c r="I124" s="66" t="str">
        <f>IF(M124&lt;&gt;"OK","",INDEX(po_mac,MATCH(D124,po_code,0)))</f>
        <v/>
      </c>
      <c r="J124" s="66" t="str">
        <f>IF(M124&lt;&gt;"OK","",N(E124)*(H124*IF(G124="",1,G124)+I124))</f>
        <v/>
      </c>
      <c r="K124" s="66" t="str">
        <f>IF(M124&lt;&gt;"OK","",N(F124)/60*H124*IF(G124="",1,G124))</f>
        <v/>
      </c>
      <c r="L124" s="66" t="str">
        <f>IF(M124&lt;&gt;"OK","",N(F124)/60*I124)</f>
        <v/>
      </c>
      <c r="M124" s="69" t="str">
        <f>IF(AND(A124="",D124=""),"",IF(A124="","Produit manquant",IF(COUNTIF(prod_ref,A124)=0,"Produit inconnu",IF(D124="","Poste manquant",IF(ISNA(MATCH(D124,po_code,0)),"Poste inconnu",IF(INDEX(po_check,MATCH(D124,po_code,0))&lt;&gt;"OK","Poste à corriger",IF(AND(E124&lt;&gt;"",OR(NOT(ISNUMBER(E124)),N(E124)&lt;0)),"Réglage invalide",IF(AND(F124&lt;&gt;"",OR(NOT(ISNUMBER(F124)),N(F124)&lt;0)),"Temps par pièce invalide",IF(N(E124)+N(F124)=0,"Temps manquant",IF(AND(G124&lt;&gt;"",OR(NOT(ISNUMBER(G124)),N(G124)&lt;=0)),"Opérateurs invalide","OK"))))))))))</f>
        <v/>
      </c>
      <c r="N124" s="71" t="str">
        <f>IF(AND(fiche_sel&lt;&gt;"",A124=fiche_sel),COUNTIF(A$6:A124,fiche_sel),"")</f>
        <v/>
      </c>
    </row>
    <row r="125">
      <c r="A125" s="60" t="n"/>
      <c r="B125" s="73" t="n"/>
      <c r="C125" s="60" t="n"/>
      <c r="D125" s="61" t="n"/>
      <c r="E125" s="74" t="n"/>
      <c r="F125" s="74" t="n"/>
      <c r="G125" s="73" t="n"/>
      <c r="H125" s="66" t="str">
        <f>IF(M125&lt;&gt;"OK","",INDEX(po_mo,MATCH(D125,po_code,0)))</f>
        <v/>
      </c>
      <c r="I125" s="66" t="str">
        <f>IF(M125&lt;&gt;"OK","",INDEX(po_mac,MATCH(D125,po_code,0)))</f>
        <v/>
      </c>
      <c r="J125" s="66" t="str">
        <f>IF(M125&lt;&gt;"OK","",N(E125)*(H125*IF(G125="",1,G125)+I125))</f>
        <v/>
      </c>
      <c r="K125" s="66" t="str">
        <f>IF(M125&lt;&gt;"OK","",N(F125)/60*H125*IF(G125="",1,G125))</f>
        <v/>
      </c>
      <c r="L125" s="66" t="str">
        <f>IF(M125&lt;&gt;"OK","",N(F125)/60*I125)</f>
        <v/>
      </c>
      <c r="M125" s="69" t="str">
        <f>IF(AND(A125="",D125=""),"",IF(A125="","Produit manquant",IF(COUNTIF(prod_ref,A125)=0,"Produit inconnu",IF(D125="","Poste manquant",IF(ISNA(MATCH(D125,po_code,0)),"Poste inconnu",IF(INDEX(po_check,MATCH(D125,po_code,0))&lt;&gt;"OK","Poste à corriger",IF(AND(E125&lt;&gt;"",OR(NOT(ISNUMBER(E125)),N(E125)&lt;0)),"Réglage invalide",IF(AND(F125&lt;&gt;"",OR(NOT(ISNUMBER(F125)),N(F125)&lt;0)),"Temps par pièce invalide",IF(N(E125)+N(F125)=0,"Temps manquant",IF(AND(G125&lt;&gt;"",OR(NOT(ISNUMBER(G125)),N(G125)&lt;=0)),"Opérateurs invalide","OK"))))))))))</f>
        <v/>
      </c>
      <c r="N125" s="71" t="str">
        <f>IF(AND(fiche_sel&lt;&gt;"",A125=fiche_sel),COUNTIF(A$6:A125,fiche_sel),"")</f>
        <v/>
      </c>
    </row>
    <row r="126">
      <c r="A126" s="60" t="n"/>
      <c r="B126" s="73" t="n"/>
      <c r="C126" s="60" t="n"/>
      <c r="D126" s="61" t="n"/>
      <c r="E126" s="74" t="n"/>
      <c r="F126" s="74" t="n"/>
      <c r="G126" s="73" t="n"/>
      <c r="H126" s="66" t="str">
        <f>IF(M126&lt;&gt;"OK","",INDEX(po_mo,MATCH(D126,po_code,0)))</f>
        <v/>
      </c>
      <c r="I126" s="66" t="str">
        <f>IF(M126&lt;&gt;"OK","",INDEX(po_mac,MATCH(D126,po_code,0)))</f>
        <v/>
      </c>
      <c r="J126" s="66" t="str">
        <f>IF(M126&lt;&gt;"OK","",N(E126)*(H126*IF(G126="",1,G126)+I126))</f>
        <v/>
      </c>
      <c r="K126" s="66" t="str">
        <f>IF(M126&lt;&gt;"OK","",N(F126)/60*H126*IF(G126="",1,G126))</f>
        <v/>
      </c>
      <c r="L126" s="66" t="str">
        <f>IF(M126&lt;&gt;"OK","",N(F126)/60*I126)</f>
        <v/>
      </c>
      <c r="M126" s="69" t="str">
        <f>IF(AND(A126="",D126=""),"",IF(A126="","Produit manquant",IF(COUNTIF(prod_ref,A126)=0,"Produit inconnu",IF(D126="","Poste manquant",IF(ISNA(MATCH(D126,po_code,0)),"Poste inconnu",IF(INDEX(po_check,MATCH(D126,po_code,0))&lt;&gt;"OK","Poste à corriger",IF(AND(E126&lt;&gt;"",OR(NOT(ISNUMBER(E126)),N(E126)&lt;0)),"Réglage invalide",IF(AND(F126&lt;&gt;"",OR(NOT(ISNUMBER(F126)),N(F126)&lt;0)),"Temps par pièce invalide",IF(N(E126)+N(F126)=0,"Temps manquant",IF(AND(G126&lt;&gt;"",OR(NOT(ISNUMBER(G126)),N(G126)&lt;=0)),"Opérateurs invalide","OK"))))))))))</f>
        <v/>
      </c>
      <c r="N126" s="71" t="str">
        <f>IF(AND(fiche_sel&lt;&gt;"",A126=fiche_sel),COUNTIF(A$6:A126,fiche_sel),"")</f>
        <v/>
      </c>
    </row>
    <row r="127">
      <c r="A127" s="60" t="n"/>
      <c r="B127" s="73" t="n"/>
      <c r="C127" s="60" t="n"/>
      <c r="D127" s="61" t="n"/>
      <c r="E127" s="74" t="n"/>
      <c r="F127" s="74" t="n"/>
      <c r="G127" s="73" t="n"/>
      <c r="H127" s="66" t="str">
        <f>IF(M127&lt;&gt;"OK","",INDEX(po_mo,MATCH(D127,po_code,0)))</f>
        <v/>
      </c>
      <c r="I127" s="66" t="str">
        <f>IF(M127&lt;&gt;"OK","",INDEX(po_mac,MATCH(D127,po_code,0)))</f>
        <v/>
      </c>
      <c r="J127" s="66" t="str">
        <f>IF(M127&lt;&gt;"OK","",N(E127)*(H127*IF(G127="",1,G127)+I127))</f>
        <v/>
      </c>
      <c r="K127" s="66" t="str">
        <f>IF(M127&lt;&gt;"OK","",N(F127)/60*H127*IF(G127="",1,G127))</f>
        <v/>
      </c>
      <c r="L127" s="66" t="str">
        <f>IF(M127&lt;&gt;"OK","",N(F127)/60*I127)</f>
        <v/>
      </c>
      <c r="M127" s="69" t="str">
        <f>IF(AND(A127="",D127=""),"",IF(A127="","Produit manquant",IF(COUNTIF(prod_ref,A127)=0,"Produit inconnu",IF(D127="","Poste manquant",IF(ISNA(MATCH(D127,po_code,0)),"Poste inconnu",IF(INDEX(po_check,MATCH(D127,po_code,0))&lt;&gt;"OK","Poste à corriger",IF(AND(E127&lt;&gt;"",OR(NOT(ISNUMBER(E127)),N(E127)&lt;0)),"Réglage invalide",IF(AND(F127&lt;&gt;"",OR(NOT(ISNUMBER(F127)),N(F127)&lt;0)),"Temps par pièce invalide",IF(N(E127)+N(F127)=0,"Temps manquant",IF(AND(G127&lt;&gt;"",OR(NOT(ISNUMBER(G127)),N(G127)&lt;=0)),"Opérateurs invalide","OK"))))))))))</f>
        <v/>
      </c>
      <c r="N127" s="71" t="str">
        <f>IF(AND(fiche_sel&lt;&gt;"",A127=fiche_sel),COUNTIF(A$6:A127,fiche_sel),"")</f>
        <v/>
      </c>
    </row>
    <row r="128">
      <c r="A128" s="60" t="n"/>
      <c r="B128" s="73" t="n"/>
      <c r="C128" s="60" t="n"/>
      <c r="D128" s="61" t="n"/>
      <c r="E128" s="74" t="n"/>
      <c r="F128" s="74" t="n"/>
      <c r="G128" s="73" t="n"/>
      <c r="H128" s="66" t="str">
        <f>IF(M128&lt;&gt;"OK","",INDEX(po_mo,MATCH(D128,po_code,0)))</f>
        <v/>
      </c>
      <c r="I128" s="66" t="str">
        <f>IF(M128&lt;&gt;"OK","",INDEX(po_mac,MATCH(D128,po_code,0)))</f>
        <v/>
      </c>
      <c r="J128" s="66" t="str">
        <f>IF(M128&lt;&gt;"OK","",N(E128)*(H128*IF(G128="",1,G128)+I128))</f>
        <v/>
      </c>
      <c r="K128" s="66" t="str">
        <f>IF(M128&lt;&gt;"OK","",N(F128)/60*H128*IF(G128="",1,G128))</f>
        <v/>
      </c>
      <c r="L128" s="66" t="str">
        <f>IF(M128&lt;&gt;"OK","",N(F128)/60*I128)</f>
        <v/>
      </c>
      <c r="M128" s="69" t="str">
        <f>IF(AND(A128="",D128=""),"",IF(A128="","Produit manquant",IF(COUNTIF(prod_ref,A128)=0,"Produit inconnu",IF(D128="","Poste manquant",IF(ISNA(MATCH(D128,po_code,0)),"Poste inconnu",IF(INDEX(po_check,MATCH(D128,po_code,0))&lt;&gt;"OK","Poste à corriger",IF(AND(E128&lt;&gt;"",OR(NOT(ISNUMBER(E128)),N(E128)&lt;0)),"Réglage invalide",IF(AND(F128&lt;&gt;"",OR(NOT(ISNUMBER(F128)),N(F128)&lt;0)),"Temps par pièce invalide",IF(N(E128)+N(F128)=0,"Temps manquant",IF(AND(G128&lt;&gt;"",OR(NOT(ISNUMBER(G128)),N(G128)&lt;=0)),"Opérateurs invalide","OK"))))))))))</f>
        <v/>
      </c>
      <c r="N128" s="71" t="str">
        <f>IF(AND(fiche_sel&lt;&gt;"",A128=fiche_sel),COUNTIF(A$6:A128,fiche_sel),"")</f>
        <v/>
      </c>
    </row>
    <row r="129">
      <c r="A129" s="60" t="n"/>
      <c r="B129" s="73" t="n"/>
      <c r="C129" s="60" t="n"/>
      <c r="D129" s="61" t="n"/>
      <c r="E129" s="74" t="n"/>
      <c r="F129" s="74" t="n"/>
      <c r="G129" s="73" t="n"/>
      <c r="H129" s="66" t="str">
        <f>IF(M129&lt;&gt;"OK","",INDEX(po_mo,MATCH(D129,po_code,0)))</f>
        <v/>
      </c>
      <c r="I129" s="66" t="str">
        <f>IF(M129&lt;&gt;"OK","",INDEX(po_mac,MATCH(D129,po_code,0)))</f>
        <v/>
      </c>
      <c r="J129" s="66" t="str">
        <f>IF(M129&lt;&gt;"OK","",N(E129)*(H129*IF(G129="",1,G129)+I129))</f>
        <v/>
      </c>
      <c r="K129" s="66" t="str">
        <f>IF(M129&lt;&gt;"OK","",N(F129)/60*H129*IF(G129="",1,G129))</f>
        <v/>
      </c>
      <c r="L129" s="66" t="str">
        <f>IF(M129&lt;&gt;"OK","",N(F129)/60*I129)</f>
        <v/>
      </c>
      <c r="M129" s="69" t="str">
        <f>IF(AND(A129="",D129=""),"",IF(A129="","Produit manquant",IF(COUNTIF(prod_ref,A129)=0,"Produit inconnu",IF(D129="","Poste manquant",IF(ISNA(MATCH(D129,po_code,0)),"Poste inconnu",IF(INDEX(po_check,MATCH(D129,po_code,0))&lt;&gt;"OK","Poste à corriger",IF(AND(E129&lt;&gt;"",OR(NOT(ISNUMBER(E129)),N(E129)&lt;0)),"Réglage invalide",IF(AND(F129&lt;&gt;"",OR(NOT(ISNUMBER(F129)),N(F129)&lt;0)),"Temps par pièce invalide",IF(N(E129)+N(F129)=0,"Temps manquant",IF(AND(G129&lt;&gt;"",OR(NOT(ISNUMBER(G129)),N(G129)&lt;=0)),"Opérateurs invalide","OK"))))))))))</f>
        <v/>
      </c>
      <c r="N129" s="71" t="str">
        <f>IF(AND(fiche_sel&lt;&gt;"",A129=fiche_sel),COUNTIF(A$6:A129,fiche_sel),"")</f>
        <v/>
      </c>
    </row>
    <row r="130">
      <c r="A130" s="60" t="n"/>
      <c r="B130" s="73" t="n"/>
      <c r="C130" s="60" t="n"/>
      <c r="D130" s="61" t="n"/>
      <c r="E130" s="74" t="n"/>
      <c r="F130" s="74" t="n"/>
      <c r="G130" s="73" t="n"/>
      <c r="H130" s="66" t="str">
        <f>IF(M130&lt;&gt;"OK","",INDEX(po_mo,MATCH(D130,po_code,0)))</f>
        <v/>
      </c>
      <c r="I130" s="66" t="str">
        <f>IF(M130&lt;&gt;"OK","",INDEX(po_mac,MATCH(D130,po_code,0)))</f>
        <v/>
      </c>
      <c r="J130" s="66" t="str">
        <f>IF(M130&lt;&gt;"OK","",N(E130)*(H130*IF(G130="",1,G130)+I130))</f>
        <v/>
      </c>
      <c r="K130" s="66" t="str">
        <f>IF(M130&lt;&gt;"OK","",N(F130)/60*H130*IF(G130="",1,G130))</f>
        <v/>
      </c>
      <c r="L130" s="66" t="str">
        <f>IF(M130&lt;&gt;"OK","",N(F130)/60*I130)</f>
        <v/>
      </c>
      <c r="M130" s="69" t="str">
        <f>IF(AND(A130="",D130=""),"",IF(A130="","Produit manquant",IF(COUNTIF(prod_ref,A130)=0,"Produit inconnu",IF(D130="","Poste manquant",IF(ISNA(MATCH(D130,po_code,0)),"Poste inconnu",IF(INDEX(po_check,MATCH(D130,po_code,0))&lt;&gt;"OK","Poste à corriger",IF(AND(E130&lt;&gt;"",OR(NOT(ISNUMBER(E130)),N(E130)&lt;0)),"Réglage invalide",IF(AND(F130&lt;&gt;"",OR(NOT(ISNUMBER(F130)),N(F130)&lt;0)),"Temps par pièce invalide",IF(N(E130)+N(F130)=0,"Temps manquant",IF(AND(G130&lt;&gt;"",OR(NOT(ISNUMBER(G130)),N(G130)&lt;=0)),"Opérateurs invalide","OK"))))))))))</f>
        <v/>
      </c>
      <c r="N130" s="71" t="str">
        <f>IF(AND(fiche_sel&lt;&gt;"",A130=fiche_sel),COUNTIF(A$6:A130,fiche_sel),"")</f>
        <v/>
      </c>
    </row>
    <row r="131">
      <c r="A131" s="60" t="n"/>
      <c r="B131" s="73" t="n"/>
      <c r="C131" s="60" t="n"/>
      <c r="D131" s="61" t="n"/>
      <c r="E131" s="74" t="n"/>
      <c r="F131" s="74" t="n"/>
      <c r="G131" s="73" t="n"/>
      <c r="H131" s="66" t="str">
        <f>IF(M131&lt;&gt;"OK","",INDEX(po_mo,MATCH(D131,po_code,0)))</f>
        <v/>
      </c>
      <c r="I131" s="66" t="str">
        <f>IF(M131&lt;&gt;"OK","",INDEX(po_mac,MATCH(D131,po_code,0)))</f>
        <v/>
      </c>
      <c r="J131" s="66" t="str">
        <f>IF(M131&lt;&gt;"OK","",N(E131)*(H131*IF(G131="",1,G131)+I131))</f>
        <v/>
      </c>
      <c r="K131" s="66" t="str">
        <f>IF(M131&lt;&gt;"OK","",N(F131)/60*H131*IF(G131="",1,G131))</f>
        <v/>
      </c>
      <c r="L131" s="66" t="str">
        <f>IF(M131&lt;&gt;"OK","",N(F131)/60*I131)</f>
        <v/>
      </c>
      <c r="M131" s="69" t="str">
        <f>IF(AND(A131="",D131=""),"",IF(A131="","Produit manquant",IF(COUNTIF(prod_ref,A131)=0,"Produit inconnu",IF(D131="","Poste manquant",IF(ISNA(MATCH(D131,po_code,0)),"Poste inconnu",IF(INDEX(po_check,MATCH(D131,po_code,0))&lt;&gt;"OK","Poste à corriger",IF(AND(E131&lt;&gt;"",OR(NOT(ISNUMBER(E131)),N(E131)&lt;0)),"Réglage invalide",IF(AND(F131&lt;&gt;"",OR(NOT(ISNUMBER(F131)),N(F131)&lt;0)),"Temps par pièce invalide",IF(N(E131)+N(F131)=0,"Temps manquant",IF(AND(G131&lt;&gt;"",OR(NOT(ISNUMBER(G131)),N(G131)&lt;=0)),"Opérateurs invalide","OK"))))))))))</f>
        <v/>
      </c>
      <c r="N131" s="71" t="str">
        <f>IF(AND(fiche_sel&lt;&gt;"",A131=fiche_sel),COUNTIF(A$6:A131,fiche_sel),"")</f>
        <v/>
      </c>
    </row>
    <row r="132">
      <c r="A132" s="60" t="n"/>
      <c r="B132" s="73" t="n"/>
      <c r="C132" s="60" t="n"/>
      <c r="D132" s="61" t="n"/>
      <c r="E132" s="74" t="n"/>
      <c r="F132" s="74" t="n"/>
      <c r="G132" s="73" t="n"/>
      <c r="H132" s="66" t="str">
        <f>IF(M132&lt;&gt;"OK","",INDEX(po_mo,MATCH(D132,po_code,0)))</f>
        <v/>
      </c>
      <c r="I132" s="66" t="str">
        <f>IF(M132&lt;&gt;"OK","",INDEX(po_mac,MATCH(D132,po_code,0)))</f>
        <v/>
      </c>
      <c r="J132" s="66" t="str">
        <f>IF(M132&lt;&gt;"OK","",N(E132)*(H132*IF(G132="",1,G132)+I132))</f>
        <v/>
      </c>
      <c r="K132" s="66" t="str">
        <f>IF(M132&lt;&gt;"OK","",N(F132)/60*H132*IF(G132="",1,G132))</f>
        <v/>
      </c>
      <c r="L132" s="66" t="str">
        <f>IF(M132&lt;&gt;"OK","",N(F132)/60*I132)</f>
        <v/>
      </c>
      <c r="M132" s="69" t="str">
        <f>IF(AND(A132="",D132=""),"",IF(A132="","Produit manquant",IF(COUNTIF(prod_ref,A132)=0,"Produit inconnu",IF(D132="","Poste manquant",IF(ISNA(MATCH(D132,po_code,0)),"Poste inconnu",IF(INDEX(po_check,MATCH(D132,po_code,0))&lt;&gt;"OK","Poste à corriger",IF(AND(E132&lt;&gt;"",OR(NOT(ISNUMBER(E132)),N(E132)&lt;0)),"Réglage invalide",IF(AND(F132&lt;&gt;"",OR(NOT(ISNUMBER(F132)),N(F132)&lt;0)),"Temps par pièce invalide",IF(N(E132)+N(F132)=0,"Temps manquant",IF(AND(G132&lt;&gt;"",OR(NOT(ISNUMBER(G132)),N(G132)&lt;=0)),"Opérateurs invalide","OK"))))))))))</f>
        <v/>
      </c>
      <c r="N132" s="71" t="str">
        <f>IF(AND(fiche_sel&lt;&gt;"",A132=fiche_sel),COUNTIF(A$6:A132,fiche_sel),"")</f>
        <v/>
      </c>
    </row>
    <row r="133">
      <c r="A133" s="60" t="n"/>
      <c r="B133" s="73" t="n"/>
      <c r="C133" s="60" t="n"/>
      <c r="D133" s="61" t="n"/>
      <c r="E133" s="74" t="n"/>
      <c r="F133" s="74" t="n"/>
      <c r="G133" s="73" t="n"/>
      <c r="H133" s="66" t="str">
        <f>IF(M133&lt;&gt;"OK","",INDEX(po_mo,MATCH(D133,po_code,0)))</f>
        <v/>
      </c>
      <c r="I133" s="66" t="str">
        <f>IF(M133&lt;&gt;"OK","",INDEX(po_mac,MATCH(D133,po_code,0)))</f>
        <v/>
      </c>
      <c r="J133" s="66" t="str">
        <f>IF(M133&lt;&gt;"OK","",N(E133)*(H133*IF(G133="",1,G133)+I133))</f>
        <v/>
      </c>
      <c r="K133" s="66" t="str">
        <f>IF(M133&lt;&gt;"OK","",N(F133)/60*H133*IF(G133="",1,G133))</f>
        <v/>
      </c>
      <c r="L133" s="66" t="str">
        <f>IF(M133&lt;&gt;"OK","",N(F133)/60*I133)</f>
        <v/>
      </c>
      <c r="M133" s="69" t="str">
        <f>IF(AND(A133="",D133=""),"",IF(A133="","Produit manquant",IF(COUNTIF(prod_ref,A133)=0,"Produit inconnu",IF(D133="","Poste manquant",IF(ISNA(MATCH(D133,po_code,0)),"Poste inconnu",IF(INDEX(po_check,MATCH(D133,po_code,0))&lt;&gt;"OK","Poste à corriger",IF(AND(E133&lt;&gt;"",OR(NOT(ISNUMBER(E133)),N(E133)&lt;0)),"Réglage invalide",IF(AND(F133&lt;&gt;"",OR(NOT(ISNUMBER(F133)),N(F133)&lt;0)),"Temps par pièce invalide",IF(N(E133)+N(F133)=0,"Temps manquant",IF(AND(G133&lt;&gt;"",OR(NOT(ISNUMBER(G133)),N(G133)&lt;=0)),"Opérateurs invalide","OK"))))))))))</f>
        <v/>
      </c>
      <c r="N133" s="71" t="str">
        <f>IF(AND(fiche_sel&lt;&gt;"",A133=fiche_sel),COUNTIF(A$6:A133,fiche_sel),"")</f>
        <v/>
      </c>
    </row>
    <row r="134">
      <c r="A134" s="60" t="n"/>
      <c r="B134" s="73" t="n"/>
      <c r="C134" s="60" t="n"/>
      <c r="D134" s="61" t="n"/>
      <c r="E134" s="74" t="n"/>
      <c r="F134" s="74" t="n"/>
      <c r="G134" s="73" t="n"/>
      <c r="H134" s="66" t="str">
        <f>IF(M134&lt;&gt;"OK","",INDEX(po_mo,MATCH(D134,po_code,0)))</f>
        <v/>
      </c>
      <c r="I134" s="66" t="str">
        <f>IF(M134&lt;&gt;"OK","",INDEX(po_mac,MATCH(D134,po_code,0)))</f>
        <v/>
      </c>
      <c r="J134" s="66" t="str">
        <f>IF(M134&lt;&gt;"OK","",N(E134)*(H134*IF(G134="",1,G134)+I134))</f>
        <v/>
      </c>
      <c r="K134" s="66" t="str">
        <f>IF(M134&lt;&gt;"OK","",N(F134)/60*H134*IF(G134="",1,G134))</f>
        <v/>
      </c>
      <c r="L134" s="66" t="str">
        <f>IF(M134&lt;&gt;"OK","",N(F134)/60*I134)</f>
        <v/>
      </c>
      <c r="M134" s="69" t="str">
        <f>IF(AND(A134="",D134=""),"",IF(A134="","Produit manquant",IF(COUNTIF(prod_ref,A134)=0,"Produit inconnu",IF(D134="","Poste manquant",IF(ISNA(MATCH(D134,po_code,0)),"Poste inconnu",IF(INDEX(po_check,MATCH(D134,po_code,0))&lt;&gt;"OK","Poste à corriger",IF(AND(E134&lt;&gt;"",OR(NOT(ISNUMBER(E134)),N(E134)&lt;0)),"Réglage invalide",IF(AND(F134&lt;&gt;"",OR(NOT(ISNUMBER(F134)),N(F134)&lt;0)),"Temps par pièce invalide",IF(N(E134)+N(F134)=0,"Temps manquant",IF(AND(G134&lt;&gt;"",OR(NOT(ISNUMBER(G134)),N(G134)&lt;=0)),"Opérateurs invalide","OK"))))))))))</f>
        <v/>
      </c>
      <c r="N134" s="71" t="str">
        <f>IF(AND(fiche_sel&lt;&gt;"",A134=fiche_sel),COUNTIF(A$6:A134,fiche_sel),"")</f>
        <v/>
      </c>
    </row>
    <row r="135">
      <c r="A135" s="60" t="n"/>
      <c r="B135" s="73" t="n"/>
      <c r="C135" s="60" t="n"/>
      <c r="D135" s="61" t="n"/>
      <c r="E135" s="74" t="n"/>
      <c r="F135" s="74" t="n"/>
      <c r="G135" s="73" t="n"/>
      <c r="H135" s="66" t="str">
        <f>IF(M135&lt;&gt;"OK","",INDEX(po_mo,MATCH(D135,po_code,0)))</f>
        <v/>
      </c>
      <c r="I135" s="66" t="str">
        <f>IF(M135&lt;&gt;"OK","",INDEX(po_mac,MATCH(D135,po_code,0)))</f>
        <v/>
      </c>
      <c r="J135" s="66" t="str">
        <f>IF(M135&lt;&gt;"OK","",N(E135)*(H135*IF(G135="",1,G135)+I135))</f>
        <v/>
      </c>
      <c r="K135" s="66" t="str">
        <f>IF(M135&lt;&gt;"OK","",N(F135)/60*H135*IF(G135="",1,G135))</f>
        <v/>
      </c>
      <c r="L135" s="66" t="str">
        <f>IF(M135&lt;&gt;"OK","",N(F135)/60*I135)</f>
        <v/>
      </c>
      <c r="M135" s="69" t="str">
        <f>IF(AND(A135="",D135=""),"",IF(A135="","Produit manquant",IF(COUNTIF(prod_ref,A135)=0,"Produit inconnu",IF(D135="","Poste manquant",IF(ISNA(MATCH(D135,po_code,0)),"Poste inconnu",IF(INDEX(po_check,MATCH(D135,po_code,0))&lt;&gt;"OK","Poste à corriger",IF(AND(E135&lt;&gt;"",OR(NOT(ISNUMBER(E135)),N(E135)&lt;0)),"Réglage invalide",IF(AND(F135&lt;&gt;"",OR(NOT(ISNUMBER(F135)),N(F135)&lt;0)),"Temps par pièce invalide",IF(N(E135)+N(F135)=0,"Temps manquant",IF(AND(G135&lt;&gt;"",OR(NOT(ISNUMBER(G135)),N(G135)&lt;=0)),"Opérateurs invalide","OK"))))))))))</f>
        <v/>
      </c>
      <c r="N135" s="71" t="str">
        <f>IF(AND(fiche_sel&lt;&gt;"",A135=fiche_sel),COUNTIF(A$6:A135,fiche_sel),"")</f>
        <v/>
      </c>
    </row>
    <row r="136">
      <c r="A136" s="60" t="n"/>
      <c r="B136" s="73" t="n"/>
      <c r="C136" s="60" t="n"/>
      <c r="D136" s="61" t="n"/>
      <c r="E136" s="74" t="n"/>
      <c r="F136" s="74" t="n"/>
      <c r="G136" s="73" t="n"/>
      <c r="H136" s="66" t="str">
        <f>IF(M136&lt;&gt;"OK","",INDEX(po_mo,MATCH(D136,po_code,0)))</f>
        <v/>
      </c>
      <c r="I136" s="66" t="str">
        <f>IF(M136&lt;&gt;"OK","",INDEX(po_mac,MATCH(D136,po_code,0)))</f>
        <v/>
      </c>
      <c r="J136" s="66" t="str">
        <f>IF(M136&lt;&gt;"OK","",N(E136)*(H136*IF(G136="",1,G136)+I136))</f>
        <v/>
      </c>
      <c r="K136" s="66" t="str">
        <f>IF(M136&lt;&gt;"OK","",N(F136)/60*H136*IF(G136="",1,G136))</f>
        <v/>
      </c>
      <c r="L136" s="66" t="str">
        <f>IF(M136&lt;&gt;"OK","",N(F136)/60*I136)</f>
        <v/>
      </c>
      <c r="M136" s="69" t="str">
        <f>IF(AND(A136="",D136=""),"",IF(A136="","Produit manquant",IF(COUNTIF(prod_ref,A136)=0,"Produit inconnu",IF(D136="","Poste manquant",IF(ISNA(MATCH(D136,po_code,0)),"Poste inconnu",IF(INDEX(po_check,MATCH(D136,po_code,0))&lt;&gt;"OK","Poste à corriger",IF(AND(E136&lt;&gt;"",OR(NOT(ISNUMBER(E136)),N(E136)&lt;0)),"Réglage invalide",IF(AND(F136&lt;&gt;"",OR(NOT(ISNUMBER(F136)),N(F136)&lt;0)),"Temps par pièce invalide",IF(N(E136)+N(F136)=0,"Temps manquant",IF(AND(G136&lt;&gt;"",OR(NOT(ISNUMBER(G136)),N(G136)&lt;=0)),"Opérateurs invalide","OK"))))))))))</f>
        <v/>
      </c>
      <c r="N136" s="71" t="str">
        <f>IF(AND(fiche_sel&lt;&gt;"",A136=fiche_sel),COUNTIF(A$6:A136,fiche_sel),"")</f>
        <v/>
      </c>
    </row>
    <row r="137">
      <c r="A137" s="60" t="n"/>
      <c r="B137" s="73" t="n"/>
      <c r="C137" s="60" t="n"/>
      <c r="D137" s="61" t="n"/>
      <c r="E137" s="74" t="n"/>
      <c r="F137" s="74" t="n"/>
      <c r="G137" s="73" t="n"/>
      <c r="H137" s="66" t="str">
        <f>IF(M137&lt;&gt;"OK","",INDEX(po_mo,MATCH(D137,po_code,0)))</f>
        <v/>
      </c>
      <c r="I137" s="66" t="str">
        <f>IF(M137&lt;&gt;"OK","",INDEX(po_mac,MATCH(D137,po_code,0)))</f>
        <v/>
      </c>
      <c r="J137" s="66" t="str">
        <f>IF(M137&lt;&gt;"OK","",N(E137)*(H137*IF(G137="",1,G137)+I137))</f>
        <v/>
      </c>
      <c r="K137" s="66" t="str">
        <f>IF(M137&lt;&gt;"OK","",N(F137)/60*H137*IF(G137="",1,G137))</f>
        <v/>
      </c>
      <c r="L137" s="66" t="str">
        <f>IF(M137&lt;&gt;"OK","",N(F137)/60*I137)</f>
        <v/>
      </c>
      <c r="M137" s="69" t="str">
        <f>IF(AND(A137="",D137=""),"",IF(A137="","Produit manquant",IF(COUNTIF(prod_ref,A137)=0,"Produit inconnu",IF(D137="","Poste manquant",IF(ISNA(MATCH(D137,po_code,0)),"Poste inconnu",IF(INDEX(po_check,MATCH(D137,po_code,0))&lt;&gt;"OK","Poste à corriger",IF(AND(E137&lt;&gt;"",OR(NOT(ISNUMBER(E137)),N(E137)&lt;0)),"Réglage invalide",IF(AND(F137&lt;&gt;"",OR(NOT(ISNUMBER(F137)),N(F137)&lt;0)),"Temps par pièce invalide",IF(N(E137)+N(F137)=0,"Temps manquant",IF(AND(G137&lt;&gt;"",OR(NOT(ISNUMBER(G137)),N(G137)&lt;=0)),"Opérateurs invalide","OK"))))))))))</f>
        <v/>
      </c>
      <c r="N137" s="71" t="str">
        <f>IF(AND(fiche_sel&lt;&gt;"",A137=fiche_sel),COUNTIF(A$6:A137,fiche_sel),"")</f>
        <v/>
      </c>
    </row>
    <row r="138">
      <c r="A138" s="60" t="n"/>
      <c r="B138" s="73" t="n"/>
      <c r="C138" s="60" t="n"/>
      <c r="D138" s="61" t="n"/>
      <c r="E138" s="74" t="n"/>
      <c r="F138" s="74" t="n"/>
      <c r="G138" s="73" t="n"/>
      <c r="H138" s="66" t="str">
        <f>IF(M138&lt;&gt;"OK","",INDEX(po_mo,MATCH(D138,po_code,0)))</f>
        <v/>
      </c>
      <c r="I138" s="66" t="str">
        <f>IF(M138&lt;&gt;"OK","",INDEX(po_mac,MATCH(D138,po_code,0)))</f>
        <v/>
      </c>
      <c r="J138" s="66" t="str">
        <f>IF(M138&lt;&gt;"OK","",N(E138)*(H138*IF(G138="",1,G138)+I138))</f>
        <v/>
      </c>
      <c r="K138" s="66" t="str">
        <f>IF(M138&lt;&gt;"OK","",N(F138)/60*H138*IF(G138="",1,G138))</f>
        <v/>
      </c>
      <c r="L138" s="66" t="str">
        <f>IF(M138&lt;&gt;"OK","",N(F138)/60*I138)</f>
        <v/>
      </c>
      <c r="M138" s="69" t="str">
        <f>IF(AND(A138="",D138=""),"",IF(A138="","Produit manquant",IF(COUNTIF(prod_ref,A138)=0,"Produit inconnu",IF(D138="","Poste manquant",IF(ISNA(MATCH(D138,po_code,0)),"Poste inconnu",IF(INDEX(po_check,MATCH(D138,po_code,0))&lt;&gt;"OK","Poste à corriger",IF(AND(E138&lt;&gt;"",OR(NOT(ISNUMBER(E138)),N(E138)&lt;0)),"Réglage invalide",IF(AND(F138&lt;&gt;"",OR(NOT(ISNUMBER(F138)),N(F138)&lt;0)),"Temps par pièce invalide",IF(N(E138)+N(F138)=0,"Temps manquant",IF(AND(G138&lt;&gt;"",OR(NOT(ISNUMBER(G138)),N(G138)&lt;=0)),"Opérateurs invalide","OK"))))))))))</f>
        <v/>
      </c>
      <c r="N138" s="71" t="str">
        <f>IF(AND(fiche_sel&lt;&gt;"",A138=fiche_sel),COUNTIF(A$6:A138,fiche_sel),"")</f>
        <v/>
      </c>
    </row>
    <row r="139">
      <c r="A139" s="60" t="n"/>
      <c r="B139" s="73" t="n"/>
      <c r="C139" s="60" t="n"/>
      <c r="D139" s="61" t="n"/>
      <c r="E139" s="74" t="n"/>
      <c r="F139" s="74" t="n"/>
      <c r="G139" s="73" t="n"/>
      <c r="H139" s="66" t="str">
        <f>IF(M139&lt;&gt;"OK","",INDEX(po_mo,MATCH(D139,po_code,0)))</f>
        <v/>
      </c>
      <c r="I139" s="66" t="str">
        <f>IF(M139&lt;&gt;"OK","",INDEX(po_mac,MATCH(D139,po_code,0)))</f>
        <v/>
      </c>
      <c r="J139" s="66" t="str">
        <f>IF(M139&lt;&gt;"OK","",N(E139)*(H139*IF(G139="",1,G139)+I139))</f>
        <v/>
      </c>
      <c r="K139" s="66" t="str">
        <f>IF(M139&lt;&gt;"OK","",N(F139)/60*H139*IF(G139="",1,G139))</f>
        <v/>
      </c>
      <c r="L139" s="66" t="str">
        <f>IF(M139&lt;&gt;"OK","",N(F139)/60*I139)</f>
        <v/>
      </c>
      <c r="M139" s="69" t="str">
        <f>IF(AND(A139="",D139=""),"",IF(A139="","Produit manquant",IF(COUNTIF(prod_ref,A139)=0,"Produit inconnu",IF(D139="","Poste manquant",IF(ISNA(MATCH(D139,po_code,0)),"Poste inconnu",IF(INDEX(po_check,MATCH(D139,po_code,0))&lt;&gt;"OK","Poste à corriger",IF(AND(E139&lt;&gt;"",OR(NOT(ISNUMBER(E139)),N(E139)&lt;0)),"Réglage invalide",IF(AND(F139&lt;&gt;"",OR(NOT(ISNUMBER(F139)),N(F139)&lt;0)),"Temps par pièce invalide",IF(N(E139)+N(F139)=0,"Temps manquant",IF(AND(G139&lt;&gt;"",OR(NOT(ISNUMBER(G139)),N(G139)&lt;=0)),"Opérateurs invalide","OK"))))))))))</f>
        <v/>
      </c>
      <c r="N139" s="71" t="str">
        <f>IF(AND(fiche_sel&lt;&gt;"",A139=fiche_sel),COUNTIF(A$6:A139,fiche_sel),"")</f>
        <v/>
      </c>
    </row>
    <row r="140">
      <c r="A140" s="60" t="n"/>
      <c r="B140" s="73" t="n"/>
      <c r="C140" s="60" t="n"/>
      <c r="D140" s="61" t="n"/>
      <c r="E140" s="74" t="n"/>
      <c r="F140" s="74" t="n"/>
      <c r="G140" s="73" t="n"/>
      <c r="H140" s="66" t="str">
        <f>IF(M140&lt;&gt;"OK","",INDEX(po_mo,MATCH(D140,po_code,0)))</f>
        <v/>
      </c>
      <c r="I140" s="66" t="str">
        <f>IF(M140&lt;&gt;"OK","",INDEX(po_mac,MATCH(D140,po_code,0)))</f>
        <v/>
      </c>
      <c r="J140" s="66" t="str">
        <f>IF(M140&lt;&gt;"OK","",N(E140)*(H140*IF(G140="",1,G140)+I140))</f>
        <v/>
      </c>
      <c r="K140" s="66" t="str">
        <f>IF(M140&lt;&gt;"OK","",N(F140)/60*H140*IF(G140="",1,G140))</f>
        <v/>
      </c>
      <c r="L140" s="66" t="str">
        <f>IF(M140&lt;&gt;"OK","",N(F140)/60*I140)</f>
        <v/>
      </c>
      <c r="M140" s="69" t="str">
        <f>IF(AND(A140="",D140=""),"",IF(A140="","Produit manquant",IF(COUNTIF(prod_ref,A140)=0,"Produit inconnu",IF(D140="","Poste manquant",IF(ISNA(MATCH(D140,po_code,0)),"Poste inconnu",IF(INDEX(po_check,MATCH(D140,po_code,0))&lt;&gt;"OK","Poste à corriger",IF(AND(E140&lt;&gt;"",OR(NOT(ISNUMBER(E140)),N(E140)&lt;0)),"Réglage invalide",IF(AND(F140&lt;&gt;"",OR(NOT(ISNUMBER(F140)),N(F140)&lt;0)),"Temps par pièce invalide",IF(N(E140)+N(F140)=0,"Temps manquant",IF(AND(G140&lt;&gt;"",OR(NOT(ISNUMBER(G140)),N(G140)&lt;=0)),"Opérateurs invalide","OK"))))))))))</f>
        <v/>
      </c>
      <c r="N140" s="71" t="str">
        <f>IF(AND(fiche_sel&lt;&gt;"",A140=fiche_sel),COUNTIF(A$6:A140,fiche_sel),"")</f>
        <v/>
      </c>
    </row>
    <row r="141">
      <c r="A141" s="60" t="n"/>
      <c r="B141" s="73" t="n"/>
      <c r="C141" s="60" t="n"/>
      <c r="D141" s="61" t="n"/>
      <c r="E141" s="74" t="n"/>
      <c r="F141" s="74" t="n"/>
      <c r="G141" s="73" t="n"/>
      <c r="H141" s="66" t="str">
        <f>IF(M141&lt;&gt;"OK","",INDEX(po_mo,MATCH(D141,po_code,0)))</f>
        <v/>
      </c>
      <c r="I141" s="66" t="str">
        <f>IF(M141&lt;&gt;"OK","",INDEX(po_mac,MATCH(D141,po_code,0)))</f>
        <v/>
      </c>
      <c r="J141" s="66" t="str">
        <f>IF(M141&lt;&gt;"OK","",N(E141)*(H141*IF(G141="",1,G141)+I141))</f>
        <v/>
      </c>
      <c r="K141" s="66" t="str">
        <f>IF(M141&lt;&gt;"OK","",N(F141)/60*H141*IF(G141="",1,G141))</f>
        <v/>
      </c>
      <c r="L141" s="66" t="str">
        <f>IF(M141&lt;&gt;"OK","",N(F141)/60*I141)</f>
        <v/>
      </c>
      <c r="M141" s="69" t="str">
        <f>IF(AND(A141="",D141=""),"",IF(A141="","Produit manquant",IF(COUNTIF(prod_ref,A141)=0,"Produit inconnu",IF(D141="","Poste manquant",IF(ISNA(MATCH(D141,po_code,0)),"Poste inconnu",IF(INDEX(po_check,MATCH(D141,po_code,0))&lt;&gt;"OK","Poste à corriger",IF(AND(E141&lt;&gt;"",OR(NOT(ISNUMBER(E141)),N(E141)&lt;0)),"Réglage invalide",IF(AND(F141&lt;&gt;"",OR(NOT(ISNUMBER(F141)),N(F141)&lt;0)),"Temps par pièce invalide",IF(N(E141)+N(F141)=0,"Temps manquant",IF(AND(G141&lt;&gt;"",OR(NOT(ISNUMBER(G141)),N(G141)&lt;=0)),"Opérateurs invalide","OK"))))))))))</f>
        <v/>
      </c>
      <c r="N141" s="71" t="str">
        <f>IF(AND(fiche_sel&lt;&gt;"",A141=fiche_sel),COUNTIF(A$6:A141,fiche_sel),"")</f>
        <v/>
      </c>
    </row>
    <row r="142">
      <c r="A142" s="60" t="n"/>
      <c r="B142" s="73" t="n"/>
      <c r="C142" s="60" t="n"/>
      <c r="D142" s="61" t="n"/>
      <c r="E142" s="74" t="n"/>
      <c r="F142" s="74" t="n"/>
      <c r="G142" s="73" t="n"/>
      <c r="H142" s="66" t="str">
        <f>IF(M142&lt;&gt;"OK","",INDEX(po_mo,MATCH(D142,po_code,0)))</f>
        <v/>
      </c>
      <c r="I142" s="66" t="str">
        <f>IF(M142&lt;&gt;"OK","",INDEX(po_mac,MATCH(D142,po_code,0)))</f>
        <v/>
      </c>
      <c r="J142" s="66" t="str">
        <f>IF(M142&lt;&gt;"OK","",N(E142)*(H142*IF(G142="",1,G142)+I142))</f>
        <v/>
      </c>
      <c r="K142" s="66" t="str">
        <f>IF(M142&lt;&gt;"OK","",N(F142)/60*H142*IF(G142="",1,G142))</f>
        <v/>
      </c>
      <c r="L142" s="66" t="str">
        <f>IF(M142&lt;&gt;"OK","",N(F142)/60*I142)</f>
        <v/>
      </c>
      <c r="M142" s="69" t="str">
        <f>IF(AND(A142="",D142=""),"",IF(A142="","Produit manquant",IF(COUNTIF(prod_ref,A142)=0,"Produit inconnu",IF(D142="","Poste manquant",IF(ISNA(MATCH(D142,po_code,0)),"Poste inconnu",IF(INDEX(po_check,MATCH(D142,po_code,0))&lt;&gt;"OK","Poste à corriger",IF(AND(E142&lt;&gt;"",OR(NOT(ISNUMBER(E142)),N(E142)&lt;0)),"Réglage invalide",IF(AND(F142&lt;&gt;"",OR(NOT(ISNUMBER(F142)),N(F142)&lt;0)),"Temps par pièce invalide",IF(N(E142)+N(F142)=0,"Temps manquant",IF(AND(G142&lt;&gt;"",OR(NOT(ISNUMBER(G142)),N(G142)&lt;=0)),"Opérateurs invalide","OK"))))))))))</f>
        <v/>
      </c>
      <c r="N142" s="71" t="str">
        <f>IF(AND(fiche_sel&lt;&gt;"",A142=fiche_sel),COUNTIF(A$6:A142,fiche_sel),"")</f>
        <v/>
      </c>
    </row>
    <row r="143">
      <c r="A143" s="60" t="n"/>
      <c r="B143" s="73" t="n"/>
      <c r="C143" s="60" t="n"/>
      <c r="D143" s="61" t="n"/>
      <c r="E143" s="74" t="n"/>
      <c r="F143" s="74" t="n"/>
      <c r="G143" s="73" t="n"/>
      <c r="H143" s="66" t="str">
        <f>IF(M143&lt;&gt;"OK","",INDEX(po_mo,MATCH(D143,po_code,0)))</f>
        <v/>
      </c>
      <c r="I143" s="66" t="str">
        <f>IF(M143&lt;&gt;"OK","",INDEX(po_mac,MATCH(D143,po_code,0)))</f>
        <v/>
      </c>
      <c r="J143" s="66" t="str">
        <f>IF(M143&lt;&gt;"OK","",N(E143)*(H143*IF(G143="",1,G143)+I143))</f>
        <v/>
      </c>
      <c r="K143" s="66" t="str">
        <f>IF(M143&lt;&gt;"OK","",N(F143)/60*H143*IF(G143="",1,G143))</f>
        <v/>
      </c>
      <c r="L143" s="66" t="str">
        <f>IF(M143&lt;&gt;"OK","",N(F143)/60*I143)</f>
        <v/>
      </c>
      <c r="M143" s="69" t="str">
        <f>IF(AND(A143="",D143=""),"",IF(A143="","Produit manquant",IF(COUNTIF(prod_ref,A143)=0,"Produit inconnu",IF(D143="","Poste manquant",IF(ISNA(MATCH(D143,po_code,0)),"Poste inconnu",IF(INDEX(po_check,MATCH(D143,po_code,0))&lt;&gt;"OK","Poste à corriger",IF(AND(E143&lt;&gt;"",OR(NOT(ISNUMBER(E143)),N(E143)&lt;0)),"Réglage invalide",IF(AND(F143&lt;&gt;"",OR(NOT(ISNUMBER(F143)),N(F143)&lt;0)),"Temps par pièce invalide",IF(N(E143)+N(F143)=0,"Temps manquant",IF(AND(G143&lt;&gt;"",OR(NOT(ISNUMBER(G143)),N(G143)&lt;=0)),"Opérateurs invalide","OK"))))))))))</f>
        <v/>
      </c>
      <c r="N143" s="71" t="str">
        <f>IF(AND(fiche_sel&lt;&gt;"",A143=fiche_sel),COUNTIF(A$6:A143,fiche_sel),"")</f>
        <v/>
      </c>
    </row>
    <row r="144">
      <c r="A144" s="60" t="n"/>
      <c r="B144" s="73" t="n"/>
      <c r="C144" s="60" t="n"/>
      <c r="D144" s="61" t="n"/>
      <c r="E144" s="74" t="n"/>
      <c r="F144" s="74" t="n"/>
      <c r="G144" s="73" t="n"/>
      <c r="H144" s="66" t="str">
        <f>IF(M144&lt;&gt;"OK","",INDEX(po_mo,MATCH(D144,po_code,0)))</f>
        <v/>
      </c>
      <c r="I144" s="66" t="str">
        <f>IF(M144&lt;&gt;"OK","",INDEX(po_mac,MATCH(D144,po_code,0)))</f>
        <v/>
      </c>
      <c r="J144" s="66" t="str">
        <f>IF(M144&lt;&gt;"OK","",N(E144)*(H144*IF(G144="",1,G144)+I144))</f>
        <v/>
      </c>
      <c r="K144" s="66" t="str">
        <f>IF(M144&lt;&gt;"OK","",N(F144)/60*H144*IF(G144="",1,G144))</f>
        <v/>
      </c>
      <c r="L144" s="66" t="str">
        <f>IF(M144&lt;&gt;"OK","",N(F144)/60*I144)</f>
        <v/>
      </c>
      <c r="M144" s="69" t="str">
        <f>IF(AND(A144="",D144=""),"",IF(A144="","Produit manquant",IF(COUNTIF(prod_ref,A144)=0,"Produit inconnu",IF(D144="","Poste manquant",IF(ISNA(MATCH(D144,po_code,0)),"Poste inconnu",IF(INDEX(po_check,MATCH(D144,po_code,0))&lt;&gt;"OK","Poste à corriger",IF(AND(E144&lt;&gt;"",OR(NOT(ISNUMBER(E144)),N(E144)&lt;0)),"Réglage invalide",IF(AND(F144&lt;&gt;"",OR(NOT(ISNUMBER(F144)),N(F144)&lt;0)),"Temps par pièce invalide",IF(N(E144)+N(F144)=0,"Temps manquant",IF(AND(G144&lt;&gt;"",OR(NOT(ISNUMBER(G144)),N(G144)&lt;=0)),"Opérateurs invalide","OK"))))))))))</f>
        <v/>
      </c>
      <c r="N144" s="71" t="str">
        <f>IF(AND(fiche_sel&lt;&gt;"",A144=fiche_sel),COUNTIF(A$6:A144,fiche_sel),"")</f>
        <v/>
      </c>
    </row>
    <row r="145">
      <c r="A145" s="60" t="n"/>
      <c r="B145" s="73" t="n"/>
      <c r="C145" s="60" t="n"/>
      <c r="D145" s="61" t="n"/>
      <c r="E145" s="74" t="n"/>
      <c r="F145" s="74" t="n"/>
      <c r="G145" s="73" t="n"/>
      <c r="H145" s="66" t="str">
        <f>IF(M145&lt;&gt;"OK","",INDEX(po_mo,MATCH(D145,po_code,0)))</f>
        <v/>
      </c>
      <c r="I145" s="66" t="str">
        <f>IF(M145&lt;&gt;"OK","",INDEX(po_mac,MATCH(D145,po_code,0)))</f>
        <v/>
      </c>
      <c r="J145" s="66" t="str">
        <f>IF(M145&lt;&gt;"OK","",N(E145)*(H145*IF(G145="",1,G145)+I145))</f>
        <v/>
      </c>
      <c r="K145" s="66" t="str">
        <f>IF(M145&lt;&gt;"OK","",N(F145)/60*H145*IF(G145="",1,G145))</f>
        <v/>
      </c>
      <c r="L145" s="66" t="str">
        <f>IF(M145&lt;&gt;"OK","",N(F145)/60*I145)</f>
        <v/>
      </c>
      <c r="M145" s="69" t="str">
        <f>IF(AND(A145="",D145=""),"",IF(A145="","Produit manquant",IF(COUNTIF(prod_ref,A145)=0,"Produit inconnu",IF(D145="","Poste manquant",IF(ISNA(MATCH(D145,po_code,0)),"Poste inconnu",IF(INDEX(po_check,MATCH(D145,po_code,0))&lt;&gt;"OK","Poste à corriger",IF(AND(E145&lt;&gt;"",OR(NOT(ISNUMBER(E145)),N(E145)&lt;0)),"Réglage invalide",IF(AND(F145&lt;&gt;"",OR(NOT(ISNUMBER(F145)),N(F145)&lt;0)),"Temps par pièce invalide",IF(N(E145)+N(F145)=0,"Temps manquant",IF(AND(G145&lt;&gt;"",OR(NOT(ISNUMBER(G145)),N(G145)&lt;=0)),"Opérateurs invalide","OK"))))))))))</f>
        <v/>
      </c>
      <c r="N145" s="71" t="str">
        <f>IF(AND(fiche_sel&lt;&gt;"",A145=fiche_sel),COUNTIF(A$6:A145,fiche_sel),"")</f>
        <v/>
      </c>
    </row>
    <row r="146">
      <c r="A146" s="60" t="n"/>
      <c r="B146" s="73" t="n"/>
      <c r="C146" s="60" t="n"/>
      <c r="D146" s="61" t="n"/>
      <c r="E146" s="74" t="n"/>
      <c r="F146" s="74" t="n"/>
      <c r="G146" s="73" t="n"/>
      <c r="H146" s="66" t="str">
        <f>IF(M146&lt;&gt;"OK","",INDEX(po_mo,MATCH(D146,po_code,0)))</f>
        <v/>
      </c>
      <c r="I146" s="66" t="str">
        <f>IF(M146&lt;&gt;"OK","",INDEX(po_mac,MATCH(D146,po_code,0)))</f>
        <v/>
      </c>
      <c r="J146" s="66" t="str">
        <f>IF(M146&lt;&gt;"OK","",N(E146)*(H146*IF(G146="",1,G146)+I146))</f>
        <v/>
      </c>
      <c r="K146" s="66" t="str">
        <f>IF(M146&lt;&gt;"OK","",N(F146)/60*H146*IF(G146="",1,G146))</f>
        <v/>
      </c>
      <c r="L146" s="66" t="str">
        <f>IF(M146&lt;&gt;"OK","",N(F146)/60*I146)</f>
        <v/>
      </c>
      <c r="M146" s="69" t="str">
        <f>IF(AND(A146="",D146=""),"",IF(A146="","Produit manquant",IF(COUNTIF(prod_ref,A146)=0,"Produit inconnu",IF(D146="","Poste manquant",IF(ISNA(MATCH(D146,po_code,0)),"Poste inconnu",IF(INDEX(po_check,MATCH(D146,po_code,0))&lt;&gt;"OK","Poste à corriger",IF(AND(E146&lt;&gt;"",OR(NOT(ISNUMBER(E146)),N(E146)&lt;0)),"Réglage invalide",IF(AND(F146&lt;&gt;"",OR(NOT(ISNUMBER(F146)),N(F146)&lt;0)),"Temps par pièce invalide",IF(N(E146)+N(F146)=0,"Temps manquant",IF(AND(G146&lt;&gt;"",OR(NOT(ISNUMBER(G146)),N(G146)&lt;=0)),"Opérateurs invalide","OK"))))))))))</f>
        <v/>
      </c>
      <c r="N146" s="71" t="str">
        <f>IF(AND(fiche_sel&lt;&gt;"",A146=fiche_sel),COUNTIF(A$6:A146,fiche_sel),"")</f>
        <v/>
      </c>
    </row>
    <row r="147">
      <c r="A147" s="60" t="n"/>
      <c r="B147" s="73" t="n"/>
      <c r="C147" s="60" t="n"/>
      <c r="D147" s="61" t="n"/>
      <c r="E147" s="74" t="n"/>
      <c r="F147" s="74" t="n"/>
      <c r="G147" s="73" t="n"/>
      <c r="H147" s="66" t="str">
        <f>IF(M147&lt;&gt;"OK","",INDEX(po_mo,MATCH(D147,po_code,0)))</f>
        <v/>
      </c>
      <c r="I147" s="66" t="str">
        <f>IF(M147&lt;&gt;"OK","",INDEX(po_mac,MATCH(D147,po_code,0)))</f>
        <v/>
      </c>
      <c r="J147" s="66" t="str">
        <f>IF(M147&lt;&gt;"OK","",N(E147)*(H147*IF(G147="",1,G147)+I147))</f>
        <v/>
      </c>
      <c r="K147" s="66" t="str">
        <f>IF(M147&lt;&gt;"OK","",N(F147)/60*H147*IF(G147="",1,G147))</f>
        <v/>
      </c>
      <c r="L147" s="66" t="str">
        <f>IF(M147&lt;&gt;"OK","",N(F147)/60*I147)</f>
        <v/>
      </c>
      <c r="M147" s="69" t="str">
        <f>IF(AND(A147="",D147=""),"",IF(A147="","Produit manquant",IF(COUNTIF(prod_ref,A147)=0,"Produit inconnu",IF(D147="","Poste manquant",IF(ISNA(MATCH(D147,po_code,0)),"Poste inconnu",IF(INDEX(po_check,MATCH(D147,po_code,0))&lt;&gt;"OK","Poste à corriger",IF(AND(E147&lt;&gt;"",OR(NOT(ISNUMBER(E147)),N(E147)&lt;0)),"Réglage invalide",IF(AND(F147&lt;&gt;"",OR(NOT(ISNUMBER(F147)),N(F147)&lt;0)),"Temps par pièce invalide",IF(N(E147)+N(F147)=0,"Temps manquant",IF(AND(G147&lt;&gt;"",OR(NOT(ISNUMBER(G147)),N(G147)&lt;=0)),"Opérateurs invalide","OK"))))))))))</f>
        <v/>
      </c>
      <c r="N147" s="71" t="str">
        <f>IF(AND(fiche_sel&lt;&gt;"",A147=fiche_sel),COUNTIF(A$6:A147,fiche_sel),"")</f>
        <v/>
      </c>
    </row>
    <row r="148">
      <c r="A148" s="60" t="n"/>
      <c r="B148" s="73" t="n"/>
      <c r="C148" s="60" t="n"/>
      <c r="D148" s="61" t="n"/>
      <c r="E148" s="74" t="n"/>
      <c r="F148" s="74" t="n"/>
      <c r="G148" s="73" t="n"/>
      <c r="H148" s="66" t="str">
        <f>IF(M148&lt;&gt;"OK","",INDEX(po_mo,MATCH(D148,po_code,0)))</f>
        <v/>
      </c>
      <c r="I148" s="66" t="str">
        <f>IF(M148&lt;&gt;"OK","",INDEX(po_mac,MATCH(D148,po_code,0)))</f>
        <v/>
      </c>
      <c r="J148" s="66" t="str">
        <f>IF(M148&lt;&gt;"OK","",N(E148)*(H148*IF(G148="",1,G148)+I148))</f>
        <v/>
      </c>
      <c r="K148" s="66" t="str">
        <f>IF(M148&lt;&gt;"OK","",N(F148)/60*H148*IF(G148="",1,G148))</f>
        <v/>
      </c>
      <c r="L148" s="66" t="str">
        <f>IF(M148&lt;&gt;"OK","",N(F148)/60*I148)</f>
        <v/>
      </c>
      <c r="M148" s="69" t="str">
        <f>IF(AND(A148="",D148=""),"",IF(A148="","Produit manquant",IF(COUNTIF(prod_ref,A148)=0,"Produit inconnu",IF(D148="","Poste manquant",IF(ISNA(MATCH(D148,po_code,0)),"Poste inconnu",IF(INDEX(po_check,MATCH(D148,po_code,0))&lt;&gt;"OK","Poste à corriger",IF(AND(E148&lt;&gt;"",OR(NOT(ISNUMBER(E148)),N(E148)&lt;0)),"Réglage invalide",IF(AND(F148&lt;&gt;"",OR(NOT(ISNUMBER(F148)),N(F148)&lt;0)),"Temps par pièce invalide",IF(N(E148)+N(F148)=0,"Temps manquant",IF(AND(G148&lt;&gt;"",OR(NOT(ISNUMBER(G148)),N(G148)&lt;=0)),"Opérateurs invalide","OK"))))))))))</f>
        <v/>
      </c>
      <c r="N148" s="71" t="str">
        <f>IF(AND(fiche_sel&lt;&gt;"",A148=fiche_sel),COUNTIF(A$6:A148,fiche_sel),"")</f>
        <v/>
      </c>
    </row>
    <row r="149">
      <c r="A149" s="60" t="n"/>
      <c r="B149" s="73" t="n"/>
      <c r="C149" s="60" t="n"/>
      <c r="D149" s="61" t="n"/>
      <c r="E149" s="74" t="n"/>
      <c r="F149" s="74" t="n"/>
      <c r="G149" s="73" t="n"/>
      <c r="H149" s="66" t="str">
        <f>IF(M149&lt;&gt;"OK","",INDEX(po_mo,MATCH(D149,po_code,0)))</f>
        <v/>
      </c>
      <c r="I149" s="66" t="str">
        <f>IF(M149&lt;&gt;"OK","",INDEX(po_mac,MATCH(D149,po_code,0)))</f>
        <v/>
      </c>
      <c r="J149" s="66" t="str">
        <f>IF(M149&lt;&gt;"OK","",N(E149)*(H149*IF(G149="",1,G149)+I149))</f>
        <v/>
      </c>
      <c r="K149" s="66" t="str">
        <f>IF(M149&lt;&gt;"OK","",N(F149)/60*H149*IF(G149="",1,G149))</f>
        <v/>
      </c>
      <c r="L149" s="66" t="str">
        <f>IF(M149&lt;&gt;"OK","",N(F149)/60*I149)</f>
        <v/>
      </c>
      <c r="M149" s="69" t="str">
        <f>IF(AND(A149="",D149=""),"",IF(A149="","Produit manquant",IF(COUNTIF(prod_ref,A149)=0,"Produit inconnu",IF(D149="","Poste manquant",IF(ISNA(MATCH(D149,po_code,0)),"Poste inconnu",IF(INDEX(po_check,MATCH(D149,po_code,0))&lt;&gt;"OK","Poste à corriger",IF(AND(E149&lt;&gt;"",OR(NOT(ISNUMBER(E149)),N(E149)&lt;0)),"Réglage invalide",IF(AND(F149&lt;&gt;"",OR(NOT(ISNUMBER(F149)),N(F149)&lt;0)),"Temps par pièce invalide",IF(N(E149)+N(F149)=0,"Temps manquant",IF(AND(G149&lt;&gt;"",OR(NOT(ISNUMBER(G149)),N(G149)&lt;=0)),"Opérateurs invalide","OK"))))))))))</f>
        <v/>
      </c>
      <c r="N149" s="71" t="str">
        <f>IF(AND(fiche_sel&lt;&gt;"",A149=fiche_sel),COUNTIF(A$6:A149,fiche_sel),"")</f>
        <v/>
      </c>
    </row>
    <row r="150">
      <c r="A150" s="60" t="n"/>
      <c r="B150" s="73" t="n"/>
      <c r="C150" s="60" t="n"/>
      <c r="D150" s="61" t="n"/>
      <c r="E150" s="74" t="n"/>
      <c r="F150" s="74" t="n"/>
      <c r="G150" s="73" t="n"/>
      <c r="H150" s="66" t="str">
        <f>IF(M150&lt;&gt;"OK","",INDEX(po_mo,MATCH(D150,po_code,0)))</f>
        <v/>
      </c>
      <c r="I150" s="66" t="str">
        <f>IF(M150&lt;&gt;"OK","",INDEX(po_mac,MATCH(D150,po_code,0)))</f>
        <v/>
      </c>
      <c r="J150" s="66" t="str">
        <f>IF(M150&lt;&gt;"OK","",N(E150)*(H150*IF(G150="",1,G150)+I150))</f>
        <v/>
      </c>
      <c r="K150" s="66" t="str">
        <f>IF(M150&lt;&gt;"OK","",N(F150)/60*H150*IF(G150="",1,G150))</f>
        <v/>
      </c>
      <c r="L150" s="66" t="str">
        <f>IF(M150&lt;&gt;"OK","",N(F150)/60*I150)</f>
        <v/>
      </c>
      <c r="M150" s="69" t="str">
        <f>IF(AND(A150="",D150=""),"",IF(A150="","Produit manquant",IF(COUNTIF(prod_ref,A150)=0,"Produit inconnu",IF(D150="","Poste manquant",IF(ISNA(MATCH(D150,po_code,0)),"Poste inconnu",IF(INDEX(po_check,MATCH(D150,po_code,0))&lt;&gt;"OK","Poste à corriger",IF(AND(E150&lt;&gt;"",OR(NOT(ISNUMBER(E150)),N(E150)&lt;0)),"Réglage invalide",IF(AND(F150&lt;&gt;"",OR(NOT(ISNUMBER(F150)),N(F150)&lt;0)),"Temps par pièce invalide",IF(N(E150)+N(F150)=0,"Temps manquant",IF(AND(G150&lt;&gt;"",OR(NOT(ISNUMBER(G150)),N(G150)&lt;=0)),"Opérateurs invalide","OK"))))))))))</f>
        <v/>
      </c>
      <c r="N150" s="71" t="str">
        <f>IF(AND(fiche_sel&lt;&gt;"",A150=fiche_sel),COUNTIF(A$6:A150,fiche_sel),"")</f>
        <v/>
      </c>
    </row>
    <row r="151">
      <c r="A151" s="60" t="n"/>
      <c r="B151" s="73" t="n"/>
      <c r="C151" s="60" t="n"/>
      <c r="D151" s="61" t="n"/>
      <c r="E151" s="74" t="n"/>
      <c r="F151" s="74" t="n"/>
      <c r="G151" s="73" t="n"/>
      <c r="H151" s="66" t="str">
        <f>IF(M151&lt;&gt;"OK","",INDEX(po_mo,MATCH(D151,po_code,0)))</f>
        <v/>
      </c>
      <c r="I151" s="66" t="str">
        <f>IF(M151&lt;&gt;"OK","",INDEX(po_mac,MATCH(D151,po_code,0)))</f>
        <v/>
      </c>
      <c r="J151" s="66" t="str">
        <f>IF(M151&lt;&gt;"OK","",N(E151)*(H151*IF(G151="",1,G151)+I151))</f>
        <v/>
      </c>
      <c r="K151" s="66" t="str">
        <f>IF(M151&lt;&gt;"OK","",N(F151)/60*H151*IF(G151="",1,G151))</f>
        <v/>
      </c>
      <c r="L151" s="66" t="str">
        <f>IF(M151&lt;&gt;"OK","",N(F151)/60*I151)</f>
        <v/>
      </c>
      <c r="M151" s="69" t="str">
        <f>IF(AND(A151="",D151=""),"",IF(A151="","Produit manquant",IF(COUNTIF(prod_ref,A151)=0,"Produit inconnu",IF(D151="","Poste manquant",IF(ISNA(MATCH(D151,po_code,0)),"Poste inconnu",IF(INDEX(po_check,MATCH(D151,po_code,0))&lt;&gt;"OK","Poste à corriger",IF(AND(E151&lt;&gt;"",OR(NOT(ISNUMBER(E151)),N(E151)&lt;0)),"Réglage invalide",IF(AND(F151&lt;&gt;"",OR(NOT(ISNUMBER(F151)),N(F151)&lt;0)),"Temps par pièce invalide",IF(N(E151)+N(F151)=0,"Temps manquant",IF(AND(G151&lt;&gt;"",OR(NOT(ISNUMBER(G151)),N(G151)&lt;=0)),"Opérateurs invalide","OK"))))))))))</f>
        <v/>
      </c>
      <c r="N151" s="71" t="str">
        <f>IF(AND(fiche_sel&lt;&gt;"",A151=fiche_sel),COUNTIF(A$6:A151,fiche_sel),"")</f>
        <v/>
      </c>
    </row>
    <row r="152">
      <c r="A152" s="60" t="n"/>
      <c r="B152" s="73" t="n"/>
      <c r="C152" s="60" t="n"/>
      <c r="D152" s="61" t="n"/>
      <c r="E152" s="74" t="n"/>
      <c r="F152" s="74" t="n"/>
      <c r="G152" s="73" t="n"/>
      <c r="H152" s="66" t="str">
        <f>IF(M152&lt;&gt;"OK","",INDEX(po_mo,MATCH(D152,po_code,0)))</f>
        <v/>
      </c>
      <c r="I152" s="66" t="str">
        <f>IF(M152&lt;&gt;"OK","",INDEX(po_mac,MATCH(D152,po_code,0)))</f>
        <v/>
      </c>
      <c r="J152" s="66" t="str">
        <f>IF(M152&lt;&gt;"OK","",N(E152)*(H152*IF(G152="",1,G152)+I152))</f>
        <v/>
      </c>
      <c r="K152" s="66" t="str">
        <f>IF(M152&lt;&gt;"OK","",N(F152)/60*H152*IF(G152="",1,G152))</f>
        <v/>
      </c>
      <c r="L152" s="66" t="str">
        <f>IF(M152&lt;&gt;"OK","",N(F152)/60*I152)</f>
        <v/>
      </c>
      <c r="M152" s="69" t="str">
        <f>IF(AND(A152="",D152=""),"",IF(A152="","Produit manquant",IF(COUNTIF(prod_ref,A152)=0,"Produit inconnu",IF(D152="","Poste manquant",IF(ISNA(MATCH(D152,po_code,0)),"Poste inconnu",IF(INDEX(po_check,MATCH(D152,po_code,0))&lt;&gt;"OK","Poste à corriger",IF(AND(E152&lt;&gt;"",OR(NOT(ISNUMBER(E152)),N(E152)&lt;0)),"Réglage invalide",IF(AND(F152&lt;&gt;"",OR(NOT(ISNUMBER(F152)),N(F152)&lt;0)),"Temps par pièce invalide",IF(N(E152)+N(F152)=0,"Temps manquant",IF(AND(G152&lt;&gt;"",OR(NOT(ISNUMBER(G152)),N(G152)&lt;=0)),"Opérateurs invalide","OK"))))))))))</f>
        <v/>
      </c>
      <c r="N152" s="71" t="str">
        <f>IF(AND(fiche_sel&lt;&gt;"",A152=fiche_sel),COUNTIF(A$6:A152,fiche_sel),"")</f>
        <v/>
      </c>
    </row>
    <row r="153">
      <c r="A153" s="60" t="n"/>
      <c r="B153" s="73" t="n"/>
      <c r="C153" s="60" t="n"/>
      <c r="D153" s="61" t="n"/>
      <c r="E153" s="74" t="n"/>
      <c r="F153" s="74" t="n"/>
      <c r="G153" s="73" t="n"/>
      <c r="H153" s="66" t="str">
        <f>IF(M153&lt;&gt;"OK","",INDEX(po_mo,MATCH(D153,po_code,0)))</f>
        <v/>
      </c>
      <c r="I153" s="66" t="str">
        <f>IF(M153&lt;&gt;"OK","",INDEX(po_mac,MATCH(D153,po_code,0)))</f>
        <v/>
      </c>
      <c r="J153" s="66" t="str">
        <f>IF(M153&lt;&gt;"OK","",N(E153)*(H153*IF(G153="",1,G153)+I153))</f>
        <v/>
      </c>
      <c r="K153" s="66" t="str">
        <f>IF(M153&lt;&gt;"OK","",N(F153)/60*H153*IF(G153="",1,G153))</f>
        <v/>
      </c>
      <c r="L153" s="66" t="str">
        <f>IF(M153&lt;&gt;"OK","",N(F153)/60*I153)</f>
        <v/>
      </c>
      <c r="M153" s="69" t="str">
        <f>IF(AND(A153="",D153=""),"",IF(A153="","Produit manquant",IF(COUNTIF(prod_ref,A153)=0,"Produit inconnu",IF(D153="","Poste manquant",IF(ISNA(MATCH(D153,po_code,0)),"Poste inconnu",IF(INDEX(po_check,MATCH(D153,po_code,0))&lt;&gt;"OK","Poste à corriger",IF(AND(E153&lt;&gt;"",OR(NOT(ISNUMBER(E153)),N(E153)&lt;0)),"Réglage invalide",IF(AND(F153&lt;&gt;"",OR(NOT(ISNUMBER(F153)),N(F153)&lt;0)),"Temps par pièce invalide",IF(N(E153)+N(F153)=0,"Temps manquant",IF(AND(G153&lt;&gt;"",OR(NOT(ISNUMBER(G153)),N(G153)&lt;=0)),"Opérateurs invalide","OK"))))))))))</f>
        <v/>
      </c>
      <c r="N153" s="71" t="str">
        <f>IF(AND(fiche_sel&lt;&gt;"",A153=fiche_sel),COUNTIF(A$6:A153,fiche_sel),"")</f>
        <v/>
      </c>
    </row>
    <row r="154">
      <c r="A154" s="60" t="n"/>
      <c r="B154" s="73" t="n"/>
      <c r="C154" s="60" t="n"/>
      <c r="D154" s="61" t="n"/>
      <c r="E154" s="74" t="n"/>
      <c r="F154" s="74" t="n"/>
      <c r="G154" s="73" t="n"/>
      <c r="H154" s="66" t="str">
        <f>IF(M154&lt;&gt;"OK","",INDEX(po_mo,MATCH(D154,po_code,0)))</f>
        <v/>
      </c>
      <c r="I154" s="66" t="str">
        <f>IF(M154&lt;&gt;"OK","",INDEX(po_mac,MATCH(D154,po_code,0)))</f>
        <v/>
      </c>
      <c r="J154" s="66" t="str">
        <f>IF(M154&lt;&gt;"OK","",N(E154)*(H154*IF(G154="",1,G154)+I154))</f>
        <v/>
      </c>
      <c r="K154" s="66" t="str">
        <f>IF(M154&lt;&gt;"OK","",N(F154)/60*H154*IF(G154="",1,G154))</f>
        <v/>
      </c>
      <c r="L154" s="66" t="str">
        <f>IF(M154&lt;&gt;"OK","",N(F154)/60*I154)</f>
        <v/>
      </c>
      <c r="M154" s="69" t="str">
        <f>IF(AND(A154="",D154=""),"",IF(A154="","Produit manquant",IF(COUNTIF(prod_ref,A154)=0,"Produit inconnu",IF(D154="","Poste manquant",IF(ISNA(MATCH(D154,po_code,0)),"Poste inconnu",IF(INDEX(po_check,MATCH(D154,po_code,0))&lt;&gt;"OK","Poste à corriger",IF(AND(E154&lt;&gt;"",OR(NOT(ISNUMBER(E154)),N(E154)&lt;0)),"Réglage invalide",IF(AND(F154&lt;&gt;"",OR(NOT(ISNUMBER(F154)),N(F154)&lt;0)),"Temps par pièce invalide",IF(N(E154)+N(F154)=0,"Temps manquant",IF(AND(G154&lt;&gt;"",OR(NOT(ISNUMBER(G154)),N(G154)&lt;=0)),"Opérateurs invalide","OK"))))))))))</f>
        <v/>
      </c>
      <c r="N154" s="71" t="str">
        <f>IF(AND(fiche_sel&lt;&gt;"",A154=fiche_sel),COUNTIF(A$6:A154,fiche_sel),"")</f>
        <v/>
      </c>
    </row>
    <row r="155">
      <c r="A155" s="60" t="n"/>
      <c r="B155" s="73" t="n"/>
      <c r="C155" s="60" t="n"/>
      <c r="D155" s="61" t="n"/>
      <c r="E155" s="74" t="n"/>
      <c r="F155" s="74" t="n"/>
      <c r="G155" s="73" t="n"/>
      <c r="H155" s="66" t="str">
        <f>IF(M155&lt;&gt;"OK","",INDEX(po_mo,MATCH(D155,po_code,0)))</f>
        <v/>
      </c>
      <c r="I155" s="66" t="str">
        <f>IF(M155&lt;&gt;"OK","",INDEX(po_mac,MATCH(D155,po_code,0)))</f>
        <v/>
      </c>
      <c r="J155" s="66" t="str">
        <f>IF(M155&lt;&gt;"OK","",N(E155)*(H155*IF(G155="",1,G155)+I155))</f>
        <v/>
      </c>
      <c r="K155" s="66" t="str">
        <f>IF(M155&lt;&gt;"OK","",N(F155)/60*H155*IF(G155="",1,G155))</f>
        <v/>
      </c>
      <c r="L155" s="66" t="str">
        <f>IF(M155&lt;&gt;"OK","",N(F155)/60*I155)</f>
        <v/>
      </c>
      <c r="M155" s="69" t="str">
        <f>IF(AND(A155="",D155=""),"",IF(A155="","Produit manquant",IF(COUNTIF(prod_ref,A155)=0,"Produit inconnu",IF(D155="","Poste manquant",IF(ISNA(MATCH(D155,po_code,0)),"Poste inconnu",IF(INDEX(po_check,MATCH(D155,po_code,0))&lt;&gt;"OK","Poste à corriger",IF(AND(E155&lt;&gt;"",OR(NOT(ISNUMBER(E155)),N(E155)&lt;0)),"Réglage invalide",IF(AND(F155&lt;&gt;"",OR(NOT(ISNUMBER(F155)),N(F155)&lt;0)),"Temps par pièce invalide",IF(N(E155)+N(F155)=0,"Temps manquant",IF(AND(G155&lt;&gt;"",OR(NOT(ISNUMBER(G155)),N(G155)&lt;=0)),"Opérateurs invalide","OK"))))))))))</f>
        <v/>
      </c>
      <c r="N155" s="71" t="str">
        <f>IF(AND(fiche_sel&lt;&gt;"",A155=fiche_sel),COUNTIF(A$6:A155,fiche_sel),"")</f>
        <v/>
      </c>
    </row>
    <row r="156">
      <c r="A156" s="60" t="n"/>
      <c r="B156" s="73" t="n"/>
      <c r="C156" s="60" t="n"/>
      <c r="D156" s="61" t="n"/>
      <c r="E156" s="74" t="n"/>
      <c r="F156" s="74" t="n"/>
      <c r="G156" s="73" t="n"/>
      <c r="H156" s="66" t="str">
        <f>IF(M156&lt;&gt;"OK","",INDEX(po_mo,MATCH(D156,po_code,0)))</f>
        <v/>
      </c>
      <c r="I156" s="66" t="str">
        <f>IF(M156&lt;&gt;"OK","",INDEX(po_mac,MATCH(D156,po_code,0)))</f>
        <v/>
      </c>
      <c r="J156" s="66" t="str">
        <f>IF(M156&lt;&gt;"OK","",N(E156)*(H156*IF(G156="",1,G156)+I156))</f>
        <v/>
      </c>
      <c r="K156" s="66" t="str">
        <f>IF(M156&lt;&gt;"OK","",N(F156)/60*H156*IF(G156="",1,G156))</f>
        <v/>
      </c>
      <c r="L156" s="66" t="str">
        <f>IF(M156&lt;&gt;"OK","",N(F156)/60*I156)</f>
        <v/>
      </c>
      <c r="M156" s="69" t="str">
        <f>IF(AND(A156="",D156=""),"",IF(A156="","Produit manquant",IF(COUNTIF(prod_ref,A156)=0,"Produit inconnu",IF(D156="","Poste manquant",IF(ISNA(MATCH(D156,po_code,0)),"Poste inconnu",IF(INDEX(po_check,MATCH(D156,po_code,0))&lt;&gt;"OK","Poste à corriger",IF(AND(E156&lt;&gt;"",OR(NOT(ISNUMBER(E156)),N(E156)&lt;0)),"Réglage invalide",IF(AND(F156&lt;&gt;"",OR(NOT(ISNUMBER(F156)),N(F156)&lt;0)),"Temps par pièce invalide",IF(N(E156)+N(F156)=0,"Temps manquant",IF(AND(G156&lt;&gt;"",OR(NOT(ISNUMBER(G156)),N(G156)&lt;=0)),"Opérateurs invalide","OK"))))))))))</f>
        <v/>
      </c>
      <c r="N156" s="71" t="str">
        <f>IF(AND(fiche_sel&lt;&gt;"",A156=fiche_sel),COUNTIF(A$6:A156,fiche_sel),"")</f>
        <v/>
      </c>
    </row>
    <row r="157">
      <c r="A157" s="60" t="n"/>
      <c r="B157" s="73" t="n"/>
      <c r="C157" s="60" t="n"/>
      <c r="D157" s="61" t="n"/>
      <c r="E157" s="74" t="n"/>
      <c r="F157" s="74" t="n"/>
      <c r="G157" s="73" t="n"/>
      <c r="H157" s="66" t="str">
        <f>IF(M157&lt;&gt;"OK","",INDEX(po_mo,MATCH(D157,po_code,0)))</f>
        <v/>
      </c>
      <c r="I157" s="66" t="str">
        <f>IF(M157&lt;&gt;"OK","",INDEX(po_mac,MATCH(D157,po_code,0)))</f>
        <v/>
      </c>
      <c r="J157" s="66" t="str">
        <f>IF(M157&lt;&gt;"OK","",N(E157)*(H157*IF(G157="",1,G157)+I157))</f>
        <v/>
      </c>
      <c r="K157" s="66" t="str">
        <f>IF(M157&lt;&gt;"OK","",N(F157)/60*H157*IF(G157="",1,G157))</f>
        <v/>
      </c>
      <c r="L157" s="66" t="str">
        <f>IF(M157&lt;&gt;"OK","",N(F157)/60*I157)</f>
        <v/>
      </c>
      <c r="M157" s="69" t="str">
        <f>IF(AND(A157="",D157=""),"",IF(A157="","Produit manquant",IF(COUNTIF(prod_ref,A157)=0,"Produit inconnu",IF(D157="","Poste manquant",IF(ISNA(MATCH(D157,po_code,0)),"Poste inconnu",IF(INDEX(po_check,MATCH(D157,po_code,0))&lt;&gt;"OK","Poste à corriger",IF(AND(E157&lt;&gt;"",OR(NOT(ISNUMBER(E157)),N(E157)&lt;0)),"Réglage invalide",IF(AND(F157&lt;&gt;"",OR(NOT(ISNUMBER(F157)),N(F157)&lt;0)),"Temps par pièce invalide",IF(N(E157)+N(F157)=0,"Temps manquant",IF(AND(G157&lt;&gt;"",OR(NOT(ISNUMBER(G157)),N(G157)&lt;=0)),"Opérateurs invalide","OK"))))))))))</f>
        <v/>
      </c>
      <c r="N157" s="71" t="str">
        <f>IF(AND(fiche_sel&lt;&gt;"",A157=fiche_sel),COUNTIF(A$6:A157,fiche_sel),"")</f>
        <v/>
      </c>
    </row>
    <row r="158">
      <c r="A158" s="60" t="n"/>
      <c r="B158" s="73" t="n"/>
      <c r="C158" s="60" t="n"/>
      <c r="D158" s="61" t="n"/>
      <c r="E158" s="74" t="n"/>
      <c r="F158" s="74" t="n"/>
      <c r="G158" s="73" t="n"/>
      <c r="H158" s="66" t="str">
        <f>IF(M158&lt;&gt;"OK","",INDEX(po_mo,MATCH(D158,po_code,0)))</f>
        <v/>
      </c>
      <c r="I158" s="66" t="str">
        <f>IF(M158&lt;&gt;"OK","",INDEX(po_mac,MATCH(D158,po_code,0)))</f>
        <v/>
      </c>
      <c r="J158" s="66" t="str">
        <f>IF(M158&lt;&gt;"OK","",N(E158)*(H158*IF(G158="",1,G158)+I158))</f>
        <v/>
      </c>
      <c r="K158" s="66" t="str">
        <f>IF(M158&lt;&gt;"OK","",N(F158)/60*H158*IF(G158="",1,G158))</f>
        <v/>
      </c>
      <c r="L158" s="66" t="str">
        <f>IF(M158&lt;&gt;"OK","",N(F158)/60*I158)</f>
        <v/>
      </c>
      <c r="M158" s="69" t="str">
        <f>IF(AND(A158="",D158=""),"",IF(A158="","Produit manquant",IF(COUNTIF(prod_ref,A158)=0,"Produit inconnu",IF(D158="","Poste manquant",IF(ISNA(MATCH(D158,po_code,0)),"Poste inconnu",IF(INDEX(po_check,MATCH(D158,po_code,0))&lt;&gt;"OK","Poste à corriger",IF(AND(E158&lt;&gt;"",OR(NOT(ISNUMBER(E158)),N(E158)&lt;0)),"Réglage invalide",IF(AND(F158&lt;&gt;"",OR(NOT(ISNUMBER(F158)),N(F158)&lt;0)),"Temps par pièce invalide",IF(N(E158)+N(F158)=0,"Temps manquant",IF(AND(G158&lt;&gt;"",OR(NOT(ISNUMBER(G158)),N(G158)&lt;=0)),"Opérateurs invalide","OK"))))))))))</f>
        <v/>
      </c>
      <c r="N158" s="71" t="str">
        <f>IF(AND(fiche_sel&lt;&gt;"",A158=fiche_sel),COUNTIF(A$6:A158,fiche_sel),"")</f>
        <v/>
      </c>
    </row>
    <row r="159">
      <c r="A159" s="60" t="n"/>
      <c r="B159" s="73" t="n"/>
      <c r="C159" s="60" t="n"/>
      <c r="D159" s="61" t="n"/>
      <c r="E159" s="74" t="n"/>
      <c r="F159" s="74" t="n"/>
      <c r="G159" s="73" t="n"/>
      <c r="H159" s="66" t="str">
        <f>IF(M159&lt;&gt;"OK","",INDEX(po_mo,MATCH(D159,po_code,0)))</f>
        <v/>
      </c>
      <c r="I159" s="66" t="str">
        <f>IF(M159&lt;&gt;"OK","",INDEX(po_mac,MATCH(D159,po_code,0)))</f>
        <v/>
      </c>
      <c r="J159" s="66" t="str">
        <f>IF(M159&lt;&gt;"OK","",N(E159)*(H159*IF(G159="",1,G159)+I159))</f>
        <v/>
      </c>
      <c r="K159" s="66" t="str">
        <f>IF(M159&lt;&gt;"OK","",N(F159)/60*H159*IF(G159="",1,G159))</f>
        <v/>
      </c>
      <c r="L159" s="66" t="str">
        <f>IF(M159&lt;&gt;"OK","",N(F159)/60*I159)</f>
        <v/>
      </c>
      <c r="M159" s="69" t="str">
        <f>IF(AND(A159="",D159=""),"",IF(A159="","Produit manquant",IF(COUNTIF(prod_ref,A159)=0,"Produit inconnu",IF(D159="","Poste manquant",IF(ISNA(MATCH(D159,po_code,0)),"Poste inconnu",IF(INDEX(po_check,MATCH(D159,po_code,0))&lt;&gt;"OK","Poste à corriger",IF(AND(E159&lt;&gt;"",OR(NOT(ISNUMBER(E159)),N(E159)&lt;0)),"Réglage invalide",IF(AND(F159&lt;&gt;"",OR(NOT(ISNUMBER(F159)),N(F159)&lt;0)),"Temps par pièce invalide",IF(N(E159)+N(F159)=0,"Temps manquant",IF(AND(G159&lt;&gt;"",OR(NOT(ISNUMBER(G159)),N(G159)&lt;=0)),"Opérateurs invalide","OK"))))))))))</f>
        <v/>
      </c>
      <c r="N159" s="71" t="str">
        <f>IF(AND(fiche_sel&lt;&gt;"",A159=fiche_sel),COUNTIF(A$6:A159,fiche_sel),"")</f>
        <v/>
      </c>
    </row>
    <row r="160">
      <c r="A160" s="60" t="n"/>
      <c r="B160" s="73" t="n"/>
      <c r="C160" s="60" t="n"/>
      <c r="D160" s="61" t="n"/>
      <c r="E160" s="74" t="n"/>
      <c r="F160" s="74" t="n"/>
      <c r="G160" s="73" t="n"/>
      <c r="H160" s="66" t="str">
        <f>IF(M160&lt;&gt;"OK","",INDEX(po_mo,MATCH(D160,po_code,0)))</f>
        <v/>
      </c>
      <c r="I160" s="66" t="str">
        <f>IF(M160&lt;&gt;"OK","",INDEX(po_mac,MATCH(D160,po_code,0)))</f>
        <v/>
      </c>
      <c r="J160" s="66" t="str">
        <f>IF(M160&lt;&gt;"OK","",N(E160)*(H160*IF(G160="",1,G160)+I160))</f>
        <v/>
      </c>
      <c r="K160" s="66" t="str">
        <f>IF(M160&lt;&gt;"OK","",N(F160)/60*H160*IF(G160="",1,G160))</f>
        <v/>
      </c>
      <c r="L160" s="66" t="str">
        <f>IF(M160&lt;&gt;"OK","",N(F160)/60*I160)</f>
        <v/>
      </c>
      <c r="M160" s="69" t="str">
        <f>IF(AND(A160="",D160=""),"",IF(A160="","Produit manquant",IF(COUNTIF(prod_ref,A160)=0,"Produit inconnu",IF(D160="","Poste manquant",IF(ISNA(MATCH(D160,po_code,0)),"Poste inconnu",IF(INDEX(po_check,MATCH(D160,po_code,0))&lt;&gt;"OK","Poste à corriger",IF(AND(E160&lt;&gt;"",OR(NOT(ISNUMBER(E160)),N(E160)&lt;0)),"Réglage invalide",IF(AND(F160&lt;&gt;"",OR(NOT(ISNUMBER(F160)),N(F160)&lt;0)),"Temps par pièce invalide",IF(N(E160)+N(F160)=0,"Temps manquant",IF(AND(G160&lt;&gt;"",OR(NOT(ISNUMBER(G160)),N(G160)&lt;=0)),"Opérateurs invalide","OK"))))))))))</f>
        <v/>
      </c>
      <c r="N160" s="71" t="str">
        <f>IF(AND(fiche_sel&lt;&gt;"",A160=fiche_sel),COUNTIF(A$6:A160,fiche_sel),"")</f>
        <v/>
      </c>
    </row>
    <row r="161">
      <c r="A161" s="60" t="n"/>
      <c r="B161" s="73" t="n"/>
      <c r="C161" s="60" t="n"/>
      <c r="D161" s="61" t="n"/>
      <c r="E161" s="74" t="n"/>
      <c r="F161" s="74" t="n"/>
      <c r="G161" s="73" t="n"/>
      <c r="H161" s="66" t="str">
        <f>IF(M161&lt;&gt;"OK","",INDEX(po_mo,MATCH(D161,po_code,0)))</f>
        <v/>
      </c>
      <c r="I161" s="66" t="str">
        <f>IF(M161&lt;&gt;"OK","",INDEX(po_mac,MATCH(D161,po_code,0)))</f>
        <v/>
      </c>
      <c r="J161" s="66" t="str">
        <f>IF(M161&lt;&gt;"OK","",N(E161)*(H161*IF(G161="",1,G161)+I161))</f>
        <v/>
      </c>
      <c r="K161" s="66" t="str">
        <f>IF(M161&lt;&gt;"OK","",N(F161)/60*H161*IF(G161="",1,G161))</f>
        <v/>
      </c>
      <c r="L161" s="66" t="str">
        <f>IF(M161&lt;&gt;"OK","",N(F161)/60*I161)</f>
        <v/>
      </c>
      <c r="M161" s="69" t="str">
        <f>IF(AND(A161="",D161=""),"",IF(A161="","Produit manquant",IF(COUNTIF(prod_ref,A161)=0,"Produit inconnu",IF(D161="","Poste manquant",IF(ISNA(MATCH(D161,po_code,0)),"Poste inconnu",IF(INDEX(po_check,MATCH(D161,po_code,0))&lt;&gt;"OK","Poste à corriger",IF(AND(E161&lt;&gt;"",OR(NOT(ISNUMBER(E161)),N(E161)&lt;0)),"Réglage invalide",IF(AND(F161&lt;&gt;"",OR(NOT(ISNUMBER(F161)),N(F161)&lt;0)),"Temps par pièce invalide",IF(N(E161)+N(F161)=0,"Temps manquant",IF(AND(G161&lt;&gt;"",OR(NOT(ISNUMBER(G161)),N(G161)&lt;=0)),"Opérateurs invalide","OK"))))))))))</f>
        <v/>
      </c>
      <c r="N161" s="71" t="str">
        <f>IF(AND(fiche_sel&lt;&gt;"",A161=fiche_sel),COUNTIF(A$6:A161,fiche_sel),"")</f>
        <v/>
      </c>
    </row>
    <row r="162">
      <c r="A162" s="60" t="n"/>
      <c r="B162" s="73" t="n"/>
      <c r="C162" s="60" t="n"/>
      <c r="D162" s="61" t="n"/>
      <c r="E162" s="74" t="n"/>
      <c r="F162" s="74" t="n"/>
      <c r="G162" s="73" t="n"/>
      <c r="H162" s="66" t="str">
        <f>IF(M162&lt;&gt;"OK","",INDEX(po_mo,MATCH(D162,po_code,0)))</f>
        <v/>
      </c>
      <c r="I162" s="66" t="str">
        <f>IF(M162&lt;&gt;"OK","",INDEX(po_mac,MATCH(D162,po_code,0)))</f>
        <v/>
      </c>
      <c r="J162" s="66" t="str">
        <f>IF(M162&lt;&gt;"OK","",N(E162)*(H162*IF(G162="",1,G162)+I162))</f>
        <v/>
      </c>
      <c r="K162" s="66" t="str">
        <f>IF(M162&lt;&gt;"OK","",N(F162)/60*H162*IF(G162="",1,G162))</f>
        <v/>
      </c>
      <c r="L162" s="66" t="str">
        <f>IF(M162&lt;&gt;"OK","",N(F162)/60*I162)</f>
        <v/>
      </c>
      <c r="M162" s="69" t="str">
        <f>IF(AND(A162="",D162=""),"",IF(A162="","Produit manquant",IF(COUNTIF(prod_ref,A162)=0,"Produit inconnu",IF(D162="","Poste manquant",IF(ISNA(MATCH(D162,po_code,0)),"Poste inconnu",IF(INDEX(po_check,MATCH(D162,po_code,0))&lt;&gt;"OK","Poste à corriger",IF(AND(E162&lt;&gt;"",OR(NOT(ISNUMBER(E162)),N(E162)&lt;0)),"Réglage invalide",IF(AND(F162&lt;&gt;"",OR(NOT(ISNUMBER(F162)),N(F162)&lt;0)),"Temps par pièce invalide",IF(N(E162)+N(F162)=0,"Temps manquant",IF(AND(G162&lt;&gt;"",OR(NOT(ISNUMBER(G162)),N(G162)&lt;=0)),"Opérateurs invalide","OK"))))))))))</f>
        <v/>
      </c>
      <c r="N162" s="71" t="str">
        <f>IF(AND(fiche_sel&lt;&gt;"",A162=fiche_sel),COUNTIF(A$6:A162,fiche_sel),"")</f>
        <v/>
      </c>
    </row>
    <row r="163">
      <c r="A163" s="60" t="n"/>
      <c r="B163" s="73" t="n"/>
      <c r="C163" s="60" t="n"/>
      <c r="D163" s="61" t="n"/>
      <c r="E163" s="74" t="n"/>
      <c r="F163" s="74" t="n"/>
      <c r="G163" s="73" t="n"/>
      <c r="H163" s="66" t="str">
        <f>IF(M163&lt;&gt;"OK","",INDEX(po_mo,MATCH(D163,po_code,0)))</f>
        <v/>
      </c>
      <c r="I163" s="66" t="str">
        <f>IF(M163&lt;&gt;"OK","",INDEX(po_mac,MATCH(D163,po_code,0)))</f>
        <v/>
      </c>
      <c r="J163" s="66" t="str">
        <f>IF(M163&lt;&gt;"OK","",N(E163)*(H163*IF(G163="",1,G163)+I163))</f>
        <v/>
      </c>
      <c r="K163" s="66" t="str">
        <f>IF(M163&lt;&gt;"OK","",N(F163)/60*H163*IF(G163="",1,G163))</f>
        <v/>
      </c>
      <c r="L163" s="66" t="str">
        <f>IF(M163&lt;&gt;"OK","",N(F163)/60*I163)</f>
        <v/>
      </c>
      <c r="M163" s="69" t="str">
        <f>IF(AND(A163="",D163=""),"",IF(A163="","Produit manquant",IF(COUNTIF(prod_ref,A163)=0,"Produit inconnu",IF(D163="","Poste manquant",IF(ISNA(MATCH(D163,po_code,0)),"Poste inconnu",IF(INDEX(po_check,MATCH(D163,po_code,0))&lt;&gt;"OK","Poste à corriger",IF(AND(E163&lt;&gt;"",OR(NOT(ISNUMBER(E163)),N(E163)&lt;0)),"Réglage invalide",IF(AND(F163&lt;&gt;"",OR(NOT(ISNUMBER(F163)),N(F163)&lt;0)),"Temps par pièce invalide",IF(N(E163)+N(F163)=0,"Temps manquant",IF(AND(G163&lt;&gt;"",OR(NOT(ISNUMBER(G163)),N(G163)&lt;=0)),"Opérateurs invalide","OK"))))))))))</f>
        <v/>
      </c>
      <c r="N163" s="71" t="str">
        <f>IF(AND(fiche_sel&lt;&gt;"",A163=fiche_sel),COUNTIF(A$6:A163,fiche_sel),"")</f>
        <v/>
      </c>
    </row>
    <row r="164">
      <c r="A164" s="60" t="n"/>
      <c r="B164" s="73" t="n"/>
      <c r="C164" s="60" t="n"/>
      <c r="D164" s="61" t="n"/>
      <c r="E164" s="74" t="n"/>
      <c r="F164" s="74" t="n"/>
      <c r="G164" s="73" t="n"/>
      <c r="H164" s="66" t="str">
        <f>IF(M164&lt;&gt;"OK","",INDEX(po_mo,MATCH(D164,po_code,0)))</f>
        <v/>
      </c>
      <c r="I164" s="66" t="str">
        <f>IF(M164&lt;&gt;"OK","",INDEX(po_mac,MATCH(D164,po_code,0)))</f>
        <v/>
      </c>
      <c r="J164" s="66" t="str">
        <f>IF(M164&lt;&gt;"OK","",N(E164)*(H164*IF(G164="",1,G164)+I164))</f>
        <v/>
      </c>
      <c r="K164" s="66" t="str">
        <f>IF(M164&lt;&gt;"OK","",N(F164)/60*H164*IF(G164="",1,G164))</f>
        <v/>
      </c>
      <c r="L164" s="66" t="str">
        <f>IF(M164&lt;&gt;"OK","",N(F164)/60*I164)</f>
        <v/>
      </c>
      <c r="M164" s="69" t="str">
        <f>IF(AND(A164="",D164=""),"",IF(A164="","Produit manquant",IF(COUNTIF(prod_ref,A164)=0,"Produit inconnu",IF(D164="","Poste manquant",IF(ISNA(MATCH(D164,po_code,0)),"Poste inconnu",IF(INDEX(po_check,MATCH(D164,po_code,0))&lt;&gt;"OK","Poste à corriger",IF(AND(E164&lt;&gt;"",OR(NOT(ISNUMBER(E164)),N(E164)&lt;0)),"Réglage invalide",IF(AND(F164&lt;&gt;"",OR(NOT(ISNUMBER(F164)),N(F164)&lt;0)),"Temps par pièce invalide",IF(N(E164)+N(F164)=0,"Temps manquant",IF(AND(G164&lt;&gt;"",OR(NOT(ISNUMBER(G164)),N(G164)&lt;=0)),"Opérateurs invalide","OK"))))))))))</f>
        <v/>
      </c>
      <c r="N164" s="71" t="str">
        <f>IF(AND(fiche_sel&lt;&gt;"",A164=fiche_sel),COUNTIF(A$6:A164,fiche_sel),"")</f>
        <v/>
      </c>
    </row>
    <row r="165">
      <c r="A165" s="60" t="n"/>
      <c r="B165" s="73" t="n"/>
      <c r="C165" s="60" t="n"/>
      <c r="D165" s="61" t="n"/>
      <c r="E165" s="74" t="n"/>
      <c r="F165" s="74" t="n"/>
      <c r="G165" s="73" t="n"/>
      <c r="H165" s="66" t="str">
        <f>IF(M165&lt;&gt;"OK","",INDEX(po_mo,MATCH(D165,po_code,0)))</f>
        <v/>
      </c>
      <c r="I165" s="66" t="str">
        <f>IF(M165&lt;&gt;"OK","",INDEX(po_mac,MATCH(D165,po_code,0)))</f>
        <v/>
      </c>
      <c r="J165" s="66" t="str">
        <f>IF(M165&lt;&gt;"OK","",N(E165)*(H165*IF(G165="",1,G165)+I165))</f>
        <v/>
      </c>
      <c r="K165" s="66" t="str">
        <f>IF(M165&lt;&gt;"OK","",N(F165)/60*H165*IF(G165="",1,G165))</f>
        <v/>
      </c>
      <c r="L165" s="66" t="str">
        <f>IF(M165&lt;&gt;"OK","",N(F165)/60*I165)</f>
        <v/>
      </c>
      <c r="M165" s="69" t="str">
        <f>IF(AND(A165="",D165=""),"",IF(A165="","Produit manquant",IF(COUNTIF(prod_ref,A165)=0,"Produit inconnu",IF(D165="","Poste manquant",IF(ISNA(MATCH(D165,po_code,0)),"Poste inconnu",IF(INDEX(po_check,MATCH(D165,po_code,0))&lt;&gt;"OK","Poste à corriger",IF(AND(E165&lt;&gt;"",OR(NOT(ISNUMBER(E165)),N(E165)&lt;0)),"Réglage invalide",IF(AND(F165&lt;&gt;"",OR(NOT(ISNUMBER(F165)),N(F165)&lt;0)),"Temps par pièce invalide",IF(N(E165)+N(F165)=0,"Temps manquant",IF(AND(G165&lt;&gt;"",OR(NOT(ISNUMBER(G165)),N(G165)&lt;=0)),"Opérateurs invalide","OK"))))))))))</f>
        <v/>
      </c>
      <c r="N165" s="71" t="str">
        <f>IF(AND(fiche_sel&lt;&gt;"",A165=fiche_sel),COUNTIF(A$6:A165,fiche_sel),"")</f>
        <v/>
      </c>
    </row>
    <row r="166">
      <c r="A166" s="60" t="n"/>
      <c r="B166" s="73" t="n"/>
      <c r="C166" s="60" t="n"/>
      <c r="D166" s="61" t="n"/>
      <c r="E166" s="74" t="n"/>
      <c r="F166" s="74" t="n"/>
      <c r="G166" s="73" t="n"/>
      <c r="H166" s="66" t="str">
        <f>IF(M166&lt;&gt;"OK","",INDEX(po_mo,MATCH(D166,po_code,0)))</f>
        <v/>
      </c>
      <c r="I166" s="66" t="str">
        <f>IF(M166&lt;&gt;"OK","",INDEX(po_mac,MATCH(D166,po_code,0)))</f>
        <v/>
      </c>
      <c r="J166" s="66" t="str">
        <f>IF(M166&lt;&gt;"OK","",N(E166)*(H166*IF(G166="",1,G166)+I166))</f>
        <v/>
      </c>
      <c r="K166" s="66" t="str">
        <f>IF(M166&lt;&gt;"OK","",N(F166)/60*H166*IF(G166="",1,G166))</f>
        <v/>
      </c>
      <c r="L166" s="66" t="str">
        <f>IF(M166&lt;&gt;"OK","",N(F166)/60*I166)</f>
        <v/>
      </c>
      <c r="M166" s="69" t="str">
        <f>IF(AND(A166="",D166=""),"",IF(A166="","Produit manquant",IF(COUNTIF(prod_ref,A166)=0,"Produit inconnu",IF(D166="","Poste manquant",IF(ISNA(MATCH(D166,po_code,0)),"Poste inconnu",IF(INDEX(po_check,MATCH(D166,po_code,0))&lt;&gt;"OK","Poste à corriger",IF(AND(E166&lt;&gt;"",OR(NOT(ISNUMBER(E166)),N(E166)&lt;0)),"Réglage invalide",IF(AND(F166&lt;&gt;"",OR(NOT(ISNUMBER(F166)),N(F166)&lt;0)),"Temps par pièce invalide",IF(N(E166)+N(F166)=0,"Temps manquant",IF(AND(G166&lt;&gt;"",OR(NOT(ISNUMBER(G166)),N(G166)&lt;=0)),"Opérateurs invalide","OK"))))))))))</f>
        <v/>
      </c>
      <c r="N166" s="71" t="str">
        <f>IF(AND(fiche_sel&lt;&gt;"",A166=fiche_sel),COUNTIF(A$6:A166,fiche_sel),"")</f>
        <v/>
      </c>
    </row>
    <row r="167">
      <c r="A167" s="60" t="n"/>
      <c r="B167" s="73" t="n"/>
      <c r="C167" s="60" t="n"/>
      <c r="D167" s="61" t="n"/>
      <c r="E167" s="74" t="n"/>
      <c r="F167" s="74" t="n"/>
      <c r="G167" s="73" t="n"/>
      <c r="H167" s="66" t="str">
        <f>IF(M167&lt;&gt;"OK","",INDEX(po_mo,MATCH(D167,po_code,0)))</f>
        <v/>
      </c>
      <c r="I167" s="66" t="str">
        <f>IF(M167&lt;&gt;"OK","",INDEX(po_mac,MATCH(D167,po_code,0)))</f>
        <v/>
      </c>
      <c r="J167" s="66" t="str">
        <f>IF(M167&lt;&gt;"OK","",N(E167)*(H167*IF(G167="",1,G167)+I167))</f>
        <v/>
      </c>
      <c r="K167" s="66" t="str">
        <f>IF(M167&lt;&gt;"OK","",N(F167)/60*H167*IF(G167="",1,G167))</f>
        <v/>
      </c>
      <c r="L167" s="66" t="str">
        <f>IF(M167&lt;&gt;"OK","",N(F167)/60*I167)</f>
        <v/>
      </c>
      <c r="M167" s="69" t="str">
        <f>IF(AND(A167="",D167=""),"",IF(A167="","Produit manquant",IF(COUNTIF(prod_ref,A167)=0,"Produit inconnu",IF(D167="","Poste manquant",IF(ISNA(MATCH(D167,po_code,0)),"Poste inconnu",IF(INDEX(po_check,MATCH(D167,po_code,0))&lt;&gt;"OK","Poste à corriger",IF(AND(E167&lt;&gt;"",OR(NOT(ISNUMBER(E167)),N(E167)&lt;0)),"Réglage invalide",IF(AND(F167&lt;&gt;"",OR(NOT(ISNUMBER(F167)),N(F167)&lt;0)),"Temps par pièce invalide",IF(N(E167)+N(F167)=0,"Temps manquant",IF(AND(G167&lt;&gt;"",OR(NOT(ISNUMBER(G167)),N(G167)&lt;=0)),"Opérateurs invalide","OK"))))))))))</f>
        <v/>
      </c>
      <c r="N167" s="71" t="str">
        <f>IF(AND(fiche_sel&lt;&gt;"",A167=fiche_sel),COUNTIF(A$6:A167,fiche_sel),"")</f>
        <v/>
      </c>
    </row>
    <row r="168">
      <c r="A168" s="60" t="n"/>
      <c r="B168" s="73" t="n"/>
      <c r="C168" s="60" t="n"/>
      <c r="D168" s="61" t="n"/>
      <c r="E168" s="74" t="n"/>
      <c r="F168" s="74" t="n"/>
      <c r="G168" s="73" t="n"/>
      <c r="H168" s="66" t="str">
        <f>IF(M168&lt;&gt;"OK","",INDEX(po_mo,MATCH(D168,po_code,0)))</f>
        <v/>
      </c>
      <c r="I168" s="66" t="str">
        <f>IF(M168&lt;&gt;"OK","",INDEX(po_mac,MATCH(D168,po_code,0)))</f>
        <v/>
      </c>
      <c r="J168" s="66" t="str">
        <f>IF(M168&lt;&gt;"OK","",N(E168)*(H168*IF(G168="",1,G168)+I168))</f>
        <v/>
      </c>
      <c r="K168" s="66" t="str">
        <f>IF(M168&lt;&gt;"OK","",N(F168)/60*H168*IF(G168="",1,G168))</f>
        <v/>
      </c>
      <c r="L168" s="66" t="str">
        <f>IF(M168&lt;&gt;"OK","",N(F168)/60*I168)</f>
        <v/>
      </c>
      <c r="M168" s="69" t="str">
        <f>IF(AND(A168="",D168=""),"",IF(A168="","Produit manquant",IF(COUNTIF(prod_ref,A168)=0,"Produit inconnu",IF(D168="","Poste manquant",IF(ISNA(MATCH(D168,po_code,0)),"Poste inconnu",IF(INDEX(po_check,MATCH(D168,po_code,0))&lt;&gt;"OK","Poste à corriger",IF(AND(E168&lt;&gt;"",OR(NOT(ISNUMBER(E168)),N(E168)&lt;0)),"Réglage invalide",IF(AND(F168&lt;&gt;"",OR(NOT(ISNUMBER(F168)),N(F168)&lt;0)),"Temps par pièce invalide",IF(N(E168)+N(F168)=0,"Temps manquant",IF(AND(G168&lt;&gt;"",OR(NOT(ISNUMBER(G168)),N(G168)&lt;=0)),"Opérateurs invalide","OK"))))))))))</f>
        <v/>
      </c>
      <c r="N168" s="71" t="str">
        <f>IF(AND(fiche_sel&lt;&gt;"",A168=fiche_sel),COUNTIF(A$6:A168,fiche_sel),"")</f>
        <v/>
      </c>
    </row>
    <row r="169">
      <c r="A169" s="60" t="n"/>
      <c r="B169" s="73" t="n"/>
      <c r="C169" s="60" t="n"/>
      <c r="D169" s="61" t="n"/>
      <c r="E169" s="74" t="n"/>
      <c r="F169" s="74" t="n"/>
      <c r="G169" s="73" t="n"/>
      <c r="H169" s="66" t="str">
        <f>IF(M169&lt;&gt;"OK","",INDEX(po_mo,MATCH(D169,po_code,0)))</f>
        <v/>
      </c>
      <c r="I169" s="66" t="str">
        <f>IF(M169&lt;&gt;"OK","",INDEX(po_mac,MATCH(D169,po_code,0)))</f>
        <v/>
      </c>
      <c r="J169" s="66" t="str">
        <f>IF(M169&lt;&gt;"OK","",N(E169)*(H169*IF(G169="",1,G169)+I169))</f>
        <v/>
      </c>
      <c r="K169" s="66" t="str">
        <f>IF(M169&lt;&gt;"OK","",N(F169)/60*H169*IF(G169="",1,G169))</f>
        <v/>
      </c>
      <c r="L169" s="66" t="str">
        <f>IF(M169&lt;&gt;"OK","",N(F169)/60*I169)</f>
        <v/>
      </c>
      <c r="M169" s="69" t="str">
        <f>IF(AND(A169="",D169=""),"",IF(A169="","Produit manquant",IF(COUNTIF(prod_ref,A169)=0,"Produit inconnu",IF(D169="","Poste manquant",IF(ISNA(MATCH(D169,po_code,0)),"Poste inconnu",IF(INDEX(po_check,MATCH(D169,po_code,0))&lt;&gt;"OK","Poste à corriger",IF(AND(E169&lt;&gt;"",OR(NOT(ISNUMBER(E169)),N(E169)&lt;0)),"Réglage invalide",IF(AND(F169&lt;&gt;"",OR(NOT(ISNUMBER(F169)),N(F169)&lt;0)),"Temps par pièce invalide",IF(N(E169)+N(F169)=0,"Temps manquant",IF(AND(G169&lt;&gt;"",OR(NOT(ISNUMBER(G169)),N(G169)&lt;=0)),"Opérateurs invalide","OK"))))))))))</f>
        <v/>
      </c>
      <c r="N169" s="71" t="str">
        <f>IF(AND(fiche_sel&lt;&gt;"",A169=fiche_sel),COUNTIF(A$6:A169,fiche_sel),"")</f>
        <v/>
      </c>
    </row>
    <row r="170">
      <c r="A170" s="60" t="n"/>
      <c r="B170" s="73" t="n"/>
      <c r="C170" s="60" t="n"/>
      <c r="D170" s="61" t="n"/>
      <c r="E170" s="74" t="n"/>
      <c r="F170" s="74" t="n"/>
      <c r="G170" s="73" t="n"/>
      <c r="H170" s="66" t="str">
        <f>IF(M170&lt;&gt;"OK","",INDEX(po_mo,MATCH(D170,po_code,0)))</f>
        <v/>
      </c>
      <c r="I170" s="66" t="str">
        <f>IF(M170&lt;&gt;"OK","",INDEX(po_mac,MATCH(D170,po_code,0)))</f>
        <v/>
      </c>
      <c r="J170" s="66" t="str">
        <f>IF(M170&lt;&gt;"OK","",N(E170)*(H170*IF(G170="",1,G170)+I170))</f>
        <v/>
      </c>
      <c r="K170" s="66" t="str">
        <f>IF(M170&lt;&gt;"OK","",N(F170)/60*H170*IF(G170="",1,G170))</f>
        <v/>
      </c>
      <c r="L170" s="66" t="str">
        <f>IF(M170&lt;&gt;"OK","",N(F170)/60*I170)</f>
        <v/>
      </c>
      <c r="M170" s="69" t="str">
        <f>IF(AND(A170="",D170=""),"",IF(A170="","Produit manquant",IF(COUNTIF(prod_ref,A170)=0,"Produit inconnu",IF(D170="","Poste manquant",IF(ISNA(MATCH(D170,po_code,0)),"Poste inconnu",IF(INDEX(po_check,MATCH(D170,po_code,0))&lt;&gt;"OK","Poste à corriger",IF(AND(E170&lt;&gt;"",OR(NOT(ISNUMBER(E170)),N(E170)&lt;0)),"Réglage invalide",IF(AND(F170&lt;&gt;"",OR(NOT(ISNUMBER(F170)),N(F170)&lt;0)),"Temps par pièce invalide",IF(N(E170)+N(F170)=0,"Temps manquant",IF(AND(G170&lt;&gt;"",OR(NOT(ISNUMBER(G170)),N(G170)&lt;=0)),"Opérateurs invalide","OK"))))))))))</f>
        <v/>
      </c>
      <c r="N170" s="71" t="str">
        <f>IF(AND(fiche_sel&lt;&gt;"",A170=fiche_sel),COUNTIF(A$6:A170,fiche_sel),"")</f>
        <v/>
      </c>
    </row>
    <row r="171">
      <c r="A171" s="60" t="n"/>
      <c r="B171" s="73" t="n"/>
      <c r="C171" s="60" t="n"/>
      <c r="D171" s="61" t="n"/>
      <c r="E171" s="74" t="n"/>
      <c r="F171" s="74" t="n"/>
      <c r="G171" s="73" t="n"/>
      <c r="H171" s="66" t="str">
        <f>IF(M171&lt;&gt;"OK","",INDEX(po_mo,MATCH(D171,po_code,0)))</f>
        <v/>
      </c>
      <c r="I171" s="66" t="str">
        <f>IF(M171&lt;&gt;"OK","",INDEX(po_mac,MATCH(D171,po_code,0)))</f>
        <v/>
      </c>
      <c r="J171" s="66" t="str">
        <f>IF(M171&lt;&gt;"OK","",N(E171)*(H171*IF(G171="",1,G171)+I171))</f>
        <v/>
      </c>
      <c r="K171" s="66" t="str">
        <f>IF(M171&lt;&gt;"OK","",N(F171)/60*H171*IF(G171="",1,G171))</f>
        <v/>
      </c>
      <c r="L171" s="66" t="str">
        <f>IF(M171&lt;&gt;"OK","",N(F171)/60*I171)</f>
        <v/>
      </c>
      <c r="M171" s="69" t="str">
        <f>IF(AND(A171="",D171=""),"",IF(A171="","Produit manquant",IF(COUNTIF(prod_ref,A171)=0,"Produit inconnu",IF(D171="","Poste manquant",IF(ISNA(MATCH(D171,po_code,0)),"Poste inconnu",IF(INDEX(po_check,MATCH(D171,po_code,0))&lt;&gt;"OK","Poste à corriger",IF(AND(E171&lt;&gt;"",OR(NOT(ISNUMBER(E171)),N(E171)&lt;0)),"Réglage invalide",IF(AND(F171&lt;&gt;"",OR(NOT(ISNUMBER(F171)),N(F171)&lt;0)),"Temps par pièce invalide",IF(N(E171)+N(F171)=0,"Temps manquant",IF(AND(G171&lt;&gt;"",OR(NOT(ISNUMBER(G171)),N(G171)&lt;=0)),"Opérateurs invalide","OK"))))))))))</f>
        <v/>
      </c>
      <c r="N171" s="71" t="str">
        <f>IF(AND(fiche_sel&lt;&gt;"",A171=fiche_sel),COUNTIF(A$6:A171,fiche_sel),"")</f>
        <v/>
      </c>
    </row>
    <row r="172">
      <c r="A172" s="60" t="n"/>
      <c r="B172" s="73" t="n"/>
      <c r="C172" s="60" t="n"/>
      <c r="D172" s="61" t="n"/>
      <c r="E172" s="74" t="n"/>
      <c r="F172" s="74" t="n"/>
      <c r="G172" s="73" t="n"/>
      <c r="H172" s="66" t="str">
        <f>IF(M172&lt;&gt;"OK","",INDEX(po_mo,MATCH(D172,po_code,0)))</f>
        <v/>
      </c>
      <c r="I172" s="66" t="str">
        <f>IF(M172&lt;&gt;"OK","",INDEX(po_mac,MATCH(D172,po_code,0)))</f>
        <v/>
      </c>
      <c r="J172" s="66" t="str">
        <f>IF(M172&lt;&gt;"OK","",N(E172)*(H172*IF(G172="",1,G172)+I172))</f>
        <v/>
      </c>
      <c r="K172" s="66" t="str">
        <f>IF(M172&lt;&gt;"OK","",N(F172)/60*H172*IF(G172="",1,G172))</f>
        <v/>
      </c>
      <c r="L172" s="66" t="str">
        <f>IF(M172&lt;&gt;"OK","",N(F172)/60*I172)</f>
        <v/>
      </c>
      <c r="M172" s="69" t="str">
        <f>IF(AND(A172="",D172=""),"",IF(A172="","Produit manquant",IF(COUNTIF(prod_ref,A172)=0,"Produit inconnu",IF(D172="","Poste manquant",IF(ISNA(MATCH(D172,po_code,0)),"Poste inconnu",IF(INDEX(po_check,MATCH(D172,po_code,0))&lt;&gt;"OK","Poste à corriger",IF(AND(E172&lt;&gt;"",OR(NOT(ISNUMBER(E172)),N(E172)&lt;0)),"Réglage invalide",IF(AND(F172&lt;&gt;"",OR(NOT(ISNUMBER(F172)),N(F172)&lt;0)),"Temps par pièce invalide",IF(N(E172)+N(F172)=0,"Temps manquant",IF(AND(G172&lt;&gt;"",OR(NOT(ISNUMBER(G172)),N(G172)&lt;=0)),"Opérateurs invalide","OK"))))))))))</f>
        <v/>
      </c>
      <c r="N172" s="71" t="str">
        <f>IF(AND(fiche_sel&lt;&gt;"",A172=fiche_sel),COUNTIF(A$6:A172,fiche_sel),"")</f>
        <v/>
      </c>
    </row>
    <row r="173">
      <c r="A173" s="60" t="n"/>
      <c r="B173" s="73" t="n"/>
      <c r="C173" s="60" t="n"/>
      <c r="D173" s="61" t="n"/>
      <c r="E173" s="74" t="n"/>
      <c r="F173" s="74" t="n"/>
      <c r="G173" s="73" t="n"/>
      <c r="H173" s="66" t="str">
        <f>IF(M173&lt;&gt;"OK","",INDEX(po_mo,MATCH(D173,po_code,0)))</f>
        <v/>
      </c>
      <c r="I173" s="66" t="str">
        <f>IF(M173&lt;&gt;"OK","",INDEX(po_mac,MATCH(D173,po_code,0)))</f>
        <v/>
      </c>
      <c r="J173" s="66" t="str">
        <f>IF(M173&lt;&gt;"OK","",N(E173)*(H173*IF(G173="",1,G173)+I173))</f>
        <v/>
      </c>
      <c r="K173" s="66" t="str">
        <f>IF(M173&lt;&gt;"OK","",N(F173)/60*H173*IF(G173="",1,G173))</f>
        <v/>
      </c>
      <c r="L173" s="66" t="str">
        <f>IF(M173&lt;&gt;"OK","",N(F173)/60*I173)</f>
        <v/>
      </c>
      <c r="M173" s="69" t="str">
        <f>IF(AND(A173="",D173=""),"",IF(A173="","Produit manquant",IF(COUNTIF(prod_ref,A173)=0,"Produit inconnu",IF(D173="","Poste manquant",IF(ISNA(MATCH(D173,po_code,0)),"Poste inconnu",IF(INDEX(po_check,MATCH(D173,po_code,0))&lt;&gt;"OK","Poste à corriger",IF(AND(E173&lt;&gt;"",OR(NOT(ISNUMBER(E173)),N(E173)&lt;0)),"Réglage invalide",IF(AND(F173&lt;&gt;"",OR(NOT(ISNUMBER(F173)),N(F173)&lt;0)),"Temps par pièce invalide",IF(N(E173)+N(F173)=0,"Temps manquant",IF(AND(G173&lt;&gt;"",OR(NOT(ISNUMBER(G173)),N(G173)&lt;=0)),"Opérateurs invalide","OK"))))))))))</f>
        <v/>
      </c>
      <c r="N173" s="71" t="str">
        <f>IF(AND(fiche_sel&lt;&gt;"",A173=fiche_sel),COUNTIF(A$6:A173,fiche_sel),"")</f>
        <v/>
      </c>
    </row>
    <row r="174">
      <c r="A174" s="60" t="n"/>
      <c r="B174" s="73" t="n"/>
      <c r="C174" s="60" t="n"/>
      <c r="D174" s="61" t="n"/>
      <c r="E174" s="74" t="n"/>
      <c r="F174" s="74" t="n"/>
      <c r="G174" s="73" t="n"/>
      <c r="H174" s="66" t="str">
        <f>IF(M174&lt;&gt;"OK","",INDEX(po_mo,MATCH(D174,po_code,0)))</f>
        <v/>
      </c>
      <c r="I174" s="66" t="str">
        <f>IF(M174&lt;&gt;"OK","",INDEX(po_mac,MATCH(D174,po_code,0)))</f>
        <v/>
      </c>
      <c r="J174" s="66" t="str">
        <f>IF(M174&lt;&gt;"OK","",N(E174)*(H174*IF(G174="",1,G174)+I174))</f>
        <v/>
      </c>
      <c r="K174" s="66" t="str">
        <f>IF(M174&lt;&gt;"OK","",N(F174)/60*H174*IF(G174="",1,G174))</f>
        <v/>
      </c>
      <c r="L174" s="66" t="str">
        <f>IF(M174&lt;&gt;"OK","",N(F174)/60*I174)</f>
        <v/>
      </c>
      <c r="M174" s="69" t="str">
        <f>IF(AND(A174="",D174=""),"",IF(A174="","Produit manquant",IF(COUNTIF(prod_ref,A174)=0,"Produit inconnu",IF(D174="","Poste manquant",IF(ISNA(MATCH(D174,po_code,0)),"Poste inconnu",IF(INDEX(po_check,MATCH(D174,po_code,0))&lt;&gt;"OK","Poste à corriger",IF(AND(E174&lt;&gt;"",OR(NOT(ISNUMBER(E174)),N(E174)&lt;0)),"Réglage invalide",IF(AND(F174&lt;&gt;"",OR(NOT(ISNUMBER(F174)),N(F174)&lt;0)),"Temps par pièce invalide",IF(N(E174)+N(F174)=0,"Temps manquant",IF(AND(G174&lt;&gt;"",OR(NOT(ISNUMBER(G174)),N(G174)&lt;=0)),"Opérateurs invalide","OK"))))))))))</f>
        <v/>
      </c>
      <c r="N174" s="71" t="str">
        <f>IF(AND(fiche_sel&lt;&gt;"",A174=fiche_sel),COUNTIF(A$6:A174,fiche_sel),"")</f>
        <v/>
      </c>
    </row>
    <row r="175">
      <c r="A175" s="60" t="n"/>
      <c r="B175" s="73" t="n"/>
      <c r="C175" s="60" t="n"/>
      <c r="D175" s="61" t="n"/>
      <c r="E175" s="74" t="n"/>
      <c r="F175" s="74" t="n"/>
      <c r="G175" s="73" t="n"/>
      <c r="H175" s="66" t="str">
        <f>IF(M175&lt;&gt;"OK","",INDEX(po_mo,MATCH(D175,po_code,0)))</f>
        <v/>
      </c>
      <c r="I175" s="66" t="str">
        <f>IF(M175&lt;&gt;"OK","",INDEX(po_mac,MATCH(D175,po_code,0)))</f>
        <v/>
      </c>
      <c r="J175" s="66" t="str">
        <f>IF(M175&lt;&gt;"OK","",N(E175)*(H175*IF(G175="",1,G175)+I175))</f>
        <v/>
      </c>
      <c r="K175" s="66" t="str">
        <f>IF(M175&lt;&gt;"OK","",N(F175)/60*H175*IF(G175="",1,G175))</f>
        <v/>
      </c>
      <c r="L175" s="66" t="str">
        <f>IF(M175&lt;&gt;"OK","",N(F175)/60*I175)</f>
        <v/>
      </c>
      <c r="M175" s="69" t="str">
        <f>IF(AND(A175="",D175=""),"",IF(A175="","Produit manquant",IF(COUNTIF(prod_ref,A175)=0,"Produit inconnu",IF(D175="","Poste manquant",IF(ISNA(MATCH(D175,po_code,0)),"Poste inconnu",IF(INDEX(po_check,MATCH(D175,po_code,0))&lt;&gt;"OK","Poste à corriger",IF(AND(E175&lt;&gt;"",OR(NOT(ISNUMBER(E175)),N(E175)&lt;0)),"Réglage invalide",IF(AND(F175&lt;&gt;"",OR(NOT(ISNUMBER(F175)),N(F175)&lt;0)),"Temps par pièce invalide",IF(N(E175)+N(F175)=0,"Temps manquant",IF(AND(G175&lt;&gt;"",OR(NOT(ISNUMBER(G175)),N(G175)&lt;=0)),"Opérateurs invalide","OK"))))))))))</f>
        <v/>
      </c>
      <c r="N175" s="71" t="str">
        <f>IF(AND(fiche_sel&lt;&gt;"",A175=fiche_sel),COUNTIF(A$6:A175,fiche_sel),"")</f>
        <v/>
      </c>
    </row>
    <row r="176">
      <c r="A176" s="60" t="n"/>
      <c r="B176" s="73" t="n"/>
      <c r="C176" s="60" t="n"/>
      <c r="D176" s="61" t="n"/>
      <c r="E176" s="74" t="n"/>
      <c r="F176" s="74" t="n"/>
      <c r="G176" s="73" t="n"/>
      <c r="H176" s="66" t="str">
        <f>IF(M176&lt;&gt;"OK","",INDEX(po_mo,MATCH(D176,po_code,0)))</f>
        <v/>
      </c>
      <c r="I176" s="66" t="str">
        <f>IF(M176&lt;&gt;"OK","",INDEX(po_mac,MATCH(D176,po_code,0)))</f>
        <v/>
      </c>
      <c r="J176" s="66" t="str">
        <f>IF(M176&lt;&gt;"OK","",N(E176)*(H176*IF(G176="",1,G176)+I176))</f>
        <v/>
      </c>
      <c r="K176" s="66" t="str">
        <f>IF(M176&lt;&gt;"OK","",N(F176)/60*H176*IF(G176="",1,G176))</f>
        <v/>
      </c>
      <c r="L176" s="66" t="str">
        <f>IF(M176&lt;&gt;"OK","",N(F176)/60*I176)</f>
        <v/>
      </c>
      <c r="M176" s="69" t="str">
        <f>IF(AND(A176="",D176=""),"",IF(A176="","Produit manquant",IF(COUNTIF(prod_ref,A176)=0,"Produit inconnu",IF(D176="","Poste manquant",IF(ISNA(MATCH(D176,po_code,0)),"Poste inconnu",IF(INDEX(po_check,MATCH(D176,po_code,0))&lt;&gt;"OK","Poste à corriger",IF(AND(E176&lt;&gt;"",OR(NOT(ISNUMBER(E176)),N(E176)&lt;0)),"Réglage invalide",IF(AND(F176&lt;&gt;"",OR(NOT(ISNUMBER(F176)),N(F176)&lt;0)),"Temps par pièce invalide",IF(N(E176)+N(F176)=0,"Temps manquant",IF(AND(G176&lt;&gt;"",OR(NOT(ISNUMBER(G176)),N(G176)&lt;=0)),"Opérateurs invalide","OK"))))))))))</f>
        <v/>
      </c>
      <c r="N176" s="71" t="str">
        <f>IF(AND(fiche_sel&lt;&gt;"",A176=fiche_sel),COUNTIF(A$6:A176,fiche_sel),"")</f>
        <v/>
      </c>
    </row>
    <row r="177">
      <c r="A177" s="60" t="n"/>
      <c r="B177" s="73" t="n"/>
      <c r="C177" s="60" t="n"/>
      <c r="D177" s="61" t="n"/>
      <c r="E177" s="74" t="n"/>
      <c r="F177" s="74" t="n"/>
      <c r="G177" s="73" t="n"/>
      <c r="H177" s="66" t="str">
        <f>IF(M177&lt;&gt;"OK","",INDEX(po_mo,MATCH(D177,po_code,0)))</f>
        <v/>
      </c>
      <c r="I177" s="66" t="str">
        <f>IF(M177&lt;&gt;"OK","",INDEX(po_mac,MATCH(D177,po_code,0)))</f>
        <v/>
      </c>
      <c r="J177" s="66" t="str">
        <f>IF(M177&lt;&gt;"OK","",N(E177)*(H177*IF(G177="",1,G177)+I177))</f>
        <v/>
      </c>
      <c r="K177" s="66" t="str">
        <f>IF(M177&lt;&gt;"OK","",N(F177)/60*H177*IF(G177="",1,G177))</f>
        <v/>
      </c>
      <c r="L177" s="66" t="str">
        <f>IF(M177&lt;&gt;"OK","",N(F177)/60*I177)</f>
        <v/>
      </c>
      <c r="M177" s="69" t="str">
        <f>IF(AND(A177="",D177=""),"",IF(A177="","Produit manquant",IF(COUNTIF(prod_ref,A177)=0,"Produit inconnu",IF(D177="","Poste manquant",IF(ISNA(MATCH(D177,po_code,0)),"Poste inconnu",IF(INDEX(po_check,MATCH(D177,po_code,0))&lt;&gt;"OK","Poste à corriger",IF(AND(E177&lt;&gt;"",OR(NOT(ISNUMBER(E177)),N(E177)&lt;0)),"Réglage invalide",IF(AND(F177&lt;&gt;"",OR(NOT(ISNUMBER(F177)),N(F177)&lt;0)),"Temps par pièce invalide",IF(N(E177)+N(F177)=0,"Temps manquant",IF(AND(G177&lt;&gt;"",OR(NOT(ISNUMBER(G177)),N(G177)&lt;=0)),"Opérateurs invalide","OK"))))))))))</f>
        <v/>
      </c>
      <c r="N177" s="71" t="str">
        <f>IF(AND(fiche_sel&lt;&gt;"",A177=fiche_sel),COUNTIF(A$6:A177,fiche_sel),"")</f>
        <v/>
      </c>
    </row>
    <row r="178">
      <c r="A178" s="60" t="n"/>
      <c r="B178" s="73" t="n"/>
      <c r="C178" s="60" t="n"/>
      <c r="D178" s="61" t="n"/>
      <c r="E178" s="74" t="n"/>
      <c r="F178" s="74" t="n"/>
      <c r="G178" s="73" t="n"/>
      <c r="H178" s="66" t="str">
        <f>IF(M178&lt;&gt;"OK","",INDEX(po_mo,MATCH(D178,po_code,0)))</f>
        <v/>
      </c>
      <c r="I178" s="66" t="str">
        <f>IF(M178&lt;&gt;"OK","",INDEX(po_mac,MATCH(D178,po_code,0)))</f>
        <v/>
      </c>
      <c r="J178" s="66" t="str">
        <f>IF(M178&lt;&gt;"OK","",N(E178)*(H178*IF(G178="",1,G178)+I178))</f>
        <v/>
      </c>
      <c r="K178" s="66" t="str">
        <f>IF(M178&lt;&gt;"OK","",N(F178)/60*H178*IF(G178="",1,G178))</f>
        <v/>
      </c>
      <c r="L178" s="66" t="str">
        <f>IF(M178&lt;&gt;"OK","",N(F178)/60*I178)</f>
        <v/>
      </c>
      <c r="M178" s="69" t="str">
        <f>IF(AND(A178="",D178=""),"",IF(A178="","Produit manquant",IF(COUNTIF(prod_ref,A178)=0,"Produit inconnu",IF(D178="","Poste manquant",IF(ISNA(MATCH(D178,po_code,0)),"Poste inconnu",IF(INDEX(po_check,MATCH(D178,po_code,0))&lt;&gt;"OK","Poste à corriger",IF(AND(E178&lt;&gt;"",OR(NOT(ISNUMBER(E178)),N(E178)&lt;0)),"Réglage invalide",IF(AND(F178&lt;&gt;"",OR(NOT(ISNUMBER(F178)),N(F178)&lt;0)),"Temps par pièce invalide",IF(N(E178)+N(F178)=0,"Temps manquant",IF(AND(G178&lt;&gt;"",OR(NOT(ISNUMBER(G178)),N(G178)&lt;=0)),"Opérateurs invalide","OK"))))))))))</f>
        <v/>
      </c>
      <c r="N178" s="71" t="str">
        <f>IF(AND(fiche_sel&lt;&gt;"",A178=fiche_sel),COUNTIF(A$6:A178,fiche_sel),"")</f>
        <v/>
      </c>
    </row>
    <row r="179">
      <c r="A179" s="60" t="n"/>
      <c r="B179" s="73" t="n"/>
      <c r="C179" s="60" t="n"/>
      <c r="D179" s="61" t="n"/>
      <c r="E179" s="74" t="n"/>
      <c r="F179" s="74" t="n"/>
      <c r="G179" s="73" t="n"/>
      <c r="H179" s="66" t="str">
        <f>IF(M179&lt;&gt;"OK","",INDEX(po_mo,MATCH(D179,po_code,0)))</f>
        <v/>
      </c>
      <c r="I179" s="66" t="str">
        <f>IF(M179&lt;&gt;"OK","",INDEX(po_mac,MATCH(D179,po_code,0)))</f>
        <v/>
      </c>
      <c r="J179" s="66" t="str">
        <f>IF(M179&lt;&gt;"OK","",N(E179)*(H179*IF(G179="",1,G179)+I179))</f>
        <v/>
      </c>
      <c r="K179" s="66" t="str">
        <f>IF(M179&lt;&gt;"OK","",N(F179)/60*H179*IF(G179="",1,G179))</f>
        <v/>
      </c>
      <c r="L179" s="66" t="str">
        <f>IF(M179&lt;&gt;"OK","",N(F179)/60*I179)</f>
        <v/>
      </c>
      <c r="M179" s="69" t="str">
        <f>IF(AND(A179="",D179=""),"",IF(A179="","Produit manquant",IF(COUNTIF(prod_ref,A179)=0,"Produit inconnu",IF(D179="","Poste manquant",IF(ISNA(MATCH(D179,po_code,0)),"Poste inconnu",IF(INDEX(po_check,MATCH(D179,po_code,0))&lt;&gt;"OK","Poste à corriger",IF(AND(E179&lt;&gt;"",OR(NOT(ISNUMBER(E179)),N(E179)&lt;0)),"Réglage invalide",IF(AND(F179&lt;&gt;"",OR(NOT(ISNUMBER(F179)),N(F179)&lt;0)),"Temps par pièce invalide",IF(N(E179)+N(F179)=0,"Temps manquant",IF(AND(G179&lt;&gt;"",OR(NOT(ISNUMBER(G179)),N(G179)&lt;=0)),"Opérateurs invalide","OK"))))))))))</f>
        <v/>
      </c>
      <c r="N179" s="71" t="str">
        <f>IF(AND(fiche_sel&lt;&gt;"",A179=fiche_sel),COUNTIF(A$6:A179,fiche_sel),"")</f>
        <v/>
      </c>
    </row>
    <row r="180">
      <c r="A180" s="60" t="n"/>
      <c r="B180" s="73" t="n"/>
      <c r="C180" s="60" t="n"/>
      <c r="D180" s="61" t="n"/>
      <c r="E180" s="74" t="n"/>
      <c r="F180" s="74" t="n"/>
      <c r="G180" s="73" t="n"/>
      <c r="H180" s="66" t="str">
        <f>IF(M180&lt;&gt;"OK","",INDEX(po_mo,MATCH(D180,po_code,0)))</f>
        <v/>
      </c>
      <c r="I180" s="66" t="str">
        <f>IF(M180&lt;&gt;"OK","",INDEX(po_mac,MATCH(D180,po_code,0)))</f>
        <v/>
      </c>
      <c r="J180" s="66" t="str">
        <f>IF(M180&lt;&gt;"OK","",N(E180)*(H180*IF(G180="",1,G180)+I180))</f>
        <v/>
      </c>
      <c r="K180" s="66" t="str">
        <f>IF(M180&lt;&gt;"OK","",N(F180)/60*H180*IF(G180="",1,G180))</f>
        <v/>
      </c>
      <c r="L180" s="66" t="str">
        <f>IF(M180&lt;&gt;"OK","",N(F180)/60*I180)</f>
        <v/>
      </c>
      <c r="M180" s="69" t="str">
        <f>IF(AND(A180="",D180=""),"",IF(A180="","Produit manquant",IF(COUNTIF(prod_ref,A180)=0,"Produit inconnu",IF(D180="","Poste manquant",IF(ISNA(MATCH(D180,po_code,0)),"Poste inconnu",IF(INDEX(po_check,MATCH(D180,po_code,0))&lt;&gt;"OK","Poste à corriger",IF(AND(E180&lt;&gt;"",OR(NOT(ISNUMBER(E180)),N(E180)&lt;0)),"Réglage invalide",IF(AND(F180&lt;&gt;"",OR(NOT(ISNUMBER(F180)),N(F180)&lt;0)),"Temps par pièce invalide",IF(N(E180)+N(F180)=0,"Temps manquant",IF(AND(G180&lt;&gt;"",OR(NOT(ISNUMBER(G180)),N(G180)&lt;=0)),"Opérateurs invalide","OK"))))))))))</f>
        <v/>
      </c>
      <c r="N180" s="71" t="str">
        <f>IF(AND(fiche_sel&lt;&gt;"",A180=fiche_sel),COUNTIF(A$6:A180,fiche_sel),"")</f>
        <v/>
      </c>
    </row>
    <row r="181">
      <c r="A181" s="60" t="n"/>
      <c r="B181" s="73" t="n"/>
      <c r="C181" s="60" t="n"/>
      <c r="D181" s="61" t="n"/>
      <c r="E181" s="74" t="n"/>
      <c r="F181" s="74" t="n"/>
      <c r="G181" s="73" t="n"/>
      <c r="H181" s="66" t="str">
        <f>IF(M181&lt;&gt;"OK","",INDEX(po_mo,MATCH(D181,po_code,0)))</f>
        <v/>
      </c>
      <c r="I181" s="66" t="str">
        <f>IF(M181&lt;&gt;"OK","",INDEX(po_mac,MATCH(D181,po_code,0)))</f>
        <v/>
      </c>
      <c r="J181" s="66" t="str">
        <f>IF(M181&lt;&gt;"OK","",N(E181)*(H181*IF(G181="",1,G181)+I181))</f>
        <v/>
      </c>
      <c r="K181" s="66" t="str">
        <f>IF(M181&lt;&gt;"OK","",N(F181)/60*H181*IF(G181="",1,G181))</f>
        <v/>
      </c>
      <c r="L181" s="66" t="str">
        <f>IF(M181&lt;&gt;"OK","",N(F181)/60*I181)</f>
        <v/>
      </c>
      <c r="M181" s="69" t="str">
        <f>IF(AND(A181="",D181=""),"",IF(A181="","Produit manquant",IF(COUNTIF(prod_ref,A181)=0,"Produit inconnu",IF(D181="","Poste manquant",IF(ISNA(MATCH(D181,po_code,0)),"Poste inconnu",IF(INDEX(po_check,MATCH(D181,po_code,0))&lt;&gt;"OK","Poste à corriger",IF(AND(E181&lt;&gt;"",OR(NOT(ISNUMBER(E181)),N(E181)&lt;0)),"Réglage invalide",IF(AND(F181&lt;&gt;"",OR(NOT(ISNUMBER(F181)),N(F181)&lt;0)),"Temps par pièce invalide",IF(N(E181)+N(F181)=0,"Temps manquant",IF(AND(G181&lt;&gt;"",OR(NOT(ISNUMBER(G181)),N(G181)&lt;=0)),"Opérateurs invalide","OK"))))))))))</f>
        <v/>
      </c>
      <c r="N181" s="71" t="str">
        <f>IF(AND(fiche_sel&lt;&gt;"",A181=fiche_sel),COUNTIF(A$6:A181,fiche_sel),"")</f>
        <v/>
      </c>
    </row>
    <row r="182">
      <c r="A182" s="60" t="n"/>
      <c r="B182" s="73" t="n"/>
      <c r="C182" s="60" t="n"/>
      <c r="D182" s="61" t="n"/>
      <c r="E182" s="74" t="n"/>
      <c r="F182" s="74" t="n"/>
      <c r="G182" s="73" t="n"/>
      <c r="H182" s="66" t="str">
        <f>IF(M182&lt;&gt;"OK","",INDEX(po_mo,MATCH(D182,po_code,0)))</f>
        <v/>
      </c>
      <c r="I182" s="66" t="str">
        <f>IF(M182&lt;&gt;"OK","",INDEX(po_mac,MATCH(D182,po_code,0)))</f>
        <v/>
      </c>
      <c r="J182" s="66" t="str">
        <f>IF(M182&lt;&gt;"OK","",N(E182)*(H182*IF(G182="",1,G182)+I182))</f>
        <v/>
      </c>
      <c r="K182" s="66" t="str">
        <f>IF(M182&lt;&gt;"OK","",N(F182)/60*H182*IF(G182="",1,G182))</f>
        <v/>
      </c>
      <c r="L182" s="66" t="str">
        <f>IF(M182&lt;&gt;"OK","",N(F182)/60*I182)</f>
        <v/>
      </c>
      <c r="M182" s="69" t="str">
        <f>IF(AND(A182="",D182=""),"",IF(A182="","Produit manquant",IF(COUNTIF(prod_ref,A182)=0,"Produit inconnu",IF(D182="","Poste manquant",IF(ISNA(MATCH(D182,po_code,0)),"Poste inconnu",IF(INDEX(po_check,MATCH(D182,po_code,0))&lt;&gt;"OK","Poste à corriger",IF(AND(E182&lt;&gt;"",OR(NOT(ISNUMBER(E182)),N(E182)&lt;0)),"Réglage invalide",IF(AND(F182&lt;&gt;"",OR(NOT(ISNUMBER(F182)),N(F182)&lt;0)),"Temps par pièce invalide",IF(N(E182)+N(F182)=0,"Temps manquant",IF(AND(G182&lt;&gt;"",OR(NOT(ISNUMBER(G182)),N(G182)&lt;=0)),"Opérateurs invalide","OK"))))))))))</f>
        <v/>
      </c>
      <c r="N182" s="71" t="str">
        <f>IF(AND(fiche_sel&lt;&gt;"",A182=fiche_sel),COUNTIF(A$6:A182,fiche_sel),"")</f>
        <v/>
      </c>
    </row>
    <row r="183">
      <c r="A183" s="60" t="n"/>
      <c r="B183" s="73" t="n"/>
      <c r="C183" s="60" t="n"/>
      <c r="D183" s="61" t="n"/>
      <c r="E183" s="74" t="n"/>
      <c r="F183" s="74" t="n"/>
      <c r="G183" s="73" t="n"/>
      <c r="H183" s="66" t="str">
        <f>IF(M183&lt;&gt;"OK","",INDEX(po_mo,MATCH(D183,po_code,0)))</f>
        <v/>
      </c>
      <c r="I183" s="66" t="str">
        <f>IF(M183&lt;&gt;"OK","",INDEX(po_mac,MATCH(D183,po_code,0)))</f>
        <v/>
      </c>
      <c r="J183" s="66" t="str">
        <f>IF(M183&lt;&gt;"OK","",N(E183)*(H183*IF(G183="",1,G183)+I183))</f>
        <v/>
      </c>
      <c r="K183" s="66" t="str">
        <f>IF(M183&lt;&gt;"OK","",N(F183)/60*H183*IF(G183="",1,G183))</f>
        <v/>
      </c>
      <c r="L183" s="66" t="str">
        <f>IF(M183&lt;&gt;"OK","",N(F183)/60*I183)</f>
        <v/>
      </c>
      <c r="M183" s="69" t="str">
        <f>IF(AND(A183="",D183=""),"",IF(A183="","Produit manquant",IF(COUNTIF(prod_ref,A183)=0,"Produit inconnu",IF(D183="","Poste manquant",IF(ISNA(MATCH(D183,po_code,0)),"Poste inconnu",IF(INDEX(po_check,MATCH(D183,po_code,0))&lt;&gt;"OK","Poste à corriger",IF(AND(E183&lt;&gt;"",OR(NOT(ISNUMBER(E183)),N(E183)&lt;0)),"Réglage invalide",IF(AND(F183&lt;&gt;"",OR(NOT(ISNUMBER(F183)),N(F183)&lt;0)),"Temps par pièce invalide",IF(N(E183)+N(F183)=0,"Temps manquant",IF(AND(G183&lt;&gt;"",OR(NOT(ISNUMBER(G183)),N(G183)&lt;=0)),"Opérateurs invalide","OK"))))))))))</f>
        <v/>
      </c>
      <c r="N183" s="71" t="str">
        <f>IF(AND(fiche_sel&lt;&gt;"",A183=fiche_sel),COUNTIF(A$6:A183,fiche_sel),"")</f>
        <v/>
      </c>
    </row>
    <row r="184">
      <c r="A184" s="60" t="n"/>
      <c r="B184" s="73" t="n"/>
      <c r="C184" s="60" t="n"/>
      <c r="D184" s="61" t="n"/>
      <c r="E184" s="74" t="n"/>
      <c r="F184" s="74" t="n"/>
      <c r="G184" s="73" t="n"/>
      <c r="H184" s="66" t="str">
        <f>IF(M184&lt;&gt;"OK","",INDEX(po_mo,MATCH(D184,po_code,0)))</f>
        <v/>
      </c>
      <c r="I184" s="66" t="str">
        <f>IF(M184&lt;&gt;"OK","",INDEX(po_mac,MATCH(D184,po_code,0)))</f>
        <v/>
      </c>
      <c r="J184" s="66" t="str">
        <f>IF(M184&lt;&gt;"OK","",N(E184)*(H184*IF(G184="",1,G184)+I184))</f>
        <v/>
      </c>
      <c r="K184" s="66" t="str">
        <f>IF(M184&lt;&gt;"OK","",N(F184)/60*H184*IF(G184="",1,G184))</f>
        <v/>
      </c>
      <c r="L184" s="66" t="str">
        <f>IF(M184&lt;&gt;"OK","",N(F184)/60*I184)</f>
        <v/>
      </c>
      <c r="M184" s="69" t="str">
        <f>IF(AND(A184="",D184=""),"",IF(A184="","Produit manquant",IF(COUNTIF(prod_ref,A184)=0,"Produit inconnu",IF(D184="","Poste manquant",IF(ISNA(MATCH(D184,po_code,0)),"Poste inconnu",IF(INDEX(po_check,MATCH(D184,po_code,0))&lt;&gt;"OK","Poste à corriger",IF(AND(E184&lt;&gt;"",OR(NOT(ISNUMBER(E184)),N(E184)&lt;0)),"Réglage invalide",IF(AND(F184&lt;&gt;"",OR(NOT(ISNUMBER(F184)),N(F184)&lt;0)),"Temps par pièce invalide",IF(N(E184)+N(F184)=0,"Temps manquant",IF(AND(G184&lt;&gt;"",OR(NOT(ISNUMBER(G184)),N(G184)&lt;=0)),"Opérateurs invalide","OK"))))))))))</f>
        <v/>
      </c>
      <c r="N184" s="71" t="str">
        <f>IF(AND(fiche_sel&lt;&gt;"",A184=fiche_sel),COUNTIF(A$6:A184,fiche_sel),"")</f>
        <v/>
      </c>
    </row>
    <row r="185">
      <c r="A185" s="60" t="n"/>
      <c r="B185" s="73" t="n"/>
      <c r="C185" s="60" t="n"/>
      <c r="D185" s="61" t="n"/>
      <c r="E185" s="74" t="n"/>
      <c r="F185" s="74" t="n"/>
      <c r="G185" s="73" t="n"/>
      <c r="H185" s="66" t="str">
        <f>IF(M185&lt;&gt;"OK","",INDEX(po_mo,MATCH(D185,po_code,0)))</f>
        <v/>
      </c>
      <c r="I185" s="66" t="str">
        <f>IF(M185&lt;&gt;"OK","",INDEX(po_mac,MATCH(D185,po_code,0)))</f>
        <v/>
      </c>
      <c r="J185" s="66" t="str">
        <f>IF(M185&lt;&gt;"OK","",N(E185)*(H185*IF(G185="",1,G185)+I185))</f>
        <v/>
      </c>
      <c r="K185" s="66" t="str">
        <f>IF(M185&lt;&gt;"OK","",N(F185)/60*H185*IF(G185="",1,G185))</f>
        <v/>
      </c>
      <c r="L185" s="66" t="str">
        <f>IF(M185&lt;&gt;"OK","",N(F185)/60*I185)</f>
        <v/>
      </c>
      <c r="M185" s="69" t="str">
        <f>IF(AND(A185="",D185=""),"",IF(A185="","Produit manquant",IF(COUNTIF(prod_ref,A185)=0,"Produit inconnu",IF(D185="","Poste manquant",IF(ISNA(MATCH(D185,po_code,0)),"Poste inconnu",IF(INDEX(po_check,MATCH(D185,po_code,0))&lt;&gt;"OK","Poste à corriger",IF(AND(E185&lt;&gt;"",OR(NOT(ISNUMBER(E185)),N(E185)&lt;0)),"Réglage invalide",IF(AND(F185&lt;&gt;"",OR(NOT(ISNUMBER(F185)),N(F185)&lt;0)),"Temps par pièce invalide",IF(N(E185)+N(F185)=0,"Temps manquant",IF(AND(G185&lt;&gt;"",OR(NOT(ISNUMBER(G185)),N(G185)&lt;=0)),"Opérateurs invalide","OK"))))))))))</f>
        <v/>
      </c>
      <c r="N185" s="71" t="str">
        <f>IF(AND(fiche_sel&lt;&gt;"",A185=fiche_sel),COUNTIF(A$6:A185,fiche_sel),"")</f>
        <v/>
      </c>
    </row>
    <row r="186">
      <c r="A186" s="60" t="n"/>
      <c r="B186" s="73" t="n"/>
      <c r="C186" s="60" t="n"/>
      <c r="D186" s="61" t="n"/>
      <c r="E186" s="74" t="n"/>
      <c r="F186" s="74" t="n"/>
      <c r="G186" s="73" t="n"/>
      <c r="H186" s="66" t="str">
        <f>IF(M186&lt;&gt;"OK","",INDEX(po_mo,MATCH(D186,po_code,0)))</f>
        <v/>
      </c>
      <c r="I186" s="66" t="str">
        <f>IF(M186&lt;&gt;"OK","",INDEX(po_mac,MATCH(D186,po_code,0)))</f>
        <v/>
      </c>
      <c r="J186" s="66" t="str">
        <f>IF(M186&lt;&gt;"OK","",N(E186)*(H186*IF(G186="",1,G186)+I186))</f>
        <v/>
      </c>
      <c r="K186" s="66" t="str">
        <f>IF(M186&lt;&gt;"OK","",N(F186)/60*H186*IF(G186="",1,G186))</f>
        <v/>
      </c>
      <c r="L186" s="66" t="str">
        <f>IF(M186&lt;&gt;"OK","",N(F186)/60*I186)</f>
        <v/>
      </c>
      <c r="M186" s="69" t="str">
        <f>IF(AND(A186="",D186=""),"",IF(A186="","Produit manquant",IF(COUNTIF(prod_ref,A186)=0,"Produit inconnu",IF(D186="","Poste manquant",IF(ISNA(MATCH(D186,po_code,0)),"Poste inconnu",IF(INDEX(po_check,MATCH(D186,po_code,0))&lt;&gt;"OK","Poste à corriger",IF(AND(E186&lt;&gt;"",OR(NOT(ISNUMBER(E186)),N(E186)&lt;0)),"Réglage invalide",IF(AND(F186&lt;&gt;"",OR(NOT(ISNUMBER(F186)),N(F186)&lt;0)),"Temps par pièce invalide",IF(N(E186)+N(F186)=0,"Temps manquant",IF(AND(G186&lt;&gt;"",OR(NOT(ISNUMBER(G186)),N(G186)&lt;=0)),"Opérateurs invalide","OK"))))))))))</f>
        <v/>
      </c>
      <c r="N186" s="71" t="str">
        <f>IF(AND(fiche_sel&lt;&gt;"",A186=fiche_sel),COUNTIF(A$6:A186,fiche_sel),"")</f>
        <v/>
      </c>
    </row>
    <row r="187">
      <c r="A187" s="60" t="n"/>
      <c r="B187" s="73" t="n"/>
      <c r="C187" s="60" t="n"/>
      <c r="D187" s="61" t="n"/>
      <c r="E187" s="74" t="n"/>
      <c r="F187" s="74" t="n"/>
      <c r="G187" s="73" t="n"/>
      <c r="H187" s="66" t="str">
        <f>IF(M187&lt;&gt;"OK","",INDEX(po_mo,MATCH(D187,po_code,0)))</f>
        <v/>
      </c>
      <c r="I187" s="66" t="str">
        <f>IF(M187&lt;&gt;"OK","",INDEX(po_mac,MATCH(D187,po_code,0)))</f>
        <v/>
      </c>
      <c r="J187" s="66" t="str">
        <f>IF(M187&lt;&gt;"OK","",N(E187)*(H187*IF(G187="",1,G187)+I187))</f>
        <v/>
      </c>
      <c r="K187" s="66" t="str">
        <f>IF(M187&lt;&gt;"OK","",N(F187)/60*H187*IF(G187="",1,G187))</f>
        <v/>
      </c>
      <c r="L187" s="66" t="str">
        <f>IF(M187&lt;&gt;"OK","",N(F187)/60*I187)</f>
        <v/>
      </c>
      <c r="M187" s="69" t="str">
        <f>IF(AND(A187="",D187=""),"",IF(A187="","Produit manquant",IF(COUNTIF(prod_ref,A187)=0,"Produit inconnu",IF(D187="","Poste manquant",IF(ISNA(MATCH(D187,po_code,0)),"Poste inconnu",IF(INDEX(po_check,MATCH(D187,po_code,0))&lt;&gt;"OK","Poste à corriger",IF(AND(E187&lt;&gt;"",OR(NOT(ISNUMBER(E187)),N(E187)&lt;0)),"Réglage invalide",IF(AND(F187&lt;&gt;"",OR(NOT(ISNUMBER(F187)),N(F187)&lt;0)),"Temps par pièce invalide",IF(N(E187)+N(F187)=0,"Temps manquant",IF(AND(G187&lt;&gt;"",OR(NOT(ISNUMBER(G187)),N(G187)&lt;=0)),"Opérateurs invalide","OK"))))))))))</f>
        <v/>
      </c>
      <c r="N187" s="71" t="str">
        <f>IF(AND(fiche_sel&lt;&gt;"",A187=fiche_sel),COUNTIF(A$6:A187,fiche_sel),"")</f>
        <v/>
      </c>
    </row>
    <row r="188">
      <c r="A188" s="60" t="n"/>
      <c r="B188" s="73" t="n"/>
      <c r="C188" s="60" t="n"/>
      <c r="D188" s="61" t="n"/>
      <c r="E188" s="74" t="n"/>
      <c r="F188" s="74" t="n"/>
      <c r="G188" s="73" t="n"/>
      <c r="H188" s="66" t="str">
        <f>IF(M188&lt;&gt;"OK","",INDEX(po_mo,MATCH(D188,po_code,0)))</f>
        <v/>
      </c>
      <c r="I188" s="66" t="str">
        <f>IF(M188&lt;&gt;"OK","",INDEX(po_mac,MATCH(D188,po_code,0)))</f>
        <v/>
      </c>
      <c r="J188" s="66" t="str">
        <f>IF(M188&lt;&gt;"OK","",N(E188)*(H188*IF(G188="",1,G188)+I188))</f>
        <v/>
      </c>
      <c r="K188" s="66" t="str">
        <f>IF(M188&lt;&gt;"OK","",N(F188)/60*H188*IF(G188="",1,G188))</f>
        <v/>
      </c>
      <c r="L188" s="66" t="str">
        <f>IF(M188&lt;&gt;"OK","",N(F188)/60*I188)</f>
        <v/>
      </c>
      <c r="M188" s="69" t="str">
        <f>IF(AND(A188="",D188=""),"",IF(A188="","Produit manquant",IF(COUNTIF(prod_ref,A188)=0,"Produit inconnu",IF(D188="","Poste manquant",IF(ISNA(MATCH(D188,po_code,0)),"Poste inconnu",IF(INDEX(po_check,MATCH(D188,po_code,0))&lt;&gt;"OK","Poste à corriger",IF(AND(E188&lt;&gt;"",OR(NOT(ISNUMBER(E188)),N(E188)&lt;0)),"Réglage invalide",IF(AND(F188&lt;&gt;"",OR(NOT(ISNUMBER(F188)),N(F188)&lt;0)),"Temps par pièce invalide",IF(N(E188)+N(F188)=0,"Temps manquant",IF(AND(G188&lt;&gt;"",OR(NOT(ISNUMBER(G188)),N(G188)&lt;=0)),"Opérateurs invalide","OK"))))))))))</f>
        <v/>
      </c>
      <c r="N188" s="71" t="str">
        <f>IF(AND(fiche_sel&lt;&gt;"",A188=fiche_sel),COUNTIF(A$6:A188,fiche_sel),"")</f>
        <v/>
      </c>
    </row>
    <row r="189">
      <c r="A189" s="60" t="n"/>
      <c r="B189" s="73" t="n"/>
      <c r="C189" s="60" t="n"/>
      <c r="D189" s="61" t="n"/>
      <c r="E189" s="74" t="n"/>
      <c r="F189" s="74" t="n"/>
      <c r="G189" s="73" t="n"/>
      <c r="H189" s="66" t="str">
        <f>IF(M189&lt;&gt;"OK","",INDEX(po_mo,MATCH(D189,po_code,0)))</f>
        <v/>
      </c>
      <c r="I189" s="66" t="str">
        <f>IF(M189&lt;&gt;"OK","",INDEX(po_mac,MATCH(D189,po_code,0)))</f>
        <v/>
      </c>
      <c r="J189" s="66" t="str">
        <f>IF(M189&lt;&gt;"OK","",N(E189)*(H189*IF(G189="",1,G189)+I189))</f>
        <v/>
      </c>
      <c r="K189" s="66" t="str">
        <f>IF(M189&lt;&gt;"OK","",N(F189)/60*H189*IF(G189="",1,G189))</f>
        <v/>
      </c>
      <c r="L189" s="66" t="str">
        <f>IF(M189&lt;&gt;"OK","",N(F189)/60*I189)</f>
        <v/>
      </c>
      <c r="M189" s="69" t="str">
        <f>IF(AND(A189="",D189=""),"",IF(A189="","Produit manquant",IF(COUNTIF(prod_ref,A189)=0,"Produit inconnu",IF(D189="","Poste manquant",IF(ISNA(MATCH(D189,po_code,0)),"Poste inconnu",IF(INDEX(po_check,MATCH(D189,po_code,0))&lt;&gt;"OK","Poste à corriger",IF(AND(E189&lt;&gt;"",OR(NOT(ISNUMBER(E189)),N(E189)&lt;0)),"Réglage invalide",IF(AND(F189&lt;&gt;"",OR(NOT(ISNUMBER(F189)),N(F189)&lt;0)),"Temps par pièce invalide",IF(N(E189)+N(F189)=0,"Temps manquant",IF(AND(G189&lt;&gt;"",OR(NOT(ISNUMBER(G189)),N(G189)&lt;=0)),"Opérateurs invalide","OK"))))))))))</f>
        <v/>
      </c>
      <c r="N189" s="71" t="str">
        <f>IF(AND(fiche_sel&lt;&gt;"",A189=fiche_sel),COUNTIF(A$6:A189,fiche_sel),"")</f>
        <v/>
      </c>
    </row>
    <row r="190">
      <c r="A190" s="60" t="n"/>
      <c r="B190" s="73" t="n"/>
      <c r="C190" s="60" t="n"/>
      <c r="D190" s="61" t="n"/>
      <c r="E190" s="74" t="n"/>
      <c r="F190" s="74" t="n"/>
      <c r="G190" s="73" t="n"/>
      <c r="H190" s="66" t="str">
        <f>IF(M190&lt;&gt;"OK","",INDEX(po_mo,MATCH(D190,po_code,0)))</f>
        <v/>
      </c>
      <c r="I190" s="66" t="str">
        <f>IF(M190&lt;&gt;"OK","",INDEX(po_mac,MATCH(D190,po_code,0)))</f>
        <v/>
      </c>
      <c r="J190" s="66" t="str">
        <f>IF(M190&lt;&gt;"OK","",N(E190)*(H190*IF(G190="",1,G190)+I190))</f>
        <v/>
      </c>
      <c r="K190" s="66" t="str">
        <f>IF(M190&lt;&gt;"OK","",N(F190)/60*H190*IF(G190="",1,G190))</f>
        <v/>
      </c>
      <c r="L190" s="66" t="str">
        <f>IF(M190&lt;&gt;"OK","",N(F190)/60*I190)</f>
        <v/>
      </c>
      <c r="M190" s="69" t="str">
        <f>IF(AND(A190="",D190=""),"",IF(A190="","Produit manquant",IF(COUNTIF(prod_ref,A190)=0,"Produit inconnu",IF(D190="","Poste manquant",IF(ISNA(MATCH(D190,po_code,0)),"Poste inconnu",IF(INDEX(po_check,MATCH(D190,po_code,0))&lt;&gt;"OK","Poste à corriger",IF(AND(E190&lt;&gt;"",OR(NOT(ISNUMBER(E190)),N(E190)&lt;0)),"Réglage invalide",IF(AND(F190&lt;&gt;"",OR(NOT(ISNUMBER(F190)),N(F190)&lt;0)),"Temps par pièce invalide",IF(N(E190)+N(F190)=0,"Temps manquant",IF(AND(G190&lt;&gt;"",OR(NOT(ISNUMBER(G190)),N(G190)&lt;=0)),"Opérateurs invalide","OK"))))))))))</f>
        <v/>
      </c>
      <c r="N190" s="71" t="str">
        <f>IF(AND(fiche_sel&lt;&gt;"",A190=fiche_sel),COUNTIF(A$6:A190,fiche_sel),"")</f>
        <v/>
      </c>
    </row>
    <row r="191">
      <c r="A191" s="60" t="n"/>
      <c r="B191" s="73" t="n"/>
      <c r="C191" s="60" t="n"/>
      <c r="D191" s="61" t="n"/>
      <c r="E191" s="74" t="n"/>
      <c r="F191" s="74" t="n"/>
      <c r="G191" s="73" t="n"/>
      <c r="H191" s="66" t="str">
        <f>IF(M191&lt;&gt;"OK","",INDEX(po_mo,MATCH(D191,po_code,0)))</f>
        <v/>
      </c>
      <c r="I191" s="66" t="str">
        <f>IF(M191&lt;&gt;"OK","",INDEX(po_mac,MATCH(D191,po_code,0)))</f>
        <v/>
      </c>
      <c r="J191" s="66" t="str">
        <f>IF(M191&lt;&gt;"OK","",N(E191)*(H191*IF(G191="",1,G191)+I191))</f>
        <v/>
      </c>
      <c r="K191" s="66" t="str">
        <f>IF(M191&lt;&gt;"OK","",N(F191)/60*H191*IF(G191="",1,G191))</f>
        <v/>
      </c>
      <c r="L191" s="66" t="str">
        <f>IF(M191&lt;&gt;"OK","",N(F191)/60*I191)</f>
        <v/>
      </c>
      <c r="M191" s="69" t="str">
        <f>IF(AND(A191="",D191=""),"",IF(A191="","Produit manquant",IF(COUNTIF(prod_ref,A191)=0,"Produit inconnu",IF(D191="","Poste manquant",IF(ISNA(MATCH(D191,po_code,0)),"Poste inconnu",IF(INDEX(po_check,MATCH(D191,po_code,0))&lt;&gt;"OK","Poste à corriger",IF(AND(E191&lt;&gt;"",OR(NOT(ISNUMBER(E191)),N(E191)&lt;0)),"Réglage invalide",IF(AND(F191&lt;&gt;"",OR(NOT(ISNUMBER(F191)),N(F191)&lt;0)),"Temps par pièce invalide",IF(N(E191)+N(F191)=0,"Temps manquant",IF(AND(G191&lt;&gt;"",OR(NOT(ISNUMBER(G191)),N(G191)&lt;=0)),"Opérateurs invalide","OK"))))))))))</f>
        <v/>
      </c>
      <c r="N191" s="71" t="str">
        <f>IF(AND(fiche_sel&lt;&gt;"",A191=fiche_sel),COUNTIF(A$6:A191,fiche_sel),"")</f>
        <v/>
      </c>
    </row>
    <row r="192">
      <c r="A192" s="60" t="n"/>
      <c r="B192" s="73" t="n"/>
      <c r="C192" s="60" t="n"/>
      <c r="D192" s="61" t="n"/>
      <c r="E192" s="74" t="n"/>
      <c r="F192" s="74" t="n"/>
      <c r="G192" s="73" t="n"/>
      <c r="H192" s="66" t="str">
        <f>IF(M192&lt;&gt;"OK","",INDEX(po_mo,MATCH(D192,po_code,0)))</f>
        <v/>
      </c>
      <c r="I192" s="66" t="str">
        <f>IF(M192&lt;&gt;"OK","",INDEX(po_mac,MATCH(D192,po_code,0)))</f>
        <v/>
      </c>
      <c r="J192" s="66" t="str">
        <f>IF(M192&lt;&gt;"OK","",N(E192)*(H192*IF(G192="",1,G192)+I192))</f>
        <v/>
      </c>
      <c r="K192" s="66" t="str">
        <f>IF(M192&lt;&gt;"OK","",N(F192)/60*H192*IF(G192="",1,G192))</f>
        <v/>
      </c>
      <c r="L192" s="66" t="str">
        <f>IF(M192&lt;&gt;"OK","",N(F192)/60*I192)</f>
        <v/>
      </c>
      <c r="M192" s="69" t="str">
        <f>IF(AND(A192="",D192=""),"",IF(A192="","Produit manquant",IF(COUNTIF(prod_ref,A192)=0,"Produit inconnu",IF(D192="","Poste manquant",IF(ISNA(MATCH(D192,po_code,0)),"Poste inconnu",IF(INDEX(po_check,MATCH(D192,po_code,0))&lt;&gt;"OK","Poste à corriger",IF(AND(E192&lt;&gt;"",OR(NOT(ISNUMBER(E192)),N(E192)&lt;0)),"Réglage invalide",IF(AND(F192&lt;&gt;"",OR(NOT(ISNUMBER(F192)),N(F192)&lt;0)),"Temps par pièce invalide",IF(N(E192)+N(F192)=0,"Temps manquant",IF(AND(G192&lt;&gt;"",OR(NOT(ISNUMBER(G192)),N(G192)&lt;=0)),"Opérateurs invalide","OK"))))))))))</f>
        <v/>
      </c>
      <c r="N192" s="71" t="str">
        <f>IF(AND(fiche_sel&lt;&gt;"",A192=fiche_sel),COUNTIF(A$6:A192,fiche_sel),"")</f>
        <v/>
      </c>
    </row>
    <row r="193">
      <c r="A193" s="60" t="n"/>
      <c r="B193" s="73" t="n"/>
      <c r="C193" s="60" t="n"/>
      <c r="D193" s="61" t="n"/>
      <c r="E193" s="74" t="n"/>
      <c r="F193" s="74" t="n"/>
      <c r="G193" s="73" t="n"/>
      <c r="H193" s="66" t="str">
        <f>IF(M193&lt;&gt;"OK","",INDEX(po_mo,MATCH(D193,po_code,0)))</f>
        <v/>
      </c>
      <c r="I193" s="66" t="str">
        <f>IF(M193&lt;&gt;"OK","",INDEX(po_mac,MATCH(D193,po_code,0)))</f>
        <v/>
      </c>
      <c r="J193" s="66" t="str">
        <f>IF(M193&lt;&gt;"OK","",N(E193)*(H193*IF(G193="",1,G193)+I193))</f>
        <v/>
      </c>
      <c r="K193" s="66" t="str">
        <f>IF(M193&lt;&gt;"OK","",N(F193)/60*H193*IF(G193="",1,G193))</f>
        <v/>
      </c>
      <c r="L193" s="66" t="str">
        <f>IF(M193&lt;&gt;"OK","",N(F193)/60*I193)</f>
        <v/>
      </c>
      <c r="M193" s="69" t="str">
        <f>IF(AND(A193="",D193=""),"",IF(A193="","Produit manquant",IF(COUNTIF(prod_ref,A193)=0,"Produit inconnu",IF(D193="","Poste manquant",IF(ISNA(MATCH(D193,po_code,0)),"Poste inconnu",IF(INDEX(po_check,MATCH(D193,po_code,0))&lt;&gt;"OK","Poste à corriger",IF(AND(E193&lt;&gt;"",OR(NOT(ISNUMBER(E193)),N(E193)&lt;0)),"Réglage invalide",IF(AND(F193&lt;&gt;"",OR(NOT(ISNUMBER(F193)),N(F193)&lt;0)),"Temps par pièce invalide",IF(N(E193)+N(F193)=0,"Temps manquant",IF(AND(G193&lt;&gt;"",OR(NOT(ISNUMBER(G193)),N(G193)&lt;=0)),"Opérateurs invalide","OK"))))))))))</f>
        <v/>
      </c>
      <c r="N193" s="71" t="str">
        <f>IF(AND(fiche_sel&lt;&gt;"",A193=fiche_sel),COUNTIF(A$6:A193,fiche_sel),"")</f>
        <v/>
      </c>
    </row>
    <row r="194">
      <c r="A194" s="60" t="n"/>
      <c r="B194" s="73" t="n"/>
      <c r="C194" s="60" t="n"/>
      <c r="D194" s="61" t="n"/>
      <c r="E194" s="74" t="n"/>
      <c r="F194" s="74" t="n"/>
      <c r="G194" s="73" t="n"/>
      <c r="H194" s="66" t="str">
        <f>IF(M194&lt;&gt;"OK","",INDEX(po_mo,MATCH(D194,po_code,0)))</f>
        <v/>
      </c>
      <c r="I194" s="66" t="str">
        <f>IF(M194&lt;&gt;"OK","",INDEX(po_mac,MATCH(D194,po_code,0)))</f>
        <v/>
      </c>
      <c r="J194" s="66" t="str">
        <f>IF(M194&lt;&gt;"OK","",N(E194)*(H194*IF(G194="",1,G194)+I194))</f>
        <v/>
      </c>
      <c r="K194" s="66" t="str">
        <f>IF(M194&lt;&gt;"OK","",N(F194)/60*H194*IF(G194="",1,G194))</f>
        <v/>
      </c>
      <c r="L194" s="66" t="str">
        <f>IF(M194&lt;&gt;"OK","",N(F194)/60*I194)</f>
        <v/>
      </c>
      <c r="M194" s="69" t="str">
        <f>IF(AND(A194="",D194=""),"",IF(A194="","Produit manquant",IF(COUNTIF(prod_ref,A194)=0,"Produit inconnu",IF(D194="","Poste manquant",IF(ISNA(MATCH(D194,po_code,0)),"Poste inconnu",IF(INDEX(po_check,MATCH(D194,po_code,0))&lt;&gt;"OK","Poste à corriger",IF(AND(E194&lt;&gt;"",OR(NOT(ISNUMBER(E194)),N(E194)&lt;0)),"Réglage invalide",IF(AND(F194&lt;&gt;"",OR(NOT(ISNUMBER(F194)),N(F194)&lt;0)),"Temps par pièce invalide",IF(N(E194)+N(F194)=0,"Temps manquant",IF(AND(G194&lt;&gt;"",OR(NOT(ISNUMBER(G194)),N(G194)&lt;=0)),"Opérateurs invalide","OK"))))))))))</f>
        <v/>
      </c>
      <c r="N194" s="71" t="str">
        <f>IF(AND(fiche_sel&lt;&gt;"",A194=fiche_sel),COUNTIF(A$6:A194,fiche_sel),"")</f>
        <v/>
      </c>
    </row>
    <row r="195">
      <c r="A195" s="60" t="n"/>
      <c r="B195" s="73" t="n"/>
      <c r="C195" s="60" t="n"/>
      <c r="D195" s="61" t="n"/>
      <c r="E195" s="74" t="n"/>
      <c r="F195" s="74" t="n"/>
      <c r="G195" s="73" t="n"/>
      <c r="H195" s="66" t="str">
        <f>IF(M195&lt;&gt;"OK","",INDEX(po_mo,MATCH(D195,po_code,0)))</f>
        <v/>
      </c>
      <c r="I195" s="66" t="str">
        <f>IF(M195&lt;&gt;"OK","",INDEX(po_mac,MATCH(D195,po_code,0)))</f>
        <v/>
      </c>
      <c r="J195" s="66" t="str">
        <f>IF(M195&lt;&gt;"OK","",N(E195)*(H195*IF(G195="",1,G195)+I195))</f>
        <v/>
      </c>
      <c r="K195" s="66" t="str">
        <f>IF(M195&lt;&gt;"OK","",N(F195)/60*H195*IF(G195="",1,G195))</f>
        <v/>
      </c>
      <c r="L195" s="66" t="str">
        <f>IF(M195&lt;&gt;"OK","",N(F195)/60*I195)</f>
        <v/>
      </c>
      <c r="M195" s="69" t="str">
        <f>IF(AND(A195="",D195=""),"",IF(A195="","Produit manquant",IF(COUNTIF(prod_ref,A195)=0,"Produit inconnu",IF(D195="","Poste manquant",IF(ISNA(MATCH(D195,po_code,0)),"Poste inconnu",IF(INDEX(po_check,MATCH(D195,po_code,0))&lt;&gt;"OK","Poste à corriger",IF(AND(E195&lt;&gt;"",OR(NOT(ISNUMBER(E195)),N(E195)&lt;0)),"Réglage invalide",IF(AND(F195&lt;&gt;"",OR(NOT(ISNUMBER(F195)),N(F195)&lt;0)),"Temps par pièce invalide",IF(N(E195)+N(F195)=0,"Temps manquant",IF(AND(G195&lt;&gt;"",OR(NOT(ISNUMBER(G195)),N(G195)&lt;=0)),"Opérateurs invalide","OK"))))))))))</f>
        <v/>
      </c>
      <c r="N195" s="71" t="str">
        <f>IF(AND(fiche_sel&lt;&gt;"",A195=fiche_sel),COUNTIF(A$6:A195,fiche_sel),"")</f>
        <v/>
      </c>
    </row>
    <row r="196">
      <c r="A196" s="60" t="n"/>
      <c r="B196" s="73" t="n"/>
      <c r="C196" s="60" t="n"/>
      <c r="D196" s="61" t="n"/>
      <c r="E196" s="74" t="n"/>
      <c r="F196" s="74" t="n"/>
      <c r="G196" s="73" t="n"/>
      <c r="H196" s="66" t="str">
        <f>IF(M196&lt;&gt;"OK","",INDEX(po_mo,MATCH(D196,po_code,0)))</f>
        <v/>
      </c>
      <c r="I196" s="66" t="str">
        <f>IF(M196&lt;&gt;"OK","",INDEX(po_mac,MATCH(D196,po_code,0)))</f>
        <v/>
      </c>
      <c r="J196" s="66" t="str">
        <f>IF(M196&lt;&gt;"OK","",N(E196)*(H196*IF(G196="",1,G196)+I196))</f>
        <v/>
      </c>
      <c r="K196" s="66" t="str">
        <f>IF(M196&lt;&gt;"OK","",N(F196)/60*H196*IF(G196="",1,G196))</f>
        <v/>
      </c>
      <c r="L196" s="66" t="str">
        <f>IF(M196&lt;&gt;"OK","",N(F196)/60*I196)</f>
        <v/>
      </c>
      <c r="M196" s="69" t="str">
        <f>IF(AND(A196="",D196=""),"",IF(A196="","Produit manquant",IF(COUNTIF(prod_ref,A196)=0,"Produit inconnu",IF(D196="","Poste manquant",IF(ISNA(MATCH(D196,po_code,0)),"Poste inconnu",IF(INDEX(po_check,MATCH(D196,po_code,0))&lt;&gt;"OK","Poste à corriger",IF(AND(E196&lt;&gt;"",OR(NOT(ISNUMBER(E196)),N(E196)&lt;0)),"Réglage invalide",IF(AND(F196&lt;&gt;"",OR(NOT(ISNUMBER(F196)),N(F196)&lt;0)),"Temps par pièce invalide",IF(N(E196)+N(F196)=0,"Temps manquant",IF(AND(G196&lt;&gt;"",OR(NOT(ISNUMBER(G196)),N(G196)&lt;=0)),"Opérateurs invalide","OK"))))))))))</f>
        <v/>
      </c>
      <c r="N196" s="71" t="str">
        <f>IF(AND(fiche_sel&lt;&gt;"",A196=fiche_sel),COUNTIF(A$6:A196,fiche_sel),"")</f>
        <v/>
      </c>
    </row>
    <row r="197">
      <c r="A197" s="60" t="n"/>
      <c r="B197" s="73" t="n"/>
      <c r="C197" s="60" t="n"/>
      <c r="D197" s="61" t="n"/>
      <c r="E197" s="74" t="n"/>
      <c r="F197" s="74" t="n"/>
      <c r="G197" s="73" t="n"/>
      <c r="H197" s="66" t="str">
        <f>IF(M197&lt;&gt;"OK","",INDEX(po_mo,MATCH(D197,po_code,0)))</f>
        <v/>
      </c>
      <c r="I197" s="66" t="str">
        <f>IF(M197&lt;&gt;"OK","",INDEX(po_mac,MATCH(D197,po_code,0)))</f>
        <v/>
      </c>
      <c r="J197" s="66" t="str">
        <f>IF(M197&lt;&gt;"OK","",N(E197)*(H197*IF(G197="",1,G197)+I197))</f>
        <v/>
      </c>
      <c r="K197" s="66" t="str">
        <f>IF(M197&lt;&gt;"OK","",N(F197)/60*H197*IF(G197="",1,G197))</f>
        <v/>
      </c>
      <c r="L197" s="66" t="str">
        <f>IF(M197&lt;&gt;"OK","",N(F197)/60*I197)</f>
        <v/>
      </c>
      <c r="M197" s="69" t="str">
        <f>IF(AND(A197="",D197=""),"",IF(A197="","Produit manquant",IF(COUNTIF(prod_ref,A197)=0,"Produit inconnu",IF(D197="","Poste manquant",IF(ISNA(MATCH(D197,po_code,0)),"Poste inconnu",IF(INDEX(po_check,MATCH(D197,po_code,0))&lt;&gt;"OK","Poste à corriger",IF(AND(E197&lt;&gt;"",OR(NOT(ISNUMBER(E197)),N(E197)&lt;0)),"Réglage invalide",IF(AND(F197&lt;&gt;"",OR(NOT(ISNUMBER(F197)),N(F197)&lt;0)),"Temps par pièce invalide",IF(N(E197)+N(F197)=0,"Temps manquant",IF(AND(G197&lt;&gt;"",OR(NOT(ISNUMBER(G197)),N(G197)&lt;=0)),"Opérateurs invalide","OK"))))))))))</f>
        <v/>
      </c>
      <c r="N197" s="71" t="str">
        <f>IF(AND(fiche_sel&lt;&gt;"",A197=fiche_sel),COUNTIF(A$6:A197,fiche_sel),"")</f>
        <v/>
      </c>
    </row>
    <row r="198">
      <c r="A198" s="60" t="n"/>
      <c r="B198" s="73" t="n"/>
      <c r="C198" s="60" t="n"/>
      <c r="D198" s="61" t="n"/>
      <c r="E198" s="74" t="n"/>
      <c r="F198" s="74" t="n"/>
      <c r="G198" s="73" t="n"/>
      <c r="H198" s="66" t="str">
        <f>IF(M198&lt;&gt;"OK","",INDEX(po_mo,MATCH(D198,po_code,0)))</f>
        <v/>
      </c>
      <c r="I198" s="66" t="str">
        <f>IF(M198&lt;&gt;"OK","",INDEX(po_mac,MATCH(D198,po_code,0)))</f>
        <v/>
      </c>
      <c r="J198" s="66" t="str">
        <f>IF(M198&lt;&gt;"OK","",N(E198)*(H198*IF(G198="",1,G198)+I198))</f>
        <v/>
      </c>
      <c r="K198" s="66" t="str">
        <f>IF(M198&lt;&gt;"OK","",N(F198)/60*H198*IF(G198="",1,G198))</f>
        <v/>
      </c>
      <c r="L198" s="66" t="str">
        <f>IF(M198&lt;&gt;"OK","",N(F198)/60*I198)</f>
        <v/>
      </c>
      <c r="M198" s="69" t="str">
        <f>IF(AND(A198="",D198=""),"",IF(A198="","Produit manquant",IF(COUNTIF(prod_ref,A198)=0,"Produit inconnu",IF(D198="","Poste manquant",IF(ISNA(MATCH(D198,po_code,0)),"Poste inconnu",IF(INDEX(po_check,MATCH(D198,po_code,0))&lt;&gt;"OK","Poste à corriger",IF(AND(E198&lt;&gt;"",OR(NOT(ISNUMBER(E198)),N(E198)&lt;0)),"Réglage invalide",IF(AND(F198&lt;&gt;"",OR(NOT(ISNUMBER(F198)),N(F198)&lt;0)),"Temps par pièce invalide",IF(N(E198)+N(F198)=0,"Temps manquant",IF(AND(G198&lt;&gt;"",OR(NOT(ISNUMBER(G198)),N(G198)&lt;=0)),"Opérateurs invalide","OK"))))))))))</f>
        <v/>
      </c>
      <c r="N198" s="71" t="str">
        <f>IF(AND(fiche_sel&lt;&gt;"",A198=fiche_sel),COUNTIF(A$6:A198,fiche_sel),"")</f>
        <v/>
      </c>
    </row>
    <row r="199">
      <c r="A199" s="60" t="n"/>
      <c r="B199" s="73" t="n"/>
      <c r="C199" s="60" t="n"/>
      <c r="D199" s="61" t="n"/>
      <c r="E199" s="74" t="n"/>
      <c r="F199" s="74" t="n"/>
      <c r="G199" s="73" t="n"/>
      <c r="H199" s="66" t="str">
        <f>IF(M199&lt;&gt;"OK","",INDEX(po_mo,MATCH(D199,po_code,0)))</f>
        <v/>
      </c>
      <c r="I199" s="66" t="str">
        <f>IF(M199&lt;&gt;"OK","",INDEX(po_mac,MATCH(D199,po_code,0)))</f>
        <v/>
      </c>
      <c r="J199" s="66" t="str">
        <f>IF(M199&lt;&gt;"OK","",N(E199)*(H199*IF(G199="",1,G199)+I199))</f>
        <v/>
      </c>
      <c r="K199" s="66" t="str">
        <f>IF(M199&lt;&gt;"OK","",N(F199)/60*H199*IF(G199="",1,G199))</f>
        <v/>
      </c>
      <c r="L199" s="66" t="str">
        <f>IF(M199&lt;&gt;"OK","",N(F199)/60*I199)</f>
        <v/>
      </c>
      <c r="M199" s="69" t="str">
        <f>IF(AND(A199="",D199=""),"",IF(A199="","Produit manquant",IF(COUNTIF(prod_ref,A199)=0,"Produit inconnu",IF(D199="","Poste manquant",IF(ISNA(MATCH(D199,po_code,0)),"Poste inconnu",IF(INDEX(po_check,MATCH(D199,po_code,0))&lt;&gt;"OK","Poste à corriger",IF(AND(E199&lt;&gt;"",OR(NOT(ISNUMBER(E199)),N(E199)&lt;0)),"Réglage invalide",IF(AND(F199&lt;&gt;"",OR(NOT(ISNUMBER(F199)),N(F199)&lt;0)),"Temps par pièce invalide",IF(N(E199)+N(F199)=0,"Temps manquant",IF(AND(G199&lt;&gt;"",OR(NOT(ISNUMBER(G199)),N(G199)&lt;=0)),"Opérateurs invalide","OK"))))))))))</f>
        <v/>
      </c>
      <c r="N199" s="71" t="str">
        <f>IF(AND(fiche_sel&lt;&gt;"",A199=fiche_sel),COUNTIF(A$6:A199,fiche_sel),"")</f>
        <v/>
      </c>
    </row>
    <row r="200">
      <c r="A200" s="60" t="n"/>
      <c r="B200" s="73" t="n"/>
      <c r="C200" s="60" t="n"/>
      <c r="D200" s="61" t="n"/>
      <c r="E200" s="74" t="n"/>
      <c r="F200" s="74" t="n"/>
      <c r="G200" s="73" t="n"/>
      <c r="H200" s="66" t="str">
        <f>IF(M200&lt;&gt;"OK","",INDEX(po_mo,MATCH(D200,po_code,0)))</f>
        <v/>
      </c>
      <c r="I200" s="66" t="str">
        <f>IF(M200&lt;&gt;"OK","",INDEX(po_mac,MATCH(D200,po_code,0)))</f>
        <v/>
      </c>
      <c r="J200" s="66" t="str">
        <f>IF(M200&lt;&gt;"OK","",N(E200)*(H200*IF(G200="",1,G200)+I200))</f>
        <v/>
      </c>
      <c r="K200" s="66" t="str">
        <f>IF(M200&lt;&gt;"OK","",N(F200)/60*H200*IF(G200="",1,G200))</f>
        <v/>
      </c>
      <c r="L200" s="66" t="str">
        <f>IF(M200&lt;&gt;"OK","",N(F200)/60*I200)</f>
        <v/>
      </c>
      <c r="M200" s="69" t="str">
        <f>IF(AND(A200="",D200=""),"",IF(A200="","Produit manquant",IF(COUNTIF(prod_ref,A200)=0,"Produit inconnu",IF(D200="","Poste manquant",IF(ISNA(MATCH(D200,po_code,0)),"Poste inconnu",IF(INDEX(po_check,MATCH(D200,po_code,0))&lt;&gt;"OK","Poste à corriger",IF(AND(E200&lt;&gt;"",OR(NOT(ISNUMBER(E200)),N(E200)&lt;0)),"Réglage invalide",IF(AND(F200&lt;&gt;"",OR(NOT(ISNUMBER(F200)),N(F200)&lt;0)),"Temps par pièce invalide",IF(N(E200)+N(F200)=0,"Temps manquant",IF(AND(G200&lt;&gt;"",OR(NOT(ISNUMBER(G200)),N(G200)&lt;=0)),"Opérateurs invalide","OK"))))))))))</f>
        <v/>
      </c>
      <c r="N200" s="71" t="str">
        <f>IF(AND(fiche_sel&lt;&gt;"",A200=fiche_sel),COUNTIF(A$6:A200,fiche_sel),"")</f>
        <v/>
      </c>
    </row>
    <row r="201">
      <c r="A201" s="60" t="n"/>
      <c r="B201" s="73" t="n"/>
      <c r="C201" s="60" t="n"/>
      <c r="D201" s="61" t="n"/>
      <c r="E201" s="74" t="n"/>
      <c r="F201" s="74" t="n"/>
      <c r="G201" s="73" t="n"/>
      <c r="H201" s="66" t="str">
        <f>IF(M201&lt;&gt;"OK","",INDEX(po_mo,MATCH(D201,po_code,0)))</f>
        <v/>
      </c>
      <c r="I201" s="66" t="str">
        <f>IF(M201&lt;&gt;"OK","",INDEX(po_mac,MATCH(D201,po_code,0)))</f>
        <v/>
      </c>
      <c r="J201" s="66" t="str">
        <f>IF(M201&lt;&gt;"OK","",N(E201)*(H201*IF(G201="",1,G201)+I201))</f>
        <v/>
      </c>
      <c r="K201" s="66" t="str">
        <f>IF(M201&lt;&gt;"OK","",N(F201)/60*H201*IF(G201="",1,G201))</f>
        <v/>
      </c>
      <c r="L201" s="66" t="str">
        <f>IF(M201&lt;&gt;"OK","",N(F201)/60*I201)</f>
        <v/>
      </c>
      <c r="M201" s="69" t="str">
        <f>IF(AND(A201="",D201=""),"",IF(A201="","Produit manquant",IF(COUNTIF(prod_ref,A201)=0,"Produit inconnu",IF(D201="","Poste manquant",IF(ISNA(MATCH(D201,po_code,0)),"Poste inconnu",IF(INDEX(po_check,MATCH(D201,po_code,0))&lt;&gt;"OK","Poste à corriger",IF(AND(E201&lt;&gt;"",OR(NOT(ISNUMBER(E201)),N(E201)&lt;0)),"Réglage invalide",IF(AND(F201&lt;&gt;"",OR(NOT(ISNUMBER(F201)),N(F201)&lt;0)),"Temps par pièce invalide",IF(N(E201)+N(F201)=0,"Temps manquant",IF(AND(G201&lt;&gt;"",OR(NOT(ISNUMBER(G201)),N(G201)&lt;=0)),"Opérateurs invalide","OK"))))))))))</f>
        <v/>
      </c>
      <c r="N201" s="71" t="str">
        <f>IF(AND(fiche_sel&lt;&gt;"",A201=fiche_sel),COUNTIF(A$6:A201,fiche_sel),"")</f>
        <v/>
      </c>
    </row>
    <row r="202">
      <c r="A202" s="60" t="n"/>
      <c r="B202" s="73" t="n"/>
      <c r="C202" s="60" t="n"/>
      <c r="D202" s="61" t="n"/>
      <c r="E202" s="74" t="n"/>
      <c r="F202" s="74" t="n"/>
      <c r="G202" s="73" t="n"/>
      <c r="H202" s="66" t="str">
        <f>IF(M202&lt;&gt;"OK","",INDEX(po_mo,MATCH(D202,po_code,0)))</f>
        <v/>
      </c>
      <c r="I202" s="66" t="str">
        <f>IF(M202&lt;&gt;"OK","",INDEX(po_mac,MATCH(D202,po_code,0)))</f>
        <v/>
      </c>
      <c r="J202" s="66" t="str">
        <f>IF(M202&lt;&gt;"OK","",N(E202)*(H202*IF(G202="",1,G202)+I202))</f>
        <v/>
      </c>
      <c r="K202" s="66" t="str">
        <f>IF(M202&lt;&gt;"OK","",N(F202)/60*H202*IF(G202="",1,G202))</f>
        <v/>
      </c>
      <c r="L202" s="66" t="str">
        <f>IF(M202&lt;&gt;"OK","",N(F202)/60*I202)</f>
        <v/>
      </c>
      <c r="M202" s="69" t="str">
        <f>IF(AND(A202="",D202=""),"",IF(A202="","Produit manquant",IF(COUNTIF(prod_ref,A202)=0,"Produit inconnu",IF(D202="","Poste manquant",IF(ISNA(MATCH(D202,po_code,0)),"Poste inconnu",IF(INDEX(po_check,MATCH(D202,po_code,0))&lt;&gt;"OK","Poste à corriger",IF(AND(E202&lt;&gt;"",OR(NOT(ISNUMBER(E202)),N(E202)&lt;0)),"Réglage invalide",IF(AND(F202&lt;&gt;"",OR(NOT(ISNUMBER(F202)),N(F202)&lt;0)),"Temps par pièce invalide",IF(N(E202)+N(F202)=0,"Temps manquant",IF(AND(G202&lt;&gt;"",OR(NOT(ISNUMBER(G202)),N(G202)&lt;=0)),"Opérateurs invalide","OK"))))))))))</f>
        <v/>
      </c>
      <c r="N202" s="71" t="str">
        <f>IF(AND(fiche_sel&lt;&gt;"",A202=fiche_sel),COUNTIF(A$6:A202,fiche_sel),"")</f>
        <v/>
      </c>
    </row>
    <row r="203">
      <c r="A203" s="60" t="n"/>
      <c r="B203" s="73" t="n"/>
      <c r="C203" s="60" t="n"/>
      <c r="D203" s="61" t="n"/>
      <c r="E203" s="74" t="n"/>
      <c r="F203" s="74" t="n"/>
      <c r="G203" s="73" t="n"/>
      <c r="H203" s="66" t="str">
        <f>IF(M203&lt;&gt;"OK","",INDEX(po_mo,MATCH(D203,po_code,0)))</f>
        <v/>
      </c>
      <c r="I203" s="66" t="str">
        <f>IF(M203&lt;&gt;"OK","",INDEX(po_mac,MATCH(D203,po_code,0)))</f>
        <v/>
      </c>
      <c r="J203" s="66" t="str">
        <f>IF(M203&lt;&gt;"OK","",N(E203)*(H203*IF(G203="",1,G203)+I203))</f>
        <v/>
      </c>
      <c r="K203" s="66" t="str">
        <f>IF(M203&lt;&gt;"OK","",N(F203)/60*H203*IF(G203="",1,G203))</f>
        <v/>
      </c>
      <c r="L203" s="66" t="str">
        <f>IF(M203&lt;&gt;"OK","",N(F203)/60*I203)</f>
        <v/>
      </c>
      <c r="M203" s="69" t="str">
        <f>IF(AND(A203="",D203=""),"",IF(A203="","Produit manquant",IF(COUNTIF(prod_ref,A203)=0,"Produit inconnu",IF(D203="","Poste manquant",IF(ISNA(MATCH(D203,po_code,0)),"Poste inconnu",IF(INDEX(po_check,MATCH(D203,po_code,0))&lt;&gt;"OK","Poste à corriger",IF(AND(E203&lt;&gt;"",OR(NOT(ISNUMBER(E203)),N(E203)&lt;0)),"Réglage invalide",IF(AND(F203&lt;&gt;"",OR(NOT(ISNUMBER(F203)),N(F203)&lt;0)),"Temps par pièce invalide",IF(N(E203)+N(F203)=0,"Temps manquant",IF(AND(G203&lt;&gt;"",OR(NOT(ISNUMBER(G203)),N(G203)&lt;=0)),"Opérateurs invalide","OK"))))))))))</f>
        <v/>
      </c>
      <c r="N203" s="71" t="str">
        <f>IF(AND(fiche_sel&lt;&gt;"",A203=fiche_sel),COUNTIF(A$6:A203,fiche_sel),"")</f>
        <v/>
      </c>
    </row>
    <row r="204">
      <c r="A204" s="60" t="n"/>
      <c r="B204" s="73" t="n"/>
      <c r="C204" s="60" t="n"/>
      <c r="D204" s="61" t="n"/>
      <c r="E204" s="74" t="n"/>
      <c r="F204" s="74" t="n"/>
      <c r="G204" s="73" t="n"/>
      <c r="H204" s="66" t="str">
        <f>IF(M204&lt;&gt;"OK","",INDEX(po_mo,MATCH(D204,po_code,0)))</f>
        <v/>
      </c>
      <c r="I204" s="66" t="str">
        <f>IF(M204&lt;&gt;"OK","",INDEX(po_mac,MATCH(D204,po_code,0)))</f>
        <v/>
      </c>
      <c r="J204" s="66" t="str">
        <f>IF(M204&lt;&gt;"OK","",N(E204)*(H204*IF(G204="",1,G204)+I204))</f>
        <v/>
      </c>
      <c r="K204" s="66" t="str">
        <f>IF(M204&lt;&gt;"OK","",N(F204)/60*H204*IF(G204="",1,G204))</f>
        <v/>
      </c>
      <c r="L204" s="66" t="str">
        <f>IF(M204&lt;&gt;"OK","",N(F204)/60*I204)</f>
        <v/>
      </c>
      <c r="M204" s="69" t="str">
        <f>IF(AND(A204="",D204=""),"",IF(A204="","Produit manquant",IF(COUNTIF(prod_ref,A204)=0,"Produit inconnu",IF(D204="","Poste manquant",IF(ISNA(MATCH(D204,po_code,0)),"Poste inconnu",IF(INDEX(po_check,MATCH(D204,po_code,0))&lt;&gt;"OK","Poste à corriger",IF(AND(E204&lt;&gt;"",OR(NOT(ISNUMBER(E204)),N(E204)&lt;0)),"Réglage invalide",IF(AND(F204&lt;&gt;"",OR(NOT(ISNUMBER(F204)),N(F204)&lt;0)),"Temps par pièce invalide",IF(N(E204)+N(F204)=0,"Temps manquant",IF(AND(G204&lt;&gt;"",OR(NOT(ISNUMBER(G204)),N(G204)&lt;=0)),"Opérateurs invalide","OK"))))))))))</f>
        <v/>
      </c>
      <c r="N204" s="71" t="str">
        <f>IF(AND(fiche_sel&lt;&gt;"",A204=fiche_sel),COUNTIF(A$6:A204,fiche_sel),"")</f>
        <v/>
      </c>
    </row>
    <row r="205">
      <c r="A205" s="60" t="n"/>
      <c r="B205" s="73" t="n"/>
      <c r="C205" s="60" t="n"/>
      <c r="D205" s="61" t="n"/>
      <c r="E205" s="74" t="n"/>
      <c r="F205" s="74" t="n"/>
      <c r="G205" s="73" t="n"/>
      <c r="H205" s="66" t="str">
        <f>IF(M205&lt;&gt;"OK","",INDEX(po_mo,MATCH(D205,po_code,0)))</f>
        <v/>
      </c>
      <c r="I205" s="66" t="str">
        <f>IF(M205&lt;&gt;"OK","",INDEX(po_mac,MATCH(D205,po_code,0)))</f>
        <v/>
      </c>
      <c r="J205" s="66" t="str">
        <f>IF(M205&lt;&gt;"OK","",N(E205)*(H205*IF(G205="",1,G205)+I205))</f>
        <v/>
      </c>
      <c r="K205" s="66" t="str">
        <f>IF(M205&lt;&gt;"OK","",N(F205)/60*H205*IF(G205="",1,G205))</f>
        <v/>
      </c>
      <c r="L205" s="66" t="str">
        <f>IF(M205&lt;&gt;"OK","",N(F205)/60*I205)</f>
        <v/>
      </c>
      <c r="M205" s="69" t="str">
        <f>IF(AND(A205="",D205=""),"",IF(A205="","Produit manquant",IF(COUNTIF(prod_ref,A205)=0,"Produit inconnu",IF(D205="","Poste manquant",IF(ISNA(MATCH(D205,po_code,0)),"Poste inconnu",IF(INDEX(po_check,MATCH(D205,po_code,0))&lt;&gt;"OK","Poste à corriger",IF(AND(E205&lt;&gt;"",OR(NOT(ISNUMBER(E205)),N(E205)&lt;0)),"Réglage invalide",IF(AND(F205&lt;&gt;"",OR(NOT(ISNUMBER(F205)),N(F205)&lt;0)),"Temps par pièce invalide",IF(N(E205)+N(F205)=0,"Temps manquant",IF(AND(G205&lt;&gt;"",OR(NOT(ISNUMBER(G205)),N(G205)&lt;=0)),"Opérateurs invalide","OK"))))))))))</f>
        <v/>
      </c>
      <c r="N205" s="71" t="str">
        <f>IF(AND(fiche_sel&lt;&gt;"",A205=fiche_sel),COUNTIF(A$6:A205,fiche_sel),"")</f>
        <v/>
      </c>
    </row>
    <row r="206">
      <c r="A206" s="60" t="n"/>
      <c r="B206" s="73" t="n"/>
      <c r="C206" s="60" t="n"/>
      <c r="D206" s="61" t="n"/>
      <c r="E206" s="74" t="n"/>
      <c r="F206" s="74" t="n"/>
      <c r="G206" s="73" t="n"/>
      <c r="H206" s="66" t="str">
        <f>IF(M206&lt;&gt;"OK","",INDEX(po_mo,MATCH(D206,po_code,0)))</f>
        <v/>
      </c>
      <c r="I206" s="66" t="str">
        <f>IF(M206&lt;&gt;"OK","",INDEX(po_mac,MATCH(D206,po_code,0)))</f>
        <v/>
      </c>
      <c r="J206" s="66" t="str">
        <f>IF(M206&lt;&gt;"OK","",N(E206)*(H206*IF(G206="",1,G206)+I206))</f>
        <v/>
      </c>
      <c r="K206" s="66" t="str">
        <f>IF(M206&lt;&gt;"OK","",N(F206)/60*H206*IF(G206="",1,G206))</f>
        <v/>
      </c>
      <c r="L206" s="66" t="str">
        <f>IF(M206&lt;&gt;"OK","",N(F206)/60*I206)</f>
        <v/>
      </c>
      <c r="M206" s="69" t="str">
        <f>IF(AND(A206="",D206=""),"",IF(A206="","Produit manquant",IF(COUNTIF(prod_ref,A206)=0,"Produit inconnu",IF(D206="","Poste manquant",IF(ISNA(MATCH(D206,po_code,0)),"Poste inconnu",IF(INDEX(po_check,MATCH(D206,po_code,0))&lt;&gt;"OK","Poste à corriger",IF(AND(E206&lt;&gt;"",OR(NOT(ISNUMBER(E206)),N(E206)&lt;0)),"Réglage invalide",IF(AND(F206&lt;&gt;"",OR(NOT(ISNUMBER(F206)),N(F206)&lt;0)),"Temps par pièce invalide",IF(N(E206)+N(F206)=0,"Temps manquant",IF(AND(G206&lt;&gt;"",OR(NOT(ISNUMBER(G206)),N(G206)&lt;=0)),"Opérateurs invalide","OK"))))))))))</f>
        <v/>
      </c>
      <c r="N206" s="71" t="str">
        <f>IF(AND(fiche_sel&lt;&gt;"",A206=fiche_sel),COUNTIF(A$6:A206,fiche_sel),"")</f>
        <v/>
      </c>
    </row>
    <row r="207">
      <c r="A207" s="60" t="n"/>
      <c r="B207" s="73" t="n"/>
      <c r="C207" s="60" t="n"/>
      <c r="D207" s="61" t="n"/>
      <c r="E207" s="74" t="n"/>
      <c r="F207" s="74" t="n"/>
      <c r="G207" s="73" t="n"/>
      <c r="H207" s="66" t="str">
        <f>IF(M207&lt;&gt;"OK","",INDEX(po_mo,MATCH(D207,po_code,0)))</f>
        <v/>
      </c>
      <c r="I207" s="66" t="str">
        <f>IF(M207&lt;&gt;"OK","",INDEX(po_mac,MATCH(D207,po_code,0)))</f>
        <v/>
      </c>
      <c r="J207" s="66" t="str">
        <f>IF(M207&lt;&gt;"OK","",N(E207)*(H207*IF(G207="",1,G207)+I207))</f>
        <v/>
      </c>
      <c r="K207" s="66" t="str">
        <f>IF(M207&lt;&gt;"OK","",N(F207)/60*H207*IF(G207="",1,G207))</f>
        <v/>
      </c>
      <c r="L207" s="66" t="str">
        <f>IF(M207&lt;&gt;"OK","",N(F207)/60*I207)</f>
        <v/>
      </c>
      <c r="M207" s="69" t="str">
        <f>IF(AND(A207="",D207=""),"",IF(A207="","Produit manquant",IF(COUNTIF(prod_ref,A207)=0,"Produit inconnu",IF(D207="","Poste manquant",IF(ISNA(MATCH(D207,po_code,0)),"Poste inconnu",IF(INDEX(po_check,MATCH(D207,po_code,0))&lt;&gt;"OK","Poste à corriger",IF(AND(E207&lt;&gt;"",OR(NOT(ISNUMBER(E207)),N(E207)&lt;0)),"Réglage invalide",IF(AND(F207&lt;&gt;"",OR(NOT(ISNUMBER(F207)),N(F207)&lt;0)),"Temps par pièce invalide",IF(N(E207)+N(F207)=0,"Temps manquant",IF(AND(G207&lt;&gt;"",OR(NOT(ISNUMBER(G207)),N(G207)&lt;=0)),"Opérateurs invalide","OK"))))))))))</f>
        <v/>
      </c>
      <c r="N207" s="71" t="str">
        <f>IF(AND(fiche_sel&lt;&gt;"",A207=fiche_sel),COUNTIF(A$6:A207,fiche_sel),"")</f>
        <v/>
      </c>
    </row>
    <row r="208">
      <c r="A208" s="60" t="n"/>
      <c r="B208" s="73" t="n"/>
      <c r="C208" s="60" t="n"/>
      <c r="D208" s="61" t="n"/>
      <c r="E208" s="74" t="n"/>
      <c r="F208" s="74" t="n"/>
      <c r="G208" s="73" t="n"/>
      <c r="H208" s="66" t="str">
        <f>IF(M208&lt;&gt;"OK","",INDEX(po_mo,MATCH(D208,po_code,0)))</f>
        <v/>
      </c>
      <c r="I208" s="66" t="str">
        <f>IF(M208&lt;&gt;"OK","",INDEX(po_mac,MATCH(D208,po_code,0)))</f>
        <v/>
      </c>
      <c r="J208" s="66" t="str">
        <f>IF(M208&lt;&gt;"OK","",N(E208)*(H208*IF(G208="",1,G208)+I208))</f>
        <v/>
      </c>
      <c r="K208" s="66" t="str">
        <f>IF(M208&lt;&gt;"OK","",N(F208)/60*H208*IF(G208="",1,G208))</f>
        <v/>
      </c>
      <c r="L208" s="66" t="str">
        <f>IF(M208&lt;&gt;"OK","",N(F208)/60*I208)</f>
        <v/>
      </c>
      <c r="M208" s="69" t="str">
        <f>IF(AND(A208="",D208=""),"",IF(A208="","Produit manquant",IF(COUNTIF(prod_ref,A208)=0,"Produit inconnu",IF(D208="","Poste manquant",IF(ISNA(MATCH(D208,po_code,0)),"Poste inconnu",IF(INDEX(po_check,MATCH(D208,po_code,0))&lt;&gt;"OK","Poste à corriger",IF(AND(E208&lt;&gt;"",OR(NOT(ISNUMBER(E208)),N(E208)&lt;0)),"Réglage invalide",IF(AND(F208&lt;&gt;"",OR(NOT(ISNUMBER(F208)),N(F208)&lt;0)),"Temps par pièce invalide",IF(N(E208)+N(F208)=0,"Temps manquant",IF(AND(G208&lt;&gt;"",OR(NOT(ISNUMBER(G208)),N(G208)&lt;=0)),"Opérateurs invalide","OK"))))))))))</f>
        <v/>
      </c>
      <c r="N208" s="71" t="str">
        <f>IF(AND(fiche_sel&lt;&gt;"",A208=fiche_sel),COUNTIF(A$6:A208,fiche_sel),"")</f>
        <v/>
      </c>
    </row>
    <row r="209">
      <c r="A209" s="60" t="n"/>
      <c r="B209" s="73" t="n"/>
      <c r="C209" s="60" t="n"/>
      <c r="D209" s="61" t="n"/>
      <c r="E209" s="74" t="n"/>
      <c r="F209" s="74" t="n"/>
      <c r="G209" s="73" t="n"/>
      <c r="H209" s="66" t="str">
        <f>IF(M209&lt;&gt;"OK","",INDEX(po_mo,MATCH(D209,po_code,0)))</f>
        <v/>
      </c>
      <c r="I209" s="66" t="str">
        <f>IF(M209&lt;&gt;"OK","",INDEX(po_mac,MATCH(D209,po_code,0)))</f>
        <v/>
      </c>
      <c r="J209" s="66" t="str">
        <f>IF(M209&lt;&gt;"OK","",N(E209)*(H209*IF(G209="",1,G209)+I209))</f>
        <v/>
      </c>
      <c r="K209" s="66" t="str">
        <f>IF(M209&lt;&gt;"OK","",N(F209)/60*H209*IF(G209="",1,G209))</f>
        <v/>
      </c>
      <c r="L209" s="66" t="str">
        <f>IF(M209&lt;&gt;"OK","",N(F209)/60*I209)</f>
        <v/>
      </c>
      <c r="M209" s="69" t="str">
        <f>IF(AND(A209="",D209=""),"",IF(A209="","Produit manquant",IF(COUNTIF(prod_ref,A209)=0,"Produit inconnu",IF(D209="","Poste manquant",IF(ISNA(MATCH(D209,po_code,0)),"Poste inconnu",IF(INDEX(po_check,MATCH(D209,po_code,0))&lt;&gt;"OK","Poste à corriger",IF(AND(E209&lt;&gt;"",OR(NOT(ISNUMBER(E209)),N(E209)&lt;0)),"Réglage invalide",IF(AND(F209&lt;&gt;"",OR(NOT(ISNUMBER(F209)),N(F209)&lt;0)),"Temps par pièce invalide",IF(N(E209)+N(F209)=0,"Temps manquant",IF(AND(G209&lt;&gt;"",OR(NOT(ISNUMBER(G209)),N(G209)&lt;=0)),"Opérateurs invalide","OK"))))))))))</f>
        <v/>
      </c>
      <c r="N209" s="71" t="str">
        <f>IF(AND(fiche_sel&lt;&gt;"",A209=fiche_sel),COUNTIF(A$6:A209,fiche_sel),"")</f>
        <v/>
      </c>
    </row>
    <row r="210">
      <c r="A210" s="60" t="n"/>
      <c r="B210" s="73" t="n"/>
      <c r="C210" s="60" t="n"/>
      <c r="D210" s="61" t="n"/>
      <c r="E210" s="74" t="n"/>
      <c r="F210" s="74" t="n"/>
      <c r="G210" s="73" t="n"/>
      <c r="H210" s="66" t="str">
        <f>IF(M210&lt;&gt;"OK","",INDEX(po_mo,MATCH(D210,po_code,0)))</f>
        <v/>
      </c>
      <c r="I210" s="66" t="str">
        <f>IF(M210&lt;&gt;"OK","",INDEX(po_mac,MATCH(D210,po_code,0)))</f>
        <v/>
      </c>
      <c r="J210" s="66" t="str">
        <f>IF(M210&lt;&gt;"OK","",N(E210)*(H210*IF(G210="",1,G210)+I210))</f>
        <v/>
      </c>
      <c r="K210" s="66" t="str">
        <f>IF(M210&lt;&gt;"OK","",N(F210)/60*H210*IF(G210="",1,G210))</f>
        <v/>
      </c>
      <c r="L210" s="66" t="str">
        <f>IF(M210&lt;&gt;"OK","",N(F210)/60*I210)</f>
        <v/>
      </c>
      <c r="M210" s="69" t="str">
        <f>IF(AND(A210="",D210=""),"",IF(A210="","Produit manquant",IF(COUNTIF(prod_ref,A210)=0,"Produit inconnu",IF(D210="","Poste manquant",IF(ISNA(MATCH(D210,po_code,0)),"Poste inconnu",IF(INDEX(po_check,MATCH(D210,po_code,0))&lt;&gt;"OK","Poste à corriger",IF(AND(E210&lt;&gt;"",OR(NOT(ISNUMBER(E210)),N(E210)&lt;0)),"Réglage invalide",IF(AND(F210&lt;&gt;"",OR(NOT(ISNUMBER(F210)),N(F210)&lt;0)),"Temps par pièce invalide",IF(N(E210)+N(F210)=0,"Temps manquant",IF(AND(G210&lt;&gt;"",OR(NOT(ISNUMBER(G210)),N(G210)&lt;=0)),"Opérateurs invalide","OK"))))))))))</f>
        <v/>
      </c>
      <c r="N210" s="71" t="str">
        <f>IF(AND(fiche_sel&lt;&gt;"",A210=fiche_sel),COUNTIF(A$6:A210,fiche_sel),"")</f>
        <v/>
      </c>
    </row>
    <row r="211">
      <c r="A211" s="60" t="n"/>
      <c r="B211" s="73" t="n"/>
      <c r="C211" s="60" t="n"/>
      <c r="D211" s="61" t="n"/>
      <c r="E211" s="74" t="n"/>
      <c r="F211" s="74" t="n"/>
      <c r="G211" s="73" t="n"/>
      <c r="H211" s="66" t="str">
        <f>IF(M211&lt;&gt;"OK","",INDEX(po_mo,MATCH(D211,po_code,0)))</f>
        <v/>
      </c>
      <c r="I211" s="66" t="str">
        <f>IF(M211&lt;&gt;"OK","",INDEX(po_mac,MATCH(D211,po_code,0)))</f>
        <v/>
      </c>
      <c r="J211" s="66" t="str">
        <f>IF(M211&lt;&gt;"OK","",N(E211)*(H211*IF(G211="",1,G211)+I211))</f>
        <v/>
      </c>
      <c r="K211" s="66" t="str">
        <f>IF(M211&lt;&gt;"OK","",N(F211)/60*H211*IF(G211="",1,G211))</f>
        <v/>
      </c>
      <c r="L211" s="66" t="str">
        <f>IF(M211&lt;&gt;"OK","",N(F211)/60*I211)</f>
        <v/>
      </c>
      <c r="M211" s="69" t="str">
        <f>IF(AND(A211="",D211=""),"",IF(A211="","Produit manquant",IF(COUNTIF(prod_ref,A211)=0,"Produit inconnu",IF(D211="","Poste manquant",IF(ISNA(MATCH(D211,po_code,0)),"Poste inconnu",IF(INDEX(po_check,MATCH(D211,po_code,0))&lt;&gt;"OK","Poste à corriger",IF(AND(E211&lt;&gt;"",OR(NOT(ISNUMBER(E211)),N(E211)&lt;0)),"Réglage invalide",IF(AND(F211&lt;&gt;"",OR(NOT(ISNUMBER(F211)),N(F211)&lt;0)),"Temps par pièce invalide",IF(N(E211)+N(F211)=0,"Temps manquant",IF(AND(G211&lt;&gt;"",OR(NOT(ISNUMBER(G211)),N(G211)&lt;=0)),"Opérateurs invalide","OK"))))))))))</f>
        <v/>
      </c>
      <c r="N211" s="71" t="str">
        <f>IF(AND(fiche_sel&lt;&gt;"",A211=fiche_sel),COUNTIF(A$6:A211,fiche_sel),"")</f>
        <v/>
      </c>
    </row>
    <row r="212">
      <c r="A212" s="60" t="n"/>
      <c r="B212" s="73" t="n"/>
      <c r="C212" s="60" t="n"/>
      <c r="D212" s="61" t="n"/>
      <c r="E212" s="74" t="n"/>
      <c r="F212" s="74" t="n"/>
      <c r="G212" s="73" t="n"/>
      <c r="H212" s="66" t="str">
        <f>IF(M212&lt;&gt;"OK","",INDEX(po_mo,MATCH(D212,po_code,0)))</f>
        <v/>
      </c>
      <c r="I212" s="66" t="str">
        <f>IF(M212&lt;&gt;"OK","",INDEX(po_mac,MATCH(D212,po_code,0)))</f>
        <v/>
      </c>
      <c r="J212" s="66" t="str">
        <f>IF(M212&lt;&gt;"OK","",N(E212)*(H212*IF(G212="",1,G212)+I212))</f>
        <v/>
      </c>
      <c r="K212" s="66" t="str">
        <f>IF(M212&lt;&gt;"OK","",N(F212)/60*H212*IF(G212="",1,G212))</f>
        <v/>
      </c>
      <c r="L212" s="66" t="str">
        <f>IF(M212&lt;&gt;"OK","",N(F212)/60*I212)</f>
        <v/>
      </c>
      <c r="M212" s="69" t="str">
        <f>IF(AND(A212="",D212=""),"",IF(A212="","Produit manquant",IF(COUNTIF(prod_ref,A212)=0,"Produit inconnu",IF(D212="","Poste manquant",IF(ISNA(MATCH(D212,po_code,0)),"Poste inconnu",IF(INDEX(po_check,MATCH(D212,po_code,0))&lt;&gt;"OK","Poste à corriger",IF(AND(E212&lt;&gt;"",OR(NOT(ISNUMBER(E212)),N(E212)&lt;0)),"Réglage invalide",IF(AND(F212&lt;&gt;"",OR(NOT(ISNUMBER(F212)),N(F212)&lt;0)),"Temps par pièce invalide",IF(N(E212)+N(F212)=0,"Temps manquant",IF(AND(G212&lt;&gt;"",OR(NOT(ISNUMBER(G212)),N(G212)&lt;=0)),"Opérateurs invalide","OK"))))))))))</f>
        <v/>
      </c>
      <c r="N212" s="71" t="str">
        <f>IF(AND(fiche_sel&lt;&gt;"",A212=fiche_sel),COUNTIF(A$6:A212,fiche_sel),"")</f>
        <v/>
      </c>
    </row>
    <row r="213">
      <c r="A213" s="60" t="n"/>
      <c r="B213" s="73" t="n"/>
      <c r="C213" s="60" t="n"/>
      <c r="D213" s="61" t="n"/>
      <c r="E213" s="74" t="n"/>
      <c r="F213" s="74" t="n"/>
      <c r="G213" s="73" t="n"/>
      <c r="H213" s="66" t="str">
        <f>IF(M213&lt;&gt;"OK","",INDEX(po_mo,MATCH(D213,po_code,0)))</f>
        <v/>
      </c>
      <c r="I213" s="66" t="str">
        <f>IF(M213&lt;&gt;"OK","",INDEX(po_mac,MATCH(D213,po_code,0)))</f>
        <v/>
      </c>
      <c r="J213" s="66" t="str">
        <f>IF(M213&lt;&gt;"OK","",N(E213)*(H213*IF(G213="",1,G213)+I213))</f>
        <v/>
      </c>
      <c r="K213" s="66" t="str">
        <f>IF(M213&lt;&gt;"OK","",N(F213)/60*H213*IF(G213="",1,G213))</f>
        <v/>
      </c>
      <c r="L213" s="66" t="str">
        <f>IF(M213&lt;&gt;"OK","",N(F213)/60*I213)</f>
        <v/>
      </c>
      <c r="M213" s="69" t="str">
        <f>IF(AND(A213="",D213=""),"",IF(A213="","Produit manquant",IF(COUNTIF(prod_ref,A213)=0,"Produit inconnu",IF(D213="","Poste manquant",IF(ISNA(MATCH(D213,po_code,0)),"Poste inconnu",IF(INDEX(po_check,MATCH(D213,po_code,0))&lt;&gt;"OK","Poste à corriger",IF(AND(E213&lt;&gt;"",OR(NOT(ISNUMBER(E213)),N(E213)&lt;0)),"Réglage invalide",IF(AND(F213&lt;&gt;"",OR(NOT(ISNUMBER(F213)),N(F213)&lt;0)),"Temps par pièce invalide",IF(N(E213)+N(F213)=0,"Temps manquant",IF(AND(G213&lt;&gt;"",OR(NOT(ISNUMBER(G213)),N(G213)&lt;=0)),"Opérateurs invalide","OK"))))))))))</f>
        <v/>
      </c>
      <c r="N213" s="71" t="str">
        <f>IF(AND(fiche_sel&lt;&gt;"",A213=fiche_sel),COUNTIF(A$6:A213,fiche_sel),"")</f>
        <v/>
      </c>
    </row>
    <row r="214">
      <c r="A214" s="60" t="n"/>
      <c r="B214" s="73" t="n"/>
      <c r="C214" s="60" t="n"/>
      <c r="D214" s="61" t="n"/>
      <c r="E214" s="74" t="n"/>
      <c r="F214" s="74" t="n"/>
      <c r="G214" s="73" t="n"/>
      <c r="H214" s="66" t="str">
        <f>IF(M214&lt;&gt;"OK","",INDEX(po_mo,MATCH(D214,po_code,0)))</f>
        <v/>
      </c>
      <c r="I214" s="66" t="str">
        <f>IF(M214&lt;&gt;"OK","",INDEX(po_mac,MATCH(D214,po_code,0)))</f>
        <v/>
      </c>
      <c r="J214" s="66" t="str">
        <f>IF(M214&lt;&gt;"OK","",N(E214)*(H214*IF(G214="",1,G214)+I214))</f>
        <v/>
      </c>
      <c r="K214" s="66" t="str">
        <f>IF(M214&lt;&gt;"OK","",N(F214)/60*H214*IF(G214="",1,G214))</f>
        <v/>
      </c>
      <c r="L214" s="66" t="str">
        <f>IF(M214&lt;&gt;"OK","",N(F214)/60*I214)</f>
        <v/>
      </c>
      <c r="M214" s="69" t="str">
        <f>IF(AND(A214="",D214=""),"",IF(A214="","Produit manquant",IF(COUNTIF(prod_ref,A214)=0,"Produit inconnu",IF(D214="","Poste manquant",IF(ISNA(MATCH(D214,po_code,0)),"Poste inconnu",IF(INDEX(po_check,MATCH(D214,po_code,0))&lt;&gt;"OK","Poste à corriger",IF(AND(E214&lt;&gt;"",OR(NOT(ISNUMBER(E214)),N(E214)&lt;0)),"Réglage invalide",IF(AND(F214&lt;&gt;"",OR(NOT(ISNUMBER(F214)),N(F214)&lt;0)),"Temps par pièce invalide",IF(N(E214)+N(F214)=0,"Temps manquant",IF(AND(G214&lt;&gt;"",OR(NOT(ISNUMBER(G214)),N(G214)&lt;=0)),"Opérateurs invalide","OK"))))))))))</f>
        <v/>
      </c>
      <c r="N214" s="71" t="str">
        <f>IF(AND(fiche_sel&lt;&gt;"",A214=fiche_sel),COUNTIF(A$6:A214,fiche_sel),"")</f>
        <v/>
      </c>
    </row>
    <row r="215">
      <c r="A215" s="60" t="n"/>
      <c r="B215" s="73" t="n"/>
      <c r="C215" s="60" t="n"/>
      <c r="D215" s="61" t="n"/>
      <c r="E215" s="74" t="n"/>
      <c r="F215" s="74" t="n"/>
      <c r="G215" s="73" t="n"/>
      <c r="H215" s="66" t="str">
        <f>IF(M215&lt;&gt;"OK","",INDEX(po_mo,MATCH(D215,po_code,0)))</f>
        <v/>
      </c>
      <c r="I215" s="66" t="str">
        <f>IF(M215&lt;&gt;"OK","",INDEX(po_mac,MATCH(D215,po_code,0)))</f>
        <v/>
      </c>
      <c r="J215" s="66" t="str">
        <f>IF(M215&lt;&gt;"OK","",N(E215)*(H215*IF(G215="",1,G215)+I215))</f>
        <v/>
      </c>
      <c r="K215" s="66" t="str">
        <f>IF(M215&lt;&gt;"OK","",N(F215)/60*H215*IF(G215="",1,G215))</f>
        <v/>
      </c>
      <c r="L215" s="66" t="str">
        <f>IF(M215&lt;&gt;"OK","",N(F215)/60*I215)</f>
        <v/>
      </c>
      <c r="M215" s="69" t="str">
        <f>IF(AND(A215="",D215=""),"",IF(A215="","Produit manquant",IF(COUNTIF(prod_ref,A215)=0,"Produit inconnu",IF(D215="","Poste manquant",IF(ISNA(MATCH(D215,po_code,0)),"Poste inconnu",IF(INDEX(po_check,MATCH(D215,po_code,0))&lt;&gt;"OK","Poste à corriger",IF(AND(E215&lt;&gt;"",OR(NOT(ISNUMBER(E215)),N(E215)&lt;0)),"Réglage invalide",IF(AND(F215&lt;&gt;"",OR(NOT(ISNUMBER(F215)),N(F215)&lt;0)),"Temps par pièce invalide",IF(N(E215)+N(F215)=0,"Temps manquant",IF(AND(G215&lt;&gt;"",OR(NOT(ISNUMBER(G215)),N(G215)&lt;=0)),"Opérateurs invalide","OK"))))))))))</f>
        <v/>
      </c>
      <c r="N215" s="71" t="str">
        <f>IF(AND(fiche_sel&lt;&gt;"",A215=fiche_sel),COUNTIF(A$6:A215,fiche_sel),"")</f>
        <v/>
      </c>
    </row>
    <row r="216">
      <c r="A216" s="60" t="n"/>
      <c r="B216" s="73" t="n"/>
      <c r="C216" s="60" t="n"/>
      <c r="D216" s="61" t="n"/>
      <c r="E216" s="74" t="n"/>
      <c r="F216" s="74" t="n"/>
      <c r="G216" s="73" t="n"/>
      <c r="H216" s="66" t="str">
        <f>IF(M216&lt;&gt;"OK","",INDEX(po_mo,MATCH(D216,po_code,0)))</f>
        <v/>
      </c>
      <c r="I216" s="66" t="str">
        <f>IF(M216&lt;&gt;"OK","",INDEX(po_mac,MATCH(D216,po_code,0)))</f>
        <v/>
      </c>
      <c r="J216" s="66" t="str">
        <f>IF(M216&lt;&gt;"OK","",N(E216)*(H216*IF(G216="",1,G216)+I216))</f>
        <v/>
      </c>
      <c r="K216" s="66" t="str">
        <f>IF(M216&lt;&gt;"OK","",N(F216)/60*H216*IF(G216="",1,G216))</f>
        <v/>
      </c>
      <c r="L216" s="66" t="str">
        <f>IF(M216&lt;&gt;"OK","",N(F216)/60*I216)</f>
        <v/>
      </c>
      <c r="M216" s="69" t="str">
        <f>IF(AND(A216="",D216=""),"",IF(A216="","Produit manquant",IF(COUNTIF(prod_ref,A216)=0,"Produit inconnu",IF(D216="","Poste manquant",IF(ISNA(MATCH(D216,po_code,0)),"Poste inconnu",IF(INDEX(po_check,MATCH(D216,po_code,0))&lt;&gt;"OK","Poste à corriger",IF(AND(E216&lt;&gt;"",OR(NOT(ISNUMBER(E216)),N(E216)&lt;0)),"Réglage invalide",IF(AND(F216&lt;&gt;"",OR(NOT(ISNUMBER(F216)),N(F216)&lt;0)),"Temps par pièce invalide",IF(N(E216)+N(F216)=0,"Temps manquant",IF(AND(G216&lt;&gt;"",OR(NOT(ISNUMBER(G216)),N(G216)&lt;=0)),"Opérateurs invalide","OK"))))))))))</f>
        <v/>
      </c>
      <c r="N216" s="71" t="str">
        <f>IF(AND(fiche_sel&lt;&gt;"",A216=fiche_sel),COUNTIF(A$6:A216,fiche_sel),"")</f>
        <v/>
      </c>
    </row>
    <row r="217">
      <c r="A217" s="60" t="n"/>
      <c r="B217" s="73" t="n"/>
      <c r="C217" s="60" t="n"/>
      <c r="D217" s="61" t="n"/>
      <c r="E217" s="74" t="n"/>
      <c r="F217" s="74" t="n"/>
      <c r="G217" s="73" t="n"/>
      <c r="H217" s="66" t="str">
        <f>IF(M217&lt;&gt;"OK","",INDEX(po_mo,MATCH(D217,po_code,0)))</f>
        <v/>
      </c>
      <c r="I217" s="66" t="str">
        <f>IF(M217&lt;&gt;"OK","",INDEX(po_mac,MATCH(D217,po_code,0)))</f>
        <v/>
      </c>
      <c r="J217" s="66" t="str">
        <f>IF(M217&lt;&gt;"OK","",N(E217)*(H217*IF(G217="",1,G217)+I217))</f>
        <v/>
      </c>
      <c r="K217" s="66" t="str">
        <f>IF(M217&lt;&gt;"OK","",N(F217)/60*H217*IF(G217="",1,G217))</f>
        <v/>
      </c>
      <c r="L217" s="66" t="str">
        <f>IF(M217&lt;&gt;"OK","",N(F217)/60*I217)</f>
        <v/>
      </c>
      <c r="M217" s="69" t="str">
        <f>IF(AND(A217="",D217=""),"",IF(A217="","Produit manquant",IF(COUNTIF(prod_ref,A217)=0,"Produit inconnu",IF(D217="","Poste manquant",IF(ISNA(MATCH(D217,po_code,0)),"Poste inconnu",IF(INDEX(po_check,MATCH(D217,po_code,0))&lt;&gt;"OK","Poste à corriger",IF(AND(E217&lt;&gt;"",OR(NOT(ISNUMBER(E217)),N(E217)&lt;0)),"Réglage invalide",IF(AND(F217&lt;&gt;"",OR(NOT(ISNUMBER(F217)),N(F217)&lt;0)),"Temps par pièce invalide",IF(N(E217)+N(F217)=0,"Temps manquant",IF(AND(G217&lt;&gt;"",OR(NOT(ISNUMBER(G217)),N(G217)&lt;=0)),"Opérateurs invalide","OK"))))))))))</f>
        <v/>
      </c>
      <c r="N217" s="71" t="str">
        <f>IF(AND(fiche_sel&lt;&gt;"",A217=fiche_sel),COUNTIF(A$6:A217,fiche_sel),"")</f>
        <v/>
      </c>
    </row>
    <row r="218">
      <c r="A218" s="60" t="n"/>
      <c r="B218" s="73" t="n"/>
      <c r="C218" s="60" t="n"/>
      <c r="D218" s="61" t="n"/>
      <c r="E218" s="74" t="n"/>
      <c r="F218" s="74" t="n"/>
      <c r="G218" s="73" t="n"/>
      <c r="H218" s="66" t="str">
        <f>IF(M218&lt;&gt;"OK","",INDEX(po_mo,MATCH(D218,po_code,0)))</f>
        <v/>
      </c>
      <c r="I218" s="66" t="str">
        <f>IF(M218&lt;&gt;"OK","",INDEX(po_mac,MATCH(D218,po_code,0)))</f>
        <v/>
      </c>
      <c r="J218" s="66" t="str">
        <f>IF(M218&lt;&gt;"OK","",N(E218)*(H218*IF(G218="",1,G218)+I218))</f>
        <v/>
      </c>
      <c r="K218" s="66" t="str">
        <f>IF(M218&lt;&gt;"OK","",N(F218)/60*H218*IF(G218="",1,G218))</f>
        <v/>
      </c>
      <c r="L218" s="66" t="str">
        <f>IF(M218&lt;&gt;"OK","",N(F218)/60*I218)</f>
        <v/>
      </c>
      <c r="M218" s="69" t="str">
        <f>IF(AND(A218="",D218=""),"",IF(A218="","Produit manquant",IF(COUNTIF(prod_ref,A218)=0,"Produit inconnu",IF(D218="","Poste manquant",IF(ISNA(MATCH(D218,po_code,0)),"Poste inconnu",IF(INDEX(po_check,MATCH(D218,po_code,0))&lt;&gt;"OK","Poste à corriger",IF(AND(E218&lt;&gt;"",OR(NOT(ISNUMBER(E218)),N(E218)&lt;0)),"Réglage invalide",IF(AND(F218&lt;&gt;"",OR(NOT(ISNUMBER(F218)),N(F218)&lt;0)),"Temps par pièce invalide",IF(N(E218)+N(F218)=0,"Temps manquant",IF(AND(G218&lt;&gt;"",OR(NOT(ISNUMBER(G218)),N(G218)&lt;=0)),"Opérateurs invalide","OK"))))))))))</f>
        <v/>
      </c>
      <c r="N218" s="71" t="str">
        <f>IF(AND(fiche_sel&lt;&gt;"",A218=fiche_sel),COUNTIF(A$6:A218,fiche_sel),"")</f>
        <v/>
      </c>
    </row>
    <row r="219">
      <c r="A219" s="60" t="n"/>
      <c r="B219" s="73" t="n"/>
      <c r="C219" s="60" t="n"/>
      <c r="D219" s="61" t="n"/>
      <c r="E219" s="74" t="n"/>
      <c r="F219" s="74" t="n"/>
      <c r="G219" s="73" t="n"/>
      <c r="H219" s="66" t="str">
        <f>IF(M219&lt;&gt;"OK","",INDEX(po_mo,MATCH(D219,po_code,0)))</f>
        <v/>
      </c>
      <c r="I219" s="66" t="str">
        <f>IF(M219&lt;&gt;"OK","",INDEX(po_mac,MATCH(D219,po_code,0)))</f>
        <v/>
      </c>
      <c r="J219" s="66" t="str">
        <f>IF(M219&lt;&gt;"OK","",N(E219)*(H219*IF(G219="",1,G219)+I219))</f>
        <v/>
      </c>
      <c r="K219" s="66" t="str">
        <f>IF(M219&lt;&gt;"OK","",N(F219)/60*H219*IF(G219="",1,G219))</f>
        <v/>
      </c>
      <c r="L219" s="66" t="str">
        <f>IF(M219&lt;&gt;"OK","",N(F219)/60*I219)</f>
        <v/>
      </c>
      <c r="M219" s="69" t="str">
        <f>IF(AND(A219="",D219=""),"",IF(A219="","Produit manquant",IF(COUNTIF(prod_ref,A219)=0,"Produit inconnu",IF(D219="","Poste manquant",IF(ISNA(MATCH(D219,po_code,0)),"Poste inconnu",IF(INDEX(po_check,MATCH(D219,po_code,0))&lt;&gt;"OK","Poste à corriger",IF(AND(E219&lt;&gt;"",OR(NOT(ISNUMBER(E219)),N(E219)&lt;0)),"Réglage invalide",IF(AND(F219&lt;&gt;"",OR(NOT(ISNUMBER(F219)),N(F219)&lt;0)),"Temps par pièce invalide",IF(N(E219)+N(F219)=0,"Temps manquant",IF(AND(G219&lt;&gt;"",OR(NOT(ISNUMBER(G219)),N(G219)&lt;=0)),"Opérateurs invalide","OK"))))))))))</f>
        <v/>
      </c>
      <c r="N219" s="71" t="str">
        <f>IF(AND(fiche_sel&lt;&gt;"",A219=fiche_sel),COUNTIF(A$6:A219,fiche_sel),"")</f>
        <v/>
      </c>
    </row>
    <row r="220">
      <c r="A220" s="60" t="n"/>
      <c r="B220" s="73" t="n"/>
      <c r="C220" s="60" t="n"/>
      <c r="D220" s="61" t="n"/>
      <c r="E220" s="74" t="n"/>
      <c r="F220" s="74" t="n"/>
      <c r="G220" s="73" t="n"/>
      <c r="H220" s="66" t="str">
        <f>IF(M220&lt;&gt;"OK","",INDEX(po_mo,MATCH(D220,po_code,0)))</f>
        <v/>
      </c>
      <c r="I220" s="66" t="str">
        <f>IF(M220&lt;&gt;"OK","",INDEX(po_mac,MATCH(D220,po_code,0)))</f>
        <v/>
      </c>
      <c r="J220" s="66" t="str">
        <f>IF(M220&lt;&gt;"OK","",N(E220)*(H220*IF(G220="",1,G220)+I220))</f>
        <v/>
      </c>
      <c r="K220" s="66" t="str">
        <f>IF(M220&lt;&gt;"OK","",N(F220)/60*H220*IF(G220="",1,G220))</f>
        <v/>
      </c>
      <c r="L220" s="66" t="str">
        <f>IF(M220&lt;&gt;"OK","",N(F220)/60*I220)</f>
        <v/>
      </c>
      <c r="M220" s="69" t="str">
        <f>IF(AND(A220="",D220=""),"",IF(A220="","Produit manquant",IF(COUNTIF(prod_ref,A220)=0,"Produit inconnu",IF(D220="","Poste manquant",IF(ISNA(MATCH(D220,po_code,0)),"Poste inconnu",IF(INDEX(po_check,MATCH(D220,po_code,0))&lt;&gt;"OK","Poste à corriger",IF(AND(E220&lt;&gt;"",OR(NOT(ISNUMBER(E220)),N(E220)&lt;0)),"Réglage invalide",IF(AND(F220&lt;&gt;"",OR(NOT(ISNUMBER(F220)),N(F220)&lt;0)),"Temps par pièce invalide",IF(N(E220)+N(F220)=0,"Temps manquant",IF(AND(G220&lt;&gt;"",OR(NOT(ISNUMBER(G220)),N(G220)&lt;=0)),"Opérateurs invalide","OK"))))))))))</f>
        <v/>
      </c>
      <c r="N220" s="71" t="str">
        <f>IF(AND(fiche_sel&lt;&gt;"",A220=fiche_sel),COUNTIF(A$6:A220,fiche_sel),"")</f>
        <v/>
      </c>
    </row>
    <row r="221">
      <c r="A221" s="60" t="n"/>
      <c r="B221" s="73" t="n"/>
      <c r="C221" s="60" t="n"/>
      <c r="D221" s="61" t="n"/>
      <c r="E221" s="74" t="n"/>
      <c r="F221" s="74" t="n"/>
      <c r="G221" s="73" t="n"/>
      <c r="H221" s="66" t="str">
        <f>IF(M221&lt;&gt;"OK","",INDEX(po_mo,MATCH(D221,po_code,0)))</f>
        <v/>
      </c>
      <c r="I221" s="66" t="str">
        <f>IF(M221&lt;&gt;"OK","",INDEX(po_mac,MATCH(D221,po_code,0)))</f>
        <v/>
      </c>
      <c r="J221" s="66" t="str">
        <f>IF(M221&lt;&gt;"OK","",N(E221)*(H221*IF(G221="",1,G221)+I221))</f>
        <v/>
      </c>
      <c r="K221" s="66" t="str">
        <f>IF(M221&lt;&gt;"OK","",N(F221)/60*H221*IF(G221="",1,G221))</f>
        <v/>
      </c>
      <c r="L221" s="66" t="str">
        <f>IF(M221&lt;&gt;"OK","",N(F221)/60*I221)</f>
        <v/>
      </c>
      <c r="M221" s="69" t="str">
        <f>IF(AND(A221="",D221=""),"",IF(A221="","Produit manquant",IF(COUNTIF(prod_ref,A221)=0,"Produit inconnu",IF(D221="","Poste manquant",IF(ISNA(MATCH(D221,po_code,0)),"Poste inconnu",IF(INDEX(po_check,MATCH(D221,po_code,0))&lt;&gt;"OK","Poste à corriger",IF(AND(E221&lt;&gt;"",OR(NOT(ISNUMBER(E221)),N(E221)&lt;0)),"Réglage invalide",IF(AND(F221&lt;&gt;"",OR(NOT(ISNUMBER(F221)),N(F221)&lt;0)),"Temps par pièce invalide",IF(N(E221)+N(F221)=0,"Temps manquant",IF(AND(G221&lt;&gt;"",OR(NOT(ISNUMBER(G221)),N(G221)&lt;=0)),"Opérateurs invalide","OK"))))))))))</f>
        <v/>
      </c>
      <c r="N221" s="71" t="str">
        <f>IF(AND(fiche_sel&lt;&gt;"",A221=fiche_sel),COUNTIF(A$6:A221,fiche_sel),"")</f>
        <v/>
      </c>
    </row>
    <row r="222">
      <c r="A222" s="60" t="n"/>
      <c r="B222" s="73" t="n"/>
      <c r="C222" s="60" t="n"/>
      <c r="D222" s="61" t="n"/>
      <c r="E222" s="74" t="n"/>
      <c r="F222" s="74" t="n"/>
      <c r="G222" s="73" t="n"/>
      <c r="H222" s="66" t="str">
        <f>IF(M222&lt;&gt;"OK","",INDEX(po_mo,MATCH(D222,po_code,0)))</f>
        <v/>
      </c>
      <c r="I222" s="66" t="str">
        <f>IF(M222&lt;&gt;"OK","",INDEX(po_mac,MATCH(D222,po_code,0)))</f>
        <v/>
      </c>
      <c r="J222" s="66" t="str">
        <f>IF(M222&lt;&gt;"OK","",N(E222)*(H222*IF(G222="",1,G222)+I222))</f>
        <v/>
      </c>
      <c r="K222" s="66" t="str">
        <f>IF(M222&lt;&gt;"OK","",N(F222)/60*H222*IF(G222="",1,G222))</f>
        <v/>
      </c>
      <c r="L222" s="66" t="str">
        <f>IF(M222&lt;&gt;"OK","",N(F222)/60*I222)</f>
        <v/>
      </c>
      <c r="M222" s="69" t="str">
        <f>IF(AND(A222="",D222=""),"",IF(A222="","Produit manquant",IF(COUNTIF(prod_ref,A222)=0,"Produit inconnu",IF(D222="","Poste manquant",IF(ISNA(MATCH(D222,po_code,0)),"Poste inconnu",IF(INDEX(po_check,MATCH(D222,po_code,0))&lt;&gt;"OK","Poste à corriger",IF(AND(E222&lt;&gt;"",OR(NOT(ISNUMBER(E222)),N(E222)&lt;0)),"Réglage invalide",IF(AND(F222&lt;&gt;"",OR(NOT(ISNUMBER(F222)),N(F222)&lt;0)),"Temps par pièce invalide",IF(N(E222)+N(F222)=0,"Temps manquant",IF(AND(G222&lt;&gt;"",OR(NOT(ISNUMBER(G222)),N(G222)&lt;=0)),"Opérateurs invalide","OK"))))))))))</f>
        <v/>
      </c>
      <c r="N222" s="71" t="str">
        <f>IF(AND(fiche_sel&lt;&gt;"",A222=fiche_sel),COUNTIF(A$6:A222,fiche_sel),"")</f>
        <v/>
      </c>
    </row>
    <row r="223">
      <c r="A223" s="60" t="n"/>
      <c r="B223" s="73" t="n"/>
      <c r="C223" s="60" t="n"/>
      <c r="D223" s="61" t="n"/>
      <c r="E223" s="74" t="n"/>
      <c r="F223" s="74" t="n"/>
      <c r="G223" s="73" t="n"/>
      <c r="H223" s="66" t="str">
        <f>IF(M223&lt;&gt;"OK","",INDEX(po_mo,MATCH(D223,po_code,0)))</f>
        <v/>
      </c>
      <c r="I223" s="66" t="str">
        <f>IF(M223&lt;&gt;"OK","",INDEX(po_mac,MATCH(D223,po_code,0)))</f>
        <v/>
      </c>
      <c r="J223" s="66" t="str">
        <f>IF(M223&lt;&gt;"OK","",N(E223)*(H223*IF(G223="",1,G223)+I223))</f>
        <v/>
      </c>
      <c r="K223" s="66" t="str">
        <f>IF(M223&lt;&gt;"OK","",N(F223)/60*H223*IF(G223="",1,G223))</f>
        <v/>
      </c>
      <c r="L223" s="66" t="str">
        <f>IF(M223&lt;&gt;"OK","",N(F223)/60*I223)</f>
        <v/>
      </c>
      <c r="M223" s="69" t="str">
        <f>IF(AND(A223="",D223=""),"",IF(A223="","Produit manquant",IF(COUNTIF(prod_ref,A223)=0,"Produit inconnu",IF(D223="","Poste manquant",IF(ISNA(MATCH(D223,po_code,0)),"Poste inconnu",IF(INDEX(po_check,MATCH(D223,po_code,0))&lt;&gt;"OK","Poste à corriger",IF(AND(E223&lt;&gt;"",OR(NOT(ISNUMBER(E223)),N(E223)&lt;0)),"Réglage invalide",IF(AND(F223&lt;&gt;"",OR(NOT(ISNUMBER(F223)),N(F223)&lt;0)),"Temps par pièce invalide",IF(N(E223)+N(F223)=0,"Temps manquant",IF(AND(G223&lt;&gt;"",OR(NOT(ISNUMBER(G223)),N(G223)&lt;=0)),"Opérateurs invalide","OK"))))))))))</f>
        <v/>
      </c>
      <c r="N223" s="71" t="str">
        <f>IF(AND(fiche_sel&lt;&gt;"",A223=fiche_sel),COUNTIF(A$6:A223,fiche_sel),"")</f>
        <v/>
      </c>
    </row>
    <row r="224">
      <c r="A224" s="60" t="n"/>
      <c r="B224" s="73" t="n"/>
      <c r="C224" s="60" t="n"/>
      <c r="D224" s="61" t="n"/>
      <c r="E224" s="74" t="n"/>
      <c r="F224" s="74" t="n"/>
      <c r="G224" s="73" t="n"/>
      <c r="H224" s="66" t="str">
        <f>IF(M224&lt;&gt;"OK","",INDEX(po_mo,MATCH(D224,po_code,0)))</f>
        <v/>
      </c>
      <c r="I224" s="66" t="str">
        <f>IF(M224&lt;&gt;"OK","",INDEX(po_mac,MATCH(D224,po_code,0)))</f>
        <v/>
      </c>
      <c r="J224" s="66" t="str">
        <f>IF(M224&lt;&gt;"OK","",N(E224)*(H224*IF(G224="",1,G224)+I224))</f>
        <v/>
      </c>
      <c r="K224" s="66" t="str">
        <f>IF(M224&lt;&gt;"OK","",N(F224)/60*H224*IF(G224="",1,G224))</f>
        <v/>
      </c>
      <c r="L224" s="66" t="str">
        <f>IF(M224&lt;&gt;"OK","",N(F224)/60*I224)</f>
        <v/>
      </c>
      <c r="M224" s="69" t="str">
        <f>IF(AND(A224="",D224=""),"",IF(A224="","Produit manquant",IF(COUNTIF(prod_ref,A224)=0,"Produit inconnu",IF(D224="","Poste manquant",IF(ISNA(MATCH(D224,po_code,0)),"Poste inconnu",IF(INDEX(po_check,MATCH(D224,po_code,0))&lt;&gt;"OK","Poste à corriger",IF(AND(E224&lt;&gt;"",OR(NOT(ISNUMBER(E224)),N(E224)&lt;0)),"Réglage invalide",IF(AND(F224&lt;&gt;"",OR(NOT(ISNUMBER(F224)),N(F224)&lt;0)),"Temps par pièce invalide",IF(N(E224)+N(F224)=0,"Temps manquant",IF(AND(G224&lt;&gt;"",OR(NOT(ISNUMBER(G224)),N(G224)&lt;=0)),"Opérateurs invalide","OK"))))))))))</f>
        <v/>
      </c>
      <c r="N224" s="71" t="str">
        <f>IF(AND(fiche_sel&lt;&gt;"",A224=fiche_sel),COUNTIF(A$6:A224,fiche_sel),"")</f>
        <v/>
      </c>
    </row>
    <row r="225">
      <c r="A225" s="60" t="n"/>
      <c r="B225" s="73" t="n"/>
      <c r="C225" s="60" t="n"/>
      <c r="D225" s="61" t="n"/>
      <c r="E225" s="74" t="n"/>
      <c r="F225" s="74" t="n"/>
      <c r="G225" s="73" t="n"/>
      <c r="H225" s="66" t="str">
        <f>IF(M225&lt;&gt;"OK","",INDEX(po_mo,MATCH(D225,po_code,0)))</f>
        <v/>
      </c>
      <c r="I225" s="66" t="str">
        <f>IF(M225&lt;&gt;"OK","",INDEX(po_mac,MATCH(D225,po_code,0)))</f>
        <v/>
      </c>
      <c r="J225" s="66" t="str">
        <f>IF(M225&lt;&gt;"OK","",N(E225)*(H225*IF(G225="",1,G225)+I225))</f>
        <v/>
      </c>
      <c r="K225" s="66" t="str">
        <f>IF(M225&lt;&gt;"OK","",N(F225)/60*H225*IF(G225="",1,G225))</f>
        <v/>
      </c>
      <c r="L225" s="66" t="str">
        <f>IF(M225&lt;&gt;"OK","",N(F225)/60*I225)</f>
        <v/>
      </c>
      <c r="M225" s="69" t="str">
        <f>IF(AND(A225="",D225=""),"",IF(A225="","Produit manquant",IF(COUNTIF(prod_ref,A225)=0,"Produit inconnu",IF(D225="","Poste manquant",IF(ISNA(MATCH(D225,po_code,0)),"Poste inconnu",IF(INDEX(po_check,MATCH(D225,po_code,0))&lt;&gt;"OK","Poste à corriger",IF(AND(E225&lt;&gt;"",OR(NOT(ISNUMBER(E225)),N(E225)&lt;0)),"Réglage invalide",IF(AND(F225&lt;&gt;"",OR(NOT(ISNUMBER(F225)),N(F225)&lt;0)),"Temps par pièce invalide",IF(N(E225)+N(F225)=0,"Temps manquant",IF(AND(G225&lt;&gt;"",OR(NOT(ISNUMBER(G225)),N(G225)&lt;=0)),"Opérateurs invalide","OK"))))))))))</f>
        <v/>
      </c>
      <c r="N225" s="71" t="str">
        <f>IF(AND(fiche_sel&lt;&gt;"",A225=fiche_sel),COUNTIF(A$6:A225,fiche_sel),"")</f>
        <v/>
      </c>
    </row>
    <row r="226">
      <c r="A226" s="60" t="n"/>
      <c r="B226" s="73" t="n"/>
      <c r="C226" s="60" t="n"/>
      <c r="D226" s="61" t="n"/>
      <c r="E226" s="74" t="n"/>
      <c r="F226" s="74" t="n"/>
      <c r="G226" s="73" t="n"/>
      <c r="H226" s="66" t="str">
        <f>IF(M226&lt;&gt;"OK","",INDEX(po_mo,MATCH(D226,po_code,0)))</f>
        <v/>
      </c>
      <c r="I226" s="66" t="str">
        <f>IF(M226&lt;&gt;"OK","",INDEX(po_mac,MATCH(D226,po_code,0)))</f>
        <v/>
      </c>
      <c r="J226" s="66" t="str">
        <f>IF(M226&lt;&gt;"OK","",N(E226)*(H226*IF(G226="",1,G226)+I226))</f>
        <v/>
      </c>
      <c r="K226" s="66" t="str">
        <f>IF(M226&lt;&gt;"OK","",N(F226)/60*H226*IF(G226="",1,G226))</f>
        <v/>
      </c>
      <c r="L226" s="66" t="str">
        <f>IF(M226&lt;&gt;"OK","",N(F226)/60*I226)</f>
        <v/>
      </c>
      <c r="M226" s="69" t="str">
        <f>IF(AND(A226="",D226=""),"",IF(A226="","Produit manquant",IF(COUNTIF(prod_ref,A226)=0,"Produit inconnu",IF(D226="","Poste manquant",IF(ISNA(MATCH(D226,po_code,0)),"Poste inconnu",IF(INDEX(po_check,MATCH(D226,po_code,0))&lt;&gt;"OK","Poste à corriger",IF(AND(E226&lt;&gt;"",OR(NOT(ISNUMBER(E226)),N(E226)&lt;0)),"Réglage invalide",IF(AND(F226&lt;&gt;"",OR(NOT(ISNUMBER(F226)),N(F226)&lt;0)),"Temps par pièce invalide",IF(N(E226)+N(F226)=0,"Temps manquant",IF(AND(G226&lt;&gt;"",OR(NOT(ISNUMBER(G226)),N(G226)&lt;=0)),"Opérateurs invalide","OK"))))))))))</f>
        <v/>
      </c>
      <c r="N226" s="71" t="str">
        <f>IF(AND(fiche_sel&lt;&gt;"",A226=fiche_sel),COUNTIF(A$6:A226,fiche_sel),"")</f>
        <v/>
      </c>
    </row>
    <row r="227">
      <c r="A227" s="60" t="n"/>
      <c r="B227" s="73" t="n"/>
      <c r="C227" s="60" t="n"/>
      <c r="D227" s="61" t="n"/>
      <c r="E227" s="74" t="n"/>
      <c r="F227" s="74" t="n"/>
      <c r="G227" s="73" t="n"/>
      <c r="H227" s="66" t="str">
        <f>IF(M227&lt;&gt;"OK","",INDEX(po_mo,MATCH(D227,po_code,0)))</f>
        <v/>
      </c>
      <c r="I227" s="66" t="str">
        <f>IF(M227&lt;&gt;"OK","",INDEX(po_mac,MATCH(D227,po_code,0)))</f>
        <v/>
      </c>
      <c r="J227" s="66" t="str">
        <f>IF(M227&lt;&gt;"OK","",N(E227)*(H227*IF(G227="",1,G227)+I227))</f>
        <v/>
      </c>
      <c r="K227" s="66" t="str">
        <f>IF(M227&lt;&gt;"OK","",N(F227)/60*H227*IF(G227="",1,G227))</f>
        <v/>
      </c>
      <c r="L227" s="66" t="str">
        <f>IF(M227&lt;&gt;"OK","",N(F227)/60*I227)</f>
        <v/>
      </c>
      <c r="M227" s="69" t="str">
        <f>IF(AND(A227="",D227=""),"",IF(A227="","Produit manquant",IF(COUNTIF(prod_ref,A227)=0,"Produit inconnu",IF(D227="","Poste manquant",IF(ISNA(MATCH(D227,po_code,0)),"Poste inconnu",IF(INDEX(po_check,MATCH(D227,po_code,0))&lt;&gt;"OK","Poste à corriger",IF(AND(E227&lt;&gt;"",OR(NOT(ISNUMBER(E227)),N(E227)&lt;0)),"Réglage invalide",IF(AND(F227&lt;&gt;"",OR(NOT(ISNUMBER(F227)),N(F227)&lt;0)),"Temps par pièce invalide",IF(N(E227)+N(F227)=0,"Temps manquant",IF(AND(G227&lt;&gt;"",OR(NOT(ISNUMBER(G227)),N(G227)&lt;=0)),"Opérateurs invalide","OK"))))))))))</f>
        <v/>
      </c>
      <c r="N227" s="71" t="str">
        <f>IF(AND(fiche_sel&lt;&gt;"",A227=fiche_sel),COUNTIF(A$6:A227,fiche_sel),"")</f>
        <v/>
      </c>
    </row>
    <row r="228">
      <c r="A228" s="60" t="n"/>
      <c r="B228" s="73" t="n"/>
      <c r="C228" s="60" t="n"/>
      <c r="D228" s="61" t="n"/>
      <c r="E228" s="74" t="n"/>
      <c r="F228" s="74" t="n"/>
      <c r="G228" s="73" t="n"/>
      <c r="H228" s="66" t="str">
        <f>IF(M228&lt;&gt;"OK","",INDEX(po_mo,MATCH(D228,po_code,0)))</f>
        <v/>
      </c>
      <c r="I228" s="66" t="str">
        <f>IF(M228&lt;&gt;"OK","",INDEX(po_mac,MATCH(D228,po_code,0)))</f>
        <v/>
      </c>
      <c r="J228" s="66" t="str">
        <f>IF(M228&lt;&gt;"OK","",N(E228)*(H228*IF(G228="",1,G228)+I228))</f>
        <v/>
      </c>
      <c r="K228" s="66" t="str">
        <f>IF(M228&lt;&gt;"OK","",N(F228)/60*H228*IF(G228="",1,G228))</f>
        <v/>
      </c>
      <c r="L228" s="66" t="str">
        <f>IF(M228&lt;&gt;"OK","",N(F228)/60*I228)</f>
        <v/>
      </c>
      <c r="M228" s="69" t="str">
        <f>IF(AND(A228="",D228=""),"",IF(A228="","Produit manquant",IF(COUNTIF(prod_ref,A228)=0,"Produit inconnu",IF(D228="","Poste manquant",IF(ISNA(MATCH(D228,po_code,0)),"Poste inconnu",IF(INDEX(po_check,MATCH(D228,po_code,0))&lt;&gt;"OK","Poste à corriger",IF(AND(E228&lt;&gt;"",OR(NOT(ISNUMBER(E228)),N(E228)&lt;0)),"Réglage invalide",IF(AND(F228&lt;&gt;"",OR(NOT(ISNUMBER(F228)),N(F228)&lt;0)),"Temps par pièce invalide",IF(N(E228)+N(F228)=0,"Temps manquant",IF(AND(G228&lt;&gt;"",OR(NOT(ISNUMBER(G228)),N(G228)&lt;=0)),"Opérateurs invalide","OK"))))))))))</f>
        <v/>
      </c>
      <c r="N228" s="71" t="str">
        <f>IF(AND(fiche_sel&lt;&gt;"",A228=fiche_sel),COUNTIF(A$6:A228,fiche_sel),"")</f>
        <v/>
      </c>
    </row>
    <row r="229">
      <c r="A229" s="60" t="n"/>
      <c r="B229" s="73" t="n"/>
      <c r="C229" s="60" t="n"/>
      <c r="D229" s="61" t="n"/>
      <c r="E229" s="74" t="n"/>
      <c r="F229" s="74" t="n"/>
      <c r="G229" s="73" t="n"/>
      <c r="H229" s="66" t="str">
        <f>IF(M229&lt;&gt;"OK","",INDEX(po_mo,MATCH(D229,po_code,0)))</f>
        <v/>
      </c>
      <c r="I229" s="66" t="str">
        <f>IF(M229&lt;&gt;"OK","",INDEX(po_mac,MATCH(D229,po_code,0)))</f>
        <v/>
      </c>
      <c r="J229" s="66" t="str">
        <f>IF(M229&lt;&gt;"OK","",N(E229)*(H229*IF(G229="",1,G229)+I229))</f>
        <v/>
      </c>
      <c r="K229" s="66" t="str">
        <f>IF(M229&lt;&gt;"OK","",N(F229)/60*H229*IF(G229="",1,G229))</f>
        <v/>
      </c>
      <c r="L229" s="66" t="str">
        <f>IF(M229&lt;&gt;"OK","",N(F229)/60*I229)</f>
        <v/>
      </c>
      <c r="M229" s="69" t="str">
        <f>IF(AND(A229="",D229=""),"",IF(A229="","Produit manquant",IF(COUNTIF(prod_ref,A229)=0,"Produit inconnu",IF(D229="","Poste manquant",IF(ISNA(MATCH(D229,po_code,0)),"Poste inconnu",IF(INDEX(po_check,MATCH(D229,po_code,0))&lt;&gt;"OK","Poste à corriger",IF(AND(E229&lt;&gt;"",OR(NOT(ISNUMBER(E229)),N(E229)&lt;0)),"Réglage invalide",IF(AND(F229&lt;&gt;"",OR(NOT(ISNUMBER(F229)),N(F229)&lt;0)),"Temps par pièce invalide",IF(N(E229)+N(F229)=0,"Temps manquant",IF(AND(G229&lt;&gt;"",OR(NOT(ISNUMBER(G229)),N(G229)&lt;=0)),"Opérateurs invalide","OK"))))))))))</f>
        <v/>
      </c>
      <c r="N229" s="71" t="str">
        <f>IF(AND(fiche_sel&lt;&gt;"",A229=fiche_sel),COUNTIF(A$6:A229,fiche_sel),"")</f>
        <v/>
      </c>
    </row>
    <row r="230">
      <c r="A230" s="60" t="n"/>
      <c r="B230" s="73" t="n"/>
      <c r="C230" s="60" t="n"/>
      <c r="D230" s="61" t="n"/>
      <c r="E230" s="74" t="n"/>
      <c r="F230" s="74" t="n"/>
      <c r="G230" s="73" t="n"/>
      <c r="H230" s="66" t="str">
        <f>IF(M230&lt;&gt;"OK","",INDEX(po_mo,MATCH(D230,po_code,0)))</f>
        <v/>
      </c>
      <c r="I230" s="66" t="str">
        <f>IF(M230&lt;&gt;"OK","",INDEX(po_mac,MATCH(D230,po_code,0)))</f>
        <v/>
      </c>
      <c r="J230" s="66" t="str">
        <f>IF(M230&lt;&gt;"OK","",N(E230)*(H230*IF(G230="",1,G230)+I230))</f>
        <v/>
      </c>
      <c r="K230" s="66" t="str">
        <f>IF(M230&lt;&gt;"OK","",N(F230)/60*H230*IF(G230="",1,G230))</f>
        <v/>
      </c>
      <c r="L230" s="66" t="str">
        <f>IF(M230&lt;&gt;"OK","",N(F230)/60*I230)</f>
        <v/>
      </c>
      <c r="M230" s="69" t="str">
        <f>IF(AND(A230="",D230=""),"",IF(A230="","Produit manquant",IF(COUNTIF(prod_ref,A230)=0,"Produit inconnu",IF(D230="","Poste manquant",IF(ISNA(MATCH(D230,po_code,0)),"Poste inconnu",IF(INDEX(po_check,MATCH(D230,po_code,0))&lt;&gt;"OK","Poste à corriger",IF(AND(E230&lt;&gt;"",OR(NOT(ISNUMBER(E230)),N(E230)&lt;0)),"Réglage invalide",IF(AND(F230&lt;&gt;"",OR(NOT(ISNUMBER(F230)),N(F230)&lt;0)),"Temps par pièce invalide",IF(N(E230)+N(F230)=0,"Temps manquant",IF(AND(G230&lt;&gt;"",OR(NOT(ISNUMBER(G230)),N(G230)&lt;=0)),"Opérateurs invalide","OK"))))))))))</f>
        <v/>
      </c>
      <c r="N230" s="71" t="str">
        <f>IF(AND(fiche_sel&lt;&gt;"",A230=fiche_sel),COUNTIF(A$6:A230,fiche_sel),"")</f>
        <v/>
      </c>
    </row>
    <row r="231">
      <c r="A231" s="60" t="n"/>
      <c r="B231" s="73" t="n"/>
      <c r="C231" s="60" t="n"/>
      <c r="D231" s="61" t="n"/>
      <c r="E231" s="74" t="n"/>
      <c r="F231" s="74" t="n"/>
      <c r="G231" s="73" t="n"/>
      <c r="H231" s="66" t="str">
        <f>IF(M231&lt;&gt;"OK","",INDEX(po_mo,MATCH(D231,po_code,0)))</f>
        <v/>
      </c>
      <c r="I231" s="66" t="str">
        <f>IF(M231&lt;&gt;"OK","",INDEX(po_mac,MATCH(D231,po_code,0)))</f>
        <v/>
      </c>
      <c r="J231" s="66" t="str">
        <f>IF(M231&lt;&gt;"OK","",N(E231)*(H231*IF(G231="",1,G231)+I231))</f>
        <v/>
      </c>
      <c r="K231" s="66" t="str">
        <f>IF(M231&lt;&gt;"OK","",N(F231)/60*H231*IF(G231="",1,G231))</f>
        <v/>
      </c>
      <c r="L231" s="66" t="str">
        <f>IF(M231&lt;&gt;"OK","",N(F231)/60*I231)</f>
        <v/>
      </c>
      <c r="M231" s="69" t="str">
        <f>IF(AND(A231="",D231=""),"",IF(A231="","Produit manquant",IF(COUNTIF(prod_ref,A231)=0,"Produit inconnu",IF(D231="","Poste manquant",IF(ISNA(MATCH(D231,po_code,0)),"Poste inconnu",IF(INDEX(po_check,MATCH(D231,po_code,0))&lt;&gt;"OK","Poste à corriger",IF(AND(E231&lt;&gt;"",OR(NOT(ISNUMBER(E231)),N(E231)&lt;0)),"Réglage invalide",IF(AND(F231&lt;&gt;"",OR(NOT(ISNUMBER(F231)),N(F231)&lt;0)),"Temps par pièce invalide",IF(N(E231)+N(F231)=0,"Temps manquant",IF(AND(G231&lt;&gt;"",OR(NOT(ISNUMBER(G231)),N(G231)&lt;=0)),"Opérateurs invalide","OK"))))))))))</f>
        <v/>
      </c>
      <c r="N231" s="71" t="str">
        <f>IF(AND(fiche_sel&lt;&gt;"",A231=fiche_sel),COUNTIF(A$6:A231,fiche_sel),"")</f>
        <v/>
      </c>
    </row>
    <row r="232">
      <c r="A232" s="60" t="n"/>
      <c r="B232" s="73" t="n"/>
      <c r="C232" s="60" t="n"/>
      <c r="D232" s="61" t="n"/>
      <c r="E232" s="74" t="n"/>
      <c r="F232" s="74" t="n"/>
      <c r="G232" s="73" t="n"/>
      <c r="H232" s="66" t="str">
        <f>IF(M232&lt;&gt;"OK","",INDEX(po_mo,MATCH(D232,po_code,0)))</f>
        <v/>
      </c>
      <c r="I232" s="66" t="str">
        <f>IF(M232&lt;&gt;"OK","",INDEX(po_mac,MATCH(D232,po_code,0)))</f>
        <v/>
      </c>
      <c r="J232" s="66" t="str">
        <f>IF(M232&lt;&gt;"OK","",N(E232)*(H232*IF(G232="",1,G232)+I232))</f>
        <v/>
      </c>
      <c r="K232" s="66" t="str">
        <f>IF(M232&lt;&gt;"OK","",N(F232)/60*H232*IF(G232="",1,G232))</f>
        <v/>
      </c>
      <c r="L232" s="66" t="str">
        <f>IF(M232&lt;&gt;"OK","",N(F232)/60*I232)</f>
        <v/>
      </c>
      <c r="M232" s="69" t="str">
        <f>IF(AND(A232="",D232=""),"",IF(A232="","Produit manquant",IF(COUNTIF(prod_ref,A232)=0,"Produit inconnu",IF(D232="","Poste manquant",IF(ISNA(MATCH(D232,po_code,0)),"Poste inconnu",IF(INDEX(po_check,MATCH(D232,po_code,0))&lt;&gt;"OK","Poste à corriger",IF(AND(E232&lt;&gt;"",OR(NOT(ISNUMBER(E232)),N(E232)&lt;0)),"Réglage invalide",IF(AND(F232&lt;&gt;"",OR(NOT(ISNUMBER(F232)),N(F232)&lt;0)),"Temps par pièce invalide",IF(N(E232)+N(F232)=0,"Temps manquant",IF(AND(G232&lt;&gt;"",OR(NOT(ISNUMBER(G232)),N(G232)&lt;=0)),"Opérateurs invalide","OK"))))))))))</f>
        <v/>
      </c>
      <c r="N232" s="71" t="str">
        <f>IF(AND(fiche_sel&lt;&gt;"",A232=fiche_sel),COUNTIF(A$6:A232,fiche_sel),"")</f>
        <v/>
      </c>
    </row>
    <row r="233">
      <c r="A233" s="60" t="n"/>
      <c r="B233" s="73" t="n"/>
      <c r="C233" s="60" t="n"/>
      <c r="D233" s="61" t="n"/>
      <c r="E233" s="74" t="n"/>
      <c r="F233" s="74" t="n"/>
      <c r="G233" s="73" t="n"/>
      <c r="H233" s="66" t="str">
        <f>IF(M233&lt;&gt;"OK","",INDEX(po_mo,MATCH(D233,po_code,0)))</f>
        <v/>
      </c>
      <c r="I233" s="66" t="str">
        <f>IF(M233&lt;&gt;"OK","",INDEX(po_mac,MATCH(D233,po_code,0)))</f>
        <v/>
      </c>
      <c r="J233" s="66" t="str">
        <f>IF(M233&lt;&gt;"OK","",N(E233)*(H233*IF(G233="",1,G233)+I233))</f>
        <v/>
      </c>
      <c r="K233" s="66" t="str">
        <f>IF(M233&lt;&gt;"OK","",N(F233)/60*H233*IF(G233="",1,G233))</f>
        <v/>
      </c>
      <c r="L233" s="66" t="str">
        <f>IF(M233&lt;&gt;"OK","",N(F233)/60*I233)</f>
        <v/>
      </c>
      <c r="M233" s="69" t="str">
        <f>IF(AND(A233="",D233=""),"",IF(A233="","Produit manquant",IF(COUNTIF(prod_ref,A233)=0,"Produit inconnu",IF(D233="","Poste manquant",IF(ISNA(MATCH(D233,po_code,0)),"Poste inconnu",IF(INDEX(po_check,MATCH(D233,po_code,0))&lt;&gt;"OK","Poste à corriger",IF(AND(E233&lt;&gt;"",OR(NOT(ISNUMBER(E233)),N(E233)&lt;0)),"Réglage invalide",IF(AND(F233&lt;&gt;"",OR(NOT(ISNUMBER(F233)),N(F233)&lt;0)),"Temps par pièce invalide",IF(N(E233)+N(F233)=0,"Temps manquant",IF(AND(G233&lt;&gt;"",OR(NOT(ISNUMBER(G233)),N(G233)&lt;=0)),"Opérateurs invalide","OK"))))))))))</f>
        <v/>
      </c>
      <c r="N233" s="71" t="str">
        <f>IF(AND(fiche_sel&lt;&gt;"",A233=fiche_sel),COUNTIF(A$6:A233,fiche_sel),"")</f>
        <v/>
      </c>
    </row>
    <row r="234">
      <c r="A234" s="60" t="n"/>
      <c r="B234" s="73" t="n"/>
      <c r="C234" s="60" t="n"/>
      <c r="D234" s="61" t="n"/>
      <c r="E234" s="74" t="n"/>
      <c r="F234" s="74" t="n"/>
      <c r="G234" s="73" t="n"/>
      <c r="H234" s="66" t="str">
        <f>IF(M234&lt;&gt;"OK","",INDEX(po_mo,MATCH(D234,po_code,0)))</f>
        <v/>
      </c>
      <c r="I234" s="66" t="str">
        <f>IF(M234&lt;&gt;"OK","",INDEX(po_mac,MATCH(D234,po_code,0)))</f>
        <v/>
      </c>
      <c r="J234" s="66" t="str">
        <f>IF(M234&lt;&gt;"OK","",N(E234)*(H234*IF(G234="",1,G234)+I234))</f>
        <v/>
      </c>
      <c r="K234" s="66" t="str">
        <f>IF(M234&lt;&gt;"OK","",N(F234)/60*H234*IF(G234="",1,G234))</f>
        <v/>
      </c>
      <c r="L234" s="66" t="str">
        <f>IF(M234&lt;&gt;"OK","",N(F234)/60*I234)</f>
        <v/>
      </c>
      <c r="M234" s="69" t="str">
        <f>IF(AND(A234="",D234=""),"",IF(A234="","Produit manquant",IF(COUNTIF(prod_ref,A234)=0,"Produit inconnu",IF(D234="","Poste manquant",IF(ISNA(MATCH(D234,po_code,0)),"Poste inconnu",IF(INDEX(po_check,MATCH(D234,po_code,0))&lt;&gt;"OK","Poste à corriger",IF(AND(E234&lt;&gt;"",OR(NOT(ISNUMBER(E234)),N(E234)&lt;0)),"Réglage invalide",IF(AND(F234&lt;&gt;"",OR(NOT(ISNUMBER(F234)),N(F234)&lt;0)),"Temps par pièce invalide",IF(N(E234)+N(F234)=0,"Temps manquant",IF(AND(G234&lt;&gt;"",OR(NOT(ISNUMBER(G234)),N(G234)&lt;=0)),"Opérateurs invalide","OK"))))))))))</f>
        <v/>
      </c>
      <c r="N234" s="71" t="str">
        <f>IF(AND(fiche_sel&lt;&gt;"",A234=fiche_sel),COUNTIF(A$6:A234,fiche_sel),"")</f>
        <v/>
      </c>
    </row>
    <row r="235">
      <c r="A235" s="60" t="n"/>
      <c r="B235" s="73" t="n"/>
      <c r="C235" s="60" t="n"/>
      <c r="D235" s="61" t="n"/>
      <c r="E235" s="74" t="n"/>
      <c r="F235" s="74" t="n"/>
      <c r="G235" s="73" t="n"/>
      <c r="H235" s="66" t="str">
        <f>IF(M235&lt;&gt;"OK","",INDEX(po_mo,MATCH(D235,po_code,0)))</f>
        <v/>
      </c>
      <c r="I235" s="66" t="str">
        <f>IF(M235&lt;&gt;"OK","",INDEX(po_mac,MATCH(D235,po_code,0)))</f>
        <v/>
      </c>
      <c r="J235" s="66" t="str">
        <f>IF(M235&lt;&gt;"OK","",N(E235)*(H235*IF(G235="",1,G235)+I235))</f>
        <v/>
      </c>
      <c r="K235" s="66" t="str">
        <f>IF(M235&lt;&gt;"OK","",N(F235)/60*H235*IF(G235="",1,G235))</f>
        <v/>
      </c>
      <c r="L235" s="66" t="str">
        <f>IF(M235&lt;&gt;"OK","",N(F235)/60*I235)</f>
        <v/>
      </c>
      <c r="M235" s="69" t="str">
        <f>IF(AND(A235="",D235=""),"",IF(A235="","Produit manquant",IF(COUNTIF(prod_ref,A235)=0,"Produit inconnu",IF(D235="","Poste manquant",IF(ISNA(MATCH(D235,po_code,0)),"Poste inconnu",IF(INDEX(po_check,MATCH(D235,po_code,0))&lt;&gt;"OK","Poste à corriger",IF(AND(E235&lt;&gt;"",OR(NOT(ISNUMBER(E235)),N(E235)&lt;0)),"Réglage invalide",IF(AND(F235&lt;&gt;"",OR(NOT(ISNUMBER(F235)),N(F235)&lt;0)),"Temps par pièce invalide",IF(N(E235)+N(F235)=0,"Temps manquant",IF(AND(G235&lt;&gt;"",OR(NOT(ISNUMBER(G235)),N(G235)&lt;=0)),"Opérateurs invalide","OK"))))))))))</f>
        <v/>
      </c>
      <c r="N235" s="71" t="str">
        <f>IF(AND(fiche_sel&lt;&gt;"",A235=fiche_sel),COUNTIF(A$6:A235,fiche_sel),"")</f>
        <v/>
      </c>
    </row>
    <row r="236">
      <c r="A236" s="60" t="n"/>
      <c r="B236" s="73" t="n"/>
      <c r="C236" s="60" t="n"/>
      <c r="D236" s="61" t="n"/>
      <c r="E236" s="74" t="n"/>
      <c r="F236" s="74" t="n"/>
      <c r="G236" s="73" t="n"/>
      <c r="H236" s="66" t="str">
        <f>IF(M236&lt;&gt;"OK","",INDEX(po_mo,MATCH(D236,po_code,0)))</f>
        <v/>
      </c>
      <c r="I236" s="66" t="str">
        <f>IF(M236&lt;&gt;"OK","",INDEX(po_mac,MATCH(D236,po_code,0)))</f>
        <v/>
      </c>
      <c r="J236" s="66" t="str">
        <f>IF(M236&lt;&gt;"OK","",N(E236)*(H236*IF(G236="",1,G236)+I236))</f>
        <v/>
      </c>
      <c r="K236" s="66" t="str">
        <f>IF(M236&lt;&gt;"OK","",N(F236)/60*H236*IF(G236="",1,G236))</f>
        <v/>
      </c>
      <c r="L236" s="66" t="str">
        <f>IF(M236&lt;&gt;"OK","",N(F236)/60*I236)</f>
        <v/>
      </c>
      <c r="M236" s="69" t="str">
        <f>IF(AND(A236="",D236=""),"",IF(A236="","Produit manquant",IF(COUNTIF(prod_ref,A236)=0,"Produit inconnu",IF(D236="","Poste manquant",IF(ISNA(MATCH(D236,po_code,0)),"Poste inconnu",IF(INDEX(po_check,MATCH(D236,po_code,0))&lt;&gt;"OK","Poste à corriger",IF(AND(E236&lt;&gt;"",OR(NOT(ISNUMBER(E236)),N(E236)&lt;0)),"Réglage invalide",IF(AND(F236&lt;&gt;"",OR(NOT(ISNUMBER(F236)),N(F236)&lt;0)),"Temps par pièce invalide",IF(N(E236)+N(F236)=0,"Temps manquant",IF(AND(G236&lt;&gt;"",OR(NOT(ISNUMBER(G236)),N(G236)&lt;=0)),"Opérateurs invalide","OK"))))))))))</f>
        <v/>
      </c>
      <c r="N236" s="71" t="str">
        <f>IF(AND(fiche_sel&lt;&gt;"",A236=fiche_sel),COUNTIF(A$6:A236,fiche_sel),"")</f>
        <v/>
      </c>
    </row>
    <row r="237">
      <c r="A237" s="60" t="n"/>
      <c r="B237" s="73" t="n"/>
      <c r="C237" s="60" t="n"/>
      <c r="D237" s="61" t="n"/>
      <c r="E237" s="74" t="n"/>
      <c r="F237" s="74" t="n"/>
      <c r="G237" s="73" t="n"/>
      <c r="H237" s="66" t="str">
        <f>IF(M237&lt;&gt;"OK","",INDEX(po_mo,MATCH(D237,po_code,0)))</f>
        <v/>
      </c>
      <c r="I237" s="66" t="str">
        <f>IF(M237&lt;&gt;"OK","",INDEX(po_mac,MATCH(D237,po_code,0)))</f>
        <v/>
      </c>
      <c r="J237" s="66" t="str">
        <f>IF(M237&lt;&gt;"OK","",N(E237)*(H237*IF(G237="",1,G237)+I237))</f>
        <v/>
      </c>
      <c r="K237" s="66" t="str">
        <f>IF(M237&lt;&gt;"OK","",N(F237)/60*H237*IF(G237="",1,G237))</f>
        <v/>
      </c>
      <c r="L237" s="66" t="str">
        <f>IF(M237&lt;&gt;"OK","",N(F237)/60*I237)</f>
        <v/>
      </c>
      <c r="M237" s="69" t="str">
        <f>IF(AND(A237="",D237=""),"",IF(A237="","Produit manquant",IF(COUNTIF(prod_ref,A237)=0,"Produit inconnu",IF(D237="","Poste manquant",IF(ISNA(MATCH(D237,po_code,0)),"Poste inconnu",IF(INDEX(po_check,MATCH(D237,po_code,0))&lt;&gt;"OK","Poste à corriger",IF(AND(E237&lt;&gt;"",OR(NOT(ISNUMBER(E237)),N(E237)&lt;0)),"Réglage invalide",IF(AND(F237&lt;&gt;"",OR(NOT(ISNUMBER(F237)),N(F237)&lt;0)),"Temps par pièce invalide",IF(N(E237)+N(F237)=0,"Temps manquant",IF(AND(G237&lt;&gt;"",OR(NOT(ISNUMBER(G237)),N(G237)&lt;=0)),"Opérateurs invalide","OK"))))))))))</f>
        <v/>
      </c>
      <c r="N237" s="71" t="str">
        <f>IF(AND(fiche_sel&lt;&gt;"",A237=fiche_sel),COUNTIF(A$6:A237,fiche_sel),"")</f>
        <v/>
      </c>
    </row>
    <row r="238">
      <c r="A238" s="60" t="n"/>
      <c r="B238" s="73" t="n"/>
      <c r="C238" s="60" t="n"/>
      <c r="D238" s="61" t="n"/>
      <c r="E238" s="74" t="n"/>
      <c r="F238" s="74" t="n"/>
      <c r="G238" s="73" t="n"/>
      <c r="H238" s="66" t="str">
        <f>IF(M238&lt;&gt;"OK","",INDEX(po_mo,MATCH(D238,po_code,0)))</f>
        <v/>
      </c>
      <c r="I238" s="66" t="str">
        <f>IF(M238&lt;&gt;"OK","",INDEX(po_mac,MATCH(D238,po_code,0)))</f>
        <v/>
      </c>
      <c r="J238" s="66" t="str">
        <f>IF(M238&lt;&gt;"OK","",N(E238)*(H238*IF(G238="",1,G238)+I238))</f>
        <v/>
      </c>
      <c r="K238" s="66" t="str">
        <f>IF(M238&lt;&gt;"OK","",N(F238)/60*H238*IF(G238="",1,G238))</f>
        <v/>
      </c>
      <c r="L238" s="66" t="str">
        <f>IF(M238&lt;&gt;"OK","",N(F238)/60*I238)</f>
        <v/>
      </c>
      <c r="M238" s="69" t="str">
        <f>IF(AND(A238="",D238=""),"",IF(A238="","Produit manquant",IF(COUNTIF(prod_ref,A238)=0,"Produit inconnu",IF(D238="","Poste manquant",IF(ISNA(MATCH(D238,po_code,0)),"Poste inconnu",IF(INDEX(po_check,MATCH(D238,po_code,0))&lt;&gt;"OK","Poste à corriger",IF(AND(E238&lt;&gt;"",OR(NOT(ISNUMBER(E238)),N(E238)&lt;0)),"Réglage invalide",IF(AND(F238&lt;&gt;"",OR(NOT(ISNUMBER(F238)),N(F238)&lt;0)),"Temps par pièce invalide",IF(N(E238)+N(F238)=0,"Temps manquant",IF(AND(G238&lt;&gt;"",OR(NOT(ISNUMBER(G238)),N(G238)&lt;=0)),"Opérateurs invalide","OK"))))))))))</f>
        <v/>
      </c>
      <c r="N238" s="71" t="str">
        <f>IF(AND(fiche_sel&lt;&gt;"",A238=fiche_sel),COUNTIF(A$6:A238,fiche_sel),"")</f>
        <v/>
      </c>
    </row>
    <row r="239">
      <c r="A239" s="60" t="n"/>
      <c r="B239" s="73" t="n"/>
      <c r="C239" s="60" t="n"/>
      <c r="D239" s="61" t="n"/>
      <c r="E239" s="74" t="n"/>
      <c r="F239" s="74" t="n"/>
      <c r="G239" s="73" t="n"/>
      <c r="H239" s="66" t="str">
        <f>IF(M239&lt;&gt;"OK","",INDEX(po_mo,MATCH(D239,po_code,0)))</f>
        <v/>
      </c>
      <c r="I239" s="66" t="str">
        <f>IF(M239&lt;&gt;"OK","",INDEX(po_mac,MATCH(D239,po_code,0)))</f>
        <v/>
      </c>
      <c r="J239" s="66" t="str">
        <f>IF(M239&lt;&gt;"OK","",N(E239)*(H239*IF(G239="",1,G239)+I239))</f>
        <v/>
      </c>
      <c r="K239" s="66" t="str">
        <f>IF(M239&lt;&gt;"OK","",N(F239)/60*H239*IF(G239="",1,G239))</f>
        <v/>
      </c>
      <c r="L239" s="66" t="str">
        <f>IF(M239&lt;&gt;"OK","",N(F239)/60*I239)</f>
        <v/>
      </c>
      <c r="M239" s="69" t="str">
        <f>IF(AND(A239="",D239=""),"",IF(A239="","Produit manquant",IF(COUNTIF(prod_ref,A239)=0,"Produit inconnu",IF(D239="","Poste manquant",IF(ISNA(MATCH(D239,po_code,0)),"Poste inconnu",IF(INDEX(po_check,MATCH(D239,po_code,0))&lt;&gt;"OK","Poste à corriger",IF(AND(E239&lt;&gt;"",OR(NOT(ISNUMBER(E239)),N(E239)&lt;0)),"Réglage invalide",IF(AND(F239&lt;&gt;"",OR(NOT(ISNUMBER(F239)),N(F239)&lt;0)),"Temps par pièce invalide",IF(N(E239)+N(F239)=0,"Temps manquant",IF(AND(G239&lt;&gt;"",OR(NOT(ISNUMBER(G239)),N(G239)&lt;=0)),"Opérateurs invalide","OK"))))))))))</f>
        <v/>
      </c>
      <c r="N239" s="71" t="str">
        <f>IF(AND(fiche_sel&lt;&gt;"",A239=fiche_sel),COUNTIF(A$6:A239,fiche_sel),"")</f>
        <v/>
      </c>
    </row>
    <row r="240">
      <c r="A240" s="60" t="n"/>
      <c r="B240" s="73" t="n"/>
      <c r="C240" s="60" t="n"/>
      <c r="D240" s="61" t="n"/>
      <c r="E240" s="74" t="n"/>
      <c r="F240" s="74" t="n"/>
      <c r="G240" s="73" t="n"/>
      <c r="H240" s="66" t="str">
        <f>IF(M240&lt;&gt;"OK","",INDEX(po_mo,MATCH(D240,po_code,0)))</f>
        <v/>
      </c>
      <c r="I240" s="66" t="str">
        <f>IF(M240&lt;&gt;"OK","",INDEX(po_mac,MATCH(D240,po_code,0)))</f>
        <v/>
      </c>
      <c r="J240" s="66" t="str">
        <f>IF(M240&lt;&gt;"OK","",N(E240)*(H240*IF(G240="",1,G240)+I240))</f>
        <v/>
      </c>
      <c r="K240" s="66" t="str">
        <f>IF(M240&lt;&gt;"OK","",N(F240)/60*H240*IF(G240="",1,G240))</f>
        <v/>
      </c>
      <c r="L240" s="66" t="str">
        <f>IF(M240&lt;&gt;"OK","",N(F240)/60*I240)</f>
        <v/>
      </c>
      <c r="M240" s="69" t="str">
        <f>IF(AND(A240="",D240=""),"",IF(A240="","Produit manquant",IF(COUNTIF(prod_ref,A240)=0,"Produit inconnu",IF(D240="","Poste manquant",IF(ISNA(MATCH(D240,po_code,0)),"Poste inconnu",IF(INDEX(po_check,MATCH(D240,po_code,0))&lt;&gt;"OK","Poste à corriger",IF(AND(E240&lt;&gt;"",OR(NOT(ISNUMBER(E240)),N(E240)&lt;0)),"Réglage invalide",IF(AND(F240&lt;&gt;"",OR(NOT(ISNUMBER(F240)),N(F240)&lt;0)),"Temps par pièce invalide",IF(N(E240)+N(F240)=0,"Temps manquant",IF(AND(G240&lt;&gt;"",OR(NOT(ISNUMBER(G240)),N(G240)&lt;=0)),"Opérateurs invalide","OK"))))))))))</f>
        <v/>
      </c>
      <c r="N240" s="71" t="str">
        <f>IF(AND(fiche_sel&lt;&gt;"",A240=fiche_sel),COUNTIF(A$6:A240,fiche_sel),"")</f>
        <v/>
      </c>
    </row>
    <row r="241">
      <c r="A241" s="60" t="n"/>
      <c r="B241" s="73" t="n"/>
      <c r="C241" s="60" t="n"/>
      <c r="D241" s="61" t="n"/>
      <c r="E241" s="74" t="n"/>
      <c r="F241" s="74" t="n"/>
      <c r="G241" s="73" t="n"/>
      <c r="H241" s="66" t="str">
        <f>IF(M241&lt;&gt;"OK","",INDEX(po_mo,MATCH(D241,po_code,0)))</f>
        <v/>
      </c>
      <c r="I241" s="66" t="str">
        <f>IF(M241&lt;&gt;"OK","",INDEX(po_mac,MATCH(D241,po_code,0)))</f>
        <v/>
      </c>
      <c r="J241" s="66" t="str">
        <f>IF(M241&lt;&gt;"OK","",N(E241)*(H241*IF(G241="",1,G241)+I241))</f>
        <v/>
      </c>
      <c r="K241" s="66" t="str">
        <f>IF(M241&lt;&gt;"OK","",N(F241)/60*H241*IF(G241="",1,G241))</f>
        <v/>
      </c>
      <c r="L241" s="66" t="str">
        <f>IF(M241&lt;&gt;"OK","",N(F241)/60*I241)</f>
        <v/>
      </c>
      <c r="M241" s="69" t="str">
        <f>IF(AND(A241="",D241=""),"",IF(A241="","Produit manquant",IF(COUNTIF(prod_ref,A241)=0,"Produit inconnu",IF(D241="","Poste manquant",IF(ISNA(MATCH(D241,po_code,0)),"Poste inconnu",IF(INDEX(po_check,MATCH(D241,po_code,0))&lt;&gt;"OK","Poste à corriger",IF(AND(E241&lt;&gt;"",OR(NOT(ISNUMBER(E241)),N(E241)&lt;0)),"Réglage invalide",IF(AND(F241&lt;&gt;"",OR(NOT(ISNUMBER(F241)),N(F241)&lt;0)),"Temps par pièce invalide",IF(N(E241)+N(F241)=0,"Temps manquant",IF(AND(G241&lt;&gt;"",OR(NOT(ISNUMBER(G241)),N(G241)&lt;=0)),"Opérateurs invalide","OK"))))))))))</f>
        <v/>
      </c>
      <c r="N241" s="71" t="str">
        <f>IF(AND(fiche_sel&lt;&gt;"",A241=fiche_sel),COUNTIF(A$6:A241,fiche_sel),"")</f>
        <v/>
      </c>
    </row>
    <row r="242">
      <c r="A242" s="60" t="n"/>
      <c r="B242" s="73" t="n"/>
      <c r="C242" s="60" t="n"/>
      <c r="D242" s="61" t="n"/>
      <c r="E242" s="74" t="n"/>
      <c r="F242" s="74" t="n"/>
      <c r="G242" s="73" t="n"/>
      <c r="H242" s="66" t="str">
        <f>IF(M242&lt;&gt;"OK","",INDEX(po_mo,MATCH(D242,po_code,0)))</f>
        <v/>
      </c>
      <c r="I242" s="66" t="str">
        <f>IF(M242&lt;&gt;"OK","",INDEX(po_mac,MATCH(D242,po_code,0)))</f>
        <v/>
      </c>
      <c r="J242" s="66" t="str">
        <f>IF(M242&lt;&gt;"OK","",N(E242)*(H242*IF(G242="",1,G242)+I242))</f>
        <v/>
      </c>
      <c r="K242" s="66" t="str">
        <f>IF(M242&lt;&gt;"OK","",N(F242)/60*H242*IF(G242="",1,G242))</f>
        <v/>
      </c>
      <c r="L242" s="66" t="str">
        <f>IF(M242&lt;&gt;"OK","",N(F242)/60*I242)</f>
        <v/>
      </c>
      <c r="M242" s="69" t="str">
        <f>IF(AND(A242="",D242=""),"",IF(A242="","Produit manquant",IF(COUNTIF(prod_ref,A242)=0,"Produit inconnu",IF(D242="","Poste manquant",IF(ISNA(MATCH(D242,po_code,0)),"Poste inconnu",IF(INDEX(po_check,MATCH(D242,po_code,0))&lt;&gt;"OK","Poste à corriger",IF(AND(E242&lt;&gt;"",OR(NOT(ISNUMBER(E242)),N(E242)&lt;0)),"Réglage invalide",IF(AND(F242&lt;&gt;"",OR(NOT(ISNUMBER(F242)),N(F242)&lt;0)),"Temps par pièce invalide",IF(N(E242)+N(F242)=0,"Temps manquant",IF(AND(G242&lt;&gt;"",OR(NOT(ISNUMBER(G242)),N(G242)&lt;=0)),"Opérateurs invalide","OK"))))))))))</f>
        <v/>
      </c>
      <c r="N242" s="71" t="str">
        <f>IF(AND(fiche_sel&lt;&gt;"",A242=fiche_sel),COUNTIF(A$6:A242,fiche_sel),"")</f>
        <v/>
      </c>
    </row>
    <row r="243">
      <c r="A243" s="60" t="n"/>
      <c r="B243" s="73" t="n"/>
      <c r="C243" s="60" t="n"/>
      <c r="D243" s="61" t="n"/>
      <c r="E243" s="74" t="n"/>
      <c r="F243" s="74" t="n"/>
      <c r="G243" s="73" t="n"/>
      <c r="H243" s="66" t="str">
        <f>IF(M243&lt;&gt;"OK","",INDEX(po_mo,MATCH(D243,po_code,0)))</f>
        <v/>
      </c>
      <c r="I243" s="66" t="str">
        <f>IF(M243&lt;&gt;"OK","",INDEX(po_mac,MATCH(D243,po_code,0)))</f>
        <v/>
      </c>
      <c r="J243" s="66" t="str">
        <f>IF(M243&lt;&gt;"OK","",N(E243)*(H243*IF(G243="",1,G243)+I243))</f>
        <v/>
      </c>
      <c r="K243" s="66" t="str">
        <f>IF(M243&lt;&gt;"OK","",N(F243)/60*H243*IF(G243="",1,G243))</f>
        <v/>
      </c>
      <c r="L243" s="66" t="str">
        <f>IF(M243&lt;&gt;"OK","",N(F243)/60*I243)</f>
        <v/>
      </c>
      <c r="M243" s="69" t="str">
        <f>IF(AND(A243="",D243=""),"",IF(A243="","Produit manquant",IF(COUNTIF(prod_ref,A243)=0,"Produit inconnu",IF(D243="","Poste manquant",IF(ISNA(MATCH(D243,po_code,0)),"Poste inconnu",IF(INDEX(po_check,MATCH(D243,po_code,0))&lt;&gt;"OK","Poste à corriger",IF(AND(E243&lt;&gt;"",OR(NOT(ISNUMBER(E243)),N(E243)&lt;0)),"Réglage invalide",IF(AND(F243&lt;&gt;"",OR(NOT(ISNUMBER(F243)),N(F243)&lt;0)),"Temps par pièce invalide",IF(N(E243)+N(F243)=0,"Temps manquant",IF(AND(G243&lt;&gt;"",OR(NOT(ISNUMBER(G243)),N(G243)&lt;=0)),"Opérateurs invalide","OK"))))))))))</f>
        <v/>
      </c>
      <c r="N243" s="71" t="str">
        <f>IF(AND(fiche_sel&lt;&gt;"",A243=fiche_sel),COUNTIF(A$6:A243,fiche_sel),"")</f>
        <v/>
      </c>
    </row>
    <row r="244">
      <c r="A244" s="60" t="n"/>
      <c r="B244" s="73" t="n"/>
      <c r="C244" s="60" t="n"/>
      <c r="D244" s="61" t="n"/>
      <c r="E244" s="74" t="n"/>
      <c r="F244" s="74" t="n"/>
      <c r="G244" s="73" t="n"/>
      <c r="H244" s="66" t="str">
        <f>IF(M244&lt;&gt;"OK","",INDEX(po_mo,MATCH(D244,po_code,0)))</f>
        <v/>
      </c>
      <c r="I244" s="66" t="str">
        <f>IF(M244&lt;&gt;"OK","",INDEX(po_mac,MATCH(D244,po_code,0)))</f>
        <v/>
      </c>
      <c r="J244" s="66" t="str">
        <f>IF(M244&lt;&gt;"OK","",N(E244)*(H244*IF(G244="",1,G244)+I244))</f>
        <v/>
      </c>
      <c r="K244" s="66" t="str">
        <f>IF(M244&lt;&gt;"OK","",N(F244)/60*H244*IF(G244="",1,G244))</f>
        <v/>
      </c>
      <c r="L244" s="66" t="str">
        <f>IF(M244&lt;&gt;"OK","",N(F244)/60*I244)</f>
        <v/>
      </c>
      <c r="M244" s="69" t="str">
        <f>IF(AND(A244="",D244=""),"",IF(A244="","Produit manquant",IF(COUNTIF(prod_ref,A244)=0,"Produit inconnu",IF(D244="","Poste manquant",IF(ISNA(MATCH(D244,po_code,0)),"Poste inconnu",IF(INDEX(po_check,MATCH(D244,po_code,0))&lt;&gt;"OK","Poste à corriger",IF(AND(E244&lt;&gt;"",OR(NOT(ISNUMBER(E244)),N(E244)&lt;0)),"Réglage invalide",IF(AND(F244&lt;&gt;"",OR(NOT(ISNUMBER(F244)),N(F244)&lt;0)),"Temps par pièce invalide",IF(N(E244)+N(F244)=0,"Temps manquant",IF(AND(G244&lt;&gt;"",OR(NOT(ISNUMBER(G244)),N(G244)&lt;=0)),"Opérateurs invalide","OK"))))))))))</f>
        <v/>
      </c>
      <c r="N244" s="71" t="str">
        <f>IF(AND(fiche_sel&lt;&gt;"",A244=fiche_sel),COUNTIF(A$6:A244,fiche_sel),"")</f>
        <v/>
      </c>
    </row>
    <row r="245">
      <c r="A245" s="60" t="n"/>
      <c r="B245" s="73" t="n"/>
      <c r="C245" s="60" t="n"/>
      <c r="D245" s="61" t="n"/>
      <c r="E245" s="74" t="n"/>
      <c r="F245" s="74" t="n"/>
      <c r="G245" s="73" t="n"/>
      <c r="H245" s="66" t="str">
        <f>IF(M245&lt;&gt;"OK","",INDEX(po_mo,MATCH(D245,po_code,0)))</f>
        <v/>
      </c>
      <c r="I245" s="66" t="str">
        <f>IF(M245&lt;&gt;"OK","",INDEX(po_mac,MATCH(D245,po_code,0)))</f>
        <v/>
      </c>
      <c r="J245" s="66" t="str">
        <f>IF(M245&lt;&gt;"OK","",N(E245)*(H245*IF(G245="",1,G245)+I245))</f>
        <v/>
      </c>
      <c r="K245" s="66" t="str">
        <f>IF(M245&lt;&gt;"OK","",N(F245)/60*H245*IF(G245="",1,G245))</f>
        <v/>
      </c>
      <c r="L245" s="66" t="str">
        <f>IF(M245&lt;&gt;"OK","",N(F245)/60*I245)</f>
        <v/>
      </c>
      <c r="M245" s="69" t="str">
        <f>IF(AND(A245="",D245=""),"",IF(A245="","Produit manquant",IF(COUNTIF(prod_ref,A245)=0,"Produit inconnu",IF(D245="","Poste manquant",IF(ISNA(MATCH(D245,po_code,0)),"Poste inconnu",IF(INDEX(po_check,MATCH(D245,po_code,0))&lt;&gt;"OK","Poste à corriger",IF(AND(E245&lt;&gt;"",OR(NOT(ISNUMBER(E245)),N(E245)&lt;0)),"Réglage invalide",IF(AND(F245&lt;&gt;"",OR(NOT(ISNUMBER(F245)),N(F245)&lt;0)),"Temps par pièce invalide",IF(N(E245)+N(F245)=0,"Temps manquant",IF(AND(G245&lt;&gt;"",OR(NOT(ISNUMBER(G245)),N(G245)&lt;=0)),"Opérateurs invalide","OK"))))))))))</f>
        <v/>
      </c>
      <c r="N245" s="71" t="str">
        <f>IF(AND(fiche_sel&lt;&gt;"",A245=fiche_sel),COUNTIF(A$6:A245,fiche_sel),"")</f>
        <v/>
      </c>
    </row>
    <row r="246">
      <c r="A246" s="60" t="n"/>
      <c r="B246" s="73" t="n"/>
      <c r="C246" s="60" t="n"/>
      <c r="D246" s="61" t="n"/>
      <c r="E246" s="74" t="n"/>
      <c r="F246" s="74" t="n"/>
      <c r="G246" s="73" t="n"/>
      <c r="H246" s="66" t="str">
        <f>IF(M246&lt;&gt;"OK","",INDEX(po_mo,MATCH(D246,po_code,0)))</f>
        <v/>
      </c>
      <c r="I246" s="66" t="str">
        <f>IF(M246&lt;&gt;"OK","",INDEX(po_mac,MATCH(D246,po_code,0)))</f>
        <v/>
      </c>
      <c r="J246" s="66" t="str">
        <f>IF(M246&lt;&gt;"OK","",N(E246)*(H246*IF(G246="",1,G246)+I246))</f>
        <v/>
      </c>
      <c r="K246" s="66" t="str">
        <f>IF(M246&lt;&gt;"OK","",N(F246)/60*H246*IF(G246="",1,G246))</f>
        <v/>
      </c>
      <c r="L246" s="66" t="str">
        <f>IF(M246&lt;&gt;"OK","",N(F246)/60*I246)</f>
        <v/>
      </c>
      <c r="M246" s="69" t="str">
        <f>IF(AND(A246="",D246=""),"",IF(A246="","Produit manquant",IF(COUNTIF(prod_ref,A246)=0,"Produit inconnu",IF(D246="","Poste manquant",IF(ISNA(MATCH(D246,po_code,0)),"Poste inconnu",IF(INDEX(po_check,MATCH(D246,po_code,0))&lt;&gt;"OK","Poste à corriger",IF(AND(E246&lt;&gt;"",OR(NOT(ISNUMBER(E246)),N(E246)&lt;0)),"Réglage invalide",IF(AND(F246&lt;&gt;"",OR(NOT(ISNUMBER(F246)),N(F246)&lt;0)),"Temps par pièce invalide",IF(N(E246)+N(F246)=0,"Temps manquant",IF(AND(G246&lt;&gt;"",OR(NOT(ISNUMBER(G246)),N(G246)&lt;=0)),"Opérateurs invalide","OK"))))))))))</f>
        <v/>
      </c>
      <c r="N246" s="71" t="str">
        <f>IF(AND(fiche_sel&lt;&gt;"",A246=fiche_sel),COUNTIF(A$6:A246,fiche_sel),"")</f>
        <v/>
      </c>
    </row>
    <row r="247">
      <c r="A247" s="60" t="n"/>
      <c r="B247" s="73" t="n"/>
      <c r="C247" s="60" t="n"/>
      <c r="D247" s="61" t="n"/>
      <c r="E247" s="74" t="n"/>
      <c r="F247" s="74" t="n"/>
      <c r="G247" s="73" t="n"/>
      <c r="H247" s="66" t="str">
        <f>IF(M247&lt;&gt;"OK","",INDEX(po_mo,MATCH(D247,po_code,0)))</f>
        <v/>
      </c>
      <c r="I247" s="66" t="str">
        <f>IF(M247&lt;&gt;"OK","",INDEX(po_mac,MATCH(D247,po_code,0)))</f>
        <v/>
      </c>
      <c r="J247" s="66" t="str">
        <f>IF(M247&lt;&gt;"OK","",N(E247)*(H247*IF(G247="",1,G247)+I247))</f>
        <v/>
      </c>
      <c r="K247" s="66" t="str">
        <f>IF(M247&lt;&gt;"OK","",N(F247)/60*H247*IF(G247="",1,G247))</f>
        <v/>
      </c>
      <c r="L247" s="66" t="str">
        <f>IF(M247&lt;&gt;"OK","",N(F247)/60*I247)</f>
        <v/>
      </c>
      <c r="M247" s="69" t="str">
        <f>IF(AND(A247="",D247=""),"",IF(A247="","Produit manquant",IF(COUNTIF(prod_ref,A247)=0,"Produit inconnu",IF(D247="","Poste manquant",IF(ISNA(MATCH(D247,po_code,0)),"Poste inconnu",IF(INDEX(po_check,MATCH(D247,po_code,0))&lt;&gt;"OK","Poste à corriger",IF(AND(E247&lt;&gt;"",OR(NOT(ISNUMBER(E247)),N(E247)&lt;0)),"Réglage invalide",IF(AND(F247&lt;&gt;"",OR(NOT(ISNUMBER(F247)),N(F247)&lt;0)),"Temps par pièce invalide",IF(N(E247)+N(F247)=0,"Temps manquant",IF(AND(G247&lt;&gt;"",OR(NOT(ISNUMBER(G247)),N(G247)&lt;=0)),"Opérateurs invalide","OK"))))))))))</f>
        <v/>
      </c>
      <c r="N247" s="71" t="str">
        <f>IF(AND(fiche_sel&lt;&gt;"",A247=fiche_sel),COUNTIF(A$6:A247,fiche_sel),"")</f>
        <v/>
      </c>
    </row>
    <row r="248">
      <c r="A248" s="60" t="n"/>
      <c r="B248" s="73" t="n"/>
      <c r="C248" s="60" t="n"/>
      <c r="D248" s="61" t="n"/>
      <c r="E248" s="74" t="n"/>
      <c r="F248" s="74" t="n"/>
      <c r="G248" s="73" t="n"/>
      <c r="H248" s="66" t="str">
        <f>IF(M248&lt;&gt;"OK","",INDEX(po_mo,MATCH(D248,po_code,0)))</f>
        <v/>
      </c>
      <c r="I248" s="66" t="str">
        <f>IF(M248&lt;&gt;"OK","",INDEX(po_mac,MATCH(D248,po_code,0)))</f>
        <v/>
      </c>
      <c r="J248" s="66" t="str">
        <f>IF(M248&lt;&gt;"OK","",N(E248)*(H248*IF(G248="",1,G248)+I248))</f>
        <v/>
      </c>
      <c r="K248" s="66" t="str">
        <f>IF(M248&lt;&gt;"OK","",N(F248)/60*H248*IF(G248="",1,G248))</f>
        <v/>
      </c>
      <c r="L248" s="66" t="str">
        <f>IF(M248&lt;&gt;"OK","",N(F248)/60*I248)</f>
        <v/>
      </c>
      <c r="M248" s="69" t="str">
        <f>IF(AND(A248="",D248=""),"",IF(A248="","Produit manquant",IF(COUNTIF(prod_ref,A248)=0,"Produit inconnu",IF(D248="","Poste manquant",IF(ISNA(MATCH(D248,po_code,0)),"Poste inconnu",IF(INDEX(po_check,MATCH(D248,po_code,0))&lt;&gt;"OK","Poste à corriger",IF(AND(E248&lt;&gt;"",OR(NOT(ISNUMBER(E248)),N(E248)&lt;0)),"Réglage invalide",IF(AND(F248&lt;&gt;"",OR(NOT(ISNUMBER(F248)),N(F248)&lt;0)),"Temps par pièce invalide",IF(N(E248)+N(F248)=0,"Temps manquant",IF(AND(G248&lt;&gt;"",OR(NOT(ISNUMBER(G248)),N(G248)&lt;=0)),"Opérateurs invalide","OK"))))))))))</f>
        <v/>
      </c>
      <c r="N248" s="71" t="str">
        <f>IF(AND(fiche_sel&lt;&gt;"",A248=fiche_sel),COUNTIF(A$6:A248,fiche_sel),"")</f>
        <v/>
      </c>
    </row>
    <row r="249">
      <c r="A249" s="60" t="n"/>
      <c r="B249" s="73" t="n"/>
      <c r="C249" s="60" t="n"/>
      <c r="D249" s="61" t="n"/>
      <c r="E249" s="74" t="n"/>
      <c r="F249" s="74" t="n"/>
      <c r="G249" s="73" t="n"/>
      <c r="H249" s="66" t="str">
        <f>IF(M249&lt;&gt;"OK","",INDEX(po_mo,MATCH(D249,po_code,0)))</f>
        <v/>
      </c>
      <c r="I249" s="66" t="str">
        <f>IF(M249&lt;&gt;"OK","",INDEX(po_mac,MATCH(D249,po_code,0)))</f>
        <v/>
      </c>
      <c r="J249" s="66" t="str">
        <f>IF(M249&lt;&gt;"OK","",N(E249)*(H249*IF(G249="",1,G249)+I249))</f>
        <v/>
      </c>
      <c r="K249" s="66" t="str">
        <f>IF(M249&lt;&gt;"OK","",N(F249)/60*H249*IF(G249="",1,G249))</f>
        <v/>
      </c>
      <c r="L249" s="66" t="str">
        <f>IF(M249&lt;&gt;"OK","",N(F249)/60*I249)</f>
        <v/>
      </c>
      <c r="M249" s="69" t="str">
        <f>IF(AND(A249="",D249=""),"",IF(A249="","Produit manquant",IF(COUNTIF(prod_ref,A249)=0,"Produit inconnu",IF(D249="","Poste manquant",IF(ISNA(MATCH(D249,po_code,0)),"Poste inconnu",IF(INDEX(po_check,MATCH(D249,po_code,0))&lt;&gt;"OK","Poste à corriger",IF(AND(E249&lt;&gt;"",OR(NOT(ISNUMBER(E249)),N(E249)&lt;0)),"Réglage invalide",IF(AND(F249&lt;&gt;"",OR(NOT(ISNUMBER(F249)),N(F249)&lt;0)),"Temps par pièce invalide",IF(N(E249)+N(F249)=0,"Temps manquant",IF(AND(G249&lt;&gt;"",OR(NOT(ISNUMBER(G249)),N(G249)&lt;=0)),"Opérateurs invalide","OK"))))))))))</f>
        <v/>
      </c>
      <c r="N249" s="71" t="str">
        <f>IF(AND(fiche_sel&lt;&gt;"",A249=fiche_sel),COUNTIF(A$6:A249,fiche_sel),"")</f>
        <v/>
      </c>
    </row>
    <row r="250">
      <c r="A250" s="60" t="n"/>
      <c r="B250" s="73" t="n"/>
      <c r="C250" s="60" t="n"/>
      <c r="D250" s="61" t="n"/>
      <c r="E250" s="74" t="n"/>
      <c r="F250" s="74" t="n"/>
      <c r="G250" s="73" t="n"/>
      <c r="H250" s="66" t="str">
        <f>IF(M250&lt;&gt;"OK","",INDEX(po_mo,MATCH(D250,po_code,0)))</f>
        <v/>
      </c>
      <c r="I250" s="66" t="str">
        <f>IF(M250&lt;&gt;"OK","",INDEX(po_mac,MATCH(D250,po_code,0)))</f>
        <v/>
      </c>
      <c r="J250" s="66" t="str">
        <f>IF(M250&lt;&gt;"OK","",N(E250)*(H250*IF(G250="",1,G250)+I250))</f>
        <v/>
      </c>
      <c r="K250" s="66" t="str">
        <f>IF(M250&lt;&gt;"OK","",N(F250)/60*H250*IF(G250="",1,G250))</f>
        <v/>
      </c>
      <c r="L250" s="66" t="str">
        <f>IF(M250&lt;&gt;"OK","",N(F250)/60*I250)</f>
        <v/>
      </c>
      <c r="M250" s="69" t="str">
        <f>IF(AND(A250="",D250=""),"",IF(A250="","Produit manquant",IF(COUNTIF(prod_ref,A250)=0,"Produit inconnu",IF(D250="","Poste manquant",IF(ISNA(MATCH(D250,po_code,0)),"Poste inconnu",IF(INDEX(po_check,MATCH(D250,po_code,0))&lt;&gt;"OK","Poste à corriger",IF(AND(E250&lt;&gt;"",OR(NOT(ISNUMBER(E250)),N(E250)&lt;0)),"Réglage invalide",IF(AND(F250&lt;&gt;"",OR(NOT(ISNUMBER(F250)),N(F250)&lt;0)),"Temps par pièce invalide",IF(N(E250)+N(F250)=0,"Temps manquant",IF(AND(G250&lt;&gt;"",OR(NOT(ISNUMBER(G250)),N(G250)&lt;=0)),"Opérateurs invalide","OK"))))))))))</f>
        <v/>
      </c>
      <c r="N250" s="71" t="str">
        <f>IF(AND(fiche_sel&lt;&gt;"",A250=fiche_sel),COUNTIF(A$6:A250,fiche_sel),"")</f>
        <v/>
      </c>
    </row>
    <row r="251">
      <c r="A251" s="60" t="n"/>
      <c r="B251" s="73" t="n"/>
      <c r="C251" s="60" t="n"/>
      <c r="D251" s="61" t="n"/>
      <c r="E251" s="74" t="n"/>
      <c r="F251" s="74" t="n"/>
      <c r="G251" s="73" t="n"/>
      <c r="H251" s="66" t="str">
        <f>IF(M251&lt;&gt;"OK","",INDEX(po_mo,MATCH(D251,po_code,0)))</f>
        <v/>
      </c>
      <c r="I251" s="66" t="str">
        <f>IF(M251&lt;&gt;"OK","",INDEX(po_mac,MATCH(D251,po_code,0)))</f>
        <v/>
      </c>
      <c r="J251" s="66" t="str">
        <f>IF(M251&lt;&gt;"OK","",N(E251)*(H251*IF(G251="",1,G251)+I251))</f>
        <v/>
      </c>
      <c r="K251" s="66" t="str">
        <f>IF(M251&lt;&gt;"OK","",N(F251)/60*H251*IF(G251="",1,G251))</f>
        <v/>
      </c>
      <c r="L251" s="66" t="str">
        <f>IF(M251&lt;&gt;"OK","",N(F251)/60*I251)</f>
        <v/>
      </c>
      <c r="M251" s="69" t="str">
        <f>IF(AND(A251="",D251=""),"",IF(A251="","Produit manquant",IF(COUNTIF(prod_ref,A251)=0,"Produit inconnu",IF(D251="","Poste manquant",IF(ISNA(MATCH(D251,po_code,0)),"Poste inconnu",IF(INDEX(po_check,MATCH(D251,po_code,0))&lt;&gt;"OK","Poste à corriger",IF(AND(E251&lt;&gt;"",OR(NOT(ISNUMBER(E251)),N(E251)&lt;0)),"Réglage invalide",IF(AND(F251&lt;&gt;"",OR(NOT(ISNUMBER(F251)),N(F251)&lt;0)),"Temps par pièce invalide",IF(N(E251)+N(F251)=0,"Temps manquant",IF(AND(G251&lt;&gt;"",OR(NOT(ISNUMBER(G251)),N(G251)&lt;=0)),"Opérateurs invalide","OK"))))))))))</f>
        <v/>
      </c>
      <c r="N251" s="71" t="str">
        <f>IF(AND(fiche_sel&lt;&gt;"",A251=fiche_sel),COUNTIF(A$6:A251,fiche_sel),"")</f>
        <v/>
      </c>
    </row>
    <row r="252">
      <c r="A252" s="60" t="n"/>
      <c r="B252" s="73" t="n"/>
      <c r="C252" s="60" t="n"/>
      <c r="D252" s="61" t="n"/>
      <c r="E252" s="74" t="n"/>
      <c r="F252" s="74" t="n"/>
      <c r="G252" s="73" t="n"/>
      <c r="H252" s="66" t="str">
        <f>IF(M252&lt;&gt;"OK","",INDEX(po_mo,MATCH(D252,po_code,0)))</f>
        <v/>
      </c>
      <c r="I252" s="66" t="str">
        <f>IF(M252&lt;&gt;"OK","",INDEX(po_mac,MATCH(D252,po_code,0)))</f>
        <v/>
      </c>
      <c r="J252" s="66" t="str">
        <f>IF(M252&lt;&gt;"OK","",N(E252)*(H252*IF(G252="",1,G252)+I252))</f>
        <v/>
      </c>
      <c r="K252" s="66" t="str">
        <f>IF(M252&lt;&gt;"OK","",N(F252)/60*H252*IF(G252="",1,G252))</f>
        <v/>
      </c>
      <c r="L252" s="66" t="str">
        <f>IF(M252&lt;&gt;"OK","",N(F252)/60*I252)</f>
        <v/>
      </c>
      <c r="M252" s="69" t="str">
        <f>IF(AND(A252="",D252=""),"",IF(A252="","Produit manquant",IF(COUNTIF(prod_ref,A252)=0,"Produit inconnu",IF(D252="","Poste manquant",IF(ISNA(MATCH(D252,po_code,0)),"Poste inconnu",IF(INDEX(po_check,MATCH(D252,po_code,0))&lt;&gt;"OK","Poste à corriger",IF(AND(E252&lt;&gt;"",OR(NOT(ISNUMBER(E252)),N(E252)&lt;0)),"Réglage invalide",IF(AND(F252&lt;&gt;"",OR(NOT(ISNUMBER(F252)),N(F252)&lt;0)),"Temps par pièce invalide",IF(N(E252)+N(F252)=0,"Temps manquant",IF(AND(G252&lt;&gt;"",OR(NOT(ISNUMBER(G252)),N(G252)&lt;=0)),"Opérateurs invalide","OK"))))))))))</f>
        <v/>
      </c>
      <c r="N252" s="71" t="str">
        <f>IF(AND(fiche_sel&lt;&gt;"",A252=fiche_sel),COUNTIF(A$6:A252,fiche_sel),"")</f>
        <v/>
      </c>
    </row>
    <row r="253">
      <c r="A253" s="60" t="n"/>
      <c r="B253" s="73" t="n"/>
      <c r="C253" s="60" t="n"/>
      <c r="D253" s="61" t="n"/>
      <c r="E253" s="74" t="n"/>
      <c r="F253" s="74" t="n"/>
      <c r="G253" s="73" t="n"/>
      <c r="H253" s="66" t="str">
        <f>IF(M253&lt;&gt;"OK","",INDEX(po_mo,MATCH(D253,po_code,0)))</f>
        <v/>
      </c>
      <c r="I253" s="66" t="str">
        <f>IF(M253&lt;&gt;"OK","",INDEX(po_mac,MATCH(D253,po_code,0)))</f>
        <v/>
      </c>
      <c r="J253" s="66" t="str">
        <f>IF(M253&lt;&gt;"OK","",N(E253)*(H253*IF(G253="",1,G253)+I253))</f>
        <v/>
      </c>
      <c r="K253" s="66" t="str">
        <f>IF(M253&lt;&gt;"OK","",N(F253)/60*H253*IF(G253="",1,G253))</f>
        <v/>
      </c>
      <c r="L253" s="66" t="str">
        <f>IF(M253&lt;&gt;"OK","",N(F253)/60*I253)</f>
        <v/>
      </c>
      <c r="M253" s="69" t="str">
        <f>IF(AND(A253="",D253=""),"",IF(A253="","Produit manquant",IF(COUNTIF(prod_ref,A253)=0,"Produit inconnu",IF(D253="","Poste manquant",IF(ISNA(MATCH(D253,po_code,0)),"Poste inconnu",IF(INDEX(po_check,MATCH(D253,po_code,0))&lt;&gt;"OK","Poste à corriger",IF(AND(E253&lt;&gt;"",OR(NOT(ISNUMBER(E253)),N(E253)&lt;0)),"Réglage invalide",IF(AND(F253&lt;&gt;"",OR(NOT(ISNUMBER(F253)),N(F253)&lt;0)),"Temps par pièce invalide",IF(N(E253)+N(F253)=0,"Temps manquant",IF(AND(G253&lt;&gt;"",OR(NOT(ISNUMBER(G253)),N(G253)&lt;=0)),"Opérateurs invalide","OK"))))))))))</f>
        <v/>
      </c>
      <c r="N253" s="71" t="str">
        <f>IF(AND(fiche_sel&lt;&gt;"",A253=fiche_sel),COUNTIF(A$6:A253,fiche_sel),"")</f>
        <v/>
      </c>
    </row>
    <row r="254">
      <c r="A254" s="60" t="n"/>
      <c r="B254" s="73" t="n"/>
      <c r="C254" s="60" t="n"/>
      <c r="D254" s="61" t="n"/>
      <c r="E254" s="74" t="n"/>
      <c r="F254" s="74" t="n"/>
      <c r="G254" s="73" t="n"/>
      <c r="H254" s="66" t="str">
        <f>IF(M254&lt;&gt;"OK","",INDEX(po_mo,MATCH(D254,po_code,0)))</f>
        <v/>
      </c>
      <c r="I254" s="66" t="str">
        <f>IF(M254&lt;&gt;"OK","",INDEX(po_mac,MATCH(D254,po_code,0)))</f>
        <v/>
      </c>
      <c r="J254" s="66" t="str">
        <f>IF(M254&lt;&gt;"OK","",N(E254)*(H254*IF(G254="",1,G254)+I254))</f>
        <v/>
      </c>
      <c r="K254" s="66" t="str">
        <f>IF(M254&lt;&gt;"OK","",N(F254)/60*H254*IF(G254="",1,G254))</f>
        <v/>
      </c>
      <c r="L254" s="66" t="str">
        <f>IF(M254&lt;&gt;"OK","",N(F254)/60*I254)</f>
        <v/>
      </c>
      <c r="M254" s="69" t="str">
        <f>IF(AND(A254="",D254=""),"",IF(A254="","Produit manquant",IF(COUNTIF(prod_ref,A254)=0,"Produit inconnu",IF(D254="","Poste manquant",IF(ISNA(MATCH(D254,po_code,0)),"Poste inconnu",IF(INDEX(po_check,MATCH(D254,po_code,0))&lt;&gt;"OK","Poste à corriger",IF(AND(E254&lt;&gt;"",OR(NOT(ISNUMBER(E254)),N(E254)&lt;0)),"Réglage invalide",IF(AND(F254&lt;&gt;"",OR(NOT(ISNUMBER(F254)),N(F254)&lt;0)),"Temps par pièce invalide",IF(N(E254)+N(F254)=0,"Temps manquant",IF(AND(G254&lt;&gt;"",OR(NOT(ISNUMBER(G254)),N(G254)&lt;=0)),"Opérateurs invalide","OK"))))))))))</f>
        <v/>
      </c>
      <c r="N254" s="71" t="str">
        <f>IF(AND(fiche_sel&lt;&gt;"",A254=fiche_sel),COUNTIF(A$6:A254,fiche_sel),"")</f>
        <v/>
      </c>
    </row>
    <row r="255">
      <c r="A255" s="60" t="n"/>
      <c r="B255" s="73" t="n"/>
      <c r="C255" s="60" t="n"/>
      <c r="D255" s="61" t="n"/>
      <c r="E255" s="74" t="n"/>
      <c r="F255" s="74" t="n"/>
      <c r="G255" s="73" t="n"/>
      <c r="H255" s="66" t="str">
        <f>IF(M255&lt;&gt;"OK","",INDEX(po_mo,MATCH(D255,po_code,0)))</f>
        <v/>
      </c>
      <c r="I255" s="66" t="str">
        <f>IF(M255&lt;&gt;"OK","",INDEX(po_mac,MATCH(D255,po_code,0)))</f>
        <v/>
      </c>
      <c r="J255" s="66" t="str">
        <f>IF(M255&lt;&gt;"OK","",N(E255)*(H255*IF(G255="",1,G255)+I255))</f>
        <v/>
      </c>
      <c r="K255" s="66" t="str">
        <f>IF(M255&lt;&gt;"OK","",N(F255)/60*H255*IF(G255="",1,G255))</f>
        <v/>
      </c>
      <c r="L255" s="66" t="str">
        <f>IF(M255&lt;&gt;"OK","",N(F255)/60*I255)</f>
        <v/>
      </c>
      <c r="M255" s="69" t="str">
        <f>IF(AND(A255="",D255=""),"",IF(A255="","Produit manquant",IF(COUNTIF(prod_ref,A255)=0,"Produit inconnu",IF(D255="","Poste manquant",IF(ISNA(MATCH(D255,po_code,0)),"Poste inconnu",IF(INDEX(po_check,MATCH(D255,po_code,0))&lt;&gt;"OK","Poste à corriger",IF(AND(E255&lt;&gt;"",OR(NOT(ISNUMBER(E255)),N(E255)&lt;0)),"Réglage invalide",IF(AND(F255&lt;&gt;"",OR(NOT(ISNUMBER(F255)),N(F255)&lt;0)),"Temps par pièce invalide",IF(N(E255)+N(F255)=0,"Temps manquant",IF(AND(G255&lt;&gt;"",OR(NOT(ISNUMBER(G255)),N(G255)&lt;=0)),"Opérateurs invalide","OK"))))))))))</f>
        <v/>
      </c>
      <c r="N255" s="71" t="str">
        <f>IF(AND(fiche_sel&lt;&gt;"",A255=fiche_sel),COUNTIF(A$6:A255,fiche_sel),"")</f>
        <v/>
      </c>
    </row>
    <row r="256">
      <c r="A256" s="60" t="n"/>
      <c r="B256" s="73" t="n"/>
      <c r="C256" s="60" t="n"/>
      <c r="D256" s="61" t="n"/>
      <c r="E256" s="74" t="n"/>
      <c r="F256" s="74" t="n"/>
      <c r="G256" s="73" t="n"/>
      <c r="H256" s="66" t="str">
        <f>IF(M256&lt;&gt;"OK","",INDEX(po_mo,MATCH(D256,po_code,0)))</f>
        <v/>
      </c>
      <c r="I256" s="66" t="str">
        <f>IF(M256&lt;&gt;"OK","",INDEX(po_mac,MATCH(D256,po_code,0)))</f>
        <v/>
      </c>
      <c r="J256" s="66" t="str">
        <f>IF(M256&lt;&gt;"OK","",N(E256)*(H256*IF(G256="",1,G256)+I256))</f>
        <v/>
      </c>
      <c r="K256" s="66" t="str">
        <f>IF(M256&lt;&gt;"OK","",N(F256)/60*H256*IF(G256="",1,G256))</f>
        <v/>
      </c>
      <c r="L256" s="66" t="str">
        <f>IF(M256&lt;&gt;"OK","",N(F256)/60*I256)</f>
        <v/>
      </c>
      <c r="M256" s="69" t="str">
        <f>IF(AND(A256="",D256=""),"",IF(A256="","Produit manquant",IF(COUNTIF(prod_ref,A256)=0,"Produit inconnu",IF(D256="","Poste manquant",IF(ISNA(MATCH(D256,po_code,0)),"Poste inconnu",IF(INDEX(po_check,MATCH(D256,po_code,0))&lt;&gt;"OK","Poste à corriger",IF(AND(E256&lt;&gt;"",OR(NOT(ISNUMBER(E256)),N(E256)&lt;0)),"Réglage invalide",IF(AND(F256&lt;&gt;"",OR(NOT(ISNUMBER(F256)),N(F256)&lt;0)),"Temps par pièce invalide",IF(N(E256)+N(F256)=0,"Temps manquant",IF(AND(G256&lt;&gt;"",OR(NOT(ISNUMBER(G256)),N(G256)&lt;=0)),"Opérateurs invalide","OK"))))))))))</f>
        <v/>
      </c>
      <c r="N256" s="71" t="str">
        <f>IF(AND(fiche_sel&lt;&gt;"",A256=fiche_sel),COUNTIF(A$6:A256,fiche_sel),"")</f>
        <v/>
      </c>
    </row>
    <row r="257">
      <c r="A257" s="60" t="n"/>
      <c r="B257" s="73" t="n"/>
      <c r="C257" s="60" t="n"/>
      <c r="D257" s="61" t="n"/>
      <c r="E257" s="74" t="n"/>
      <c r="F257" s="74" t="n"/>
      <c r="G257" s="73" t="n"/>
      <c r="H257" s="66" t="str">
        <f>IF(M257&lt;&gt;"OK","",INDEX(po_mo,MATCH(D257,po_code,0)))</f>
        <v/>
      </c>
      <c r="I257" s="66" t="str">
        <f>IF(M257&lt;&gt;"OK","",INDEX(po_mac,MATCH(D257,po_code,0)))</f>
        <v/>
      </c>
      <c r="J257" s="66" t="str">
        <f>IF(M257&lt;&gt;"OK","",N(E257)*(H257*IF(G257="",1,G257)+I257))</f>
        <v/>
      </c>
      <c r="K257" s="66" t="str">
        <f>IF(M257&lt;&gt;"OK","",N(F257)/60*H257*IF(G257="",1,G257))</f>
        <v/>
      </c>
      <c r="L257" s="66" t="str">
        <f>IF(M257&lt;&gt;"OK","",N(F257)/60*I257)</f>
        <v/>
      </c>
      <c r="M257" s="69" t="str">
        <f>IF(AND(A257="",D257=""),"",IF(A257="","Produit manquant",IF(COUNTIF(prod_ref,A257)=0,"Produit inconnu",IF(D257="","Poste manquant",IF(ISNA(MATCH(D257,po_code,0)),"Poste inconnu",IF(INDEX(po_check,MATCH(D257,po_code,0))&lt;&gt;"OK","Poste à corriger",IF(AND(E257&lt;&gt;"",OR(NOT(ISNUMBER(E257)),N(E257)&lt;0)),"Réglage invalide",IF(AND(F257&lt;&gt;"",OR(NOT(ISNUMBER(F257)),N(F257)&lt;0)),"Temps par pièce invalide",IF(N(E257)+N(F257)=0,"Temps manquant",IF(AND(G257&lt;&gt;"",OR(NOT(ISNUMBER(G257)),N(G257)&lt;=0)),"Opérateurs invalide","OK"))))))))))</f>
        <v/>
      </c>
      <c r="N257" s="71" t="str">
        <f>IF(AND(fiche_sel&lt;&gt;"",A257=fiche_sel),COUNTIF(A$6:A257,fiche_sel),"")</f>
        <v/>
      </c>
    </row>
    <row r="258">
      <c r="A258" s="60" t="n"/>
      <c r="B258" s="73" t="n"/>
      <c r="C258" s="60" t="n"/>
      <c r="D258" s="61" t="n"/>
      <c r="E258" s="74" t="n"/>
      <c r="F258" s="74" t="n"/>
      <c r="G258" s="73" t="n"/>
      <c r="H258" s="66" t="str">
        <f>IF(M258&lt;&gt;"OK","",INDEX(po_mo,MATCH(D258,po_code,0)))</f>
        <v/>
      </c>
      <c r="I258" s="66" t="str">
        <f>IF(M258&lt;&gt;"OK","",INDEX(po_mac,MATCH(D258,po_code,0)))</f>
        <v/>
      </c>
      <c r="J258" s="66" t="str">
        <f>IF(M258&lt;&gt;"OK","",N(E258)*(H258*IF(G258="",1,G258)+I258))</f>
        <v/>
      </c>
      <c r="K258" s="66" t="str">
        <f>IF(M258&lt;&gt;"OK","",N(F258)/60*H258*IF(G258="",1,G258))</f>
        <v/>
      </c>
      <c r="L258" s="66" t="str">
        <f>IF(M258&lt;&gt;"OK","",N(F258)/60*I258)</f>
        <v/>
      </c>
      <c r="M258" s="69" t="str">
        <f>IF(AND(A258="",D258=""),"",IF(A258="","Produit manquant",IF(COUNTIF(prod_ref,A258)=0,"Produit inconnu",IF(D258="","Poste manquant",IF(ISNA(MATCH(D258,po_code,0)),"Poste inconnu",IF(INDEX(po_check,MATCH(D258,po_code,0))&lt;&gt;"OK","Poste à corriger",IF(AND(E258&lt;&gt;"",OR(NOT(ISNUMBER(E258)),N(E258)&lt;0)),"Réglage invalide",IF(AND(F258&lt;&gt;"",OR(NOT(ISNUMBER(F258)),N(F258)&lt;0)),"Temps par pièce invalide",IF(N(E258)+N(F258)=0,"Temps manquant",IF(AND(G258&lt;&gt;"",OR(NOT(ISNUMBER(G258)),N(G258)&lt;=0)),"Opérateurs invalide","OK"))))))))))</f>
        <v/>
      </c>
      <c r="N258" s="71" t="str">
        <f>IF(AND(fiche_sel&lt;&gt;"",A258=fiche_sel),COUNTIF(A$6:A258,fiche_sel),"")</f>
        <v/>
      </c>
    </row>
    <row r="259">
      <c r="A259" s="60" t="n"/>
      <c r="B259" s="73" t="n"/>
      <c r="C259" s="60" t="n"/>
      <c r="D259" s="61" t="n"/>
      <c r="E259" s="74" t="n"/>
      <c r="F259" s="74" t="n"/>
      <c r="G259" s="73" t="n"/>
      <c r="H259" s="66" t="str">
        <f>IF(M259&lt;&gt;"OK","",INDEX(po_mo,MATCH(D259,po_code,0)))</f>
        <v/>
      </c>
      <c r="I259" s="66" t="str">
        <f>IF(M259&lt;&gt;"OK","",INDEX(po_mac,MATCH(D259,po_code,0)))</f>
        <v/>
      </c>
      <c r="J259" s="66" t="str">
        <f>IF(M259&lt;&gt;"OK","",N(E259)*(H259*IF(G259="",1,G259)+I259))</f>
        <v/>
      </c>
      <c r="K259" s="66" t="str">
        <f>IF(M259&lt;&gt;"OK","",N(F259)/60*H259*IF(G259="",1,G259))</f>
        <v/>
      </c>
      <c r="L259" s="66" t="str">
        <f>IF(M259&lt;&gt;"OK","",N(F259)/60*I259)</f>
        <v/>
      </c>
      <c r="M259" s="69" t="str">
        <f>IF(AND(A259="",D259=""),"",IF(A259="","Produit manquant",IF(COUNTIF(prod_ref,A259)=0,"Produit inconnu",IF(D259="","Poste manquant",IF(ISNA(MATCH(D259,po_code,0)),"Poste inconnu",IF(INDEX(po_check,MATCH(D259,po_code,0))&lt;&gt;"OK","Poste à corriger",IF(AND(E259&lt;&gt;"",OR(NOT(ISNUMBER(E259)),N(E259)&lt;0)),"Réglage invalide",IF(AND(F259&lt;&gt;"",OR(NOT(ISNUMBER(F259)),N(F259)&lt;0)),"Temps par pièce invalide",IF(N(E259)+N(F259)=0,"Temps manquant",IF(AND(G259&lt;&gt;"",OR(NOT(ISNUMBER(G259)),N(G259)&lt;=0)),"Opérateurs invalide","OK"))))))))))</f>
        <v/>
      </c>
      <c r="N259" s="71" t="str">
        <f>IF(AND(fiche_sel&lt;&gt;"",A259=fiche_sel),COUNTIF(A$6:A259,fiche_sel),"")</f>
        <v/>
      </c>
    </row>
    <row r="260">
      <c r="A260" s="60" t="n"/>
      <c r="B260" s="73" t="n"/>
      <c r="C260" s="60" t="n"/>
      <c r="D260" s="61" t="n"/>
      <c r="E260" s="74" t="n"/>
      <c r="F260" s="74" t="n"/>
      <c r="G260" s="73" t="n"/>
      <c r="H260" s="66" t="str">
        <f>IF(M260&lt;&gt;"OK","",INDEX(po_mo,MATCH(D260,po_code,0)))</f>
        <v/>
      </c>
      <c r="I260" s="66" t="str">
        <f>IF(M260&lt;&gt;"OK","",INDEX(po_mac,MATCH(D260,po_code,0)))</f>
        <v/>
      </c>
      <c r="J260" s="66" t="str">
        <f>IF(M260&lt;&gt;"OK","",N(E260)*(H260*IF(G260="",1,G260)+I260))</f>
        <v/>
      </c>
      <c r="K260" s="66" t="str">
        <f>IF(M260&lt;&gt;"OK","",N(F260)/60*H260*IF(G260="",1,G260))</f>
        <v/>
      </c>
      <c r="L260" s="66" t="str">
        <f>IF(M260&lt;&gt;"OK","",N(F260)/60*I260)</f>
        <v/>
      </c>
      <c r="M260" s="69" t="str">
        <f>IF(AND(A260="",D260=""),"",IF(A260="","Produit manquant",IF(COUNTIF(prod_ref,A260)=0,"Produit inconnu",IF(D260="","Poste manquant",IF(ISNA(MATCH(D260,po_code,0)),"Poste inconnu",IF(INDEX(po_check,MATCH(D260,po_code,0))&lt;&gt;"OK","Poste à corriger",IF(AND(E260&lt;&gt;"",OR(NOT(ISNUMBER(E260)),N(E260)&lt;0)),"Réglage invalide",IF(AND(F260&lt;&gt;"",OR(NOT(ISNUMBER(F260)),N(F260)&lt;0)),"Temps par pièce invalide",IF(N(E260)+N(F260)=0,"Temps manquant",IF(AND(G260&lt;&gt;"",OR(NOT(ISNUMBER(G260)),N(G260)&lt;=0)),"Opérateurs invalide","OK"))))))))))</f>
        <v/>
      </c>
      <c r="N260" s="71" t="str">
        <f>IF(AND(fiche_sel&lt;&gt;"",A260=fiche_sel),COUNTIF(A$6:A260,fiche_sel),"")</f>
        <v/>
      </c>
    </row>
    <row r="261">
      <c r="A261" s="60" t="n"/>
      <c r="B261" s="73" t="n"/>
      <c r="C261" s="60" t="n"/>
      <c r="D261" s="61" t="n"/>
      <c r="E261" s="74" t="n"/>
      <c r="F261" s="74" t="n"/>
      <c r="G261" s="73" t="n"/>
      <c r="H261" s="66" t="str">
        <f>IF(M261&lt;&gt;"OK","",INDEX(po_mo,MATCH(D261,po_code,0)))</f>
        <v/>
      </c>
      <c r="I261" s="66" t="str">
        <f>IF(M261&lt;&gt;"OK","",INDEX(po_mac,MATCH(D261,po_code,0)))</f>
        <v/>
      </c>
      <c r="J261" s="66" t="str">
        <f>IF(M261&lt;&gt;"OK","",N(E261)*(H261*IF(G261="",1,G261)+I261))</f>
        <v/>
      </c>
      <c r="K261" s="66" t="str">
        <f>IF(M261&lt;&gt;"OK","",N(F261)/60*H261*IF(G261="",1,G261))</f>
        <v/>
      </c>
      <c r="L261" s="66" t="str">
        <f>IF(M261&lt;&gt;"OK","",N(F261)/60*I261)</f>
        <v/>
      </c>
      <c r="M261" s="69" t="str">
        <f>IF(AND(A261="",D261=""),"",IF(A261="","Produit manquant",IF(COUNTIF(prod_ref,A261)=0,"Produit inconnu",IF(D261="","Poste manquant",IF(ISNA(MATCH(D261,po_code,0)),"Poste inconnu",IF(INDEX(po_check,MATCH(D261,po_code,0))&lt;&gt;"OK","Poste à corriger",IF(AND(E261&lt;&gt;"",OR(NOT(ISNUMBER(E261)),N(E261)&lt;0)),"Réglage invalide",IF(AND(F261&lt;&gt;"",OR(NOT(ISNUMBER(F261)),N(F261)&lt;0)),"Temps par pièce invalide",IF(N(E261)+N(F261)=0,"Temps manquant",IF(AND(G261&lt;&gt;"",OR(NOT(ISNUMBER(G261)),N(G261)&lt;=0)),"Opérateurs invalide","OK"))))))))))</f>
        <v/>
      </c>
      <c r="N261" s="71" t="str">
        <f>IF(AND(fiche_sel&lt;&gt;"",A261=fiche_sel),COUNTIF(A$6:A261,fiche_sel),"")</f>
        <v/>
      </c>
    </row>
    <row r="262">
      <c r="A262" s="60" t="n"/>
      <c r="B262" s="73" t="n"/>
      <c r="C262" s="60" t="n"/>
      <c r="D262" s="61" t="n"/>
      <c r="E262" s="74" t="n"/>
      <c r="F262" s="74" t="n"/>
      <c r="G262" s="73" t="n"/>
      <c r="H262" s="66" t="str">
        <f>IF(M262&lt;&gt;"OK","",INDEX(po_mo,MATCH(D262,po_code,0)))</f>
        <v/>
      </c>
      <c r="I262" s="66" t="str">
        <f>IF(M262&lt;&gt;"OK","",INDEX(po_mac,MATCH(D262,po_code,0)))</f>
        <v/>
      </c>
      <c r="J262" s="66" t="str">
        <f>IF(M262&lt;&gt;"OK","",N(E262)*(H262*IF(G262="",1,G262)+I262))</f>
        <v/>
      </c>
      <c r="K262" s="66" t="str">
        <f>IF(M262&lt;&gt;"OK","",N(F262)/60*H262*IF(G262="",1,G262))</f>
        <v/>
      </c>
      <c r="L262" s="66" t="str">
        <f>IF(M262&lt;&gt;"OK","",N(F262)/60*I262)</f>
        <v/>
      </c>
      <c r="M262" s="69" t="str">
        <f>IF(AND(A262="",D262=""),"",IF(A262="","Produit manquant",IF(COUNTIF(prod_ref,A262)=0,"Produit inconnu",IF(D262="","Poste manquant",IF(ISNA(MATCH(D262,po_code,0)),"Poste inconnu",IF(INDEX(po_check,MATCH(D262,po_code,0))&lt;&gt;"OK","Poste à corriger",IF(AND(E262&lt;&gt;"",OR(NOT(ISNUMBER(E262)),N(E262)&lt;0)),"Réglage invalide",IF(AND(F262&lt;&gt;"",OR(NOT(ISNUMBER(F262)),N(F262)&lt;0)),"Temps par pièce invalide",IF(N(E262)+N(F262)=0,"Temps manquant",IF(AND(G262&lt;&gt;"",OR(NOT(ISNUMBER(G262)),N(G262)&lt;=0)),"Opérateurs invalide","OK"))))))))))</f>
        <v/>
      </c>
      <c r="N262" s="71" t="str">
        <f>IF(AND(fiche_sel&lt;&gt;"",A262=fiche_sel),COUNTIF(A$6:A262,fiche_sel),"")</f>
        <v/>
      </c>
    </row>
    <row r="263">
      <c r="A263" s="60" t="n"/>
      <c r="B263" s="73" t="n"/>
      <c r="C263" s="60" t="n"/>
      <c r="D263" s="61" t="n"/>
      <c r="E263" s="74" t="n"/>
      <c r="F263" s="74" t="n"/>
      <c r="G263" s="73" t="n"/>
      <c r="H263" s="66" t="str">
        <f>IF(M263&lt;&gt;"OK","",INDEX(po_mo,MATCH(D263,po_code,0)))</f>
        <v/>
      </c>
      <c r="I263" s="66" t="str">
        <f>IF(M263&lt;&gt;"OK","",INDEX(po_mac,MATCH(D263,po_code,0)))</f>
        <v/>
      </c>
      <c r="J263" s="66" t="str">
        <f>IF(M263&lt;&gt;"OK","",N(E263)*(H263*IF(G263="",1,G263)+I263))</f>
        <v/>
      </c>
      <c r="K263" s="66" t="str">
        <f>IF(M263&lt;&gt;"OK","",N(F263)/60*H263*IF(G263="",1,G263))</f>
        <v/>
      </c>
      <c r="L263" s="66" t="str">
        <f>IF(M263&lt;&gt;"OK","",N(F263)/60*I263)</f>
        <v/>
      </c>
      <c r="M263" s="69" t="str">
        <f>IF(AND(A263="",D263=""),"",IF(A263="","Produit manquant",IF(COUNTIF(prod_ref,A263)=0,"Produit inconnu",IF(D263="","Poste manquant",IF(ISNA(MATCH(D263,po_code,0)),"Poste inconnu",IF(INDEX(po_check,MATCH(D263,po_code,0))&lt;&gt;"OK","Poste à corriger",IF(AND(E263&lt;&gt;"",OR(NOT(ISNUMBER(E263)),N(E263)&lt;0)),"Réglage invalide",IF(AND(F263&lt;&gt;"",OR(NOT(ISNUMBER(F263)),N(F263)&lt;0)),"Temps par pièce invalide",IF(N(E263)+N(F263)=0,"Temps manquant",IF(AND(G263&lt;&gt;"",OR(NOT(ISNUMBER(G263)),N(G263)&lt;=0)),"Opérateurs invalide","OK"))))))))))</f>
        <v/>
      </c>
      <c r="N263" s="71" t="str">
        <f>IF(AND(fiche_sel&lt;&gt;"",A263=fiche_sel),COUNTIF(A$6:A263,fiche_sel),"")</f>
        <v/>
      </c>
    </row>
    <row r="264">
      <c r="A264" s="60" t="n"/>
      <c r="B264" s="73" t="n"/>
      <c r="C264" s="60" t="n"/>
      <c r="D264" s="61" t="n"/>
      <c r="E264" s="74" t="n"/>
      <c r="F264" s="74" t="n"/>
      <c r="G264" s="73" t="n"/>
      <c r="H264" s="66" t="str">
        <f>IF(M264&lt;&gt;"OK","",INDEX(po_mo,MATCH(D264,po_code,0)))</f>
        <v/>
      </c>
      <c r="I264" s="66" t="str">
        <f>IF(M264&lt;&gt;"OK","",INDEX(po_mac,MATCH(D264,po_code,0)))</f>
        <v/>
      </c>
      <c r="J264" s="66" t="str">
        <f>IF(M264&lt;&gt;"OK","",N(E264)*(H264*IF(G264="",1,G264)+I264))</f>
        <v/>
      </c>
      <c r="K264" s="66" t="str">
        <f>IF(M264&lt;&gt;"OK","",N(F264)/60*H264*IF(G264="",1,G264))</f>
        <v/>
      </c>
      <c r="L264" s="66" t="str">
        <f>IF(M264&lt;&gt;"OK","",N(F264)/60*I264)</f>
        <v/>
      </c>
      <c r="M264" s="69" t="str">
        <f>IF(AND(A264="",D264=""),"",IF(A264="","Produit manquant",IF(COUNTIF(prod_ref,A264)=0,"Produit inconnu",IF(D264="","Poste manquant",IF(ISNA(MATCH(D264,po_code,0)),"Poste inconnu",IF(INDEX(po_check,MATCH(D264,po_code,0))&lt;&gt;"OK","Poste à corriger",IF(AND(E264&lt;&gt;"",OR(NOT(ISNUMBER(E264)),N(E264)&lt;0)),"Réglage invalide",IF(AND(F264&lt;&gt;"",OR(NOT(ISNUMBER(F264)),N(F264)&lt;0)),"Temps par pièce invalide",IF(N(E264)+N(F264)=0,"Temps manquant",IF(AND(G264&lt;&gt;"",OR(NOT(ISNUMBER(G264)),N(G264)&lt;=0)),"Opérateurs invalide","OK"))))))))))</f>
        <v/>
      </c>
      <c r="N264" s="71" t="str">
        <f>IF(AND(fiche_sel&lt;&gt;"",A264=fiche_sel),COUNTIF(A$6:A264,fiche_sel),"")</f>
        <v/>
      </c>
    </row>
    <row r="265">
      <c r="A265" s="60" t="n"/>
      <c r="B265" s="73" t="n"/>
      <c r="C265" s="60" t="n"/>
      <c r="D265" s="61" t="n"/>
      <c r="E265" s="74" t="n"/>
      <c r="F265" s="74" t="n"/>
      <c r="G265" s="73" t="n"/>
      <c r="H265" s="66" t="str">
        <f>IF(M265&lt;&gt;"OK","",INDEX(po_mo,MATCH(D265,po_code,0)))</f>
        <v/>
      </c>
      <c r="I265" s="66" t="str">
        <f>IF(M265&lt;&gt;"OK","",INDEX(po_mac,MATCH(D265,po_code,0)))</f>
        <v/>
      </c>
      <c r="J265" s="66" t="str">
        <f>IF(M265&lt;&gt;"OK","",N(E265)*(H265*IF(G265="",1,G265)+I265))</f>
        <v/>
      </c>
      <c r="K265" s="66" t="str">
        <f>IF(M265&lt;&gt;"OK","",N(F265)/60*H265*IF(G265="",1,G265))</f>
        <v/>
      </c>
      <c r="L265" s="66" t="str">
        <f>IF(M265&lt;&gt;"OK","",N(F265)/60*I265)</f>
        <v/>
      </c>
      <c r="M265" s="69" t="str">
        <f>IF(AND(A265="",D265=""),"",IF(A265="","Produit manquant",IF(COUNTIF(prod_ref,A265)=0,"Produit inconnu",IF(D265="","Poste manquant",IF(ISNA(MATCH(D265,po_code,0)),"Poste inconnu",IF(INDEX(po_check,MATCH(D265,po_code,0))&lt;&gt;"OK","Poste à corriger",IF(AND(E265&lt;&gt;"",OR(NOT(ISNUMBER(E265)),N(E265)&lt;0)),"Réglage invalide",IF(AND(F265&lt;&gt;"",OR(NOT(ISNUMBER(F265)),N(F265)&lt;0)),"Temps par pièce invalide",IF(N(E265)+N(F265)=0,"Temps manquant",IF(AND(G265&lt;&gt;"",OR(NOT(ISNUMBER(G265)),N(G265)&lt;=0)),"Opérateurs invalide","OK"))))))))))</f>
        <v/>
      </c>
      <c r="N265" s="71" t="str">
        <f>IF(AND(fiche_sel&lt;&gt;"",A265=fiche_sel),COUNTIF(A$6:A265,fiche_sel),"")</f>
        <v/>
      </c>
    </row>
    <row r="266">
      <c r="A266" s="60" t="n"/>
      <c r="B266" s="73" t="n"/>
      <c r="C266" s="60" t="n"/>
      <c r="D266" s="61" t="n"/>
      <c r="E266" s="74" t="n"/>
      <c r="F266" s="74" t="n"/>
      <c r="G266" s="73" t="n"/>
      <c r="H266" s="66" t="str">
        <f>IF(M266&lt;&gt;"OK","",INDEX(po_mo,MATCH(D266,po_code,0)))</f>
        <v/>
      </c>
      <c r="I266" s="66" t="str">
        <f>IF(M266&lt;&gt;"OK","",INDEX(po_mac,MATCH(D266,po_code,0)))</f>
        <v/>
      </c>
      <c r="J266" s="66" t="str">
        <f>IF(M266&lt;&gt;"OK","",N(E266)*(H266*IF(G266="",1,G266)+I266))</f>
        <v/>
      </c>
      <c r="K266" s="66" t="str">
        <f>IF(M266&lt;&gt;"OK","",N(F266)/60*H266*IF(G266="",1,G266))</f>
        <v/>
      </c>
      <c r="L266" s="66" t="str">
        <f>IF(M266&lt;&gt;"OK","",N(F266)/60*I266)</f>
        <v/>
      </c>
      <c r="M266" s="69" t="str">
        <f>IF(AND(A266="",D266=""),"",IF(A266="","Produit manquant",IF(COUNTIF(prod_ref,A266)=0,"Produit inconnu",IF(D266="","Poste manquant",IF(ISNA(MATCH(D266,po_code,0)),"Poste inconnu",IF(INDEX(po_check,MATCH(D266,po_code,0))&lt;&gt;"OK","Poste à corriger",IF(AND(E266&lt;&gt;"",OR(NOT(ISNUMBER(E266)),N(E266)&lt;0)),"Réglage invalide",IF(AND(F266&lt;&gt;"",OR(NOT(ISNUMBER(F266)),N(F266)&lt;0)),"Temps par pièce invalide",IF(N(E266)+N(F266)=0,"Temps manquant",IF(AND(G266&lt;&gt;"",OR(NOT(ISNUMBER(G266)),N(G266)&lt;=0)),"Opérateurs invalide","OK"))))))))))</f>
        <v/>
      </c>
      <c r="N266" s="71" t="str">
        <f>IF(AND(fiche_sel&lt;&gt;"",A266=fiche_sel),COUNTIF(A$6:A266,fiche_sel),"")</f>
        <v/>
      </c>
    </row>
    <row r="267">
      <c r="A267" s="60" t="n"/>
      <c r="B267" s="73" t="n"/>
      <c r="C267" s="60" t="n"/>
      <c r="D267" s="61" t="n"/>
      <c r="E267" s="74" t="n"/>
      <c r="F267" s="74" t="n"/>
      <c r="G267" s="73" t="n"/>
      <c r="H267" s="66" t="str">
        <f>IF(M267&lt;&gt;"OK","",INDEX(po_mo,MATCH(D267,po_code,0)))</f>
        <v/>
      </c>
      <c r="I267" s="66" t="str">
        <f>IF(M267&lt;&gt;"OK","",INDEX(po_mac,MATCH(D267,po_code,0)))</f>
        <v/>
      </c>
      <c r="J267" s="66" t="str">
        <f>IF(M267&lt;&gt;"OK","",N(E267)*(H267*IF(G267="",1,G267)+I267))</f>
        <v/>
      </c>
      <c r="K267" s="66" t="str">
        <f>IF(M267&lt;&gt;"OK","",N(F267)/60*H267*IF(G267="",1,G267))</f>
        <v/>
      </c>
      <c r="L267" s="66" t="str">
        <f>IF(M267&lt;&gt;"OK","",N(F267)/60*I267)</f>
        <v/>
      </c>
      <c r="M267" s="69" t="str">
        <f>IF(AND(A267="",D267=""),"",IF(A267="","Produit manquant",IF(COUNTIF(prod_ref,A267)=0,"Produit inconnu",IF(D267="","Poste manquant",IF(ISNA(MATCH(D267,po_code,0)),"Poste inconnu",IF(INDEX(po_check,MATCH(D267,po_code,0))&lt;&gt;"OK","Poste à corriger",IF(AND(E267&lt;&gt;"",OR(NOT(ISNUMBER(E267)),N(E267)&lt;0)),"Réglage invalide",IF(AND(F267&lt;&gt;"",OR(NOT(ISNUMBER(F267)),N(F267)&lt;0)),"Temps par pièce invalide",IF(N(E267)+N(F267)=0,"Temps manquant",IF(AND(G267&lt;&gt;"",OR(NOT(ISNUMBER(G267)),N(G267)&lt;=0)),"Opérateurs invalide","OK"))))))))))</f>
        <v/>
      </c>
      <c r="N267" s="71" t="str">
        <f>IF(AND(fiche_sel&lt;&gt;"",A267=fiche_sel),COUNTIF(A$6:A267,fiche_sel),"")</f>
        <v/>
      </c>
    </row>
    <row r="268">
      <c r="A268" s="60" t="n"/>
      <c r="B268" s="73" t="n"/>
      <c r="C268" s="60" t="n"/>
      <c r="D268" s="61" t="n"/>
      <c r="E268" s="74" t="n"/>
      <c r="F268" s="74" t="n"/>
      <c r="G268" s="73" t="n"/>
      <c r="H268" s="66" t="str">
        <f>IF(M268&lt;&gt;"OK","",INDEX(po_mo,MATCH(D268,po_code,0)))</f>
        <v/>
      </c>
      <c r="I268" s="66" t="str">
        <f>IF(M268&lt;&gt;"OK","",INDEX(po_mac,MATCH(D268,po_code,0)))</f>
        <v/>
      </c>
      <c r="J268" s="66" t="str">
        <f>IF(M268&lt;&gt;"OK","",N(E268)*(H268*IF(G268="",1,G268)+I268))</f>
        <v/>
      </c>
      <c r="K268" s="66" t="str">
        <f>IF(M268&lt;&gt;"OK","",N(F268)/60*H268*IF(G268="",1,G268))</f>
        <v/>
      </c>
      <c r="L268" s="66" t="str">
        <f>IF(M268&lt;&gt;"OK","",N(F268)/60*I268)</f>
        <v/>
      </c>
      <c r="M268" s="69" t="str">
        <f>IF(AND(A268="",D268=""),"",IF(A268="","Produit manquant",IF(COUNTIF(prod_ref,A268)=0,"Produit inconnu",IF(D268="","Poste manquant",IF(ISNA(MATCH(D268,po_code,0)),"Poste inconnu",IF(INDEX(po_check,MATCH(D268,po_code,0))&lt;&gt;"OK","Poste à corriger",IF(AND(E268&lt;&gt;"",OR(NOT(ISNUMBER(E268)),N(E268)&lt;0)),"Réglage invalide",IF(AND(F268&lt;&gt;"",OR(NOT(ISNUMBER(F268)),N(F268)&lt;0)),"Temps par pièce invalide",IF(N(E268)+N(F268)=0,"Temps manquant",IF(AND(G268&lt;&gt;"",OR(NOT(ISNUMBER(G268)),N(G268)&lt;=0)),"Opérateurs invalide","OK"))))))))))</f>
        <v/>
      </c>
      <c r="N268" s="71" t="str">
        <f>IF(AND(fiche_sel&lt;&gt;"",A268=fiche_sel),COUNTIF(A$6:A268,fiche_sel),"")</f>
        <v/>
      </c>
    </row>
    <row r="269">
      <c r="A269" s="60" t="n"/>
      <c r="B269" s="73" t="n"/>
      <c r="C269" s="60" t="n"/>
      <c r="D269" s="61" t="n"/>
      <c r="E269" s="74" t="n"/>
      <c r="F269" s="74" t="n"/>
      <c r="G269" s="73" t="n"/>
      <c r="H269" s="66" t="str">
        <f>IF(M269&lt;&gt;"OK","",INDEX(po_mo,MATCH(D269,po_code,0)))</f>
        <v/>
      </c>
      <c r="I269" s="66" t="str">
        <f>IF(M269&lt;&gt;"OK","",INDEX(po_mac,MATCH(D269,po_code,0)))</f>
        <v/>
      </c>
      <c r="J269" s="66" t="str">
        <f>IF(M269&lt;&gt;"OK","",N(E269)*(H269*IF(G269="",1,G269)+I269))</f>
        <v/>
      </c>
      <c r="K269" s="66" t="str">
        <f>IF(M269&lt;&gt;"OK","",N(F269)/60*H269*IF(G269="",1,G269))</f>
        <v/>
      </c>
      <c r="L269" s="66" t="str">
        <f>IF(M269&lt;&gt;"OK","",N(F269)/60*I269)</f>
        <v/>
      </c>
      <c r="M269" s="69" t="str">
        <f>IF(AND(A269="",D269=""),"",IF(A269="","Produit manquant",IF(COUNTIF(prod_ref,A269)=0,"Produit inconnu",IF(D269="","Poste manquant",IF(ISNA(MATCH(D269,po_code,0)),"Poste inconnu",IF(INDEX(po_check,MATCH(D269,po_code,0))&lt;&gt;"OK","Poste à corriger",IF(AND(E269&lt;&gt;"",OR(NOT(ISNUMBER(E269)),N(E269)&lt;0)),"Réglage invalide",IF(AND(F269&lt;&gt;"",OR(NOT(ISNUMBER(F269)),N(F269)&lt;0)),"Temps par pièce invalide",IF(N(E269)+N(F269)=0,"Temps manquant",IF(AND(G269&lt;&gt;"",OR(NOT(ISNUMBER(G269)),N(G269)&lt;=0)),"Opérateurs invalide","OK"))))))))))</f>
        <v/>
      </c>
      <c r="N269" s="71" t="str">
        <f>IF(AND(fiche_sel&lt;&gt;"",A269=fiche_sel),COUNTIF(A$6:A269,fiche_sel),"")</f>
        <v/>
      </c>
    </row>
    <row r="270">
      <c r="A270" s="60" t="n"/>
      <c r="B270" s="73" t="n"/>
      <c r="C270" s="60" t="n"/>
      <c r="D270" s="61" t="n"/>
      <c r="E270" s="74" t="n"/>
      <c r="F270" s="74" t="n"/>
      <c r="G270" s="73" t="n"/>
      <c r="H270" s="66" t="str">
        <f>IF(M270&lt;&gt;"OK","",INDEX(po_mo,MATCH(D270,po_code,0)))</f>
        <v/>
      </c>
      <c r="I270" s="66" t="str">
        <f>IF(M270&lt;&gt;"OK","",INDEX(po_mac,MATCH(D270,po_code,0)))</f>
        <v/>
      </c>
      <c r="J270" s="66" t="str">
        <f>IF(M270&lt;&gt;"OK","",N(E270)*(H270*IF(G270="",1,G270)+I270))</f>
        <v/>
      </c>
      <c r="K270" s="66" t="str">
        <f>IF(M270&lt;&gt;"OK","",N(F270)/60*H270*IF(G270="",1,G270))</f>
        <v/>
      </c>
      <c r="L270" s="66" t="str">
        <f>IF(M270&lt;&gt;"OK","",N(F270)/60*I270)</f>
        <v/>
      </c>
      <c r="M270" s="69" t="str">
        <f>IF(AND(A270="",D270=""),"",IF(A270="","Produit manquant",IF(COUNTIF(prod_ref,A270)=0,"Produit inconnu",IF(D270="","Poste manquant",IF(ISNA(MATCH(D270,po_code,0)),"Poste inconnu",IF(INDEX(po_check,MATCH(D270,po_code,0))&lt;&gt;"OK","Poste à corriger",IF(AND(E270&lt;&gt;"",OR(NOT(ISNUMBER(E270)),N(E270)&lt;0)),"Réglage invalide",IF(AND(F270&lt;&gt;"",OR(NOT(ISNUMBER(F270)),N(F270)&lt;0)),"Temps par pièce invalide",IF(N(E270)+N(F270)=0,"Temps manquant",IF(AND(G270&lt;&gt;"",OR(NOT(ISNUMBER(G270)),N(G270)&lt;=0)),"Opérateurs invalide","OK"))))))))))</f>
        <v/>
      </c>
      <c r="N270" s="71" t="str">
        <f>IF(AND(fiche_sel&lt;&gt;"",A270=fiche_sel),COUNTIF(A$6:A270,fiche_sel),"")</f>
        <v/>
      </c>
    </row>
    <row r="271">
      <c r="A271" s="60" t="n"/>
      <c r="B271" s="73" t="n"/>
      <c r="C271" s="60" t="n"/>
      <c r="D271" s="61" t="n"/>
      <c r="E271" s="74" t="n"/>
      <c r="F271" s="74" t="n"/>
      <c r="G271" s="73" t="n"/>
      <c r="H271" s="66" t="str">
        <f>IF(M271&lt;&gt;"OK","",INDEX(po_mo,MATCH(D271,po_code,0)))</f>
        <v/>
      </c>
      <c r="I271" s="66" t="str">
        <f>IF(M271&lt;&gt;"OK","",INDEX(po_mac,MATCH(D271,po_code,0)))</f>
        <v/>
      </c>
      <c r="J271" s="66" t="str">
        <f>IF(M271&lt;&gt;"OK","",N(E271)*(H271*IF(G271="",1,G271)+I271))</f>
        <v/>
      </c>
      <c r="K271" s="66" t="str">
        <f>IF(M271&lt;&gt;"OK","",N(F271)/60*H271*IF(G271="",1,G271))</f>
        <v/>
      </c>
      <c r="L271" s="66" t="str">
        <f>IF(M271&lt;&gt;"OK","",N(F271)/60*I271)</f>
        <v/>
      </c>
      <c r="M271" s="69" t="str">
        <f>IF(AND(A271="",D271=""),"",IF(A271="","Produit manquant",IF(COUNTIF(prod_ref,A271)=0,"Produit inconnu",IF(D271="","Poste manquant",IF(ISNA(MATCH(D271,po_code,0)),"Poste inconnu",IF(INDEX(po_check,MATCH(D271,po_code,0))&lt;&gt;"OK","Poste à corriger",IF(AND(E271&lt;&gt;"",OR(NOT(ISNUMBER(E271)),N(E271)&lt;0)),"Réglage invalide",IF(AND(F271&lt;&gt;"",OR(NOT(ISNUMBER(F271)),N(F271)&lt;0)),"Temps par pièce invalide",IF(N(E271)+N(F271)=0,"Temps manquant",IF(AND(G271&lt;&gt;"",OR(NOT(ISNUMBER(G271)),N(G271)&lt;=0)),"Opérateurs invalide","OK"))))))))))</f>
        <v/>
      </c>
      <c r="N271" s="71" t="str">
        <f>IF(AND(fiche_sel&lt;&gt;"",A271=fiche_sel),COUNTIF(A$6:A271,fiche_sel),"")</f>
        <v/>
      </c>
    </row>
    <row r="272">
      <c r="A272" s="60" t="n"/>
      <c r="B272" s="73" t="n"/>
      <c r="C272" s="60" t="n"/>
      <c r="D272" s="61" t="n"/>
      <c r="E272" s="74" t="n"/>
      <c r="F272" s="74" t="n"/>
      <c r="G272" s="73" t="n"/>
      <c r="H272" s="66" t="str">
        <f>IF(M272&lt;&gt;"OK","",INDEX(po_mo,MATCH(D272,po_code,0)))</f>
        <v/>
      </c>
      <c r="I272" s="66" t="str">
        <f>IF(M272&lt;&gt;"OK","",INDEX(po_mac,MATCH(D272,po_code,0)))</f>
        <v/>
      </c>
      <c r="J272" s="66" t="str">
        <f>IF(M272&lt;&gt;"OK","",N(E272)*(H272*IF(G272="",1,G272)+I272))</f>
        <v/>
      </c>
      <c r="K272" s="66" t="str">
        <f>IF(M272&lt;&gt;"OK","",N(F272)/60*H272*IF(G272="",1,G272))</f>
        <v/>
      </c>
      <c r="L272" s="66" t="str">
        <f>IF(M272&lt;&gt;"OK","",N(F272)/60*I272)</f>
        <v/>
      </c>
      <c r="M272" s="69" t="str">
        <f>IF(AND(A272="",D272=""),"",IF(A272="","Produit manquant",IF(COUNTIF(prod_ref,A272)=0,"Produit inconnu",IF(D272="","Poste manquant",IF(ISNA(MATCH(D272,po_code,0)),"Poste inconnu",IF(INDEX(po_check,MATCH(D272,po_code,0))&lt;&gt;"OK","Poste à corriger",IF(AND(E272&lt;&gt;"",OR(NOT(ISNUMBER(E272)),N(E272)&lt;0)),"Réglage invalide",IF(AND(F272&lt;&gt;"",OR(NOT(ISNUMBER(F272)),N(F272)&lt;0)),"Temps par pièce invalide",IF(N(E272)+N(F272)=0,"Temps manquant",IF(AND(G272&lt;&gt;"",OR(NOT(ISNUMBER(G272)),N(G272)&lt;=0)),"Opérateurs invalide","OK"))))))))))</f>
        <v/>
      </c>
      <c r="N272" s="71" t="str">
        <f>IF(AND(fiche_sel&lt;&gt;"",A272=fiche_sel),COUNTIF(A$6:A272,fiche_sel),"")</f>
        <v/>
      </c>
    </row>
    <row r="273">
      <c r="A273" s="60" t="n"/>
      <c r="B273" s="73" t="n"/>
      <c r="C273" s="60" t="n"/>
      <c r="D273" s="61" t="n"/>
      <c r="E273" s="74" t="n"/>
      <c r="F273" s="74" t="n"/>
      <c r="G273" s="73" t="n"/>
      <c r="H273" s="66" t="str">
        <f>IF(M273&lt;&gt;"OK","",INDEX(po_mo,MATCH(D273,po_code,0)))</f>
        <v/>
      </c>
      <c r="I273" s="66" t="str">
        <f>IF(M273&lt;&gt;"OK","",INDEX(po_mac,MATCH(D273,po_code,0)))</f>
        <v/>
      </c>
      <c r="J273" s="66" t="str">
        <f>IF(M273&lt;&gt;"OK","",N(E273)*(H273*IF(G273="",1,G273)+I273))</f>
        <v/>
      </c>
      <c r="K273" s="66" t="str">
        <f>IF(M273&lt;&gt;"OK","",N(F273)/60*H273*IF(G273="",1,G273))</f>
        <v/>
      </c>
      <c r="L273" s="66" t="str">
        <f>IF(M273&lt;&gt;"OK","",N(F273)/60*I273)</f>
        <v/>
      </c>
      <c r="M273" s="69" t="str">
        <f>IF(AND(A273="",D273=""),"",IF(A273="","Produit manquant",IF(COUNTIF(prod_ref,A273)=0,"Produit inconnu",IF(D273="","Poste manquant",IF(ISNA(MATCH(D273,po_code,0)),"Poste inconnu",IF(INDEX(po_check,MATCH(D273,po_code,0))&lt;&gt;"OK","Poste à corriger",IF(AND(E273&lt;&gt;"",OR(NOT(ISNUMBER(E273)),N(E273)&lt;0)),"Réglage invalide",IF(AND(F273&lt;&gt;"",OR(NOT(ISNUMBER(F273)),N(F273)&lt;0)),"Temps par pièce invalide",IF(N(E273)+N(F273)=0,"Temps manquant",IF(AND(G273&lt;&gt;"",OR(NOT(ISNUMBER(G273)),N(G273)&lt;=0)),"Opérateurs invalide","OK"))))))))))</f>
        <v/>
      </c>
      <c r="N273" s="71" t="str">
        <f>IF(AND(fiche_sel&lt;&gt;"",A273=fiche_sel),COUNTIF(A$6:A273,fiche_sel),"")</f>
        <v/>
      </c>
    </row>
    <row r="274">
      <c r="A274" s="60" t="n"/>
      <c r="B274" s="73" t="n"/>
      <c r="C274" s="60" t="n"/>
      <c r="D274" s="61" t="n"/>
      <c r="E274" s="74" t="n"/>
      <c r="F274" s="74" t="n"/>
      <c r="G274" s="73" t="n"/>
      <c r="H274" s="66" t="str">
        <f>IF(M274&lt;&gt;"OK","",INDEX(po_mo,MATCH(D274,po_code,0)))</f>
        <v/>
      </c>
      <c r="I274" s="66" t="str">
        <f>IF(M274&lt;&gt;"OK","",INDEX(po_mac,MATCH(D274,po_code,0)))</f>
        <v/>
      </c>
      <c r="J274" s="66" t="str">
        <f>IF(M274&lt;&gt;"OK","",N(E274)*(H274*IF(G274="",1,G274)+I274))</f>
        <v/>
      </c>
      <c r="K274" s="66" t="str">
        <f>IF(M274&lt;&gt;"OK","",N(F274)/60*H274*IF(G274="",1,G274))</f>
        <v/>
      </c>
      <c r="L274" s="66" t="str">
        <f>IF(M274&lt;&gt;"OK","",N(F274)/60*I274)</f>
        <v/>
      </c>
      <c r="M274" s="69" t="str">
        <f>IF(AND(A274="",D274=""),"",IF(A274="","Produit manquant",IF(COUNTIF(prod_ref,A274)=0,"Produit inconnu",IF(D274="","Poste manquant",IF(ISNA(MATCH(D274,po_code,0)),"Poste inconnu",IF(INDEX(po_check,MATCH(D274,po_code,0))&lt;&gt;"OK","Poste à corriger",IF(AND(E274&lt;&gt;"",OR(NOT(ISNUMBER(E274)),N(E274)&lt;0)),"Réglage invalide",IF(AND(F274&lt;&gt;"",OR(NOT(ISNUMBER(F274)),N(F274)&lt;0)),"Temps par pièce invalide",IF(N(E274)+N(F274)=0,"Temps manquant",IF(AND(G274&lt;&gt;"",OR(NOT(ISNUMBER(G274)),N(G274)&lt;=0)),"Opérateurs invalide","OK"))))))))))</f>
        <v/>
      </c>
      <c r="N274" s="71" t="str">
        <f>IF(AND(fiche_sel&lt;&gt;"",A274=fiche_sel),COUNTIF(A$6:A274,fiche_sel),"")</f>
        <v/>
      </c>
    </row>
    <row r="275">
      <c r="A275" s="60" t="n"/>
      <c r="B275" s="73" t="n"/>
      <c r="C275" s="60" t="n"/>
      <c r="D275" s="61" t="n"/>
      <c r="E275" s="74" t="n"/>
      <c r="F275" s="74" t="n"/>
      <c r="G275" s="73" t="n"/>
      <c r="H275" s="66" t="str">
        <f>IF(M275&lt;&gt;"OK","",INDEX(po_mo,MATCH(D275,po_code,0)))</f>
        <v/>
      </c>
      <c r="I275" s="66" t="str">
        <f>IF(M275&lt;&gt;"OK","",INDEX(po_mac,MATCH(D275,po_code,0)))</f>
        <v/>
      </c>
      <c r="J275" s="66" t="str">
        <f>IF(M275&lt;&gt;"OK","",N(E275)*(H275*IF(G275="",1,G275)+I275))</f>
        <v/>
      </c>
      <c r="K275" s="66" t="str">
        <f>IF(M275&lt;&gt;"OK","",N(F275)/60*H275*IF(G275="",1,G275))</f>
        <v/>
      </c>
      <c r="L275" s="66" t="str">
        <f>IF(M275&lt;&gt;"OK","",N(F275)/60*I275)</f>
        <v/>
      </c>
      <c r="M275" s="69" t="str">
        <f>IF(AND(A275="",D275=""),"",IF(A275="","Produit manquant",IF(COUNTIF(prod_ref,A275)=0,"Produit inconnu",IF(D275="","Poste manquant",IF(ISNA(MATCH(D275,po_code,0)),"Poste inconnu",IF(INDEX(po_check,MATCH(D275,po_code,0))&lt;&gt;"OK","Poste à corriger",IF(AND(E275&lt;&gt;"",OR(NOT(ISNUMBER(E275)),N(E275)&lt;0)),"Réglage invalide",IF(AND(F275&lt;&gt;"",OR(NOT(ISNUMBER(F275)),N(F275)&lt;0)),"Temps par pièce invalide",IF(N(E275)+N(F275)=0,"Temps manquant",IF(AND(G275&lt;&gt;"",OR(NOT(ISNUMBER(G275)),N(G275)&lt;=0)),"Opérateurs invalide","OK"))))))))))</f>
        <v/>
      </c>
      <c r="N275" s="71" t="str">
        <f>IF(AND(fiche_sel&lt;&gt;"",A275=fiche_sel),COUNTIF(A$6:A275,fiche_sel),"")</f>
        <v/>
      </c>
    </row>
    <row r="276">
      <c r="A276" s="60" t="n"/>
      <c r="B276" s="73" t="n"/>
      <c r="C276" s="60" t="n"/>
      <c r="D276" s="61" t="n"/>
      <c r="E276" s="74" t="n"/>
      <c r="F276" s="74" t="n"/>
      <c r="G276" s="73" t="n"/>
      <c r="H276" s="66" t="str">
        <f>IF(M276&lt;&gt;"OK","",INDEX(po_mo,MATCH(D276,po_code,0)))</f>
        <v/>
      </c>
      <c r="I276" s="66" t="str">
        <f>IF(M276&lt;&gt;"OK","",INDEX(po_mac,MATCH(D276,po_code,0)))</f>
        <v/>
      </c>
      <c r="J276" s="66" t="str">
        <f>IF(M276&lt;&gt;"OK","",N(E276)*(H276*IF(G276="",1,G276)+I276))</f>
        <v/>
      </c>
      <c r="K276" s="66" t="str">
        <f>IF(M276&lt;&gt;"OK","",N(F276)/60*H276*IF(G276="",1,G276))</f>
        <v/>
      </c>
      <c r="L276" s="66" t="str">
        <f>IF(M276&lt;&gt;"OK","",N(F276)/60*I276)</f>
        <v/>
      </c>
      <c r="M276" s="69" t="str">
        <f>IF(AND(A276="",D276=""),"",IF(A276="","Produit manquant",IF(COUNTIF(prod_ref,A276)=0,"Produit inconnu",IF(D276="","Poste manquant",IF(ISNA(MATCH(D276,po_code,0)),"Poste inconnu",IF(INDEX(po_check,MATCH(D276,po_code,0))&lt;&gt;"OK","Poste à corriger",IF(AND(E276&lt;&gt;"",OR(NOT(ISNUMBER(E276)),N(E276)&lt;0)),"Réglage invalide",IF(AND(F276&lt;&gt;"",OR(NOT(ISNUMBER(F276)),N(F276)&lt;0)),"Temps par pièce invalide",IF(N(E276)+N(F276)=0,"Temps manquant",IF(AND(G276&lt;&gt;"",OR(NOT(ISNUMBER(G276)),N(G276)&lt;=0)),"Opérateurs invalide","OK"))))))))))</f>
        <v/>
      </c>
      <c r="N276" s="71" t="str">
        <f>IF(AND(fiche_sel&lt;&gt;"",A276=fiche_sel),COUNTIF(A$6:A276,fiche_sel),"")</f>
        <v/>
      </c>
    </row>
    <row r="277">
      <c r="A277" s="60" t="n"/>
      <c r="B277" s="73" t="n"/>
      <c r="C277" s="60" t="n"/>
      <c r="D277" s="61" t="n"/>
      <c r="E277" s="74" t="n"/>
      <c r="F277" s="74" t="n"/>
      <c r="G277" s="73" t="n"/>
      <c r="H277" s="66" t="str">
        <f>IF(M277&lt;&gt;"OK","",INDEX(po_mo,MATCH(D277,po_code,0)))</f>
        <v/>
      </c>
      <c r="I277" s="66" t="str">
        <f>IF(M277&lt;&gt;"OK","",INDEX(po_mac,MATCH(D277,po_code,0)))</f>
        <v/>
      </c>
      <c r="J277" s="66" t="str">
        <f>IF(M277&lt;&gt;"OK","",N(E277)*(H277*IF(G277="",1,G277)+I277))</f>
        <v/>
      </c>
      <c r="K277" s="66" t="str">
        <f>IF(M277&lt;&gt;"OK","",N(F277)/60*H277*IF(G277="",1,G277))</f>
        <v/>
      </c>
      <c r="L277" s="66" t="str">
        <f>IF(M277&lt;&gt;"OK","",N(F277)/60*I277)</f>
        <v/>
      </c>
      <c r="M277" s="69" t="str">
        <f>IF(AND(A277="",D277=""),"",IF(A277="","Produit manquant",IF(COUNTIF(prod_ref,A277)=0,"Produit inconnu",IF(D277="","Poste manquant",IF(ISNA(MATCH(D277,po_code,0)),"Poste inconnu",IF(INDEX(po_check,MATCH(D277,po_code,0))&lt;&gt;"OK","Poste à corriger",IF(AND(E277&lt;&gt;"",OR(NOT(ISNUMBER(E277)),N(E277)&lt;0)),"Réglage invalide",IF(AND(F277&lt;&gt;"",OR(NOT(ISNUMBER(F277)),N(F277)&lt;0)),"Temps par pièce invalide",IF(N(E277)+N(F277)=0,"Temps manquant",IF(AND(G277&lt;&gt;"",OR(NOT(ISNUMBER(G277)),N(G277)&lt;=0)),"Opérateurs invalide","OK"))))))))))</f>
        <v/>
      </c>
      <c r="N277" s="71" t="str">
        <f>IF(AND(fiche_sel&lt;&gt;"",A277=fiche_sel),COUNTIF(A$6:A277,fiche_sel),"")</f>
        <v/>
      </c>
    </row>
    <row r="278">
      <c r="A278" s="60" t="n"/>
      <c r="B278" s="73" t="n"/>
      <c r="C278" s="60" t="n"/>
      <c r="D278" s="61" t="n"/>
      <c r="E278" s="74" t="n"/>
      <c r="F278" s="74" t="n"/>
      <c r="G278" s="73" t="n"/>
      <c r="H278" s="66" t="str">
        <f>IF(M278&lt;&gt;"OK","",INDEX(po_mo,MATCH(D278,po_code,0)))</f>
        <v/>
      </c>
      <c r="I278" s="66" t="str">
        <f>IF(M278&lt;&gt;"OK","",INDEX(po_mac,MATCH(D278,po_code,0)))</f>
        <v/>
      </c>
      <c r="J278" s="66" t="str">
        <f>IF(M278&lt;&gt;"OK","",N(E278)*(H278*IF(G278="",1,G278)+I278))</f>
        <v/>
      </c>
      <c r="K278" s="66" t="str">
        <f>IF(M278&lt;&gt;"OK","",N(F278)/60*H278*IF(G278="",1,G278))</f>
        <v/>
      </c>
      <c r="L278" s="66" t="str">
        <f>IF(M278&lt;&gt;"OK","",N(F278)/60*I278)</f>
        <v/>
      </c>
      <c r="M278" s="69" t="str">
        <f>IF(AND(A278="",D278=""),"",IF(A278="","Produit manquant",IF(COUNTIF(prod_ref,A278)=0,"Produit inconnu",IF(D278="","Poste manquant",IF(ISNA(MATCH(D278,po_code,0)),"Poste inconnu",IF(INDEX(po_check,MATCH(D278,po_code,0))&lt;&gt;"OK","Poste à corriger",IF(AND(E278&lt;&gt;"",OR(NOT(ISNUMBER(E278)),N(E278)&lt;0)),"Réglage invalide",IF(AND(F278&lt;&gt;"",OR(NOT(ISNUMBER(F278)),N(F278)&lt;0)),"Temps par pièce invalide",IF(N(E278)+N(F278)=0,"Temps manquant",IF(AND(G278&lt;&gt;"",OR(NOT(ISNUMBER(G278)),N(G278)&lt;=0)),"Opérateurs invalide","OK"))))))))))</f>
        <v/>
      </c>
      <c r="N278" s="71" t="str">
        <f>IF(AND(fiche_sel&lt;&gt;"",A278=fiche_sel),COUNTIF(A$6:A278,fiche_sel),"")</f>
        <v/>
      </c>
    </row>
    <row r="279">
      <c r="A279" s="60" t="n"/>
      <c r="B279" s="73" t="n"/>
      <c r="C279" s="60" t="n"/>
      <c r="D279" s="61" t="n"/>
      <c r="E279" s="74" t="n"/>
      <c r="F279" s="74" t="n"/>
      <c r="G279" s="73" t="n"/>
      <c r="H279" s="66" t="str">
        <f>IF(M279&lt;&gt;"OK","",INDEX(po_mo,MATCH(D279,po_code,0)))</f>
        <v/>
      </c>
      <c r="I279" s="66" t="str">
        <f>IF(M279&lt;&gt;"OK","",INDEX(po_mac,MATCH(D279,po_code,0)))</f>
        <v/>
      </c>
      <c r="J279" s="66" t="str">
        <f>IF(M279&lt;&gt;"OK","",N(E279)*(H279*IF(G279="",1,G279)+I279))</f>
        <v/>
      </c>
      <c r="K279" s="66" t="str">
        <f>IF(M279&lt;&gt;"OK","",N(F279)/60*H279*IF(G279="",1,G279))</f>
        <v/>
      </c>
      <c r="L279" s="66" t="str">
        <f>IF(M279&lt;&gt;"OK","",N(F279)/60*I279)</f>
        <v/>
      </c>
      <c r="M279" s="69" t="str">
        <f>IF(AND(A279="",D279=""),"",IF(A279="","Produit manquant",IF(COUNTIF(prod_ref,A279)=0,"Produit inconnu",IF(D279="","Poste manquant",IF(ISNA(MATCH(D279,po_code,0)),"Poste inconnu",IF(INDEX(po_check,MATCH(D279,po_code,0))&lt;&gt;"OK","Poste à corriger",IF(AND(E279&lt;&gt;"",OR(NOT(ISNUMBER(E279)),N(E279)&lt;0)),"Réglage invalide",IF(AND(F279&lt;&gt;"",OR(NOT(ISNUMBER(F279)),N(F279)&lt;0)),"Temps par pièce invalide",IF(N(E279)+N(F279)=0,"Temps manquant",IF(AND(G279&lt;&gt;"",OR(NOT(ISNUMBER(G279)),N(G279)&lt;=0)),"Opérateurs invalide","OK"))))))))))</f>
        <v/>
      </c>
      <c r="N279" s="71" t="str">
        <f>IF(AND(fiche_sel&lt;&gt;"",A279=fiche_sel),COUNTIF(A$6:A279,fiche_sel),"")</f>
        <v/>
      </c>
    </row>
    <row r="280">
      <c r="A280" s="60" t="n"/>
      <c r="B280" s="73" t="n"/>
      <c r="C280" s="60" t="n"/>
      <c r="D280" s="61" t="n"/>
      <c r="E280" s="74" t="n"/>
      <c r="F280" s="74" t="n"/>
      <c r="G280" s="73" t="n"/>
      <c r="H280" s="66" t="str">
        <f>IF(M280&lt;&gt;"OK","",INDEX(po_mo,MATCH(D280,po_code,0)))</f>
        <v/>
      </c>
      <c r="I280" s="66" t="str">
        <f>IF(M280&lt;&gt;"OK","",INDEX(po_mac,MATCH(D280,po_code,0)))</f>
        <v/>
      </c>
      <c r="J280" s="66" t="str">
        <f>IF(M280&lt;&gt;"OK","",N(E280)*(H280*IF(G280="",1,G280)+I280))</f>
        <v/>
      </c>
      <c r="K280" s="66" t="str">
        <f>IF(M280&lt;&gt;"OK","",N(F280)/60*H280*IF(G280="",1,G280))</f>
        <v/>
      </c>
      <c r="L280" s="66" t="str">
        <f>IF(M280&lt;&gt;"OK","",N(F280)/60*I280)</f>
        <v/>
      </c>
      <c r="M280" s="69" t="str">
        <f>IF(AND(A280="",D280=""),"",IF(A280="","Produit manquant",IF(COUNTIF(prod_ref,A280)=0,"Produit inconnu",IF(D280="","Poste manquant",IF(ISNA(MATCH(D280,po_code,0)),"Poste inconnu",IF(INDEX(po_check,MATCH(D280,po_code,0))&lt;&gt;"OK","Poste à corriger",IF(AND(E280&lt;&gt;"",OR(NOT(ISNUMBER(E280)),N(E280)&lt;0)),"Réglage invalide",IF(AND(F280&lt;&gt;"",OR(NOT(ISNUMBER(F280)),N(F280)&lt;0)),"Temps par pièce invalide",IF(N(E280)+N(F280)=0,"Temps manquant",IF(AND(G280&lt;&gt;"",OR(NOT(ISNUMBER(G280)),N(G280)&lt;=0)),"Opérateurs invalide","OK"))))))))))</f>
        <v/>
      </c>
      <c r="N280" s="71" t="str">
        <f>IF(AND(fiche_sel&lt;&gt;"",A280=fiche_sel),COUNTIF(A$6:A280,fiche_sel),"")</f>
        <v/>
      </c>
    </row>
    <row r="281">
      <c r="A281" s="60" t="n"/>
      <c r="B281" s="73" t="n"/>
      <c r="C281" s="60" t="n"/>
      <c r="D281" s="61" t="n"/>
      <c r="E281" s="74" t="n"/>
      <c r="F281" s="74" t="n"/>
      <c r="G281" s="73" t="n"/>
      <c r="H281" s="66" t="str">
        <f>IF(M281&lt;&gt;"OK","",INDEX(po_mo,MATCH(D281,po_code,0)))</f>
        <v/>
      </c>
      <c r="I281" s="66" t="str">
        <f>IF(M281&lt;&gt;"OK","",INDEX(po_mac,MATCH(D281,po_code,0)))</f>
        <v/>
      </c>
      <c r="J281" s="66" t="str">
        <f>IF(M281&lt;&gt;"OK","",N(E281)*(H281*IF(G281="",1,G281)+I281))</f>
        <v/>
      </c>
      <c r="K281" s="66" t="str">
        <f>IF(M281&lt;&gt;"OK","",N(F281)/60*H281*IF(G281="",1,G281))</f>
        <v/>
      </c>
      <c r="L281" s="66" t="str">
        <f>IF(M281&lt;&gt;"OK","",N(F281)/60*I281)</f>
        <v/>
      </c>
      <c r="M281" s="69" t="str">
        <f>IF(AND(A281="",D281=""),"",IF(A281="","Produit manquant",IF(COUNTIF(prod_ref,A281)=0,"Produit inconnu",IF(D281="","Poste manquant",IF(ISNA(MATCH(D281,po_code,0)),"Poste inconnu",IF(INDEX(po_check,MATCH(D281,po_code,0))&lt;&gt;"OK","Poste à corriger",IF(AND(E281&lt;&gt;"",OR(NOT(ISNUMBER(E281)),N(E281)&lt;0)),"Réglage invalide",IF(AND(F281&lt;&gt;"",OR(NOT(ISNUMBER(F281)),N(F281)&lt;0)),"Temps par pièce invalide",IF(N(E281)+N(F281)=0,"Temps manquant",IF(AND(G281&lt;&gt;"",OR(NOT(ISNUMBER(G281)),N(G281)&lt;=0)),"Opérateurs invalide","OK"))))))))))</f>
        <v/>
      </c>
      <c r="N281" s="71" t="str">
        <f>IF(AND(fiche_sel&lt;&gt;"",A281=fiche_sel),COUNTIF(A$6:A281,fiche_sel),"")</f>
        <v/>
      </c>
    </row>
    <row r="282">
      <c r="A282" s="60" t="n"/>
      <c r="B282" s="73" t="n"/>
      <c r="C282" s="60" t="n"/>
      <c r="D282" s="61" t="n"/>
      <c r="E282" s="74" t="n"/>
      <c r="F282" s="74" t="n"/>
      <c r="G282" s="73" t="n"/>
      <c r="H282" s="66" t="str">
        <f>IF(M282&lt;&gt;"OK","",INDEX(po_mo,MATCH(D282,po_code,0)))</f>
        <v/>
      </c>
      <c r="I282" s="66" t="str">
        <f>IF(M282&lt;&gt;"OK","",INDEX(po_mac,MATCH(D282,po_code,0)))</f>
        <v/>
      </c>
      <c r="J282" s="66" t="str">
        <f>IF(M282&lt;&gt;"OK","",N(E282)*(H282*IF(G282="",1,G282)+I282))</f>
        <v/>
      </c>
      <c r="K282" s="66" t="str">
        <f>IF(M282&lt;&gt;"OK","",N(F282)/60*H282*IF(G282="",1,G282))</f>
        <v/>
      </c>
      <c r="L282" s="66" t="str">
        <f>IF(M282&lt;&gt;"OK","",N(F282)/60*I282)</f>
        <v/>
      </c>
      <c r="M282" s="69" t="str">
        <f>IF(AND(A282="",D282=""),"",IF(A282="","Produit manquant",IF(COUNTIF(prod_ref,A282)=0,"Produit inconnu",IF(D282="","Poste manquant",IF(ISNA(MATCH(D282,po_code,0)),"Poste inconnu",IF(INDEX(po_check,MATCH(D282,po_code,0))&lt;&gt;"OK","Poste à corriger",IF(AND(E282&lt;&gt;"",OR(NOT(ISNUMBER(E282)),N(E282)&lt;0)),"Réglage invalide",IF(AND(F282&lt;&gt;"",OR(NOT(ISNUMBER(F282)),N(F282)&lt;0)),"Temps par pièce invalide",IF(N(E282)+N(F282)=0,"Temps manquant",IF(AND(G282&lt;&gt;"",OR(NOT(ISNUMBER(G282)),N(G282)&lt;=0)),"Opérateurs invalide","OK"))))))))))</f>
        <v/>
      </c>
      <c r="N282" s="71" t="str">
        <f>IF(AND(fiche_sel&lt;&gt;"",A282=fiche_sel),COUNTIF(A$6:A282,fiche_sel),"")</f>
        <v/>
      </c>
    </row>
    <row r="283">
      <c r="A283" s="60" t="n"/>
      <c r="B283" s="73" t="n"/>
      <c r="C283" s="60" t="n"/>
      <c r="D283" s="61" t="n"/>
      <c r="E283" s="74" t="n"/>
      <c r="F283" s="74" t="n"/>
      <c r="G283" s="73" t="n"/>
      <c r="H283" s="66" t="str">
        <f>IF(M283&lt;&gt;"OK","",INDEX(po_mo,MATCH(D283,po_code,0)))</f>
        <v/>
      </c>
      <c r="I283" s="66" t="str">
        <f>IF(M283&lt;&gt;"OK","",INDEX(po_mac,MATCH(D283,po_code,0)))</f>
        <v/>
      </c>
      <c r="J283" s="66" t="str">
        <f>IF(M283&lt;&gt;"OK","",N(E283)*(H283*IF(G283="",1,G283)+I283))</f>
        <v/>
      </c>
      <c r="K283" s="66" t="str">
        <f>IF(M283&lt;&gt;"OK","",N(F283)/60*H283*IF(G283="",1,G283))</f>
        <v/>
      </c>
      <c r="L283" s="66" t="str">
        <f>IF(M283&lt;&gt;"OK","",N(F283)/60*I283)</f>
        <v/>
      </c>
      <c r="M283" s="69" t="str">
        <f>IF(AND(A283="",D283=""),"",IF(A283="","Produit manquant",IF(COUNTIF(prod_ref,A283)=0,"Produit inconnu",IF(D283="","Poste manquant",IF(ISNA(MATCH(D283,po_code,0)),"Poste inconnu",IF(INDEX(po_check,MATCH(D283,po_code,0))&lt;&gt;"OK","Poste à corriger",IF(AND(E283&lt;&gt;"",OR(NOT(ISNUMBER(E283)),N(E283)&lt;0)),"Réglage invalide",IF(AND(F283&lt;&gt;"",OR(NOT(ISNUMBER(F283)),N(F283)&lt;0)),"Temps par pièce invalide",IF(N(E283)+N(F283)=0,"Temps manquant",IF(AND(G283&lt;&gt;"",OR(NOT(ISNUMBER(G283)),N(G283)&lt;=0)),"Opérateurs invalide","OK"))))))))))</f>
        <v/>
      </c>
      <c r="N283" s="71" t="str">
        <f>IF(AND(fiche_sel&lt;&gt;"",A283=fiche_sel),COUNTIF(A$6:A283,fiche_sel),"")</f>
        <v/>
      </c>
    </row>
    <row r="284">
      <c r="A284" s="60" t="n"/>
      <c r="B284" s="73" t="n"/>
      <c r="C284" s="60" t="n"/>
      <c r="D284" s="61" t="n"/>
      <c r="E284" s="74" t="n"/>
      <c r="F284" s="74" t="n"/>
      <c r="G284" s="73" t="n"/>
      <c r="H284" s="66" t="str">
        <f>IF(M284&lt;&gt;"OK","",INDEX(po_mo,MATCH(D284,po_code,0)))</f>
        <v/>
      </c>
      <c r="I284" s="66" t="str">
        <f>IF(M284&lt;&gt;"OK","",INDEX(po_mac,MATCH(D284,po_code,0)))</f>
        <v/>
      </c>
      <c r="J284" s="66" t="str">
        <f>IF(M284&lt;&gt;"OK","",N(E284)*(H284*IF(G284="",1,G284)+I284))</f>
        <v/>
      </c>
      <c r="K284" s="66" t="str">
        <f>IF(M284&lt;&gt;"OK","",N(F284)/60*H284*IF(G284="",1,G284))</f>
        <v/>
      </c>
      <c r="L284" s="66" t="str">
        <f>IF(M284&lt;&gt;"OK","",N(F284)/60*I284)</f>
        <v/>
      </c>
      <c r="M284" s="69" t="str">
        <f>IF(AND(A284="",D284=""),"",IF(A284="","Produit manquant",IF(COUNTIF(prod_ref,A284)=0,"Produit inconnu",IF(D284="","Poste manquant",IF(ISNA(MATCH(D284,po_code,0)),"Poste inconnu",IF(INDEX(po_check,MATCH(D284,po_code,0))&lt;&gt;"OK","Poste à corriger",IF(AND(E284&lt;&gt;"",OR(NOT(ISNUMBER(E284)),N(E284)&lt;0)),"Réglage invalide",IF(AND(F284&lt;&gt;"",OR(NOT(ISNUMBER(F284)),N(F284)&lt;0)),"Temps par pièce invalide",IF(N(E284)+N(F284)=0,"Temps manquant",IF(AND(G284&lt;&gt;"",OR(NOT(ISNUMBER(G284)),N(G284)&lt;=0)),"Opérateurs invalide","OK"))))))))))</f>
        <v/>
      </c>
      <c r="N284" s="71" t="str">
        <f>IF(AND(fiche_sel&lt;&gt;"",A284=fiche_sel),COUNTIF(A$6:A284,fiche_sel),"")</f>
        <v/>
      </c>
    </row>
    <row r="285">
      <c r="A285" s="60" t="n"/>
      <c r="B285" s="73" t="n"/>
      <c r="C285" s="60" t="n"/>
      <c r="D285" s="61" t="n"/>
      <c r="E285" s="74" t="n"/>
      <c r="F285" s="74" t="n"/>
      <c r="G285" s="73" t="n"/>
      <c r="H285" s="66" t="str">
        <f>IF(M285&lt;&gt;"OK","",INDEX(po_mo,MATCH(D285,po_code,0)))</f>
        <v/>
      </c>
      <c r="I285" s="66" t="str">
        <f>IF(M285&lt;&gt;"OK","",INDEX(po_mac,MATCH(D285,po_code,0)))</f>
        <v/>
      </c>
      <c r="J285" s="66" t="str">
        <f>IF(M285&lt;&gt;"OK","",N(E285)*(H285*IF(G285="",1,G285)+I285))</f>
        <v/>
      </c>
      <c r="K285" s="66" t="str">
        <f>IF(M285&lt;&gt;"OK","",N(F285)/60*H285*IF(G285="",1,G285))</f>
        <v/>
      </c>
      <c r="L285" s="66" t="str">
        <f>IF(M285&lt;&gt;"OK","",N(F285)/60*I285)</f>
        <v/>
      </c>
      <c r="M285" s="69" t="str">
        <f>IF(AND(A285="",D285=""),"",IF(A285="","Produit manquant",IF(COUNTIF(prod_ref,A285)=0,"Produit inconnu",IF(D285="","Poste manquant",IF(ISNA(MATCH(D285,po_code,0)),"Poste inconnu",IF(INDEX(po_check,MATCH(D285,po_code,0))&lt;&gt;"OK","Poste à corriger",IF(AND(E285&lt;&gt;"",OR(NOT(ISNUMBER(E285)),N(E285)&lt;0)),"Réglage invalide",IF(AND(F285&lt;&gt;"",OR(NOT(ISNUMBER(F285)),N(F285)&lt;0)),"Temps par pièce invalide",IF(N(E285)+N(F285)=0,"Temps manquant",IF(AND(G285&lt;&gt;"",OR(NOT(ISNUMBER(G285)),N(G285)&lt;=0)),"Opérateurs invalide","OK"))))))))))</f>
        <v/>
      </c>
      <c r="N285" s="71" t="str">
        <f>IF(AND(fiche_sel&lt;&gt;"",A285=fiche_sel),COUNTIF(A$6:A285,fiche_sel),"")</f>
        <v/>
      </c>
    </row>
    <row r="286">
      <c r="A286" s="60" t="n"/>
      <c r="B286" s="73" t="n"/>
      <c r="C286" s="60" t="n"/>
      <c r="D286" s="61" t="n"/>
      <c r="E286" s="74" t="n"/>
      <c r="F286" s="74" t="n"/>
      <c r="G286" s="73" t="n"/>
      <c r="H286" s="66" t="str">
        <f>IF(M286&lt;&gt;"OK","",INDEX(po_mo,MATCH(D286,po_code,0)))</f>
        <v/>
      </c>
      <c r="I286" s="66" t="str">
        <f>IF(M286&lt;&gt;"OK","",INDEX(po_mac,MATCH(D286,po_code,0)))</f>
        <v/>
      </c>
      <c r="J286" s="66" t="str">
        <f>IF(M286&lt;&gt;"OK","",N(E286)*(H286*IF(G286="",1,G286)+I286))</f>
        <v/>
      </c>
      <c r="K286" s="66" t="str">
        <f>IF(M286&lt;&gt;"OK","",N(F286)/60*H286*IF(G286="",1,G286))</f>
        <v/>
      </c>
      <c r="L286" s="66" t="str">
        <f>IF(M286&lt;&gt;"OK","",N(F286)/60*I286)</f>
        <v/>
      </c>
      <c r="M286" s="69" t="str">
        <f>IF(AND(A286="",D286=""),"",IF(A286="","Produit manquant",IF(COUNTIF(prod_ref,A286)=0,"Produit inconnu",IF(D286="","Poste manquant",IF(ISNA(MATCH(D286,po_code,0)),"Poste inconnu",IF(INDEX(po_check,MATCH(D286,po_code,0))&lt;&gt;"OK","Poste à corriger",IF(AND(E286&lt;&gt;"",OR(NOT(ISNUMBER(E286)),N(E286)&lt;0)),"Réglage invalide",IF(AND(F286&lt;&gt;"",OR(NOT(ISNUMBER(F286)),N(F286)&lt;0)),"Temps par pièce invalide",IF(N(E286)+N(F286)=0,"Temps manquant",IF(AND(G286&lt;&gt;"",OR(NOT(ISNUMBER(G286)),N(G286)&lt;=0)),"Opérateurs invalide","OK"))))))))))</f>
        <v/>
      </c>
      <c r="N286" s="71" t="str">
        <f>IF(AND(fiche_sel&lt;&gt;"",A286=fiche_sel),COUNTIF(A$6:A286,fiche_sel),"")</f>
        <v/>
      </c>
    </row>
    <row r="287">
      <c r="A287" s="60" t="n"/>
      <c r="B287" s="73" t="n"/>
      <c r="C287" s="60" t="n"/>
      <c r="D287" s="61" t="n"/>
      <c r="E287" s="74" t="n"/>
      <c r="F287" s="74" t="n"/>
      <c r="G287" s="73" t="n"/>
      <c r="H287" s="66" t="str">
        <f>IF(M287&lt;&gt;"OK","",INDEX(po_mo,MATCH(D287,po_code,0)))</f>
        <v/>
      </c>
      <c r="I287" s="66" t="str">
        <f>IF(M287&lt;&gt;"OK","",INDEX(po_mac,MATCH(D287,po_code,0)))</f>
        <v/>
      </c>
      <c r="J287" s="66" t="str">
        <f>IF(M287&lt;&gt;"OK","",N(E287)*(H287*IF(G287="",1,G287)+I287))</f>
        <v/>
      </c>
      <c r="K287" s="66" t="str">
        <f>IF(M287&lt;&gt;"OK","",N(F287)/60*H287*IF(G287="",1,G287))</f>
        <v/>
      </c>
      <c r="L287" s="66" t="str">
        <f>IF(M287&lt;&gt;"OK","",N(F287)/60*I287)</f>
        <v/>
      </c>
      <c r="M287" s="69" t="str">
        <f>IF(AND(A287="",D287=""),"",IF(A287="","Produit manquant",IF(COUNTIF(prod_ref,A287)=0,"Produit inconnu",IF(D287="","Poste manquant",IF(ISNA(MATCH(D287,po_code,0)),"Poste inconnu",IF(INDEX(po_check,MATCH(D287,po_code,0))&lt;&gt;"OK","Poste à corriger",IF(AND(E287&lt;&gt;"",OR(NOT(ISNUMBER(E287)),N(E287)&lt;0)),"Réglage invalide",IF(AND(F287&lt;&gt;"",OR(NOT(ISNUMBER(F287)),N(F287)&lt;0)),"Temps par pièce invalide",IF(N(E287)+N(F287)=0,"Temps manquant",IF(AND(G287&lt;&gt;"",OR(NOT(ISNUMBER(G287)),N(G287)&lt;=0)),"Opérateurs invalide","OK"))))))))))</f>
        <v/>
      </c>
      <c r="N287" s="71" t="str">
        <f>IF(AND(fiche_sel&lt;&gt;"",A287=fiche_sel),COUNTIF(A$6:A287,fiche_sel),"")</f>
        <v/>
      </c>
    </row>
    <row r="288">
      <c r="A288" s="60" t="n"/>
      <c r="B288" s="73" t="n"/>
      <c r="C288" s="60" t="n"/>
      <c r="D288" s="61" t="n"/>
      <c r="E288" s="74" t="n"/>
      <c r="F288" s="74" t="n"/>
      <c r="G288" s="73" t="n"/>
      <c r="H288" s="66" t="str">
        <f>IF(M288&lt;&gt;"OK","",INDEX(po_mo,MATCH(D288,po_code,0)))</f>
        <v/>
      </c>
      <c r="I288" s="66" t="str">
        <f>IF(M288&lt;&gt;"OK","",INDEX(po_mac,MATCH(D288,po_code,0)))</f>
        <v/>
      </c>
      <c r="J288" s="66" t="str">
        <f>IF(M288&lt;&gt;"OK","",N(E288)*(H288*IF(G288="",1,G288)+I288))</f>
        <v/>
      </c>
      <c r="K288" s="66" t="str">
        <f>IF(M288&lt;&gt;"OK","",N(F288)/60*H288*IF(G288="",1,G288))</f>
        <v/>
      </c>
      <c r="L288" s="66" t="str">
        <f>IF(M288&lt;&gt;"OK","",N(F288)/60*I288)</f>
        <v/>
      </c>
      <c r="M288" s="69" t="str">
        <f>IF(AND(A288="",D288=""),"",IF(A288="","Produit manquant",IF(COUNTIF(prod_ref,A288)=0,"Produit inconnu",IF(D288="","Poste manquant",IF(ISNA(MATCH(D288,po_code,0)),"Poste inconnu",IF(INDEX(po_check,MATCH(D288,po_code,0))&lt;&gt;"OK","Poste à corriger",IF(AND(E288&lt;&gt;"",OR(NOT(ISNUMBER(E288)),N(E288)&lt;0)),"Réglage invalide",IF(AND(F288&lt;&gt;"",OR(NOT(ISNUMBER(F288)),N(F288)&lt;0)),"Temps par pièce invalide",IF(N(E288)+N(F288)=0,"Temps manquant",IF(AND(G288&lt;&gt;"",OR(NOT(ISNUMBER(G288)),N(G288)&lt;=0)),"Opérateurs invalide","OK"))))))))))</f>
        <v/>
      </c>
      <c r="N288" s="71" t="str">
        <f>IF(AND(fiche_sel&lt;&gt;"",A288=fiche_sel),COUNTIF(A$6:A288,fiche_sel),"")</f>
        <v/>
      </c>
    </row>
    <row r="289">
      <c r="A289" s="60" t="n"/>
      <c r="B289" s="73" t="n"/>
      <c r="C289" s="60" t="n"/>
      <c r="D289" s="61" t="n"/>
      <c r="E289" s="74" t="n"/>
      <c r="F289" s="74" t="n"/>
      <c r="G289" s="73" t="n"/>
      <c r="H289" s="66" t="str">
        <f>IF(M289&lt;&gt;"OK","",INDEX(po_mo,MATCH(D289,po_code,0)))</f>
        <v/>
      </c>
      <c r="I289" s="66" t="str">
        <f>IF(M289&lt;&gt;"OK","",INDEX(po_mac,MATCH(D289,po_code,0)))</f>
        <v/>
      </c>
      <c r="J289" s="66" t="str">
        <f>IF(M289&lt;&gt;"OK","",N(E289)*(H289*IF(G289="",1,G289)+I289))</f>
        <v/>
      </c>
      <c r="K289" s="66" t="str">
        <f>IF(M289&lt;&gt;"OK","",N(F289)/60*H289*IF(G289="",1,G289))</f>
        <v/>
      </c>
      <c r="L289" s="66" t="str">
        <f>IF(M289&lt;&gt;"OK","",N(F289)/60*I289)</f>
        <v/>
      </c>
      <c r="M289" s="69" t="str">
        <f>IF(AND(A289="",D289=""),"",IF(A289="","Produit manquant",IF(COUNTIF(prod_ref,A289)=0,"Produit inconnu",IF(D289="","Poste manquant",IF(ISNA(MATCH(D289,po_code,0)),"Poste inconnu",IF(INDEX(po_check,MATCH(D289,po_code,0))&lt;&gt;"OK","Poste à corriger",IF(AND(E289&lt;&gt;"",OR(NOT(ISNUMBER(E289)),N(E289)&lt;0)),"Réglage invalide",IF(AND(F289&lt;&gt;"",OR(NOT(ISNUMBER(F289)),N(F289)&lt;0)),"Temps par pièce invalide",IF(N(E289)+N(F289)=0,"Temps manquant",IF(AND(G289&lt;&gt;"",OR(NOT(ISNUMBER(G289)),N(G289)&lt;=0)),"Opérateurs invalide","OK"))))))))))</f>
        <v/>
      </c>
      <c r="N289" s="71" t="str">
        <f>IF(AND(fiche_sel&lt;&gt;"",A289=fiche_sel),COUNTIF(A$6:A289,fiche_sel),"")</f>
        <v/>
      </c>
    </row>
    <row r="290">
      <c r="A290" s="60" t="n"/>
      <c r="B290" s="73" t="n"/>
      <c r="C290" s="60" t="n"/>
      <c r="D290" s="61" t="n"/>
      <c r="E290" s="74" t="n"/>
      <c r="F290" s="74" t="n"/>
      <c r="G290" s="73" t="n"/>
      <c r="H290" s="66" t="str">
        <f>IF(M290&lt;&gt;"OK","",INDEX(po_mo,MATCH(D290,po_code,0)))</f>
        <v/>
      </c>
      <c r="I290" s="66" t="str">
        <f>IF(M290&lt;&gt;"OK","",INDEX(po_mac,MATCH(D290,po_code,0)))</f>
        <v/>
      </c>
      <c r="J290" s="66" t="str">
        <f>IF(M290&lt;&gt;"OK","",N(E290)*(H290*IF(G290="",1,G290)+I290))</f>
        <v/>
      </c>
      <c r="K290" s="66" t="str">
        <f>IF(M290&lt;&gt;"OK","",N(F290)/60*H290*IF(G290="",1,G290))</f>
        <v/>
      </c>
      <c r="L290" s="66" t="str">
        <f>IF(M290&lt;&gt;"OK","",N(F290)/60*I290)</f>
        <v/>
      </c>
      <c r="M290" s="69" t="str">
        <f>IF(AND(A290="",D290=""),"",IF(A290="","Produit manquant",IF(COUNTIF(prod_ref,A290)=0,"Produit inconnu",IF(D290="","Poste manquant",IF(ISNA(MATCH(D290,po_code,0)),"Poste inconnu",IF(INDEX(po_check,MATCH(D290,po_code,0))&lt;&gt;"OK","Poste à corriger",IF(AND(E290&lt;&gt;"",OR(NOT(ISNUMBER(E290)),N(E290)&lt;0)),"Réglage invalide",IF(AND(F290&lt;&gt;"",OR(NOT(ISNUMBER(F290)),N(F290)&lt;0)),"Temps par pièce invalide",IF(N(E290)+N(F290)=0,"Temps manquant",IF(AND(G290&lt;&gt;"",OR(NOT(ISNUMBER(G290)),N(G290)&lt;=0)),"Opérateurs invalide","OK"))))))))))</f>
        <v/>
      </c>
      <c r="N290" s="71" t="str">
        <f>IF(AND(fiche_sel&lt;&gt;"",A290=fiche_sel),COUNTIF(A$6:A290,fiche_sel),"")</f>
        <v/>
      </c>
    </row>
    <row r="291">
      <c r="A291" s="60" t="n"/>
      <c r="B291" s="73" t="n"/>
      <c r="C291" s="60" t="n"/>
      <c r="D291" s="61" t="n"/>
      <c r="E291" s="74" t="n"/>
      <c r="F291" s="74" t="n"/>
      <c r="G291" s="73" t="n"/>
      <c r="H291" s="66" t="str">
        <f>IF(M291&lt;&gt;"OK","",INDEX(po_mo,MATCH(D291,po_code,0)))</f>
        <v/>
      </c>
      <c r="I291" s="66" t="str">
        <f>IF(M291&lt;&gt;"OK","",INDEX(po_mac,MATCH(D291,po_code,0)))</f>
        <v/>
      </c>
      <c r="J291" s="66" t="str">
        <f>IF(M291&lt;&gt;"OK","",N(E291)*(H291*IF(G291="",1,G291)+I291))</f>
        <v/>
      </c>
      <c r="K291" s="66" t="str">
        <f>IF(M291&lt;&gt;"OK","",N(F291)/60*H291*IF(G291="",1,G291))</f>
        <v/>
      </c>
      <c r="L291" s="66" t="str">
        <f>IF(M291&lt;&gt;"OK","",N(F291)/60*I291)</f>
        <v/>
      </c>
      <c r="M291" s="69" t="str">
        <f>IF(AND(A291="",D291=""),"",IF(A291="","Produit manquant",IF(COUNTIF(prod_ref,A291)=0,"Produit inconnu",IF(D291="","Poste manquant",IF(ISNA(MATCH(D291,po_code,0)),"Poste inconnu",IF(INDEX(po_check,MATCH(D291,po_code,0))&lt;&gt;"OK","Poste à corriger",IF(AND(E291&lt;&gt;"",OR(NOT(ISNUMBER(E291)),N(E291)&lt;0)),"Réglage invalide",IF(AND(F291&lt;&gt;"",OR(NOT(ISNUMBER(F291)),N(F291)&lt;0)),"Temps par pièce invalide",IF(N(E291)+N(F291)=0,"Temps manquant",IF(AND(G291&lt;&gt;"",OR(NOT(ISNUMBER(G291)),N(G291)&lt;=0)),"Opérateurs invalide","OK"))))))))))</f>
        <v/>
      </c>
      <c r="N291" s="71" t="str">
        <f>IF(AND(fiche_sel&lt;&gt;"",A291=fiche_sel),COUNTIF(A$6:A291,fiche_sel),"")</f>
        <v/>
      </c>
    </row>
    <row r="292">
      <c r="A292" s="60" t="n"/>
      <c r="B292" s="73" t="n"/>
      <c r="C292" s="60" t="n"/>
      <c r="D292" s="61" t="n"/>
      <c r="E292" s="74" t="n"/>
      <c r="F292" s="74" t="n"/>
      <c r="G292" s="73" t="n"/>
      <c r="H292" s="66" t="str">
        <f>IF(M292&lt;&gt;"OK","",INDEX(po_mo,MATCH(D292,po_code,0)))</f>
        <v/>
      </c>
      <c r="I292" s="66" t="str">
        <f>IF(M292&lt;&gt;"OK","",INDEX(po_mac,MATCH(D292,po_code,0)))</f>
        <v/>
      </c>
      <c r="J292" s="66" t="str">
        <f>IF(M292&lt;&gt;"OK","",N(E292)*(H292*IF(G292="",1,G292)+I292))</f>
        <v/>
      </c>
      <c r="K292" s="66" t="str">
        <f>IF(M292&lt;&gt;"OK","",N(F292)/60*H292*IF(G292="",1,G292))</f>
        <v/>
      </c>
      <c r="L292" s="66" t="str">
        <f>IF(M292&lt;&gt;"OK","",N(F292)/60*I292)</f>
        <v/>
      </c>
      <c r="M292" s="69" t="str">
        <f>IF(AND(A292="",D292=""),"",IF(A292="","Produit manquant",IF(COUNTIF(prod_ref,A292)=0,"Produit inconnu",IF(D292="","Poste manquant",IF(ISNA(MATCH(D292,po_code,0)),"Poste inconnu",IF(INDEX(po_check,MATCH(D292,po_code,0))&lt;&gt;"OK","Poste à corriger",IF(AND(E292&lt;&gt;"",OR(NOT(ISNUMBER(E292)),N(E292)&lt;0)),"Réglage invalide",IF(AND(F292&lt;&gt;"",OR(NOT(ISNUMBER(F292)),N(F292)&lt;0)),"Temps par pièce invalide",IF(N(E292)+N(F292)=0,"Temps manquant",IF(AND(G292&lt;&gt;"",OR(NOT(ISNUMBER(G292)),N(G292)&lt;=0)),"Opérateurs invalide","OK"))))))))))</f>
        <v/>
      </c>
      <c r="N292" s="71" t="str">
        <f>IF(AND(fiche_sel&lt;&gt;"",A292=fiche_sel),COUNTIF(A$6:A292,fiche_sel),"")</f>
        <v/>
      </c>
    </row>
    <row r="293">
      <c r="A293" s="60" t="n"/>
      <c r="B293" s="73" t="n"/>
      <c r="C293" s="60" t="n"/>
      <c r="D293" s="61" t="n"/>
      <c r="E293" s="74" t="n"/>
      <c r="F293" s="74" t="n"/>
      <c r="G293" s="73" t="n"/>
      <c r="H293" s="66" t="str">
        <f>IF(M293&lt;&gt;"OK","",INDEX(po_mo,MATCH(D293,po_code,0)))</f>
        <v/>
      </c>
      <c r="I293" s="66" t="str">
        <f>IF(M293&lt;&gt;"OK","",INDEX(po_mac,MATCH(D293,po_code,0)))</f>
        <v/>
      </c>
      <c r="J293" s="66" t="str">
        <f>IF(M293&lt;&gt;"OK","",N(E293)*(H293*IF(G293="",1,G293)+I293))</f>
        <v/>
      </c>
      <c r="K293" s="66" t="str">
        <f>IF(M293&lt;&gt;"OK","",N(F293)/60*H293*IF(G293="",1,G293))</f>
        <v/>
      </c>
      <c r="L293" s="66" t="str">
        <f>IF(M293&lt;&gt;"OK","",N(F293)/60*I293)</f>
        <v/>
      </c>
      <c r="M293" s="69" t="str">
        <f>IF(AND(A293="",D293=""),"",IF(A293="","Produit manquant",IF(COUNTIF(prod_ref,A293)=0,"Produit inconnu",IF(D293="","Poste manquant",IF(ISNA(MATCH(D293,po_code,0)),"Poste inconnu",IF(INDEX(po_check,MATCH(D293,po_code,0))&lt;&gt;"OK","Poste à corriger",IF(AND(E293&lt;&gt;"",OR(NOT(ISNUMBER(E293)),N(E293)&lt;0)),"Réglage invalide",IF(AND(F293&lt;&gt;"",OR(NOT(ISNUMBER(F293)),N(F293)&lt;0)),"Temps par pièce invalide",IF(N(E293)+N(F293)=0,"Temps manquant",IF(AND(G293&lt;&gt;"",OR(NOT(ISNUMBER(G293)),N(G293)&lt;=0)),"Opérateurs invalide","OK"))))))))))</f>
        <v/>
      </c>
      <c r="N293" s="71" t="str">
        <f>IF(AND(fiche_sel&lt;&gt;"",A293=fiche_sel),COUNTIF(A$6:A293,fiche_sel),"")</f>
        <v/>
      </c>
    </row>
    <row r="294">
      <c r="A294" s="60" t="n"/>
      <c r="B294" s="73" t="n"/>
      <c r="C294" s="60" t="n"/>
      <c r="D294" s="61" t="n"/>
      <c r="E294" s="74" t="n"/>
      <c r="F294" s="74" t="n"/>
      <c r="G294" s="73" t="n"/>
      <c r="H294" s="66" t="str">
        <f>IF(M294&lt;&gt;"OK","",INDEX(po_mo,MATCH(D294,po_code,0)))</f>
        <v/>
      </c>
      <c r="I294" s="66" t="str">
        <f>IF(M294&lt;&gt;"OK","",INDEX(po_mac,MATCH(D294,po_code,0)))</f>
        <v/>
      </c>
      <c r="J294" s="66" t="str">
        <f>IF(M294&lt;&gt;"OK","",N(E294)*(H294*IF(G294="",1,G294)+I294))</f>
        <v/>
      </c>
      <c r="K294" s="66" t="str">
        <f>IF(M294&lt;&gt;"OK","",N(F294)/60*H294*IF(G294="",1,G294))</f>
        <v/>
      </c>
      <c r="L294" s="66" t="str">
        <f>IF(M294&lt;&gt;"OK","",N(F294)/60*I294)</f>
        <v/>
      </c>
      <c r="M294" s="69" t="str">
        <f>IF(AND(A294="",D294=""),"",IF(A294="","Produit manquant",IF(COUNTIF(prod_ref,A294)=0,"Produit inconnu",IF(D294="","Poste manquant",IF(ISNA(MATCH(D294,po_code,0)),"Poste inconnu",IF(INDEX(po_check,MATCH(D294,po_code,0))&lt;&gt;"OK","Poste à corriger",IF(AND(E294&lt;&gt;"",OR(NOT(ISNUMBER(E294)),N(E294)&lt;0)),"Réglage invalide",IF(AND(F294&lt;&gt;"",OR(NOT(ISNUMBER(F294)),N(F294)&lt;0)),"Temps par pièce invalide",IF(N(E294)+N(F294)=0,"Temps manquant",IF(AND(G294&lt;&gt;"",OR(NOT(ISNUMBER(G294)),N(G294)&lt;=0)),"Opérateurs invalide","OK"))))))))))</f>
        <v/>
      </c>
      <c r="N294" s="71" t="str">
        <f>IF(AND(fiche_sel&lt;&gt;"",A294=fiche_sel),COUNTIF(A$6:A294,fiche_sel),"")</f>
        <v/>
      </c>
    </row>
    <row r="295">
      <c r="A295" s="60" t="n"/>
      <c r="B295" s="73" t="n"/>
      <c r="C295" s="60" t="n"/>
      <c r="D295" s="61" t="n"/>
      <c r="E295" s="74" t="n"/>
      <c r="F295" s="74" t="n"/>
      <c r="G295" s="73" t="n"/>
      <c r="H295" s="66" t="str">
        <f>IF(M295&lt;&gt;"OK","",INDEX(po_mo,MATCH(D295,po_code,0)))</f>
        <v/>
      </c>
      <c r="I295" s="66" t="str">
        <f>IF(M295&lt;&gt;"OK","",INDEX(po_mac,MATCH(D295,po_code,0)))</f>
        <v/>
      </c>
      <c r="J295" s="66" t="str">
        <f>IF(M295&lt;&gt;"OK","",N(E295)*(H295*IF(G295="",1,G295)+I295))</f>
        <v/>
      </c>
      <c r="K295" s="66" t="str">
        <f>IF(M295&lt;&gt;"OK","",N(F295)/60*H295*IF(G295="",1,G295))</f>
        <v/>
      </c>
      <c r="L295" s="66" t="str">
        <f>IF(M295&lt;&gt;"OK","",N(F295)/60*I295)</f>
        <v/>
      </c>
      <c r="M295" s="69" t="str">
        <f>IF(AND(A295="",D295=""),"",IF(A295="","Produit manquant",IF(COUNTIF(prod_ref,A295)=0,"Produit inconnu",IF(D295="","Poste manquant",IF(ISNA(MATCH(D295,po_code,0)),"Poste inconnu",IF(INDEX(po_check,MATCH(D295,po_code,0))&lt;&gt;"OK","Poste à corriger",IF(AND(E295&lt;&gt;"",OR(NOT(ISNUMBER(E295)),N(E295)&lt;0)),"Réglage invalide",IF(AND(F295&lt;&gt;"",OR(NOT(ISNUMBER(F295)),N(F295)&lt;0)),"Temps par pièce invalide",IF(N(E295)+N(F295)=0,"Temps manquant",IF(AND(G295&lt;&gt;"",OR(NOT(ISNUMBER(G295)),N(G295)&lt;=0)),"Opérateurs invalide","OK"))))))))))</f>
        <v/>
      </c>
      <c r="N295" s="71" t="str">
        <f>IF(AND(fiche_sel&lt;&gt;"",A295=fiche_sel),COUNTIF(A$6:A295,fiche_sel),"")</f>
        <v/>
      </c>
    </row>
    <row r="296">
      <c r="A296" s="60" t="n"/>
      <c r="B296" s="73" t="n"/>
      <c r="C296" s="60" t="n"/>
      <c r="D296" s="61" t="n"/>
      <c r="E296" s="74" t="n"/>
      <c r="F296" s="74" t="n"/>
      <c r="G296" s="73" t="n"/>
      <c r="H296" s="66" t="str">
        <f>IF(M296&lt;&gt;"OK","",INDEX(po_mo,MATCH(D296,po_code,0)))</f>
        <v/>
      </c>
      <c r="I296" s="66" t="str">
        <f>IF(M296&lt;&gt;"OK","",INDEX(po_mac,MATCH(D296,po_code,0)))</f>
        <v/>
      </c>
      <c r="J296" s="66" t="str">
        <f>IF(M296&lt;&gt;"OK","",N(E296)*(H296*IF(G296="",1,G296)+I296))</f>
        <v/>
      </c>
      <c r="K296" s="66" t="str">
        <f>IF(M296&lt;&gt;"OK","",N(F296)/60*H296*IF(G296="",1,G296))</f>
        <v/>
      </c>
      <c r="L296" s="66" t="str">
        <f>IF(M296&lt;&gt;"OK","",N(F296)/60*I296)</f>
        <v/>
      </c>
      <c r="M296" s="69" t="str">
        <f>IF(AND(A296="",D296=""),"",IF(A296="","Produit manquant",IF(COUNTIF(prod_ref,A296)=0,"Produit inconnu",IF(D296="","Poste manquant",IF(ISNA(MATCH(D296,po_code,0)),"Poste inconnu",IF(INDEX(po_check,MATCH(D296,po_code,0))&lt;&gt;"OK","Poste à corriger",IF(AND(E296&lt;&gt;"",OR(NOT(ISNUMBER(E296)),N(E296)&lt;0)),"Réglage invalide",IF(AND(F296&lt;&gt;"",OR(NOT(ISNUMBER(F296)),N(F296)&lt;0)),"Temps par pièce invalide",IF(N(E296)+N(F296)=0,"Temps manquant",IF(AND(G296&lt;&gt;"",OR(NOT(ISNUMBER(G296)),N(G296)&lt;=0)),"Opérateurs invalide","OK"))))))))))</f>
        <v/>
      </c>
      <c r="N296" s="71" t="str">
        <f>IF(AND(fiche_sel&lt;&gt;"",A296=fiche_sel),COUNTIF(A$6:A296,fiche_sel),"")</f>
        <v/>
      </c>
    </row>
    <row r="297">
      <c r="A297" s="60" t="n"/>
      <c r="B297" s="73" t="n"/>
      <c r="C297" s="60" t="n"/>
      <c r="D297" s="61" t="n"/>
      <c r="E297" s="74" t="n"/>
      <c r="F297" s="74" t="n"/>
      <c r="G297" s="73" t="n"/>
      <c r="H297" s="66" t="str">
        <f>IF(M297&lt;&gt;"OK","",INDEX(po_mo,MATCH(D297,po_code,0)))</f>
        <v/>
      </c>
      <c r="I297" s="66" t="str">
        <f>IF(M297&lt;&gt;"OK","",INDEX(po_mac,MATCH(D297,po_code,0)))</f>
        <v/>
      </c>
      <c r="J297" s="66" t="str">
        <f>IF(M297&lt;&gt;"OK","",N(E297)*(H297*IF(G297="",1,G297)+I297))</f>
        <v/>
      </c>
      <c r="K297" s="66" t="str">
        <f>IF(M297&lt;&gt;"OK","",N(F297)/60*H297*IF(G297="",1,G297))</f>
        <v/>
      </c>
      <c r="L297" s="66" t="str">
        <f>IF(M297&lt;&gt;"OK","",N(F297)/60*I297)</f>
        <v/>
      </c>
      <c r="M297" s="69" t="str">
        <f>IF(AND(A297="",D297=""),"",IF(A297="","Produit manquant",IF(COUNTIF(prod_ref,A297)=0,"Produit inconnu",IF(D297="","Poste manquant",IF(ISNA(MATCH(D297,po_code,0)),"Poste inconnu",IF(INDEX(po_check,MATCH(D297,po_code,0))&lt;&gt;"OK","Poste à corriger",IF(AND(E297&lt;&gt;"",OR(NOT(ISNUMBER(E297)),N(E297)&lt;0)),"Réglage invalide",IF(AND(F297&lt;&gt;"",OR(NOT(ISNUMBER(F297)),N(F297)&lt;0)),"Temps par pièce invalide",IF(N(E297)+N(F297)=0,"Temps manquant",IF(AND(G297&lt;&gt;"",OR(NOT(ISNUMBER(G297)),N(G297)&lt;=0)),"Opérateurs invalide","OK"))))))))))</f>
        <v/>
      </c>
      <c r="N297" s="71" t="str">
        <f>IF(AND(fiche_sel&lt;&gt;"",A297=fiche_sel),COUNTIF(A$6:A297,fiche_sel),"")</f>
        <v/>
      </c>
    </row>
    <row r="298">
      <c r="A298" s="60" t="n"/>
      <c r="B298" s="73" t="n"/>
      <c r="C298" s="60" t="n"/>
      <c r="D298" s="61" t="n"/>
      <c r="E298" s="74" t="n"/>
      <c r="F298" s="74" t="n"/>
      <c r="G298" s="73" t="n"/>
      <c r="H298" s="66" t="str">
        <f>IF(M298&lt;&gt;"OK","",INDEX(po_mo,MATCH(D298,po_code,0)))</f>
        <v/>
      </c>
      <c r="I298" s="66" t="str">
        <f>IF(M298&lt;&gt;"OK","",INDEX(po_mac,MATCH(D298,po_code,0)))</f>
        <v/>
      </c>
      <c r="J298" s="66" t="str">
        <f>IF(M298&lt;&gt;"OK","",N(E298)*(H298*IF(G298="",1,G298)+I298))</f>
        <v/>
      </c>
      <c r="K298" s="66" t="str">
        <f>IF(M298&lt;&gt;"OK","",N(F298)/60*H298*IF(G298="",1,G298))</f>
        <v/>
      </c>
      <c r="L298" s="66" t="str">
        <f>IF(M298&lt;&gt;"OK","",N(F298)/60*I298)</f>
        <v/>
      </c>
      <c r="M298" s="69" t="str">
        <f>IF(AND(A298="",D298=""),"",IF(A298="","Produit manquant",IF(COUNTIF(prod_ref,A298)=0,"Produit inconnu",IF(D298="","Poste manquant",IF(ISNA(MATCH(D298,po_code,0)),"Poste inconnu",IF(INDEX(po_check,MATCH(D298,po_code,0))&lt;&gt;"OK","Poste à corriger",IF(AND(E298&lt;&gt;"",OR(NOT(ISNUMBER(E298)),N(E298)&lt;0)),"Réglage invalide",IF(AND(F298&lt;&gt;"",OR(NOT(ISNUMBER(F298)),N(F298)&lt;0)),"Temps par pièce invalide",IF(N(E298)+N(F298)=0,"Temps manquant",IF(AND(G298&lt;&gt;"",OR(NOT(ISNUMBER(G298)),N(G298)&lt;=0)),"Opérateurs invalide","OK"))))))))))</f>
        <v/>
      </c>
      <c r="N298" s="71" t="str">
        <f>IF(AND(fiche_sel&lt;&gt;"",A298=fiche_sel),COUNTIF(A$6:A298,fiche_sel),"")</f>
        <v/>
      </c>
    </row>
    <row r="299">
      <c r="A299" s="60" t="n"/>
      <c r="B299" s="73" t="n"/>
      <c r="C299" s="60" t="n"/>
      <c r="D299" s="61" t="n"/>
      <c r="E299" s="74" t="n"/>
      <c r="F299" s="74" t="n"/>
      <c r="G299" s="73" t="n"/>
      <c r="H299" s="66" t="str">
        <f>IF(M299&lt;&gt;"OK","",INDEX(po_mo,MATCH(D299,po_code,0)))</f>
        <v/>
      </c>
      <c r="I299" s="66" t="str">
        <f>IF(M299&lt;&gt;"OK","",INDEX(po_mac,MATCH(D299,po_code,0)))</f>
        <v/>
      </c>
      <c r="J299" s="66" t="str">
        <f>IF(M299&lt;&gt;"OK","",N(E299)*(H299*IF(G299="",1,G299)+I299))</f>
        <v/>
      </c>
      <c r="K299" s="66" t="str">
        <f>IF(M299&lt;&gt;"OK","",N(F299)/60*H299*IF(G299="",1,G299))</f>
        <v/>
      </c>
      <c r="L299" s="66" t="str">
        <f>IF(M299&lt;&gt;"OK","",N(F299)/60*I299)</f>
        <v/>
      </c>
      <c r="M299" s="69" t="str">
        <f>IF(AND(A299="",D299=""),"",IF(A299="","Produit manquant",IF(COUNTIF(prod_ref,A299)=0,"Produit inconnu",IF(D299="","Poste manquant",IF(ISNA(MATCH(D299,po_code,0)),"Poste inconnu",IF(INDEX(po_check,MATCH(D299,po_code,0))&lt;&gt;"OK","Poste à corriger",IF(AND(E299&lt;&gt;"",OR(NOT(ISNUMBER(E299)),N(E299)&lt;0)),"Réglage invalide",IF(AND(F299&lt;&gt;"",OR(NOT(ISNUMBER(F299)),N(F299)&lt;0)),"Temps par pièce invalide",IF(N(E299)+N(F299)=0,"Temps manquant",IF(AND(G299&lt;&gt;"",OR(NOT(ISNUMBER(G299)),N(G299)&lt;=0)),"Opérateurs invalide","OK"))))))))))</f>
        <v/>
      </c>
      <c r="N299" s="71" t="str">
        <f>IF(AND(fiche_sel&lt;&gt;"",A299=fiche_sel),COUNTIF(A$6:A299,fiche_sel),"")</f>
        <v/>
      </c>
    </row>
    <row r="300">
      <c r="A300" s="60" t="n"/>
      <c r="B300" s="73" t="n"/>
      <c r="C300" s="60" t="n"/>
      <c r="D300" s="61" t="n"/>
      <c r="E300" s="74" t="n"/>
      <c r="F300" s="74" t="n"/>
      <c r="G300" s="73" t="n"/>
      <c r="H300" s="66" t="str">
        <f>IF(M300&lt;&gt;"OK","",INDEX(po_mo,MATCH(D300,po_code,0)))</f>
        <v/>
      </c>
      <c r="I300" s="66" t="str">
        <f>IF(M300&lt;&gt;"OK","",INDEX(po_mac,MATCH(D300,po_code,0)))</f>
        <v/>
      </c>
      <c r="J300" s="66" t="str">
        <f>IF(M300&lt;&gt;"OK","",N(E300)*(H300*IF(G300="",1,G300)+I300))</f>
        <v/>
      </c>
      <c r="K300" s="66" t="str">
        <f>IF(M300&lt;&gt;"OK","",N(F300)/60*H300*IF(G300="",1,G300))</f>
        <v/>
      </c>
      <c r="L300" s="66" t="str">
        <f>IF(M300&lt;&gt;"OK","",N(F300)/60*I300)</f>
        <v/>
      </c>
      <c r="M300" s="69" t="str">
        <f>IF(AND(A300="",D300=""),"",IF(A300="","Produit manquant",IF(COUNTIF(prod_ref,A300)=0,"Produit inconnu",IF(D300="","Poste manquant",IF(ISNA(MATCH(D300,po_code,0)),"Poste inconnu",IF(INDEX(po_check,MATCH(D300,po_code,0))&lt;&gt;"OK","Poste à corriger",IF(AND(E300&lt;&gt;"",OR(NOT(ISNUMBER(E300)),N(E300)&lt;0)),"Réglage invalide",IF(AND(F300&lt;&gt;"",OR(NOT(ISNUMBER(F300)),N(F300)&lt;0)),"Temps par pièce invalide",IF(N(E300)+N(F300)=0,"Temps manquant",IF(AND(G300&lt;&gt;"",OR(NOT(ISNUMBER(G300)),N(G300)&lt;=0)),"Opérateurs invalide","OK"))))))))))</f>
        <v/>
      </c>
      <c r="N300" s="71" t="str">
        <f>IF(AND(fiche_sel&lt;&gt;"",A300=fiche_sel),COUNTIF(A$6:A300,fiche_sel),"")</f>
        <v/>
      </c>
    </row>
    <row r="301">
      <c r="A301" s="60" t="n"/>
      <c r="B301" s="73" t="n"/>
      <c r="C301" s="60" t="n"/>
      <c r="D301" s="61" t="n"/>
      <c r="E301" s="74" t="n"/>
      <c r="F301" s="74" t="n"/>
      <c r="G301" s="73" t="n"/>
      <c r="H301" s="66" t="str">
        <f>IF(M301&lt;&gt;"OK","",INDEX(po_mo,MATCH(D301,po_code,0)))</f>
        <v/>
      </c>
      <c r="I301" s="66" t="str">
        <f>IF(M301&lt;&gt;"OK","",INDEX(po_mac,MATCH(D301,po_code,0)))</f>
        <v/>
      </c>
      <c r="J301" s="66" t="str">
        <f>IF(M301&lt;&gt;"OK","",N(E301)*(H301*IF(G301="",1,G301)+I301))</f>
        <v/>
      </c>
      <c r="K301" s="66" t="str">
        <f>IF(M301&lt;&gt;"OK","",N(F301)/60*H301*IF(G301="",1,G301))</f>
        <v/>
      </c>
      <c r="L301" s="66" t="str">
        <f>IF(M301&lt;&gt;"OK","",N(F301)/60*I301)</f>
        <v/>
      </c>
      <c r="M301" s="69" t="str">
        <f>IF(AND(A301="",D301=""),"",IF(A301="","Produit manquant",IF(COUNTIF(prod_ref,A301)=0,"Produit inconnu",IF(D301="","Poste manquant",IF(ISNA(MATCH(D301,po_code,0)),"Poste inconnu",IF(INDEX(po_check,MATCH(D301,po_code,0))&lt;&gt;"OK","Poste à corriger",IF(AND(E301&lt;&gt;"",OR(NOT(ISNUMBER(E301)),N(E301)&lt;0)),"Réglage invalide",IF(AND(F301&lt;&gt;"",OR(NOT(ISNUMBER(F301)),N(F301)&lt;0)),"Temps par pièce invalide",IF(N(E301)+N(F301)=0,"Temps manquant",IF(AND(G301&lt;&gt;"",OR(NOT(ISNUMBER(G301)),N(G301)&lt;=0)),"Opérateurs invalide","OK"))))))))))</f>
        <v/>
      </c>
      <c r="N301" s="71" t="str">
        <f>IF(AND(fiche_sel&lt;&gt;"",A301=fiche_sel),COUNTIF(A$6:A301,fiche_sel),"")</f>
        <v/>
      </c>
    </row>
    <row r="302">
      <c r="A302" s="60" t="n"/>
      <c r="B302" s="73" t="n"/>
      <c r="C302" s="60" t="n"/>
      <c r="D302" s="61" t="n"/>
      <c r="E302" s="74" t="n"/>
      <c r="F302" s="74" t="n"/>
      <c r="G302" s="73" t="n"/>
      <c r="H302" s="66" t="str">
        <f>IF(M302&lt;&gt;"OK","",INDEX(po_mo,MATCH(D302,po_code,0)))</f>
        <v/>
      </c>
      <c r="I302" s="66" t="str">
        <f>IF(M302&lt;&gt;"OK","",INDEX(po_mac,MATCH(D302,po_code,0)))</f>
        <v/>
      </c>
      <c r="J302" s="66" t="str">
        <f>IF(M302&lt;&gt;"OK","",N(E302)*(H302*IF(G302="",1,G302)+I302))</f>
        <v/>
      </c>
      <c r="K302" s="66" t="str">
        <f>IF(M302&lt;&gt;"OK","",N(F302)/60*H302*IF(G302="",1,G302))</f>
        <v/>
      </c>
      <c r="L302" s="66" t="str">
        <f>IF(M302&lt;&gt;"OK","",N(F302)/60*I302)</f>
        <v/>
      </c>
      <c r="M302" s="69" t="str">
        <f>IF(AND(A302="",D302=""),"",IF(A302="","Produit manquant",IF(COUNTIF(prod_ref,A302)=0,"Produit inconnu",IF(D302="","Poste manquant",IF(ISNA(MATCH(D302,po_code,0)),"Poste inconnu",IF(INDEX(po_check,MATCH(D302,po_code,0))&lt;&gt;"OK","Poste à corriger",IF(AND(E302&lt;&gt;"",OR(NOT(ISNUMBER(E302)),N(E302)&lt;0)),"Réglage invalide",IF(AND(F302&lt;&gt;"",OR(NOT(ISNUMBER(F302)),N(F302)&lt;0)),"Temps par pièce invalide",IF(N(E302)+N(F302)=0,"Temps manquant",IF(AND(G302&lt;&gt;"",OR(NOT(ISNUMBER(G302)),N(G302)&lt;=0)),"Opérateurs invalide","OK"))))))))))</f>
        <v/>
      </c>
      <c r="N302" s="71" t="str">
        <f>IF(AND(fiche_sel&lt;&gt;"",A302=fiche_sel),COUNTIF(A$6:A302,fiche_sel),"")</f>
        <v/>
      </c>
    </row>
    <row r="303">
      <c r="A303" s="60" t="n"/>
      <c r="B303" s="73" t="n"/>
      <c r="C303" s="60" t="n"/>
      <c r="D303" s="61" t="n"/>
      <c r="E303" s="74" t="n"/>
      <c r="F303" s="74" t="n"/>
      <c r="G303" s="73" t="n"/>
      <c r="H303" s="66" t="str">
        <f>IF(M303&lt;&gt;"OK","",INDEX(po_mo,MATCH(D303,po_code,0)))</f>
        <v/>
      </c>
      <c r="I303" s="66" t="str">
        <f>IF(M303&lt;&gt;"OK","",INDEX(po_mac,MATCH(D303,po_code,0)))</f>
        <v/>
      </c>
      <c r="J303" s="66" t="str">
        <f>IF(M303&lt;&gt;"OK","",N(E303)*(H303*IF(G303="",1,G303)+I303))</f>
        <v/>
      </c>
      <c r="K303" s="66" t="str">
        <f>IF(M303&lt;&gt;"OK","",N(F303)/60*H303*IF(G303="",1,G303))</f>
        <v/>
      </c>
      <c r="L303" s="66" t="str">
        <f>IF(M303&lt;&gt;"OK","",N(F303)/60*I303)</f>
        <v/>
      </c>
      <c r="M303" s="69" t="str">
        <f>IF(AND(A303="",D303=""),"",IF(A303="","Produit manquant",IF(COUNTIF(prod_ref,A303)=0,"Produit inconnu",IF(D303="","Poste manquant",IF(ISNA(MATCH(D303,po_code,0)),"Poste inconnu",IF(INDEX(po_check,MATCH(D303,po_code,0))&lt;&gt;"OK","Poste à corriger",IF(AND(E303&lt;&gt;"",OR(NOT(ISNUMBER(E303)),N(E303)&lt;0)),"Réglage invalide",IF(AND(F303&lt;&gt;"",OR(NOT(ISNUMBER(F303)),N(F303)&lt;0)),"Temps par pièce invalide",IF(N(E303)+N(F303)=0,"Temps manquant",IF(AND(G303&lt;&gt;"",OR(NOT(ISNUMBER(G303)),N(G303)&lt;=0)),"Opérateurs invalide","OK"))))))))))</f>
        <v/>
      </c>
      <c r="N303" s="71" t="str">
        <f>IF(AND(fiche_sel&lt;&gt;"",A303=fiche_sel),COUNTIF(A$6:A303,fiche_sel),"")</f>
        <v/>
      </c>
    </row>
    <row r="304">
      <c r="A304" s="60" t="n"/>
      <c r="B304" s="73" t="n"/>
      <c r="C304" s="60" t="n"/>
      <c r="D304" s="61" t="n"/>
      <c r="E304" s="74" t="n"/>
      <c r="F304" s="74" t="n"/>
      <c r="G304" s="73" t="n"/>
      <c r="H304" s="66" t="str">
        <f>IF(M304&lt;&gt;"OK","",INDEX(po_mo,MATCH(D304,po_code,0)))</f>
        <v/>
      </c>
      <c r="I304" s="66" t="str">
        <f>IF(M304&lt;&gt;"OK","",INDEX(po_mac,MATCH(D304,po_code,0)))</f>
        <v/>
      </c>
      <c r="J304" s="66" t="str">
        <f>IF(M304&lt;&gt;"OK","",N(E304)*(H304*IF(G304="",1,G304)+I304))</f>
        <v/>
      </c>
      <c r="K304" s="66" t="str">
        <f>IF(M304&lt;&gt;"OK","",N(F304)/60*H304*IF(G304="",1,G304))</f>
        <v/>
      </c>
      <c r="L304" s="66" t="str">
        <f>IF(M304&lt;&gt;"OK","",N(F304)/60*I304)</f>
        <v/>
      </c>
      <c r="M304" s="69" t="str">
        <f>IF(AND(A304="",D304=""),"",IF(A304="","Produit manquant",IF(COUNTIF(prod_ref,A304)=0,"Produit inconnu",IF(D304="","Poste manquant",IF(ISNA(MATCH(D304,po_code,0)),"Poste inconnu",IF(INDEX(po_check,MATCH(D304,po_code,0))&lt;&gt;"OK","Poste à corriger",IF(AND(E304&lt;&gt;"",OR(NOT(ISNUMBER(E304)),N(E304)&lt;0)),"Réglage invalide",IF(AND(F304&lt;&gt;"",OR(NOT(ISNUMBER(F304)),N(F304)&lt;0)),"Temps par pièce invalide",IF(N(E304)+N(F304)=0,"Temps manquant",IF(AND(G304&lt;&gt;"",OR(NOT(ISNUMBER(G304)),N(G304)&lt;=0)),"Opérateurs invalide","OK"))))))))))</f>
        <v/>
      </c>
      <c r="N304" s="71" t="str">
        <f>IF(AND(fiche_sel&lt;&gt;"",A304=fiche_sel),COUNTIF(A$6:A304,fiche_sel),"")</f>
        <v/>
      </c>
    </row>
    <row r="305">
      <c r="A305" s="60" t="n"/>
      <c r="B305" s="73" t="n"/>
      <c r="C305" s="60" t="n"/>
      <c r="D305" s="61" t="n"/>
      <c r="E305" s="74" t="n"/>
      <c r="F305" s="74" t="n"/>
      <c r="G305" s="73" t="n"/>
      <c r="H305" s="66" t="str">
        <f>IF(M305&lt;&gt;"OK","",INDEX(po_mo,MATCH(D305,po_code,0)))</f>
        <v/>
      </c>
      <c r="I305" s="66" t="str">
        <f>IF(M305&lt;&gt;"OK","",INDEX(po_mac,MATCH(D305,po_code,0)))</f>
        <v/>
      </c>
      <c r="J305" s="66" t="str">
        <f>IF(M305&lt;&gt;"OK","",N(E305)*(H305*IF(G305="",1,G305)+I305))</f>
        <v/>
      </c>
      <c r="K305" s="66" t="str">
        <f>IF(M305&lt;&gt;"OK","",N(F305)/60*H305*IF(G305="",1,G305))</f>
        <v/>
      </c>
      <c r="L305" s="66" t="str">
        <f>IF(M305&lt;&gt;"OK","",N(F305)/60*I305)</f>
        <v/>
      </c>
      <c r="M305" s="69" t="str">
        <f>IF(AND(A305="",D305=""),"",IF(A305="","Produit manquant",IF(COUNTIF(prod_ref,A305)=0,"Produit inconnu",IF(D305="","Poste manquant",IF(ISNA(MATCH(D305,po_code,0)),"Poste inconnu",IF(INDEX(po_check,MATCH(D305,po_code,0))&lt;&gt;"OK","Poste à corriger",IF(AND(E305&lt;&gt;"",OR(NOT(ISNUMBER(E305)),N(E305)&lt;0)),"Réglage invalide",IF(AND(F305&lt;&gt;"",OR(NOT(ISNUMBER(F305)),N(F305)&lt;0)),"Temps par pièce invalide",IF(N(E305)+N(F305)=0,"Temps manquant",IF(AND(G305&lt;&gt;"",OR(NOT(ISNUMBER(G305)),N(G305)&lt;=0)),"Opérateurs invalide","OK"))))))))))</f>
        <v/>
      </c>
      <c r="N305" s="71" t="str">
        <f>IF(AND(fiche_sel&lt;&gt;"",A305=fiche_sel),COUNTIF(A$6:A305,fiche_sel),"")</f>
        <v/>
      </c>
    </row>
    <row r="306">
      <c r="A306" s="60" t="n"/>
      <c r="B306" s="73" t="n"/>
      <c r="C306" s="60" t="n"/>
      <c r="D306" s="61" t="n"/>
      <c r="E306" s="74" t="n"/>
      <c r="F306" s="74" t="n"/>
      <c r="G306" s="73" t="n"/>
      <c r="H306" s="66" t="str">
        <f>IF(M306&lt;&gt;"OK","",INDEX(po_mo,MATCH(D306,po_code,0)))</f>
        <v/>
      </c>
      <c r="I306" s="66" t="str">
        <f>IF(M306&lt;&gt;"OK","",INDEX(po_mac,MATCH(D306,po_code,0)))</f>
        <v/>
      </c>
      <c r="J306" s="66" t="str">
        <f>IF(M306&lt;&gt;"OK","",N(E306)*(H306*IF(G306="",1,G306)+I306))</f>
        <v/>
      </c>
      <c r="K306" s="66" t="str">
        <f>IF(M306&lt;&gt;"OK","",N(F306)/60*H306*IF(G306="",1,G306))</f>
        <v/>
      </c>
      <c r="L306" s="66" t="str">
        <f>IF(M306&lt;&gt;"OK","",N(F306)/60*I306)</f>
        <v/>
      </c>
      <c r="M306" s="69" t="str">
        <f>IF(AND(A306="",D306=""),"",IF(A306="","Produit manquant",IF(COUNTIF(prod_ref,A306)=0,"Produit inconnu",IF(D306="","Poste manquant",IF(ISNA(MATCH(D306,po_code,0)),"Poste inconnu",IF(INDEX(po_check,MATCH(D306,po_code,0))&lt;&gt;"OK","Poste à corriger",IF(AND(E306&lt;&gt;"",OR(NOT(ISNUMBER(E306)),N(E306)&lt;0)),"Réglage invalide",IF(AND(F306&lt;&gt;"",OR(NOT(ISNUMBER(F306)),N(F306)&lt;0)),"Temps par pièce invalide",IF(N(E306)+N(F306)=0,"Temps manquant",IF(AND(G306&lt;&gt;"",OR(NOT(ISNUMBER(G306)),N(G306)&lt;=0)),"Opérateurs invalide","OK"))))))))))</f>
        <v/>
      </c>
      <c r="N306" s="71" t="str">
        <f>IF(AND(fiche_sel&lt;&gt;"",A306=fiche_sel),COUNTIF(A$6:A306,fiche_sel),"")</f>
        <v/>
      </c>
    </row>
    <row r="307">
      <c r="A307" s="60" t="n"/>
      <c r="B307" s="73" t="n"/>
      <c r="C307" s="60" t="n"/>
      <c r="D307" s="61" t="n"/>
      <c r="E307" s="74" t="n"/>
      <c r="F307" s="74" t="n"/>
      <c r="G307" s="73" t="n"/>
      <c r="H307" s="66" t="str">
        <f>IF(M307&lt;&gt;"OK","",INDEX(po_mo,MATCH(D307,po_code,0)))</f>
        <v/>
      </c>
      <c r="I307" s="66" t="str">
        <f>IF(M307&lt;&gt;"OK","",INDEX(po_mac,MATCH(D307,po_code,0)))</f>
        <v/>
      </c>
      <c r="J307" s="66" t="str">
        <f>IF(M307&lt;&gt;"OK","",N(E307)*(H307*IF(G307="",1,G307)+I307))</f>
        <v/>
      </c>
      <c r="K307" s="66" t="str">
        <f>IF(M307&lt;&gt;"OK","",N(F307)/60*H307*IF(G307="",1,G307))</f>
        <v/>
      </c>
      <c r="L307" s="66" t="str">
        <f>IF(M307&lt;&gt;"OK","",N(F307)/60*I307)</f>
        <v/>
      </c>
      <c r="M307" s="69" t="str">
        <f>IF(AND(A307="",D307=""),"",IF(A307="","Produit manquant",IF(COUNTIF(prod_ref,A307)=0,"Produit inconnu",IF(D307="","Poste manquant",IF(ISNA(MATCH(D307,po_code,0)),"Poste inconnu",IF(INDEX(po_check,MATCH(D307,po_code,0))&lt;&gt;"OK","Poste à corriger",IF(AND(E307&lt;&gt;"",OR(NOT(ISNUMBER(E307)),N(E307)&lt;0)),"Réglage invalide",IF(AND(F307&lt;&gt;"",OR(NOT(ISNUMBER(F307)),N(F307)&lt;0)),"Temps par pièce invalide",IF(N(E307)+N(F307)=0,"Temps manquant",IF(AND(G307&lt;&gt;"",OR(NOT(ISNUMBER(G307)),N(G307)&lt;=0)),"Opérateurs invalide","OK"))))))))))</f>
        <v/>
      </c>
      <c r="N307" s="71" t="str">
        <f>IF(AND(fiche_sel&lt;&gt;"",A307=fiche_sel),COUNTIF(A$6:A307,fiche_sel),"")</f>
        <v/>
      </c>
    </row>
    <row r="308">
      <c r="A308" s="60" t="n"/>
      <c r="B308" s="73" t="n"/>
      <c r="C308" s="60" t="n"/>
      <c r="D308" s="61" t="n"/>
      <c r="E308" s="74" t="n"/>
      <c r="F308" s="74" t="n"/>
      <c r="G308" s="73" t="n"/>
      <c r="H308" s="66" t="str">
        <f>IF(M308&lt;&gt;"OK","",INDEX(po_mo,MATCH(D308,po_code,0)))</f>
        <v/>
      </c>
      <c r="I308" s="66" t="str">
        <f>IF(M308&lt;&gt;"OK","",INDEX(po_mac,MATCH(D308,po_code,0)))</f>
        <v/>
      </c>
      <c r="J308" s="66" t="str">
        <f>IF(M308&lt;&gt;"OK","",N(E308)*(H308*IF(G308="",1,G308)+I308))</f>
        <v/>
      </c>
      <c r="K308" s="66" t="str">
        <f>IF(M308&lt;&gt;"OK","",N(F308)/60*H308*IF(G308="",1,G308))</f>
        <v/>
      </c>
      <c r="L308" s="66" t="str">
        <f>IF(M308&lt;&gt;"OK","",N(F308)/60*I308)</f>
        <v/>
      </c>
      <c r="M308" s="69" t="str">
        <f>IF(AND(A308="",D308=""),"",IF(A308="","Produit manquant",IF(COUNTIF(prod_ref,A308)=0,"Produit inconnu",IF(D308="","Poste manquant",IF(ISNA(MATCH(D308,po_code,0)),"Poste inconnu",IF(INDEX(po_check,MATCH(D308,po_code,0))&lt;&gt;"OK","Poste à corriger",IF(AND(E308&lt;&gt;"",OR(NOT(ISNUMBER(E308)),N(E308)&lt;0)),"Réglage invalide",IF(AND(F308&lt;&gt;"",OR(NOT(ISNUMBER(F308)),N(F308)&lt;0)),"Temps par pièce invalide",IF(N(E308)+N(F308)=0,"Temps manquant",IF(AND(G308&lt;&gt;"",OR(NOT(ISNUMBER(G308)),N(G308)&lt;=0)),"Opérateurs invalide","OK"))))))))))</f>
        <v/>
      </c>
      <c r="N308" s="71" t="str">
        <f>IF(AND(fiche_sel&lt;&gt;"",A308=fiche_sel),COUNTIF(A$6:A308,fiche_sel),"")</f>
        <v/>
      </c>
    </row>
    <row r="309">
      <c r="A309" s="60" t="n"/>
      <c r="B309" s="73" t="n"/>
      <c r="C309" s="60" t="n"/>
      <c r="D309" s="61" t="n"/>
      <c r="E309" s="74" t="n"/>
      <c r="F309" s="74" t="n"/>
      <c r="G309" s="73" t="n"/>
      <c r="H309" s="66" t="str">
        <f>IF(M309&lt;&gt;"OK","",INDEX(po_mo,MATCH(D309,po_code,0)))</f>
        <v/>
      </c>
      <c r="I309" s="66" t="str">
        <f>IF(M309&lt;&gt;"OK","",INDEX(po_mac,MATCH(D309,po_code,0)))</f>
        <v/>
      </c>
      <c r="J309" s="66" t="str">
        <f>IF(M309&lt;&gt;"OK","",N(E309)*(H309*IF(G309="",1,G309)+I309))</f>
        <v/>
      </c>
      <c r="K309" s="66" t="str">
        <f>IF(M309&lt;&gt;"OK","",N(F309)/60*H309*IF(G309="",1,G309))</f>
        <v/>
      </c>
      <c r="L309" s="66" t="str">
        <f>IF(M309&lt;&gt;"OK","",N(F309)/60*I309)</f>
        <v/>
      </c>
      <c r="M309" s="69" t="str">
        <f>IF(AND(A309="",D309=""),"",IF(A309="","Produit manquant",IF(COUNTIF(prod_ref,A309)=0,"Produit inconnu",IF(D309="","Poste manquant",IF(ISNA(MATCH(D309,po_code,0)),"Poste inconnu",IF(INDEX(po_check,MATCH(D309,po_code,0))&lt;&gt;"OK","Poste à corriger",IF(AND(E309&lt;&gt;"",OR(NOT(ISNUMBER(E309)),N(E309)&lt;0)),"Réglage invalide",IF(AND(F309&lt;&gt;"",OR(NOT(ISNUMBER(F309)),N(F309)&lt;0)),"Temps par pièce invalide",IF(N(E309)+N(F309)=0,"Temps manquant",IF(AND(G309&lt;&gt;"",OR(NOT(ISNUMBER(G309)),N(G309)&lt;=0)),"Opérateurs invalide","OK"))))))))))</f>
        <v/>
      </c>
      <c r="N309" s="71" t="str">
        <f>IF(AND(fiche_sel&lt;&gt;"",A309=fiche_sel),COUNTIF(A$6:A309,fiche_sel),"")</f>
        <v/>
      </c>
    </row>
    <row r="310">
      <c r="A310" s="60" t="n"/>
      <c r="B310" s="73" t="n"/>
      <c r="C310" s="60" t="n"/>
      <c r="D310" s="61" t="n"/>
      <c r="E310" s="74" t="n"/>
      <c r="F310" s="74" t="n"/>
      <c r="G310" s="73" t="n"/>
      <c r="H310" s="66" t="str">
        <f>IF(M310&lt;&gt;"OK","",INDEX(po_mo,MATCH(D310,po_code,0)))</f>
        <v/>
      </c>
      <c r="I310" s="66" t="str">
        <f>IF(M310&lt;&gt;"OK","",INDEX(po_mac,MATCH(D310,po_code,0)))</f>
        <v/>
      </c>
      <c r="J310" s="66" t="str">
        <f>IF(M310&lt;&gt;"OK","",N(E310)*(H310*IF(G310="",1,G310)+I310))</f>
        <v/>
      </c>
      <c r="K310" s="66" t="str">
        <f>IF(M310&lt;&gt;"OK","",N(F310)/60*H310*IF(G310="",1,G310))</f>
        <v/>
      </c>
      <c r="L310" s="66" t="str">
        <f>IF(M310&lt;&gt;"OK","",N(F310)/60*I310)</f>
        <v/>
      </c>
      <c r="M310" s="69" t="str">
        <f>IF(AND(A310="",D310=""),"",IF(A310="","Produit manquant",IF(COUNTIF(prod_ref,A310)=0,"Produit inconnu",IF(D310="","Poste manquant",IF(ISNA(MATCH(D310,po_code,0)),"Poste inconnu",IF(INDEX(po_check,MATCH(D310,po_code,0))&lt;&gt;"OK","Poste à corriger",IF(AND(E310&lt;&gt;"",OR(NOT(ISNUMBER(E310)),N(E310)&lt;0)),"Réglage invalide",IF(AND(F310&lt;&gt;"",OR(NOT(ISNUMBER(F310)),N(F310)&lt;0)),"Temps par pièce invalide",IF(N(E310)+N(F310)=0,"Temps manquant",IF(AND(G310&lt;&gt;"",OR(NOT(ISNUMBER(G310)),N(G310)&lt;=0)),"Opérateurs invalide","OK"))))))))))</f>
        <v/>
      </c>
      <c r="N310" s="71" t="str">
        <f>IF(AND(fiche_sel&lt;&gt;"",A310=fiche_sel),COUNTIF(A$6:A310,fiche_sel),"")</f>
        <v/>
      </c>
    </row>
    <row r="311">
      <c r="A311" s="60" t="n"/>
      <c r="B311" s="73" t="n"/>
      <c r="C311" s="60" t="n"/>
      <c r="D311" s="61" t="n"/>
      <c r="E311" s="74" t="n"/>
      <c r="F311" s="74" t="n"/>
      <c r="G311" s="73" t="n"/>
      <c r="H311" s="66" t="str">
        <f>IF(M311&lt;&gt;"OK","",INDEX(po_mo,MATCH(D311,po_code,0)))</f>
        <v/>
      </c>
      <c r="I311" s="66" t="str">
        <f>IF(M311&lt;&gt;"OK","",INDEX(po_mac,MATCH(D311,po_code,0)))</f>
        <v/>
      </c>
      <c r="J311" s="66" t="str">
        <f>IF(M311&lt;&gt;"OK","",N(E311)*(H311*IF(G311="",1,G311)+I311))</f>
        <v/>
      </c>
      <c r="K311" s="66" t="str">
        <f>IF(M311&lt;&gt;"OK","",N(F311)/60*H311*IF(G311="",1,G311))</f>
        <v/>
      </c>
      <c r="L311" s="66" t="str">
        <f>IF(M311&lt;&gt;"OK","",N(F311)/60*I311)</f>
        <v/>
      </c>
      <c r="M311" s="69" t="str">
        <f>IF(AND(A311="",D311=""),"",IF(A311="","Produit manquant",IF(COUNTIF(prod_ref,A311)=0,"Produit inconnu",IF(D311="","Poste manquant",IF(ISNA(MATCH(D311,po_code,0)),"Poste inconnu",IF(INDEX(po_check,MATCH(D311,po_code,0))&lt;&gt;"OK","Poste à corriger",IF(AND(E311&lt;&gt;"",OR(NOT(ISNUMBER(E311)),N(E311)&lt;0)),"Réglage invalide",IF(AND(F311&lt;&gt;"",OR(NOT(ISNUMBER(F311)),N(F311)&lt;0)),"Temps par pièce invalide",IF(N(E311)+N(F311)=0,"Temps manquant",IF(AND(G311&lt;&gt;"",OR(NOT(ISNUMBER(G311)),N(G311)&lt;=0)),"Opérateurs invalide","OK"))))))))))</f>
        <v/>
      </c>
      <c r="N311" s="71" t="str">
        <f>IF(AND(fiche_sel&lt;&gt;"",A311=fiche_sel),COUNTIF(A$6:A311,fiche_sel),"")</f>
        <v/>
      </c>
    </row>
    <row r="312">
      <c r="A312" s="60" t="n"/>
      <c r="B312" s="73" t="n"/>
      <c r="C312" s="60" t="n"/>
      <c r="D312" s="61" t="n"/>
      <c r="E312" s="74" t="n"/>
      <c r="F312" s="74" t="n"/>
      <c r="G312" s="73" t="n"/>
      <c r="H312" s="66" t="str">
        <f>IF(M312&lt;&gt;"OK","",INDEX(po_mo,MATCH(D312,po_code,0)))</f>
        <v/>
      </c>
      <c r="I312" s="66" t="str">
        <f>IF(M312&lt;&gt;"OK","",INDEX(po_mac,MATCH(D312,po_code,0)))</f>
        <v/>
      </c>
      <c r="J312" s="66" t="str">
        <f>IF(M312&lt;&gt;"OK","",N(E312)*(H312*IF(G312="",1,G312)+I312))</f>
        <v/>
      </c>
      <c r="K312" s="66" t="str">
        <f>IF(M312&lt;&gt;"OK","",N(F312)/60*H312*IF(G312="",1,G312))</f>
        <v/>
      </c>
      <c r="L312" s="66" t="str">
        <f>IF(M312&lt;&gt;"OK","",N(F312)/60*I312)</f>
        <v/>
      </c>
      <c r="M312" s="69" t="str">
        <f>IF(AND(A312="",D312=""),"",IF(A312="","Produit manquant",IF(COUNTIF(prod_ref,A312)=0,"Produit inconnu",IF(D312="","Poste manquant",IF(ISNA(MATCH(D312,po_code,0)),"Poste inconnu",IF(INDEX(po_check,MATCH(D312,po_code,0))&lt;&gt;"OK","Poste à corriger",IF(AND(E312&lt;&gt;"",OR(NOT(ISNUMBER(E312)),N(E312)&lt;0)),"Réglage invalide",IF(AND(F312&lt;&gt;"",OR(NOT(ISNUMBER(F312)),N(F312)&lt;0)),"Temps par pièce invalide",IF(N(E312)+N(F312)=0,"Temps manquant",IF(AND(G312&lt;&gt;"",OR(NOT(ISNUMBER(G312)),N(G312)&lt;=0)),"Opérateurs invalide","OK"))))))))))</f>
        <v/>
      </c>
      <c r="N312" s="71" t="str">
        <f>IF(AND(fiche_sel&lt;&gt;"",A312=fiche_sel),COUNTIF(A$6:A312,fiche_sel),"")</f>
        <v/>
      </c>
    </row>
    <row r="313">
      <c r="A313" s="60" t="n"/>
      <c r="B313" s="73" t="n"/>
      <c r="C313" s="60" t="n"/>
      <c r="D313" s="61" t="n"/>
      <c r="E313" s="74" t="n"/>
      <c r="F313" s="74" t="n"/>
      <c r="G313" s="73" t="n"/>
      <c r="H313" s="66" t="str">
        <f>IF(M313&lt;&gt;"OK","",INDEX(po_mo,MATCH(D313,po_code,0)))</f>
        <v/>
      </c>
      <c r="I313" s="66" t="str">
        <f>IF(M313&lt;&gt;"OK","",INDEX(po_mac,MATCH(D313,po_code,0)))</f>
        <v/>
      </c>
      <c r="J313" s="66" t="str">
        <f>IF(M313&lt;&gt;"OK","",N(E313)*(H313*IF(G313="",1,G313)+I313))</f>
        <v/>
      </c>
      <c r="K313" s="66" t="str">
        <f>IF(M313&lt;&gt;"OK","",N(F313)/60*H313*IF(G313="",1,G313))</f>
        <v/>
      </c>
      <c r="L313" s="66" t="str">
        <f>IF(M313&lt;&gt;"OK","",N(F313)/60*I313)</f>
        <v/>
      </c>
      <c r="M313" s="69" t="str">
        <f>IF(AND(A313="",D313=""),"",IF(A313="","Produit manquant",IF(COUNTIF(prod_ref,A313)=0,"Produit inconnu",IF(D313="","Poste manquant",IF(ISNA(MATCH(D313,po_code,0)),"Poste inconnu",IF(INDEX(po_check,MATCH(D313,po_code,0))&lt;&gt;"OK","Poste à corriger",IF(AND(E313&lt;&gt;"",OR(NOT(ISNUMBER(E313)),N(E313)&lt;0)),"Réglage invalide",IF(AND(F313&lt;&gt;"",OR(NOT(ISNUMBER(F313)),N(F313)&lt;0)),"Temps par pièce invalide",IF(N(E313)+N(F313)=0,"Temps manquant",IF(AND(G313&lt;&gt;"",OR(NOT(ISNUMBER(G313)),N(G313)&lt;=0)),"Opérateurs invalide","OK"))))))))))</f>
        <v/>
      </c>
      <c r="N313" s="71" t="str">
        <f>IF(AND(fiche_sel&lt;&gt;"",A313=fiche_sel),COUNTIF(A$6:A313,fiche_sel),"")</f>
        <v/>
      </c>
    </row>
    <row r="314">
      <c r="A314" s="60" t="n"/>
      <c r="B314" s="73" t="n"/>
      <c r="C314" s="60" t="n"/>
      <c r="D314" s="61" t="n"/>
      <c r="E314" s="74" t="n"/>
      <c r="F314" s="74" t="n"/>
      <c r="G314" s="73" t="n"/>
      <c r="H314" s="66" t="str">
        <f>IF(M314&lt;&gt;"OK","",INDEX(po_mo,MATCH(D314,po_code,0)))</f>
        <v/>
      </c>
      <c r="I314" s="66" t="str">
        <f>IF(M314&lt;&gt;"OK","",INDEX(po_mac,MATCH(D314,po_code,0)))</f>
        <v/>
      </c>
      <c r="J314" s="66" t="str">
        <f>IF(M314&lt;&gt;"OK","",N(E314)*(H314*IF(G314="",1,G314)+I314))</f>
        <v/>
      </c>
      <c r="K314" s="66" t="str">
        <f>IF(M314&lt;&gt;"OK","",N(F314)/60*H314*IF(G314="",1,G314))</f>
        <v/>
      </c>
      <c r="L314" s="66" t="str">
        <f>IF(M314&lt;&gt;"OK","",N(F314)/60*I314)</f>
        <v/>
      </c>
      <c r="M314" s="69" t="str">
        <f>IF(AND(A314="",D314=""),"",IF(A314="","Produit manquant",IF(COUNTIF(prod_ref,A314)=0,"Produit inconnu",IF(D314="","Poste manquant",IF(ISNA(MATCH(D314,po_code,0)),"Poste inconnu",IF(INDEX(po_check,MATCH(D314,po_code,0))&lt;&gt;"OK","Poste à corriger",IF(AND(E314&lt;&gt;"",OR(NOT(ISNUMBER(E314)),N(E314)&lt;0)),"Réglage invalide",IF(AND(F314&lt;&gt;"",OR(NOT(ISNUMBER(F314)),N(F314)&lt;0)),"Temps par pièce invalide",IF(N(E314)+N(F314)=0,"Temps manquant",IF(AND(G314&lt;&gt;"",OR(NOT(ISNUMBER(G314)),N(G314)&lt;=0)),"Opérateurs invalide","OK"))))))))))</f>
        <v/>
      </c>
      <c r="N314" s="71" t="str">
        <f>IF(AND(fiche_sel&lt;&gt;"",A314=fiche_sel),COUNTIF(A$6:A314,fiche_sel),"")</f>
        <v/>
      </c>
    </row>
    <row r="315">
      <c r="A315" s="60" t="n"/>
      <c r="B315" s="73" t="n"/>
      <c r="C315" s="60" t="n"/>
      <c r="D315" s="61" t="n"/>
      <c r="E315" s="74" t="n"/>
      <c r="F315" s="74" t="n"/>
      <c r="G315" s="73" t="n"/>
      <c r="H315" s="66" t="str">
        <f>IF(M315&lt;&gt;"OK","",INDEX(po_mo,MATCH(D315,po_code,0)))</f>
        <v/>
      </c>
      <c r="I315" s="66" t="str">
        <f>IF(M315&lt;&gt;"OK","",INDEX(po_mac,MATCH(D315,po_code,0)))</f>
        <v/>
      </c>
      <c r="J315" s="66" t="str">
        <f>IF(M315&lt;&gt;"OK","",N(E315)*(H315*IF(G315="",1,G315)+I315))</f>
        <v/>
      </c>
      <c r="K315" s="66" t="str">
        <f>IF(M315&lt;&gt;"OK","",N(F315)/60*H315*IF(G315="",1,G315))</f>
        <v/>
      </c>
      <c r="L315" s="66" t="str">
        <f>IF(M315&lt;&gt;"OK","",N(F315)/60*I315)</f>
        <v/>
      </c>
      <c r="M315" s="69" t="str">
        <f>IF(AND(A315="",D315=""),"",IF(A315="","Produit manquant",IF(COUNTIF(prod_ref,A315)=0,"Produit inconnu",IF(D315="","Poste manquant",IF(ISNA(MATCH(D315,po_code,0)),"Poste inconnu",IF(INDEX(po_check,MATCH(D315,po_code,0))&lt;&gt;"OK","Poste à corriger",IF(AND(E315&lt;&gt;"",OR(NOT(ISNUMBER(E315)),N(E315)&lt;0)),"Réglage invalide",IF(AND(F315&lt;&gt;"",OR(NOT(ISNUMBER(F315)),N(F315)&lt;0)),"Temps par pièce invalide",IF(N(E315)+N(F315)=0,"Temps manquant",IF(AND(G315&lt;&gt;"",OR(NOT(ISNUMBER(G315)),N(G315)&lt;=0)),"Opérateurs invalide","OK"))))))))))</f>
        <v/>
      </c>
      <c r="N315" s="71" t="str">
        <f>IF(AND(fiche_sel&lt;&gt;"",A315=fiche_sel),COUNTIF(A$6:A315,fiche_sel),"")</f>
        <v/>
      </c>
    </row>
    <row r="316">
      <c r="A316" s="60" t="n"/>
      <c r="B316" s="73" t="n"/>
      <c r="C316" s="60" t="n"/>
      <c r="D316" s="61" t="n"/>
      <c r="E316" s="74" t="n"/>
      <c r="F316" s="74" t="n"/>
      <c r="G316" s="73" t="n"/>
      <c r="H316" s="66" t="str">
        <f>IF(M316&lt;&gt;"OK","",INDEX(po_mo,MATCH(D316,po_code,0)))</f>
        <v/>
      </c>
      <c r="I316" s="66" t="str">
        <f>IF(M316&lt;&gt;"OK","",INDEX(po_mac,MATCH(D316,po_code,0)))</f>
        <v/>
      </c>
      <c r="J316" s="66" t="str">
        <f>IF(M316&lt;&gt;"OK","",N(E316)*(H316*IF(G316="",1,G316)+I316))</f>
        <v/>
      </c>
      <c r="K316" s="66" t="str">
        <f>IF(M316&lt;&gt;"OK","",N(F316)/60*H316*IF(G316="",1,G316))</f>
        <v/>
      </c>
      <c r="L316" s="66" t="str">
        <f>IF(M316&lt;&gt;"OK","",N(F316)/60*I316)</f>
        <v/>
      </c>
      <c r="M316" s="69" t="str">
        <f>IF(AND(A316="",D316=""),"",IF(A316="","Produit manquant",IF(COUNTIF(prod_ref,A316)=0,"Produit inconnu",IF(D316="","Poste manquant",IF(ISNA(MATCH(D316,po_code,0)),"Poste inconnu",IF(INDEX(po_check,MATCH(D316,po_code,0))&lt;&gt;"OK","Poste à corriger",IF(AND(E316&lt;&gt;"",OR(NOT(ISNUMBER(E316)),N(E316)&lt;0)),"Réglage invalide",IF(AND(F316&lt;&gt;"",OR(NOT(ISNUMBER(F316)),N(F316)&lt;0)),"Temps par pièce invalide",IF(N(E316)+N(F316)=0,"Temps manquant",IF(AND(G316&lt;&gt;"",OR(NOT(ISNUMBER(G316)),N(G316)&lt;=0)),"Opérateurs invalide","OK"))))))))))</f>
        <v/>
      </c>
      <c r="N316" s="71" t="str">
        <f>IF(AND(fiche_sel&lt;&gt;"",A316=fiche_sel),COUNTIF(A$6:A316,fiche_sel),"")</f>
        <v/>
      </c>
    </row>
    <row r="317">
      <c r="A317" s="60" t="n"/>
      <c r="B317" s="73" t="n"/>
      <c r="C317" s="60" t="n"/>
      <c r="D317" s="61" t="n"/>
      <c r="E317" s="74" t="n"/>
      <c r="F317" s="74" t="n"/>
      <c r="G317" s="73" t="n"/>
      <c r="H317" s="66" t="str">
        <f>IF(M317&lt;&gt;"OK","",INDEX(po_mo,MATCH(D317,po_code,0)))</f>
        <v/>
      </c>
      <c r="I317" s="66" t="str">
        <f>IF(M317&lt;&gt;"OK","",INDEX(po_mac,MATCH(D317,po_code,0)))</f>
        <v/>
      </c>
      <c r="J317" s="66" t="str">
        <f>IF(M317&lt;&gt;"OK","",N(E317)*(H317*IF(G317="",1,G317)+I317))</f>
        <v/>
      </c>
      <c r="K317" s="66" t="str">
        <f>IF(M317&lt;&gt;"OK","",N(F317)/60*H317*IF(G317="",1,G317))</f>
        <v/>
      </c>
      <c r="L317" s="66" t="str">
        <f>IF(M317&lt;&gt;"OK","",N(F317)/60*I317)</f>
        <v/>
      </c>
      <c r="M317" s="69" t="str">
        <f>IF(AND(A317="",D317=""),"",IF(A317="","Produit manquant",IF(COUNTIF(prod_ref,A317)=0,"Produit inconnu",IF(D317="","Poste manquant",IF(ISNA(MATCH(D317,po_code,0)),"Poste inconnu",IF(INDEX(po_check,MATCH(D317,po_code,0))&lt;&gt;"OK","Poste à corriger",IF(AND(E317&lt;&gt;"",OR(NOT(ISNUMBER(E317)),N(E317)&lt;0)),"Réglage invalide",IF(AND(F317&lt;&gt;"",OR(NOT(ISNUMBER(F317)),N(F317)&lt;0)),"Temps par pièce invalide",IF(N(E317)+N(F317)=0,"Temps manquant",IF(AND(G317&lt;&gt;"",OR(NOT(ISNUMBER(G317)),N(G317)&lt;=0)),"Opérateurs invalide","OK"))))))))))</f>
        <v/>
      </c>
      <c r="N317" s="71" t="str">
        <f>IF(AND(fiche_sel&lt;&gt;"",A317=fiche_sel),COUNTIF(A$6:A317,fiche_sel),"")</f>
        <v/>
      </c>
    </row>
    <row r="318">
      <c r="A318" s="60" t="n"/>
      <c r="B318" s="73" t="n"/>
      <c r="C318" s="60" t="n"/>
      <c r="D318" s="61" t="n"/>
      <c r="E318" s="74" t="n"/>
      <c r="F318" s="74" t="n"/>
      <c r="G318" s="73" t="n"/>
      <c r="H318" s="66" t="str">
        <f>IF(M318&lt;&gt;"OK","",INDEX(po_mo,MATCH(D318,po_code,0)))</f>
        <v/>
      </c>
      <c r="I318" s="66" t="str">
        <f>IF(M318&lt;&gt;"OK","",INDEX(po_mac,MATCH(D318,po_code,0)))</f>
        <v/>
      </c>
      <c r="J318" s="66" t="str">
        <f>IF(M318&lt;&gt;"OK","",N(E318)*(H318*IF(G318="",1,G318)+I318))</f>
        <v/>
      </c>
      <c r="K318" s="66" t="str">
        <f>IF(M318&lt;&gt;"OK","",N(F318)/60*H318*IF(G318="",1,G318))</f>
        <v/>
      </c>
      <c r="L318" s="66" t="str">
        <f>IF(M318&lt;&gt;"OK","",N(F318)/60*I318)</f>
        <v/>
      </c>
      <c r="M318" s="69" t="str">
        <f>IF(AND(A318="",D318=""),"",IF(A318="","Produit manquant",IF(COUNTIF(prod_ref,A318)=0,"Produit inconnu",IF(D318="","Poste manquant",IF(ISNA(MATCH(D318,po_code,0)),"Poste inconnu",IF(INDEX(po_check,MATCH(D318,po_code,0))&lt;&gt;"OK","Poste à corriger",IF(AND(E318&lt;&gt;"",OR(NOT(ISNUMBER(E318)),N(E318)&lt;0)),"Réglage invalide",IF(AND(F318&lt;&gt;"",OR(NOT(ISNUMBER(F318)),N(F318)&lt;0)),"Temps par pièce invalide",IF(N(E318)+N(F318)=0,"Temps manquant",IF(AND(G318&lt;&gt;"",OR(NOT(ISNUMBER(G318)),N(G318)&lt;=0)),"Opérateurs invalide","OK"))))))))))</f>
        <v/>
      </c>
      <c r="N318" s="71" t="str">
        <f>IF(AND(fiche_sel&lt;&gt;"",A318=fiche_sel),COUNTIF(A$6:A318,fiche_sel),"")</f>
        <v/>
      </c>
    </row>
    <row r="319">
      <c r="A319" s="60" t="n"/>
      <c r="B319" s="73" t="n"/>
      <c r="C319" s="60" t="n"/>
      <c r="D319" s="61" t="n"/>
      <c r="E319" s="74" t="n"/>
      <c r="F319" s="74" t="n"/>
      <c r="G319" s="73" t="n"/>
      <c r="H319" s="66" t="str">
        <f>IF(M319&lt;&gt;"OK","",INDEX(po_mo,MATCH(D319,po_code,0)))</f>
        <v/>
      </c>
      <c r="I319" s="66" t="str">
        <f>IF(M319&lt;&gt;"OK","",INDEX(po_mac,MATCH(D319,po_code,0)))</f>
        <v/>
      </c>
      <c r="J319" s="66" t="str">
        <f>IF(M319&lt;&gt;"OK","",N(E319)*(H319*IF(G319="",1,G319)+I319))</f>
        <v/>
      </c>
      <c r="K319" s="66" t="str">
        <f>IF(M319&lt;&gt;"OK","",N(F319)/60*H319*IF(G319="",1,G319))</f>
        <v/>
      </c>
      <c r="L319" s="66" t="str">
        <f>IF(M319&lt;&gt;"OK","",N(F319)/60*I319)</f>
        <v/>
      </c>
      <c r="M319" s="69" t="str">
        <f>IF(AND(A319="",D319=""),"",IF(A319="","Produit manquant",IF(COUNTIF(prod_ref,A319)=0,"Produit inconnu",IF(D319="","Poste manquant",IF(ISNA(MATCH(D319,po_code,0)),"Poste inconnu",IF(INDEX(po_check,MATCH(D319,po_code,0))&lt;&gt;"OK","Poste à corriger",IF(AND(E319&lt;&gt;"",OR(NOT(ISNUMBER(E319)),N(E319)&lt;0)),"Réglage invalide",IF(AND(F319&lt;&gt;"",OR(NOT(ISNUMBER(F319)),N(F319)&lt;0)),"Temps par pièce invalide",IF(N(E319)+N(F319)=0,"Temps manquant",IF(AND(G319&lt;&gt;"",OR(NOT(ISNUMBER(G319)),N(G319)&lt;=0)),"Opérateurs invalide","OK"))))))))))</f>
        <v/>
      </c>
      <c r="N319" s="71" t="str">
        <f>IF(AND(fiche_sel&lt;&gt;"",A319=fiche_sel),COUNTIF(A$6:A319,fiche_sel),"")</f>
        <v/>
      </c>
    </row>
    <row r="320">
      <c r="A320" s="60" t="n"/>
      <c r="B320" s="73" t="n"/>
      <c r="C320" s="60" t="n"/>
      <c r="D320" s="61" t="n"/>
      <c r="E320" s="74" t="n"/>
      <c r="F320" s="74" t="n"/>
      <c r="G320" s="73" t="n"/>
      <c r="H320" s="66" t="str">
        <f>IF(M320&lt;&gt;"OK","",INDEX(po_mo,MATCH(D320,po_code,0)))</f>
        <v/>
      </c>
      <c r="I320" s="66" t="str">
        <f>IF(M320&lt;&gt;"OK","",INDEX(po_mac,MATCH(D320,po_code,0)))</f>
        <v/>
      </c>
      <c r="J320" s="66" t="str">
        <f>IF(M320&lt;&gt;"OK","",N(E320)*(H320*IF(G320="",1,G320)+I320))</f>
        <v/>
      </c>
      <c r="K320" s="66" t="str">
        <f>IF(M320&lt;&gt;"OK","",N(F320)/60*H320*IF(G320="",1,G320))</f>
        <v/>
      </c>
      <c r="L320" s="66" t="str">
        <f>IF(M320&lt;&gt;"OK","",N(F320)/60*I320)</f>
        <v/>
      </c>
      <c r="M320" s="69" t="str">
        <f>IF(AND(A320="",D320=""),"",IF(A320="","Produit manquant",IF(COUNTIF(prod_ref,A320)=0,"Produit inconnu",IF(D320="","Poste manquant",IF(ISNA(MATCH(D320,po_code,0)),"Poste inconnu",IF(INDEX(po_check,MATCH(D320,po_code,0))&lt;&gt;"OK","Poste à corriger",IF(AND(E320&lt;&gt;"",OR(NOT(ISNUMBER(E320)),N(E320)&lt;0)),"Réglage invalide",IF(AND(F320&lt;&gt;"",OR(NOT(ISNUMBER(F320)),N(F320)&lt;0)),"Temps par pièce invalide",IF(N(E320)+N(F320)=0,"Temps manquant",IF(AND(G320&lt;&gt;"",OR(NOT(ISNUMBER(G320)),N(G320)&lt;=0)),"Opérateurs invalide","OK"))))))))))</f>
        <v/>
      </c>
      <c r="N320" s="71" t="str">
        <f>IF(AND(fiche_sel&lt;&gt;"",A320=fiche_sel),COUNTIF(A$6:A320,fiche_sel),"")</f>
        <v/>
      </c>
    </row>
    <row r="321">
      <c r="A321" s="60" t="n"/>
      <c r="B321" s="73" t="n"/>
      <c r="C321" s="60" t="n"/>
      <c r="D321" s="61" t="n"/>
      <c r="E321" s="74" t="n"/>
      <c r="F321" s="74" t="n"/>
      <c r="G321" s="73" t="n"/>
      <c r="H321" s="66" t="str">
        <f>IF(M321&lt;&gt;"OK","",INDEX(po_mo,MATCH(D321,po_code,0)))</f>
        <v/>
      </c>
      <c r="I321" s="66" t="str">
        <f>IF(M321&lt;&gt;"OK","",INDEX(po_mac,MATCH(D321,po_code,0)))</f>
        <v/>
      </c>
      <c r="J321" s="66" t="str">
        <f>IF(M321&lt;&gt;"OK","",N(E321)*(H321*IF(G321="",1,G321)+I321))</f>
        <v/>
      </c>
      <c r="K321" s="66" t="str">
        <f>IF(M321&lt;&gt;"OK","",N(F321)/60*H321*IF(G321="",1,G321))</f>
        <v/>
      </c>
      <c r="L321" s="66" t="str">
        <f>IF(M321&lt;&gt;"OK","",N(F321)/60*I321)</f>
        <v/>
      </c>
      <c r="M321" s="69" t="str">
        <f>IF(AND(A321="",D321=""),"",IF(A321="","Produit manquant",IF(COUNTIF(prod_ref,A321)=0,"Produit inconnu",IF(D321="","Poste manquant",IF(ISNA(MATCH(D321,po_code,0)),"Poste inconnu",IF(INDEX(po_check,MATCH(D321,po_code,0))&lt;&gt;"OK","Poste à corriger",IF(AND(E321&lt;&gt;"",OR(NOT(ISNUMBER(E321)),N(E321)&lt;0)),"Réglage invalide",IF(AND(F321&lt;&gt;"",OR(NOT(ISNUMBER(F321)),N(F321)&lt;0)),"Temps par pièce invalide",IF(N(E321)+N(F321)=0,"Temps manquant",IF(AND(G321&lt;&gt;"",OR(NOT(ISNUMBER(G321)),N(G321)&lt;=0)),"Opérateurs invalide","OK"))))))))))</f>
        <v/>
      </c>
      <c r="N321" s="71" t="str">
        <f>IF(AND(fiche_sel&lt;&gt;"",A321=fiche_sel),COUNTIF(A$6:A321,fiche_sel),"")</f>
        <v/>
      </c>
    </row>
    <row r="322">
      <c r="A322" s="60" t="n"/>
      <c r="B322" s="73" t="n"/>
      <c r="C322" s="60" t="n"/>
      <c r="D322" s="61" t="n"/>
      <c r="E322" s="74" t="n"/>
      <c r="F322" s="74" t="n"/>
      <c r="G322" s="73" t="n"/>
      <c r="H322" s="66" t="str">
        <f>IF(M322&lt;&gt;"OK","",INDEX(po_mo,MATCH(D322,po_code,0)))</f>
        <v/>
      </c>
      <c r="I322" s="66" t="str">
        <f>IF(M322&lt;&gt;"OK","",INDEX(po_mac,MATCH(D322,po_code,0)))</f>
        <v/>
      </c>
      <c r="J322" s="66" t="str">
        <f>IF(M322&lt;&gt;"OK","",N(E322)*(H322*IF(G322="",1,G322)+I322))</f>
        <v/>
      </c>
      <c r="K322" s="66" t="str">
        <f>IF(M322&lt;&gt;"OK","",N(F322)/60*H322*IF(G322="",1,G322))</f>
        <v/>
      </c>
      <c r="L322" s="66" t="str">
        <f>IF(M322&lt;&gt;"OK","",N(F322)/60*I322)</f>
        <v/>
      </c>
      <c r="M322" s="69" t="str">
        <f>IF(AND(A322="",D322=""),"",IF(A322="","Produit manquant",IF(COUNTIF(prod_ref,A322)=0,"Produit inconnu",IF(D322="","Poste manquant",IF(ISNA(MATCH(D322,po_code,0)),"Poste inconnu",IF(INDEX(po_check,MATCH(D322,po_code,0))&lt;&gt;"OK","Poste à corriger",IF(AND(E322&lt;&gt;"",OR(NOT(ISNUMBER(E322)),N(E322)&lt;0)),"Réglage invalide",IF(AND(F322&lt;&gt;"",OR(NOT(ISNUMBER(F322)),N(F322)&lt;0)),"Temps par pièce invalide",IF(N(E322)+N(F322)=0,"Temps manquant",IF(AND(G322&lt;&gt;"",OR(NOT(ISNUMBER(G322)),N(G322)&lt;=0)),"Opérateurs invalide","OK"))))))))))</f>
        <v/>
      </c>
      <c r="N322" s="71" t="str">
        <f>IF(AND(fiche_sel&lt;&gt;"",A322=fiche_sel),COUNTIF(A$6:A322,fiche_sel),"")</f>
        <v/>
      </c>
    </row>
    <row r="323">
      <c r="A323" s="60" t="n"/>
      <c r="B323" s="73" t="n"/>
      <c r="C323" s="60" t="n"/>
      <c r="D323" s="61" t="n"/>
      <c r="E323" s="74" t="n"/>
      <c r="F323" s="74" t="n"/>
      <c r="G323" s="73" t="n"/>
      <c r="H323" s="66" t="str">
        <f>IF(M323&lt;&gt;"OK","",INDEX(po_mo,MATCH(D323,po_code,0)))</f>
        <v/>
      </c>
      <c r="I323" s="66" t="str">
        <f>IF(M323&lt;&gt;"OK","",INDEX(po_mac,MATCH(D323,po_code,0)))</f>
        <v/>
      </c>
      <c r="J323" s="66" t="str">
        <f>IF(M323&lt;&gt;"OK","",N(E323)*(H323*IF(G323="",1,G323)+I323))</f>
        <v/>
      </c>
      <c r="K323" s="66" t="str">
        <f>IF(M323&lt;&gt;"OK","",N(F323)/60*H323*IF(G323="",1,G323))</f>
        <v/>
      </c>
      <c r="L323" s="66" t="str">
        <f>IF(M323&lt;&gt;"OK","",N(F323)/60*I323)</f>
        <v/>
      </c>
      <c r="M323" s="69" t="str">
        <f>IF(AND(A323="",D323=""),"",IF(A323="","Produit manquant",IF(COUNTIF(prod_ref,A323)=0,"Produit inconnu",IF(D323="","Poste manquant",IF(ISNA(MATCH(D323,po_code,0)),"Poste inconnu",IF(INDEX(po_check,MATCH(D323,po_code,0))&lt;&gt;"OK","Poste à corriger",IF(AND(E323&lt;&gt;"",OR(NOT(ISNUMBER(E323)),N(E323)&lt;0)),"Réglage invalide",IF(AND(F323&lt;&gt;"",OR(NOT(ISNUMBER(F323)),N(F323)&lt;0)),"Temps par pièce invalide",IF(N(E323)+N(F323)=0,"Temps manquant",IF(AND(G323&lt;&gt;"",OR(NOT(ISNUMBER(G323)),N(G323)&lt;=0)),"Opérateurs invalide","OK"))))))))))</f>
        <v/>
      </c>
      <c r="N323" s="71" t="str">
        <f>IF(AND(fiche_sel&lt;&gt;"",A323=fiche_sel),COUNTIF(A$6:A323,fiche_sel),"")</f>
        <v/>
      </c>
    </row>
    <row r="324">
      <c r="A324" s="60" t="n"/>
      <c r="B324" s="73" t="n"/>
      <c r="C324" s="60" t="n"/>
      <c r="D324" s="61" t="n"/>
      <c r="E324" s="74" t="n"/>
      <c r="F324" s="74" t="n"/>
      <c r="G324" s="73" t="n"/>
      <c r="H324" s="66" t="str">
        <f>IF(M324&lt;&gt;"OK","",INDEX(po_mo,MATCH(D324,po_code,0)))</f>
        <v/>
      </c>
      <c r="I324" s="66" t="str">
        <f>IF(M324&lt;&gt;"OK","",INDEX(po_mac,MATCH(D324,po_code,0)))</f>
        <v/>
      </c>
      <c r="J324" s="66" t="str">
        <f>IF(M324&lt;&gt;"OK","",N(E324)*(H324*IF(G324="",1,G324)+I324))</f>
        <v/>
      </c>
      <c r="K324" s="66" t="str">
        <f>IF(M324&lt;&gt;"OK","",N(F324)/60*H324*IF(G324="",1,G324))</f>
        <v/>
      </c>
      <c r="L324" s="66" t="str">
        <f>IF(M324&lt;&gt;"OK","",N(F324)/60*I324)</f>
        <v/>
      </c>
      <c r="M324" s="69" t="str">
        <f>IF(AND(A324="",D324=""),"",IF(A324="","Produit manquant",IF(COUNTIF(prod_ref,A324)=0,"Produit inconnu",IF(D324="","Poste manquant",IF(ISNA(MATCH(D324,po_code,0)),"Poste inconnu",IF(INDEX(po_check,MATCH(D324,po_code,0))&lt;&gt;"OK","Poste à corriger",IF(AND(E324&lt;&gt;"",OR(NOT(ISNUMBER(E324)),N(E324)&lt;0)),"Réglage invalide",IF(AND(F324&lt;&gt;"",OR(NOT(ISNUMBER(F324)),N(F324)&lt;0)),"Temps par pièce invalide",IF(N(E324)+N(F324)=0,"Temps manquant",IF(AND(G324&lt;&gt;"",OR(NOT(ISNUMBER(G324)),N(G324)&lt;=0)),"Opérateurs invalide","OK"))))))))))</f>
        <v/>
      </c>
      <c r="N324" s="71" t="str">
        <f>IF(AND(fiche_sel&lt;&gt;"",A324=fiche_sel),COUNTIF(A$6:A324,fiche_sel),"")</f>
        <v/>
      </c>
    </row>
    <row r="325">
      <c r="A325" s="60" t="n"/>
      <c r="B325" s="73" t="n"/>
      <c r="C325" s="60" t="n"/>
      <c r="D325" s="61" t="n"/>
      <c r="E325" s="74" t="n"/>
      <c r="F325" s="74" t="n"/>
      <c r="G325" s="73" t="n"/>
      <c r="H325" s="66" t="str">
        <f>IF(M325&lt;&gt;"OK","",INDEX(po_mo,MATCH(D325,po_code,0)))</f>
        <v/>
      </c>
      <c r="I325" s="66" t="str">
        <f>IF(M325&lt;&gt;"OK","",INDEX(po_mac,MATCH(D325,po_code,0)))</f>
        <v/>
      </c>
      <c r="J325" s="66" t="str">
        <f>IF(M325&lt;&gt;"OK","",N(E325)*(H325*IF(G325="",1,G325)+I325))</f>
        <v/>
      </c>
      <c r="K325" s="66" t="str">
        <f>IF(M325&lt;&gt;"OK","",N(F325)/60*H325*IF(G325="",1,G325))</f>
        <v/>
      </c>
      <c r="L325" s="66" t="str">
        <f>IF(M325&lt;&gt;"OK","",N(F325)/60*I325)</f>
        <v/>
      </c>
      <c r="M325" s="69" t="str">
        <f>IF(AND(A325="",D325=""),"",IF(A325="","Produit manquant",IF(COUNTIF(prod_ref,A325)=0,"Produit inconnu",IF(D325="","Poste manquant",IF(ISNA(MATCH(D325,po_code,0)),"Poste inconnu",IF(INDEX(po_check,MATCH(D325,po_code,0))&lt;&gt;"OK","Poste à corriger",IF(AND(E325&lt;&gt;"",OR(NOT(ISNUMBER(E325)),N(E325)&lt;0)),"Réglage invalide",IF(AND(F325&lt;&gt;"",OR(NOT(ISNUMBER(F325)),N(F325)&lt;0)),"Temps par pièce invalide",IF(N(E325)+N(F325)=0,"Temps manquant",IF(AND(G325&lt;&gt;"",OR(NOT(ISNUMBER(G325)),N(G325)&lt;=0)),"Opérateurs invalide","OK"))))))))))</f>
        <v/>
      </c>
      <c r="N325" s="71" t="str">
        <f>IF(AND(fiche_sel&lt;&gt;"",A325=fiche_sel),COUNTIF(A$6:A325,fiche_sel),"")</f>
        <v/>
      </c>
    </row>
    <row r="326">
      <c r="A326" s="60" t="n"/>
      <c r="B326" s="73" t="n"/>
      <c r="C326" s="60" t="n"/>
      <c r="D326" s="61" t="n"/>
      <c r="E326" s="74" t="n"/>
      <c r="F326" s="74" t="n"/>
      <c r="G326" s="73" t="n"/>
      <c r="H326" s="66" t="str">
        <f>IF(M326&lt;&gt;"OK","",INDEX(po_mo,MATCH(D326,po_code,0)))</f>
        <v/>
      </c>
      <c r="I326" s="66" t="str">
        <f>IF(M326&lt;&gt;"OK","",INDEX(po_mac,MATCH(D326,po_code,0)))</f>
        <v/>
      </c>
      <c r="J326" s="66" t="str">
        <f>IF(M326&lt;&gt;"OK","",N(E326)*(H326*IF(G326="",1,G326)+I326))</f>
        <v/>
      </c>
      <c r="K326" s="66" t="str">
        <f>IF(M326&lt;&gt;"OK","",N(F326)/60*H326*IF(G326="",1,G326))</f>
        <v/>
      </c>
      <c r="L326" s="66" t="str">
        <f>IF(M326&lt;&gt;"OK","",N(F326)/60*I326)</f>
        <v/>
      </c>
      <c r="M326" s="69" t="str">
        <f>IF(AND(A326="",D326=""),"",IF(A326="","Produit manquant",IF(COUNTIF(prod_ref,A326)=0,"Produit inconnu",IF(D326="","Poste manquant",IF(ISNA(MATCH(D326,po_code,0)),"Poste inconnu",IF(INDEX(po_check,MATCH(D326,po_code,0))&lt;&gt;"OK","Poste à corriger",IF(AND(E326&lt;&gt;"",OR(NOT(ISNUMBER(E326)),N(E326)&lt;0)),"Réglage invalide",IF(AND(F326&lt;&gt;"",OR(NOT(ISNUMBER(F326)),N(F326)&lt;0)),"Temps par pièce invalide",IF(N(E326)+N(F326)=0,"Temps manquant",IF(AND(G326&lt;&gt;"",OR(NOT(ISNUMBER(G326)),N(G326)&lt;=0)),"Opérateurs invalide","OK"))))))))))</f>
        <v/>
      </c>
      <c r="N326" s="71" t="str">
        <f>IF(AND(fiche_sel&lt;&gt;"",A326=fiche_sel),COUNTIF(A$6:A326,fiche_sel),"")</f>
        <v/>
      </c>
    </row>
    <row r="327">
      <c r="A327" s="60" t="n"/>
      <c r="B327" s="73" t="n"/>
      <c r="C327" s="60" t="n"/>
      <c r="D327" s="61" t="n"/>
      <c r="E327" s="74" t="n"/>
      <c r="F327" s="74" t="n"/>
      <c r="G327" s="73" t="n"/>
      <c r="H327" s="66" t="str">
        <f>IF(M327&lt;&gt;"OK","",INDEX(po_mo,MATCH(D327,po_code,0)))</f>
        <v/>
      </c>
      <c r="I327" s="66" t="str">
        <f>IF(M327&lt;&gt;"OK","",INDEX(po_mac,MATCH(D327,po_code,0)))</f>
        <v/>
      </c>
      <c r="J327" s="66" t="str">
        <f>IF(M327&lt;&gt;"OK","",N(E327)*(H327*IF(G327="",1,G327)+I327))</f>
        <v/>
      </c>
      <c r="K327" s="66" t="str">
        <f>IF(M327&lt;&gt;"OK","",N(F327)/60*H327*IF(G327="",1,G327))</f>
        <v/>
      </c>
      <c r="L327" s="66" t="str">
        <f>IF(M327&lt;&gt;"OK","",N(F327)/60*I327)</f>
        <v/>
      </c>
      <c r="M327" s="69" t="str">
        <f>IF(AND(A327="",D327=""),"",IF(A327="","Produit manquant",IF(COUNTIF(prod_ref,A327)=0,"Produit inconnu",IF(D327="","Poste manquant",IF(ISNA(MATCH(D327,po_code,0)),"Poste inconnu",IF(INDEX(po_check,MATCH(D327,po_code,0))&lt;&gt;"OK","Poste à corriger",IF(AND(E327&lt;&gt;"",OR(NOT(ISNUMBER(E327)),N(E327)&lt;0)),"Réglage invalide",IF(AND(F327&lt;&gt;"",OR(NOT(ISNUMBER(F327)),N(F327)&lt;0)),"Temps par pièce invalide",IF(N(E327)+N(F327)=0,"Temps manquant",IF(AND(G327&lt;&gt;"",OR(NOT(ISNUMBER(G327)),N(G327)&lt;=0)),"Opérateurs invalide","OK"))))))))))</f>
        <v/>
      </c>
      <c r="N327" s="71" t="str">
        <f>IF(AND(fiche_sel&lt;&gt;"",A327=fiche_sel),COUNTIF(A$6:A327,fiche_sel),"")</f>
        <v/>
      </c>
    </row>
    <row r="328">
      <c r="A328" s="60" t="n"/>
      <c r="B328" s="73" t="n"/>
      <c r="C328" s="60" t="n"/>
      <c r="D328" s="61" t="n"/>
      <c r="E328" s="74" t="n"/>
      <c r="F328" s="74" t="n"/>
      <c r="G328" s="73" t="n"/>
      <c r="H328" s="66" t="str">
        <f>IF(M328&lt;&gt;"OK","",INDEX(po_mo,MATCH(D328,po_code,0)))</f>
        <v/>
      </c>
      <c r="I328" s="66" t="str">
        <f>IF(M328&lt;&gt;"OK","",INDEX(po_mac,MATCH(D328,po_code,0)))</f>
        <v/>
      </c>
      <c r="J328" s="66" t="str">
        <f>IF(M328&lt;&gt;"OK","",N(E328)*(H328*IF(G328="",1,G328)+I328))</f>
        <v/>
      </c>
      <c r="K328" s="66" t="str">
        <f>IF(M328&lt;&gt;"OK","",N(F328)/60*H328*IF(G328="",1,G328))</f>
        <v/>
      </c>
      <c r="L328" s="66" t="str">
        <f>IF(M328&lt;&gt;"OK","",N(F328)/60*I328)</f>
        <v/>
      </c>
      <c r="M328" s="69" t="str">
        <f>IF(AND(A328="",D328=""),"",IF(A328="","Produit manquant",IF(COUNTIF(prod_ref,A328)=0,"Produit inconnu",IF(D328="","Poste manquant",IF(ISNA(MATCH(D328,po_code,0)),"Poste inconnu",IF(INDEX(po_check,MATCH(D328,po_code,0))&lt;&gt;"OK","Poste à corriger",IF(AND(E328&lt;&gt;"",OR(NOT(ISNUMBER(E328)),N(E328)&lt;0)),"Réglage invalide",IF(AND(F328&lt;&gt;"",OR(NOT(ISNUMBER(F328)),N(F328)&lt;0)),"Temps par pièce invalide",IF(N(E328)+N(F328)=0,"Temps manquant",IF(AND(G328&lt;&gt;"",OR(NOT(ISNUMBER(G328)),N(G328)&lt;=0)),"Opérateurs invalide","OK"))))))))))</f>
        <v/>
      </c>
      <c r="N328" s="71" t="str">
        <f>IF(AND(fiche_sel&lt;&gt;"",A328=fiche_sel),COUNTIF(A$6:A328,fiche_sel),"")</f>
        <v/>
      </c>
    </row>
    <row r="329">
      <c r="A329" s="60" t="n"/>
      <c r="B329" s="73" t="n"/>
      <c r="C329" s="60" t="n"/>
      <c r="D329" s="61" t="n"/>
      <c r="E329" s="74" t="n"/>
      <c r="F329" s="74" t="n"/>
      <c r="G329" s="73" t="n"/>
      <c r="H329" s="66" t="str">
        <f>IF(M329&lt;&gt;"OK","",INDEX(po_mo,MATCH(D329,po_code,0)))</f>
        <v/>
      </c>
      <c r="I329" s="66" t="str">
        <f>IF(M329&lt;&gt;"OK","",INDEX(po_mac,MATCH(D329,po_code,0)))</f>
        <v/>
      </c>
      <c r="J329" s="66" t="str">
        <f>IF(M329&lt;&gt;"OK","",N(E329)*(H329*IF(G329="",1,G329)+I329))</f>
        <v/>
      </c>
      <c r="K329" s="66" t="str">
        <f>IF(M329&lt;&gt;"OK","",N(F329)/60*H329*IF(G329="",1,G329))</f>
        <v/>
      </c>
      <c r="L329" s="66" t="str">
        <f>IF(M329&lt;&gt;"OK","",N(F329)/60*I329)</f>
        <v/>
      </c>
      <c r="M329" s="69" t="str">
        <f>IF(AND(A329="",D329=""),"",IF(A329="","Produit manquant",IF(COUNTIF(prod_ref,A329)=0,"Produit inconnu",IF(D329="","Poste manquant",IF(ISNA(MATCH(D329,po_code,0)),"Poste inconnu",IF(INDEX(po_check,MATCH(D329,po_code,0))&lt;&gt;"OK","Poste à corriger",IF(AND(E329&lt;&gt;"",OR(NOT(ISNUMBER(E329)),N(E329)&lt;0)),"Réglage invalide",IF(AND(F329&lt;&gt;"",OR(NOT(ISNUMBER(F329)),N(F329)&lt;0)),"Temps par pièce invalide",IF(N(E329)+N(F329)=0,"Temps manquant",IF(AND(G329&lt;&gt;"",OR(NOT(ISNUMBER(G329)),N(G329)&lt;=0)),"Opérateurs invalide","OK"))))))))))</f>
        <v/>
      </c>
      <c r="N329" s="71" t="str">
        <f>IF(AND(fiche_sel&lt;&gt;"",A329=fiche_sel),COUNTIF(A$6:A329,fiche_sel),"")</f>
        <v/>
      </c>
    </row>
    <row r="330">
      <c r="A330" s="60" t="n"/>
      <c r="B330" s="73" t="n"/>
      <c r="C330" s="60" t="n"/>
      <c r="D330" s="61" t="n"/>
      <c r="E330" s="74" t="n"/>
      <c r="F330" s="74" t="n"/>
      <c r="G330" s="73" t="n"/>
      <c r="H330" s="66" t="str">
        <f>IF(M330&lt;&gt;"OK","",INDEX(po_mo,MATCH(D330,po_code,0)))</f>
        <v/>
      </c>
      <c r="I330" s="66" t="str">
        <f>IF(M330&lt;&gt;"OK","",INDEX(po_mac,MATCH(D330,po_code,0)))</f>
        <v/>
      </c>
      <c r="J330" s="66" t="str">
        <f>IF(M330&lt;&gt;"OK","",N(E330)*(H330*IF(G330="",1,G330)+I330))</f>
        <v/>
      </c>
      <c r="K330" s="66" t="str">
        <f>IF(M330&lt;&gt;"OK","",N(F330)/60*H330*IF(G330="",1,G330))</f>
        <v/>
      </c>
      <c r="L330" s="66" t="str">
        <f>IF(M330&lt;&gt;"OK","",N(F330)/60*I330)</f>
        <v/>
      </c>
      <c r="M330" s="69" t="str">
        <f>IF(AND(A330="",D330=""),"",IF(A330="","Produit manquant",IF(COUNTIF(prod_ref,A330)=0,"Produit inconnu",IF(D330="","Poste manquant",IF(ISNA(MATCH(D330,po_code,0)),"Poste inconnu",IF(INDEX(po_check,MATCH(D330,po_code,0))&lt;&gt;"OK","Poste à corriger",IF(AND(E330&lt;&gt;"",OR(NOT(ISNUMBER(E330)),N(E330)&lt;0)),"Réglage invalide",IF(AND(F330&lt;&gt;"",OR(NOT(ISNUMBER(F330)),N(F330)&lt;0)),"Temps par pièce invalide",IF(N(E330)+N(F330)=0,"Temps manquant",IF(AND(G330&lt;&gt;"",OR(NOT(ISNUMBER(G330)),N(G330)&lt;=0)),"Opérateurs invalide","OK"))))))))))</f>
        <v/>
      </c>
      <c r="N330" s="71" t="str">
        <f>IF(AND(fiche_sel&lt;&gt;"",A330=fiche_sel),COUNTIF(A$6:A330,fiche_sel),"")</f>
        <v/>
      </c>
    </row>
    <row r="331">
      <c r="A331" s="60" t="n"/>
      <c r="B331" s="73" t="n"/>
      <c r="C331" s="60" t="n"/>
      <c r="D331" s="61" t="n"/>
      <c r="E331" s="74" t="n"/>
      <c r="F331" s="74" t="n"/>
      <c r="G331" s="73" t="n"/>
      <c r="H331" s="66" t="str">
        <f>IF(M331&lt;&gt;"OK","",INDEX(po_mo,MATCH(D331,po_code,0)))</f>
        <v/>
      </c>
      <c r="I331" s="66" t="str">
        <f>IF(M331&lt;&gt;"OK","",INDEX(po_mac,MATCH(D331,po_code,0)))</f>
        <v/>
      </c>
      <c r="J331" s="66" t="str">
        <f>IF(M331&lt;&gt;"OK","",N(E331)*(H331*IF(G331="",1,G331)+I331))</f>
        <v/>
      </c>
      <c r="K331" s="66" t="str">
        <f>IF(M331&lt;&gt;"OK","",N(F331)/60*H331*IF(G331="",1,G331))</f>
        <v/>
      </c>
      <c r="L331" s="66" t="str">
        <f>IF(M331&lt;&gt;"OK","",N(F331)/60*I331)</f>
        <v/>
      </c>
      <c r="M331" s="69" t="str">
        <f>IF(AND(A331="",D331=""),"",IF(A331="","Produit manquant",IF(COUNTIF(prod_ref,A331)=0,"Produit inconnu",IF(D331="","Poste manquant",IF(ISNA(MATCH(D331,po_code,0)),"Poste inconnu",IF(INDEX(po_check,MATCH(D331,po_code,0))&lt;&gt;"OK","Poste à corriger",IF(AND(E331&lt;&gt;"",OR(NOT(ISNUMBER(E331)),N(E331)&lt;0)),"Réglage invalide",IF(AND(F331&lt;&gt;"",OR(NOT(ISNUMBER(F331)),N(F331)&lt;0)),"Temps par pièce invalide",IF(N(E331)+N(F331)=0,"Temps manquant",IF(AND(G331&lt;&gt;"",OR(NOT(ISNUMBER(G331)),N(G331)&lt;=0)),"Opérateurs invalide","OK"))))))))))</f>
        <v/>
      </c>
      <c r="N331" s="71" t="str">
        <f>IF(AND(fiche_sel&lt;&gt;"",A331=fiche_sel),COUNTIF(A$6:A331,fiche_sel),"")</f>
        <v/>
      </c>
    </row>
    <row r="332">
      <c r="A332" s="60" t="n"/>
      <c r="B332" s="73" t="n"/>
      <c r="C332" s="60" t="n"/>
      <c r="D332" s="61" t="n"/>
      <c r="E332" s="74" t="n"/>
      <c r="F332" s="74" t="n"/>
      <c r="G332" s="73" t="n"/>
      <c r="H332" s="66" t="str">
        <f>IF(M332&lt;&gt;"OK","",INDEX(po_mo,MATCH(D332,po_code,0)))</f>
        <v/>
      </c>
      <c r="I332" s="66" t="str">
        <f>IF(M332&lt;&gt;"OK","",INDEX(po_mac,MATCH(D332,po_code,0)))</f>
        <v/>
      </c>
      <c r="J332" s="66" t="str">
        <f>IF(M332&lt;&gt;"OK","",N(E332)*(H332*IF(G332="",1,G332)+I332))</f>
        <v/>
      </c>
      <c r="K332" s="66" t="str">
        <f>IF(M332&lt;&gt;"OK","",N(F332)/60*H332*IF(G332="",1,G332))</f>
        <v/>
      </c>
      <c r="L332" s="66" t="str">
        <f>IF(M332&lt;&gt;"OK","",N(F332)/60*I332)</f>
        <v/>
      </c>
      <c r="M332" s="69" t="str">
        <f>IF(AND(A332="",D332=""),"",IF(A332="","Produit manquant",IF(COUNTIF(prod_ref,A332)=0,"Produit inconnu",IF(D332="","Poste manquant",IF(ISNA(MATCH(D332,po_code,0)),"Poste inconnu",IF(INDEX(po_check,MATCH(D332,po_code,0))&lt;&gt;"OK","Poste à corriger",IF(AND(E332&lt;&gt;"",OR(NOT(ISNUMBER(E332)),N(E332)&lt;0)),"Réglage invalide",IF(AND(F332&lt;&gt;"",OR(NOT(ISNUMBER(F332)),N(F332)&lt;0)),"Temps par pièce invalide",IF(N(E332)+N(F332)=0,"Temps manquant",IF(AND(G332&lt;&gt;"",OR(NOT(ISNUMBER(G332)),N(G332)&lt;=0)),"Opérateurs invalide","OK"))))))))))</f>
        <v/>
      </c>
      <c r="N332" s="71" t="str">
        <f>IF(AND(fiche_sel&lt;&gt;"",A332=fiche_sel),COUNTIF(A$6:A332,fiche_sel),"")</f>
        <v/>
      </c>
    </row>
    <row r="333">
      <c r="A333" s="60" t="n"/>
      <c r="B333" s="73" t="n"/>
      <c r="C333" s="60" t="n"/>
      <c r="D333" s="61" t="n"/>
      <c r="E333" s="74" t="n"/>
      <c r="F333" s="74" t="n"/>
      <c r="G333" s="73" t="n"/>
      <c r="H333" s="66" t="str">
        <f>IF(M333&lt;&gt;"OK","",INDEX(po_mo,MATCH(D333,po_code,0)))</f>
        <v/>
      </c>
      <c r="I333" s="66" t="str">
        <f>IF(M333&lt;&gt;"OK","",INDEX(po_mac,MATCH(D333,po_code,0)))</f>
        <v/>
      </c>
      <c r="J333" s="66" t="str">
        <f>IF(M333&lt;&gt;"OK","",N(E333)*(H333*IF(G333="",1,G333)+I333))</f>
        <v/>
      </c>
      <c r="K333" s="66" t="str">
        <f>IF(M333&lt;&gt;"OK","",N(F333)/60*H333*IF(G333="",1,G333))</f>
        <v/>
      </c>
      <c r="L333" s="66" t="str">
        <f>IF(M333&lt;&gt;"OK","",N(F333)/60*I333)</f>
        <v/>
      </c>
      <c r="M333" s="69" t="str">
        <f>IF(AND(A333="",D333=""),"",IF(A333="","Produit manquant",IF(COUNTIF(prod_ref,A333)=0,"Produit inconnu",IF(D333="","Poste manquant",IF(ISNA(MATCH(D333,po_code,0)),"Poste inconnu",IF(INDEX(po_check,MATCH(D333,po_code,0))&lt;&gt;"OK","Poste à corriger",IF(AND(E333&lt;&gt;"",OR(NOT(ISNUMBER(E333)),N(E333)&lt;0)),"Réglage invalide",IF(AND(F333&lt;&gt;"",OR(NOT(ISNUMBER(F333)),N(F333)&lt;0)),"Temps par pièce invalide",IF(N(E333)+N(F333)=0,"Temps manquant",IF(AND(G333&lt;&gt;"",OR(NOT(ISNUMBER(G333)),N(G333)&lt;=0)),"Opérateurs invalide","OK"))))))))))</f>
        <v/>
      </c>
      <c r="N333" s="71" t="str">
        <f>IF(AND(fiche_sel&lt;&gt;"",A333=fiche_sel),COUNTIF(A$6:A333,fiche_sel),"")</f>
        <v/>
      </c>
    </row>
    <row r="334">
      <c r="A334" s="60" t="n"/>
      <c r="B334" s="73" t="n"/>
      <c r="C334" s="60" t="n"/>
      <c r="D334" s="61" t="n"/>
      <c r="E334" s="74" t="n"/>
      <c r="F334" s="74" t="n"/>
      <c r="G334" s="73" t="n"/>
      <c r="H334" s="66" t="str">
        <f>IF(M334&lt;&gt;"OK","",INDEX(po_mo,MATCH(D334,po_code,0)))</f>
        <v/>
      </c>
      <c r="I334" s="66" t="str">
        <f>IF(M334&lt;&gt;"OK","",INDEX(po_mac,MATCH(D334,po_code,0)))</f>
        <v/>
      </c>
      <c r="J334" s="66" t="str">
        <f>IF(M334&lt;&gt;"OK","",N(E334)*(H334*IF(G334="",1,G334)+I334))</f>
        <v/>
      </c>
      <c r="K334" s="66" t="str">
        <f>IF(M334&lt;&gt;"OK","",N(F334)/60*H334*IF(G334="",1,G334))</f>
        <v/>
      </c>
      <c r="L334" s="66" t="str">
        <f>IF(M334&lt;&gt;"OK","",N(F334)/60*I334)</f>
        <v/>
      </c>
      <c r="M334" s="69" t="str">
        <f>IF(AND(A334="",D334=""),"",IF(A334="","Produit manquant",IF(COUNTIF(prod_ref,A334)=0,"Produit inconnu",IF(D334="","Poste manquant",IF(ISNA(MATCH(D334,po_code,0)),"Poste inconnu",IF(INDEX(po_check,MATCH(D334,po_code,0))&lt;&gt;"OK","Poste à corriger",IF(AND(E334&lt;&gt;"",OR(NOT(ISNUMBER(E334)),N(E334)&lt;0)),"Réglage invalide",IF(AND(F334&lt;&gt;"",OR(NOT(ISNUMBER(F334)),N(F334)&lt;0)),"Temps par pièce invalide",IF(N(E334)+N(F334)=0,"Temps manquant",IF(AND(G334&lt;&gt;"",OR(NOT(ISNUMBER(G334)),N(G334)&lt;=0)),"Opérateurs invalide","OK"))))))))))</f>
        <v/>
      </c>
      <c r="N334" s="71" t="str">
        <f>IF(AND(fiche_sel&lt;&gt;"",A334=fiche_sel),COUNTIF(A$6:A334,fiche_sel),"")</f>
        <v/>
      </c>
    </row>
    <row r="335">
      <c r="A335" s="60" t="n"/>
      <c r="B335" s="73" t="n"/>
      <c r="C335" s="60" t="n"/>
      <c r="D335" s="61" t="n"/>
      <c r="E335" s="74" t="n"/>
      <c r="F335" s="74" t="n"/>
      <c r="G335" s="73" t="n"/>
      <c r="H335" s="66" t="str">
        <f>IF(M335&lt;&gt;"OK","",INDEX(po_mo,MATCH(D335,po_code,0)))</f>
        <v/>
      </c>
      <c r="I335" s="66" t="str">
        <f>IF(M335&lt;&gt;"OK","",INDEX(po_mac,MATCH(D335,po_code,0)))</f>
        <v/>
      </c>
      <c r="J335" s="66" t="str">
        <f>IF(M335&lt;&gt;"OK","",N(E335)*(H335*IF(G335="",1,G335)+I335))</f>
        <v/>
      </c>
      <c r="K335" s="66" t="str">
        <f>IF(M335&lt;&gt;"OK","",N(F335)/60*H335*IF(G335="",1,G335))</f>
        <v/>
      </c>
      <c r="L335" s="66" t="str">
        <f>IF(M335&lt;&gt;"OK","",N(F335)/60*I335)</f>
        <v/>
      </c>
      <c r="M335" s="69" t="str">
        <f>IF(AND(A335="",D335=""),"",IF(A335="","Produit manquant",IF(COUNTIF(prod_ref,A335)=0,"Produit inconnu",IF(D335="","Poste manquant",IF(ISNA(MATCH(D335,po_code,0)),"Poste inconnu",IF(INDEX(po_check,MATCH(D335,po_code,0))&lt;&gt;"OK","Poste à corriger",IF(AND(E335&lt;&gt;"",OR(NOT(ISNUMBER(E335)),N(E335)&lt;0)),"Réglage invalide",IF(AND(F335&lt;&gt;"",OR(NOT(ISNUMBER(F335)),N(F335)&lt;0)),"Temps par pièce invalide",IF(N(E335)+N(F335)=0,"Temps manquant",IF(AND(G335&lt;&gt;"",OR(NOT(ISNUMBER(G335)),N(G335)&lt;=0)),"Opérateurs invalide","OK"))))))))))</f>
        <v/>
      </c>
      <c r="N335" s="71" t="str">
        <f>IF(AND(fiche_sel&lt;&gt;"",A335=fiche_sel),COUNTIF(A$6:A335,fiche_sel),"")</f>
        <v/>
      </c>
    </row>
    <row r="336">
      <c r="A336" s="60" t="n"/>
      <c r="B336" s="73" t="n"/>
      <c r="C336" s="60" t="n"/>
      <c r="D336" s="61" t="n"/>
      <c r="E336" s="74" t="n"/>
      <c r="F336" s="74" t="n"/>
      <c r="G336" s="73" t="n"/>
      <c r="H336" s="66" t="str">
        <f>IF(M336&lt;&gt;"OK","",INDEX(po_mo,MATCH(D336,po_code,0)))</f>
        <v/>
      </c>
      <c r="I336" s="66" t="str">
        <f>IF(M336&lt;&gt;"OK","",INDEX(po_mac,MATCH(D336,po_code,0)))</f>
        <v/>
      </c>
      <c r="J336" s="66" t="str">
        <f>IF(M336&lt;&gt;"OK","",N(E336)*(H336*IF(G336="",1,G336)+I336))</f>
        <v/>
      </c>
      <c r="K336" s="66" t="str">
        <f>IF(M336&lt;&gt;"OK","",N(F336)/60*H336*IF(G336="",1,G336))</f>
        <v/>
      </c>
      <c r="L336" s="66" t="str">
        <f>IF(M336&lt;&gt;"OK","",N(F336)/60*I336)</f>
        <v/>
      </c>
      <c r="M336" s="69" t="str">
        <f>IF(AND(A336="",D336=""),"",IF(A336="","Produit manquant",IF(COUNTIF(prod_ref,A336)=0,"Produit inconnu",IF(D336="","Poste manquant",IF(ISNA(MATCH(D336,po_code,0)),"Poste inconnu",IF(INDEX(po_check,MATCH(D336,po_code,0))&lt;&gt;"OK","Poste à corriger",IF(AND(E336&lt;&gt;"",OR(NOT(ISNUMBER(E336)),N(E336)&lt;0)),"Réglage invalide",IF(AND(F336&lt;&gt;"",OR(NOT(ISNUMBER(F336)),N(F336)&lt;0)),"Temps par pièce invalide",IF(N(E336)+N(F336)=0,"Temps manquant",IF(AND(G336&lt;&gt;"",OR(NOT(ISNUMBER(G336)),N(G336)&lt;=0)),"Opérateurs invalide","OK"))))))))))</f>
        <v/>
      </c>
      <c r="N336" s="71" t="str">
        <f>IF(AND(fiche_sel&lt;&gt;"",A336=fiche_sel),COUNTIF(A$6:A336,fiche_sel),"")</f>
        <v/>
      </c>
    </row>
    <row r="337">
      <c r="A337" s="60" t="n"/>
      <c r="B337" s="73" t="n"/>
      <c r="C337" s="60" t="n"/>
      <c r="D337" s="61" t="n"/>
      <c r="E337" s="74" t="n"/>
      <c r="F337" s="74" t="n"/>
      <c r="G337" s="73" t="n"/>
      <c r="H337" s="66" t="str">
        <f>IF(M337&lt;&gt;"OK","",INDEX(po_mo,MATCH(D337,po_code,0)))</f>
        <v/>
      </c>
      <c r="I337" s="66" t="str">
        <f>IF(M337&lt;&gt;"OK","",INDEX(po_mac,MATCH(D337,po_code,0)))</f>
        <v/>
      </c>
      <c r="J337" s="66" t="str">
        <f>IF(M337&lt;&gt;"OK","",N(E337)*(H337*IF(G337="",1,G337)+I337))</f>
        <v/>
      </c>
      <c r="K337" s="66" t="str">
        <f>IF(M337&lt;&gt;"OK","",N(F337)/60*H337*IF(G337="",1,G337))</f>
        <v/>
      </c>
      <c r="L337" s="66" t="str">
        <f>IF(M337&lt;&gt;"OK","",N(F337)/60*I337)</f>
        <v/>
      </c>
      <c r="M337" s="69" t="str">
        <f>IF(AND(A337="",D337=""),"",IF(A337="","Produit manquant",IF(COUNTIF(prod_ref,A337)=0,"Produit inconnu",IF(D337="","Poste manquant",IF(ISNA(MATCH(D337,po_code,0)),"Poste inconnu",IF(INDEX(po_check,MATCH(D337,po_code,0))&lt;&gt;"OK","Poste à corriger",IF(AND(E337&lt;&gt;"",OR(NOT(ISNUMBER(E337)),N(E337)&lt;0)),"Réglage invalide",IF(AND(F337&lt;&gt;"",OR(NOT(ISNUMBER(F337)),N(F337)&lt;0)),"Temps par pièce invalide",IF(N(E337)+N(F337)=0,"Temps manquant",IF(AND(G337&lt;&gt;"",OR(NOT(ISNUMBER(G337)),N(G337)&lt;=0)),"Opérateurs invalide","OK"))))))))))</f>
        <v/>
      </c>
      <c r="N337" s="71" t="str">
        <f>IF(AND(fiche_sel&lt;&gt;"",A337=fiche_sel),COUNTIF(A$6:A337,fiche_sel),"")</f>
        <v/>
      </c>
    </row>
    <row r="338">
      <c r="A338" s="60" t="n"/>
      <c r="B338" s="73" t="n"/>
      <c r="C338" s="60" t="n"/>
      <c r="D338" s="61" t="n"/>
      <c r="E338" s="74" t="n"/>
      <c r="F338" s="74" t="n"/>
      <c r="G338" s="73" t="n"/>
      <c r="H338" s="66" t="str">
        <f>IF(M338&lt;&gt;"OK","",INDEX(po_mo,MATCH(D338,po_code,0)))</f>
        <v/>
      </c>
      <c r="I338" s="66" t="str">
        <f>IF(M338&lt;&gt;"OK","",INDEX(po_mac,MATCH(D338,po_code,0)))</f>
        <v/>
      </c>
      <c r="J338" s="66" t="str">
        <f>IF(M338&lt;&gt;"OK","",N(E338)*(H338*IF(G338="",1,G338)+I338))</f>
        <v/>
      </c>
      <c r="K338" s="66" t="str">
        <f>IF(M338&lt;&gt;"OK","",N(F338)/60*H338*IF(G338="",1,G338))</f>
        <v/>
      </c>
      <c r="L338" s="66" t="str">
        <f>IF(M338&lt;&gt;"OK","",N(F338)/60*I338)</f>
        <v/>
      </c>
      <c r="M338" s="69" t="str">
        <f>IF(AND(A338="",D338=""),"",IF(A338="","Produit manquant",IF(COUNTIF(prod_ref,A338)=0,"Produit inconnu",IF(D338="","Poste manquant",IF(ISNA(MATCH(D338,po_code,0)),"Poste inconnu",IF(INDEX(po_check,MATCH(D338,po_code,0))&lt;&gt;"OK","Poste à corriger",IF(AND(E338&lt;&gt;"",OR(NOT(ISNUMBER(E338)),N(E338)&lt;0)),"Réglage invalide",IF(AND(F338&lt;&gt;"",OR(NOT(ISNUMBER(F338)),N(F338)&lt;0)),"Temps par pièce invalide",IF(N(E338)+N(F338)=0,"Temps manquant",IF(AND(G338&lt;&gt;"",OR(NOT(ISNUMBER(G338)),N(G338)&lt;=0)),"Opérateurs invalide","OK"))))))))))</f>
        <v/>
      </c>
      <c r="N338" s="71" t="str">
        <f>IF(AND(fiche_sel&lt;&gt;"",A338=fiche_sel),COUNTIF(A$6:A338,fiche_sel),"")</f>
        <v/>
      </c>
    </row>
    <row r="339">
      <c r="A339" s="60" t="n"/>
      <c r="B339" s="73" t="n"/>
      <c r="C339" s="60" t="n"/>
      <c r="D339" s="61" t="n"/>
      <c r="E339" s="74" t="n"/>
      <c r="F339" s="74" t="n"/>
      <c r="G339" s="73" t="n"/>
      <c r="H339" s="66" t="str">
        <f>IF(M339&lt;&gt;"OK","",INDEX(po_mo,MATCH(D339,po_code,0)))</f>
        <v/>
      </c>
      <c r="I339" s="66" t="str">
        <f>IF(M339&lt;&gt;"OK","",INDEX(po_mac,MATCH(D339,po_code,0)))</f>
        <v/>
      </c>
      <c r="J339" s="66" t="str">
        <f>IF(M339&lt;&gt;"OK","",N(E339)*(H339*IF(G339="",1,G339)+I339))</f>
        <v/>
      </c>
      <c r="K339" s="66" t="str">
        <f>IF(M339&lt;&gt;"OK","",N(F339)/60*H339*IF(G339="",1,G339))</f>
        <v/>
      </c>
      <c r="L339" s="66" t="str">
        <f>IF(M339&lt;&gt;"OK","",N(F339)/60*I339)</f>
        <v/>
      </c>
      <c r="M339" s="69" t="str">
        <f>IF(AND(A339="",D339=""),"",IF(A339="","Produit manquant",IF(COUNTIF(prod_ref,A339)=0,"Produit inconnu",IF(D339="","Poste manquant",IF(ISNA(MATCH(D339,po_code,0)),"Poste inconnu",IF(INDEX(po_check,MATCH(D339,po_code,0))&lt;&gt;"OK","Poste à corriger",IF(AND(E339&lt;&gt;"",OR(NOT(ISNUMBER(E339)),N(E339)&lt;0)),"Réglage invalide",IF(AND(F339&lt;&gt;"",OR(NOT(ISNUMBER(F339)),N(F339)&lt;0)),"Temps par pièce invalide",IF(N(E339)+N(F339)=0,"Temps manquant",IF(AND(G339&lt;&gt;"",OR(NOT(ISNUMBER(G339)),N(G339)&lt;=0)),"Opérateurs invalide","OK"))))))))))</f>
        <v/>
      </c>
      <c r="N339" s="71" t="str">
        <f>IF(AND(fiche_sel&lt;&gt;"",A339=fiche_sel),COUNTIF(A$6:A339,fiche_sel),"")</f>
        <v/>
      </c>
    </row>
    <row r="340">
      <c r="A340" s="60" t="n"/>
      <c r="B340" s="73" t="n"/>
      <c r="C340" s="60" t="n"/>
      <c r="D340" s="61" t="n"/>
      <c r="E340" s="74" t="n"/>
      <c r="F340" s="74" t="n"/>
      <c r="G340" s="73" t="n"/>
      <c r="H340" s="66" t="str">
        <f>IF(M340&lt;&gt;"OK","",INDEX(po_mo,MATCH(D340,po_code,0)))</f>
        <v/>
      </c>
      <c r="I340" s="66" t="str">
        <f>IF(M340&lt;&gt;"OK","",INDEX(po_mac,MATCH(D340,po_code,0)))</f>
        <v/>
      </c>
      <c r="J340" s="66" t="str">
        <f>IF(M340&lt;&gt;"OK","",N(E340)*(H340*IF(G340="",1,G340)+I340))</f>
        <v/>
      </c>
      <c r="K340" s="66" t="str">
        <f>IF(M340&lt;&gt;"OK","",N(F340)/60*H340*IF(G340="",1,G340))</f>
        <v/>
      </c>
      <c r="L340" s="66" t="str">
        <f>IF(M340&lt;&gt;"OK","",N(F340)/60*I340)</f>
        <v/>
      </c>
      <c r="M340" s="69" t="str">
        <f>IF(AND(A340="",D340=""),"",IF(A340="","Produit manquant",IF(COUNTIF(prod_ref,A340)=0,"Produit inconnu",IF(D340="","Poste manquant",IF(ISNA(MATCH(D340,po_code,0)),"Poste inconnu",IF(INDEX(po_check,MATCH(D340,po_code,0))&lt;&gt;"OK","Poste à corriger",IF(AND(E340&lt;&gt;"",OR(NOT(ISNUMBER(E340)),N(E340)&lt;0)),"Réglage invalide",IF(AND(F340&lt;&gt;"",OR(NOT(ISNUMBER(F340)),N(F340)&lt;0)),"Temps par pièce invalide",IF(N(E340)+N(F340)=0,"Temps manquant",IF(AND(G340&lt;&gt;"",OR(NOT(ISNUMBER(G340)),N(G340)&lt;=0)),"Opérateurs invalide","OK"))))))))))</f>
        <v/>
      </c>
      <c r="N340" s="71" t="str">
        <f>IF(AND(fiche_sel&lt;&gt;"",A340=fiche_sel),COUNTIF(A$6:A340,fiche_sel),"")</f>
        <v/>
      </c>
    </row>
    <row r="341">
      <c r="A341" s="60" t="n"/>
      <c r="B341" s="73" t="n"/>
      <c r="C341" s="60" t="n"/>
      <c r="D341" s="61" t="n"/>
      <c r="E341" s="74" t="n"/>
      <c r="F341" s="74" t="n"/>
      <c r="G341" s="73" t="n"/>
      <c r="H341" s="66" t="str">
        <f>IF(M341&lt;&gt;"OK","",INDEX(po_mo,MATCH(D341,po_code,0)))</f>
        <v/>
      </c>
      <c r="I341" s="66" t="str">
        <f>IF(M341&lt;&gt;"OK","",INDEX(po_mac,MATCH(D341,po_code,0)))</f>
        <v/>
      </c>
      <c r="J341" s="66" t="str">
        <f>IF(M341&lt;&gt;"OK","",N(E341)*(H341*IF(G341="",1,G341)+I341))</f>
        <v/>
      </c>
      <c r="K341" s="66" t="str">
        <f>IF(M341&lt;&gt;"OK","",N(F341)/60*H341*IF(G341="",1,G341))</f>
        <v/>
      </c>
      <c r="L341" s="66" t="str">
        <f>IF(M341&lt;&gt;"OK","",N(F341)/60*I341)</f>
        <v/>
      </c>
      <c r="M341" s="69" t="str">
        <f>IF(AND(A341="",D341=""),"",IF(A341="","Produit manquant",IF(COUNTIF(prod_ref,A341)=0,"Produit inconnu",IF(D341="","Poste manquant",IF(ISNA(MATCH(D341,po_code,0)),"Poste inconnu",IF(INDEX(po_check,MATCH(D341,po_code,0))&lt;&gt;"OK","Poste à corriger",IF(AND(E341&lt;&gt;"",OR(NOT(ISNUMBER(E341)),N(E341)&lt;0)),"Réglage invalide",IF(AND(F341&lt;&gt;"",OR(NOT(ISNUMBER(F341)),N(F341)&lt;0)),"Temps par pièce invalide",IF(N(E341)+N(F341)=0,"Temps manquant",IF(AND(G341&lt;&gt;"",OR(NOT(ISNUMBER(G341)),N(G341)&lt;=0)),"Opérateurs invalide","OK"))))))))))</f>
        <v/>
      </c>
      <c r="N341" s="71" t="str">
        <f>IF(AND(fiche_sel&lt;&gt;"",A341=fiche_sel),COUNTIF(A$6:A341,fiche_sel),"")</f>
        <v/>
      </c>
    </row>
    <row r="342">
      <c r="A342" s="60" t="n"/>
      <c r="B342" s="73" t="n"/>
      <c r="C342" s="60" t="n"/>
      <c r="D342" s="61" t="n"/>
      <c r="E342" s="74" t="n"/>
      <c r="F342" s="74" t="n"/>
      <c r="G342" s="73" t="n"/>
      <c r="H342" s="66" t="str">
        <f>IF(M342&lt;&gt;"OK","",INDEX(po_mo,MATCH(D342,po_code,0)))</f>
        <v/>
      </c>
      <c r="I342" s="66" t="str">
        <f>IF(M342&lt;&gt;"OK","",INDEX(po_mac,MATCH(D342,po_code,0)))</f>
        <v/>
      </c>
      <c r="J342" s="66" t="str">
        <f>IF(M342&lt;&gt;"OK","",N(E342)*(H342*IF(G342="",1,G342)+I342))</f>
        <v/>
      </c>
      <c r="K342" s="66" t="str">
        <f>IF(M342&lt;&gt;"OK","",N(F342)/60*H342*IF(G342="",1,G342))</f>
        <v/>
      </c>
      <c r="L342" s="66" t="str">
        <f>IF(M342&lt;&gt;"OK","",N(F342)/60*I342)</f>
        <v/>
      </c>
      <c r="M342" s="69" t="str">
        <f>IF(AND(A342="",D342=""),"",IF(A342="","Produit manquant",IF(COUNTIF(prod_ref,A342)=0,"Produit inconnu",IF(D342="","Poste manquant",IF(ISNA(MATCH(D342,po_code,0)),"Poste inconnu",IF(INDEX(po_check,MATCH(D342,po_code,0))&lt;&gt;"OK","Poste à corriger",IF(AND(E342&lt;&gt;"",OR(NOT(ISNUMBER(E342)),N(E342)&lt;0)),"Réglage invalide",IF(AND(F342&lt;&gt;"",OR(NOT(ISNUMBER(F342)),N(F342)&lt;0)),"Temps par pièce invalide",IF(N(E342)+N(F342)=0,"Temps manquant",IF(AND(G342&lt;&gt;"",OR(NOT(ISNUMBER(G342)),N(G342)&lt;=0)),"Opérateurs invalide","OK"))))))))))</f>
        <v/>
      </c>
      <c r="N342" s="71" t="str">
        <f>IF(AND(fiche_sel&lt;&gt;"",A342=fiche_sel),COUNTIF(A$6:A342,fiche_sel),"")</f>
        <v/>
      </c>
    </row>
    <row r="343">
      <c r="A343" s="60" t="n"/>
      <c r="B343" s="73" t="n"/>
      <c r="C343" s="60" t="n"/>
      <c r="D343" s="61" t="n"/>
      <c r="E343" s="74" t="n"/>
      <c r="F343" s="74" t="n"/>
      <c r="G343" s="73" t="n"/>
      <c r="H343" s="66" t="str">
        <f>IF(M343&lt;&gt;"OK","",INDEX(po_mo,MATCH(D343,po_code,0)))</f>
        <v/>
      </c>
      <c r="I343" s="66" t="str">
        <f>IF(M343&lt;&gt;"OK","",INDEX(po_mac,MATCH(D343,po_code,0)))</f>
        <v/>
      </c>
      <c r="J343" s="66" t="str">
        <f>IF(M343&lt;&gt;"OK","",N(E343)*(H343*IF(G343="",1,G343)+I343))</f>
        <v/>
      </c>
      <c r="K343" s="66" t="str">
        <f>IF(M343&lt;&gt;"OK","",N(F343)/60*H343*IF(G343="",1,G343))</f>
        <v/>
      </c>
      <c r="L343" s="66" t="str">
        <f>IF(M343&lt;&gt;"OK","",N(F343)/60*I343)</f>
        <v/>
      </c>
      <c r="M343" s="69" t="str">
        <f>IF(AND(A343="",D343=""),"",IF(A343="","Produit manquant",IF(COUNTIF(prod_ref,A343)=0,"Produit inconnu",IF(D343="","Poste manquant",IF(ISNA(MATCH(D343,po_code,0)),"Poste inconnu",IF(INDEX(po_check,MATCH(D343,po_code,0))&lt;&gt;"OK","Poste à corriger",IF(AND(E343&lt;&gt;"",OR(NOT(ISNUMBER(E343)),N(E343)&lt;0)),"Réglage invalide",IF(AND(F343&lt;&gt;"",OR(NOT(ISNUMBER(F343)),N(F343)&lt;0)),"Temps par pièce invalide",IF(N(E343)+N(F343)=0,"Temps manquant",IF(AND(G343&lt;&gt;"",OR(NOT(ISNUMBER(G343)),N(G343)&lt;=0)),"Opérateurs invalide","OK"))))))))))</f>
        <v/>
      </c>
      <c r="N343" s="71" t="str">
        <f>IF(AND(fiche_sel&lt;&gt;"",A343=fiche_sel),COUNTIF(A$6:A343,fiche_sel),"")</f>
        <v/>
      </c>
    </row>
    <row r="344">
      <c r="A344" s="60" t="n"/>
      <c r="B344" s="73" t="n"/>
      <c r="C344" s="60" t="n"/>
      <c r="D344" s="61" t="n"/>
      <c r="E344" s="74" t="n"/>
      <c r="F344" s="74" t="n"/>
      <c r="G344" s="73" t="n"/>
      <c r="H344" s="66" t="str">
        <f>IF(M344&lt;&gt;"OK","",INDEX(po_mo,MATCH(D344,po_code,0)))</f>
        <v/>
      </c>
      <c r="I344" s="66" t="str">
        <f>IF(M344&lt;&gt;"OK","",INDEX(po_mac,MATCH(D344,po_code,0)))</f>
        <v/>
      </c>
      <c r="J344" s="66" t="str">
        <f>IF(M344&lt;&gt;"OK","",N(E344)*(H344*IF(G344="",1,G344)+I344))</f>
        <v/>
      </c>
      <c r="K344" s="66" t="str">
        <f>IF(M344&lt;&gt;"OK","",N(F344)/60*H344*IF(G344="",1,G344))</f>
        <v/>
      </c>
      <c r="L344" s="66" t="str">
        <f>IF(M344&lt;&gt;"OK","",N(F344)/60*I344)</f>
        <v/>
      </c>
      <c r="M344" s="69" t="str">
        <f>IF(AND(A344="",D344=""),"",IF(A344="","Produit manquant",IF(COUNTIF(prod_ref,A344)=0,"Produit inconnu",IF(D344="","Poste manquant",IF(ISNA(MATCH(D344,po_code,0)),"Poste inconnu",IF(INDEX(po_check,MATCH(D344,po_code,0))&lt;&gt;"OK","Poste à corriger",IF(AND(E344&lt;&gt;"",OR(NOT(ISNUMBER(E344)),N(E344)&lt;0)),"Réglage invalide",IF(AND(F344&lt;&gt;"",OR(NOT(ISNUMBER(F344)),N(F344)&lt;0)),"Temps par pièce invalide",IF(N(E344)+N(F344)=0,"Temps manquant",IF(AND(G344&lt;&gt;"",OR(NOT(ISNUMBER(G344)),N(G344)&lt;=0)),"Opérateurs invalide","OK"))))))))))</f>
        <v/>
      </c>
      <c r="N344" s="71" t="str">
        <f>IF(AND(fiche_sel&lt;&gt;"",A344=fiche_sel),COUNTIF(A$6:A344,fiche_sel),"")</f>
        <v/>
      </c>
    </row>
    <row r="345">
      <c r="A345" s="60" t="n"/>
      <c r="B345" s="73" t="n"/>
      <c r="C345" s="60" t="n"/>
      <c r="D345" s="61" t="n"/>
      <c r="E345" s="74" t="n"/>
      <c r="F345" s="74" t="n"/>
      <c r="G345" s="73" t="n"/>
      <c r="H345" s="66" t="str">
        <f>IF(M345&lt;&gt;"OK","",INDEX(po_mo,MATCH(D345,po_code,0)))</f>
        <v/>
      </c>
      <c r="I345" s="66" t="str">
        <f>IF(M345&lt;&gt;"OK","",INDEX(po_mac,MATCH(D345,po_code,0)))</f>
        <v/>
      </c>
      <c r="J345" s="66" t="str">
        <f>IF(M345&lt;&gt;"OK","",N(E345)*(H345*IF(G345="",1,G345)+I345))</f>
        <v/>
      </c>
      <c r="K345" s="66" t="str">
        <f>IF(M345&lt;&gt;"OK","",N(F345)/60*H345*IF(G345="",1,G345))</f>
        <v/>
      </c>
      <c r="L345" s="66" t="str">
        <f>IF(M345&lt;&gt;"OK","",N(F345)/60*I345)</f>
        <v/>
      </c>
      <c r="M345" s="69" t="str">
        <f>IF(AND(A345="",D345=""),"",IF(A345="","Produit manquant",IF(COUNTIF(prod_ref,A345)=0,"Produit inconnu",IF(D345="","Poste manquant",IF(ISNA(MATCH(D345,po_code,0)),"Poste inconnu",IF(INDEX(po_check,MATCH(D345,po_code,0))&lt;&gt;"OK","Poste à corriger",IF(AND(E345&lt;&gt;"",OR(NOT(ISNUMBER(E345)),N(E345)&lt;0)),"Réglage invalide",IF(AND(F345&lt;&gt;"",OR(NOT(ISNUMBER(F345)),N(F345)&lt;0)),"Temps par pièce invalide",IF(N(E345)+N(F345)=0,"Temps manquant",IF(AND(G345&lt;&gt;"",OR(NOT(ISNUMBER(G345)),N(G345)&lt;=0)),"Opérateurs invalide","OK"))))))))))</f>
        <v/>
      </c>
      <c r="N345" s="71" t="str">
        <f>IF(AND(fiche_sel&lt;&gt;"",A345=fiche_sel),COUNTIF(A$6:A345,fiche_sel),"")</f>
        <v/>
      </c>
    </row>
    <row r="346">
      <c r="A346" s="60" t="n"/>
      <c r="B346" s="73" t="n"/>
      <c r="C346" s="60" t="n"/>
      <c r="D346" s="61" t="n"/>
      <c r="E346" s="74" t="n"/>
      <c r="F346" s="74" t="n"/>
      <c r="G346" s="73" t="n"/>
      <c r="H346" s="66" t="str">
        <f>IF(M346&lt;&gt;"OK","",INDEX(po_mo,MATCH(D346,po_code,0)))</f>
        <v/>
      </c>
      <c r="I346" s="66" t="str">
        <f>IF(M346&lt;&gt;"OK","",INDEX(po_mac,MATCH(D346,po_code,0)))</f>
        <v/>
      </c>
      <c r="J346" s="66" t="str">
        <f>IF(M346&lt;&gt;"OK","",N(E346)*(H346*IF(G346="",1,G346)+I346))</f>
        <v/>
      </c>
      <c r="K346" s="66" t="str">
        <f>IF(M346&lt;&gt;"OK","",N(F346)/60*H346*IF(G346="",1,G346))</f>
        <v/>
      </c>
      <c r="L346" s="66" t="str">
        <f>IF(M346&lt;&gt;"OK","",N(F346)/60*I346)</f>
        <v/>
      </c>
      <c r="M346" s="69" t="str">
        <f>IF(AND(A346="",D346=""),"",IF(A346="","Produit manquant",IF(COUNTIF(prod_ref,A346)=0,"Produit inconnu",IF(D346="","Poste manquant",IF(ISNA(MATCH(D346,po_code,0)),"Poste inconnu",IF(INDEX(po_check,MATCH(D346,po_code,0))&lt;&gt;"OK","Poste à corriger",IF(AND(E346&lt;&gt;"",OR(NOT(ISNUMBER(E346)),N(E346)&lt;0)),"Réglage invalide",IF(AND(F346&lt;&gt;"",OR(NOT(ISNUMBER(F346)),N(F346)&lt;0)),"Temps par pièce invalide",IF(N(E346)+N(F346)=0,"Temps manquant",IF(AND(G346&lt;&gt;"",OR(NOT(ISNUMBER(G346)),N(G346)&lt;=0)),"Opérateurs invalide","OK"))))))))))</f>
        <v/>
      </c>
      <c r="N346" s="71" t="str">
        <f>IF(AND(fiche_sel&lt;&gt;"",A346=fiche_sel),COUNTIF(A$6:A346,fiche_sel),"")</f>
        <v/>
      </c>
    </row>
    <row r="347">
      <c r="A347" s="60" t="n"/>
      <c r="B347" s="73" t="n"/>
      <c r="C347" s="60" t="n"/>
      <c r="D347" s="61" t="n"/>
      <c r="E347" s="74" t="n"/>
      <c r="F347" s="74" t="n"/>
      <c r="G347" s="73" t="n"/>
      <c r="H347" s="66" t="str">
        <f>IF(M347&lt;&gt;"OK","",INDEX(po_mo,MATCH(D347,po_code,0)))</f>
        <v/>
      </c>
      <c r="I347" s="66" t="str">
        <f>IF(M347&lt;&gt;"OK","",INDEX(po_mac,MATCH(D347,po_code,0)))</f>
        <v/>
      </c>
      <c r="J347" s="66" t="str">
        <f>IF(M347&lt;&gt;"OK","",N(E347)*(H347*IF(G347="",1,G347)+I347))</f>
        <v/>
      </c>
      <c r="K347" s="66" t="str">
        <f>IF(M347&lt;&gt;"OK","",N(F347)/60*H347*IF(G347="",1,G347))</f>
        <v/>
      </c>
      <c r="L347" s="66" t="str">
        <f>IF(M347&lt;&gt;"OK","",N(F347)/60*I347)</f>
        <v/>
      </c>
      <c r="M347" s="69" t="str">
        <f>IF(AND(A347="",D347=""),"",IF(A347="","Produit manquant",IF(COUNTIF(prod_ref,A347)=0,"Produit inconnu",IF(D347="","Poste manquant",IF(ISNA(MATCH(D347,po_code,0)),"Poste inconnu",IF(INDEX(po_check,MATCH(D347,po_code,0))&lt;&gt;"OK","Poste à corriger",IF(AND(E347&lt;&gt;"",OR(NOT(ISNUMBER(E347)),N(E347)&lt;0)),"Réglage invalide",IF(AND(F347&lt;&gt;"",OR(NOT(ISNUMBER(F347)),N(F347)&lt;0)),"Temps par pièce invalide",IF(N(E347)+N(F347)=0,"Temps manquant",IF(AND(G347&lt;&gt;"",OR(NOT(ISNUMBER(G347)),N(G347)&lt;=0)),"Opérateurs invalide","OK"))))))))))</f>
        <v/>
      </c>
      <c r="N347" s="71" t="str">
        <f>IF(AND(fiche_sel&lt;&gt;"",A347=fiche_sel),COUNTIF(A$6:A347,fiche_sel),"")</f>
        <v/>
      </c>
    </row>
    <row r="348">
      <c r="A348" s="60" t="n"/>
      <c r="B348" s="73" t="n"/>
      <c r="C348" s="60" t="n"/>
      <c r="D348" s="61" t="n"/>
      <c r="E348" s="74" t="n"/>
      <c r="F348" s="74" t="n"/>
      <c r="G348" s="73" t="n"/>
      <c r="H348" s="66" t="str">
        <f>IF(M348&lt;&gt;"OK","",INDEX(po_mo,MATCH(D348,po_code,0)))</f>
        <v/>
      </c>
      <c r="I348" s="66" t="str">
        <f>IF(M348&lt;&gt;"OK","",INDEX(po_mac,MATCH(D348,po_code,0)))</f>
        <v/>
      </c>
      <c r="J348" s="66" t="str">
        <f>IF(M348&lt;&gt;"OK","",N(E348)*(H348*IF(G348="",1,G348)+I348))</f>
        <v/>
      </c>
      <c r="K348" s="66" t="str">
        <f>IF(M348&lt;&gt;"OK","",N(F348)/60*H348*IF(G348="",1,G348))</f>
        <v/>
      </c>
      <c r="L348" s="66" t="str">
        <f>IF(M348&lt;&gt;"OK","",N(F348)/60*I348)</f>
        <v/>
      </c>
      <c r="M348" s="69" t="str">
        <f>IF(AND(A348="",D348=""),"",IF(A348="","Produit manquant",IF(COUNTIF(prod_ref,A348)=0,"Produit inconnu",IF(D348="","Poste manquant",IF(ISNA(MATCH(D348,po_code,0)),"Poste inconnu",IF(INDEX(po_check,MATCH(D348,po_code,0))&lt;&gt;"OK","Poste à corriger",IF(AND(E348&lt;&gt;"",OR(NOT(ISNUMBER(E348)),N(E348)&lt;0)),"Réglage invalide",IF(AND(F348&lt;&gt;"",OR(NOT(ISNUMBER(F348)),N(F348)&lt;0)),"Temps par pièce invalide",IF(N(E348)+N(F348)=0,"Temps manquant",IF(AND(G348&lt;&gt;"",OR(NOT(ISNUMBER(G348)),N(G348)&lt;=0)),"Opérateurs invalide","OK"))))))))))</f>
        <v/>
      </c>
      <c r="N348" s="71" t="str">
        <f>IF(AND(fiche_sel&lt;&gt;"",A348=fiche_sel),COUNTIF(A$6:A348,fiche_sel),"")</f>
        <v/>
      </c>
    </row>
    <row r="349">
      <c r="A349" s="60" t="n"/>
      <c r="B349" s="73" t="n"/>
      <c r="C349" s="60" t="n"/>
      <c r="D349" s="61" t="n"/>
      <c r="E349" s="74" t="n"/>
      <c r="F349" s="74" t="n"/>
      <c r="G349" s="73" t="n"/>
      <c r="H349" s="66" t="str">
        <f>IF(M349&lt;&gt;"OK","",INDEX(po_mo,MATCH(D349,po_code,0)))</f>
        <v/>
      </c>
      <c r="I349" s="66" t="str">
        <f>IF(M349&lt;&gt;"OK","",INDEX(po_mac,MATCH(D349,po_code,0)))</f>
        <v/>
      </c>
      <c r="J349" s="66" t="str">
        <f>IF(M349&lt;&gt;"OK","",N(E349)*(H349*IF(G349="",1,G349)+I349))</f>
        <v/>
      </c>
      <c r="K349" s="66" t="str">
        <f>IF(M349&lt;&gt;"OK","",N(F349)/60*H349*IF(G349="",1,G349))</f>
        <v/>
      </c>
      <c r="L349" s="66" t="str">
        <f>IF(M349&lt;&gt;"OK","",N(F349)/60*I349)</f>
        <v/>
      </c>
      <c r="M349" s="69" t="str">
        <f>IF(AND(A349="",D349=""),"",IF(A349="","Produit manquant",IF(COUNTIF(prod_ref,A349)=0,"Produit inconnu",IF(D349="","Poste manquant",IF(ISNA(MATCH(D349,po_code,0)),"Poste inconnu",IF(INDEX(po_check,MATCH(D349,po_code,0))&lt;&gt;"OK","Poste à corriger",IF(AND(E349&lt;&gt;"",OR(NOT(ISNUMBER(E349)),N(E349)&lt;0)),"Réglage invalide",IF(AND(F349&lt;&gt;"",OR(NOT(ISNUMBER(F349)),N(F349)&lt;0)),"Temps par pièce invalide",IF(N(E349)+N(F349)=0,"Temps manquant",IF(AND(G349&lt;&gt;"",OR(NOT(ISNUMBER(G349)),N(G349)&lt;=0)),"Opérateurs invalide","OK"))))))))))</f>
        <v/>
      </c>
      <c r="N349" s="71" t="str">
        <f>IF(AND(fiche_sel&lt;&gt;"",A349=fiche_sel),COUNTIF(A$6:A349,fiche_sel),"")</f>
        <v/>
      </c>
    </row>
    <row r="350">
      <c r="A350" s="60" t="n"/>
      <c r="B350" s="73" t="n"/>
      <c r="C350" s="60" t="n"/>
      <c r="D350" s="61" t="n"/>
      <c r="E350" s="74" t="n"/>
      <c r="F350" s="74" t="n"/>
      <c r="G350" s="73" t="n"/>
      <c r="H350" s="66" t="str">
        <f>IF(M350&lt;&gt;"OK","",INDEX(po_mo,MATCH(D350,po_code,0)))</f>
        <v/>
      </c>
      <c r="I350" s="66" t="str">
        <f>IF(M350&lt;&gt;"OK","",INDEX(po_mac,MATCH(D350,po_code,0)))</f>
        <v/>
      </c>
      <c r="J350" s="66" t="str">
        <f>IF(M350&lt;&gt;"OK","",N(E350)*(H350*IF(G350="",1,G350)+I350))</f>
        <v/>
      </c>
      <c r="K350" s="66" t="str">
        <f>IF(M350&lt;&gt;"OK","",N(F350)/60*H350*IF(G350="",1,G350))</f>
        <v/>
      </c>
      <c r="L350" s="66" t="str">
        <f>IF(M350&lt;&gt;"OK","",N(F350)/60*I350)</f>
        <v/>
      </c>
      <c r="M350" s="69" t="str">
        <f>IF(AND(A350="",D350=""),"",IF(A350="","Produit manquant",IF(COUNTIF(prod_ref,A350)=0,"Produit inconnu",IF(D350="","Poste manquant",IF(ISNA(MATCH(D350,po_code,0)),"Poste inconnu",IF(INDEX(po_check,MATCH(D350,po_code,0))&lt;&gt;"OK","Poste à corriger",IF(AND(E350&lt;&gt;"",OR(NOT(ISNUMBER(E350)),N(E350)&lt;0)),"Réglage invalide",IF(AND(F350&lt;&gt;"",OR(NOT(ISNUMBER(F350)),N(F350)&lt;0)),"Temps par pièce invalide",IF(N(E350)+N(F350)=0,"Temps manquant",IF(AND(G350&lt;&gt;"",OR(NOT(ISNUMBER(G350)),N(G350)&lt;=0)),"Opérateurs invalide","OK"))))))))))</f>
        <v/>
      </c>
      <c r="N350" s="71" t="str">
        <f>IF(AND(fiche_sel&lt;&gt;"",A350=fiche_sel),COUNTIF(A$6:A350,fiche_sel),"")</f>
        <v/>
      </c>
    </row>
    <row r="351">
      <c r="A351" s="60" t="n"/>
      <c r="B351" s="73" t="n"/>
      <c r="C351" s="60" t="n"/>
      <c r="D351" s="61" t="n"/>
      <c r="E351" s="74" t="n"/>
      <c r="F351" s="74" t="n"/>
      <c r="G351" s="73" t="n"/>
      <c r="H351" s="66" t="str">
        <f>IF(M351&lt;&gt;"OK","",INDEX(po_mo,MATCH(D351,po_code,0)))</f>
        <v/>
      </c>
      <c r="I351" s="66" t="str">
        <f>IF(M351&lt;&gt;"OK","",INDEX(po_mac,MATCH(D351,po_code,0)))</f>
        <v/>
      </c>
      <c r="J351" s="66" t="str">
        <f>IF(M351&lt;&gt;"OK","",N(E351)*(H351*IF(G351="",1,G351)+I351))</f>
        <v/>
      </c>
      <c r="K351" s="66" t="str">
        <f>IF(M351&lt;&gt;"OK","",N(F351)/60*H351*IF(G351="",1,G351))</f>
        <v/>
      </c>
      <c r="L351" s="66" t="str">
        <f>IF(M351&lt;&gt;"OK","",N(F351)/60*I351)</f>
        <v/>
      </c>
      <c r="M351" s="69" t="str">
        <f>IF(AND(A351="",D351=""),"",IF(A351="","Produit manquant",IF(COUNTIF(prod_ref,A351)=0,"Produit inconnu",IF(D351="","Poste manquant",IF(ISNA(MATCH(D351,po_code,0)),"Poste inconnu",IF(INDEX(po_check,MATCH(D351,po_code,0))&lt;&gt;"OK","Poste à corriger",IF(AND(E351&lt;&gt;"",OR(NOT(ISNUMBER(E351)),N(E351)&lt;0)),"Réglage invalide",IF(AND(F351&lt;&gt;"",OR(NOT(ISNUMBER(F351)),N(F351)&lt;0)),"Temps par pièce invalide",IF(N(E351)+N(F351)=0,"Temps manquant",IF(AND(G351&lt;&gt;"",OR(NOT(ISNUMBER(G351)),N(G351)&lt;=0)),"Opérateurs invalide","OK"))))))))))</f>
        <v/>
      </c>
      <c r="N351" s="71" t="str">
        <f>IF(AND(fiche_sel&lt;&gt;"",A351=fiche_sel),COUNTIF(A$6:A351,fiche_sel),"")</f>
        <v/>
      </c>
    </row>
    <row r="352">
      <c r="A352" s="60" t="n"/>
      <c r="B352" s="73" t="n"/>
      <c r="C352" s="60" t="n"/>
      <c r="D352" s="61" t="n"/>
      <c r="E352" s="74" t="n"/>
      <c r="F352" s="74" t="n"/>
      <c r="G352" s="73" t="n"/>
      <c r="H352" s="66" t="str">
        <f>IF(M352&lt;&gt;"OK","",INDEX(po_mo,MATCH(D352,po_code,0)))</f>
        <v/>
      </c>
      <c r="I352" s="66" t="str">
        <f>IF(M352&lt;&gt;"OK","",INDEX(po_mac,MATCH(D352,po_code,0)))</f>
        <v/>
      </c>
      <c r="J352" s="66" t="str">
        <f>IF(M352&lt;&gt;"OK","",N(E352)*(H352*IF(G352="",1,G352)+I352))</f>
        <v/>
      </c>
      <c r="K352" s="66" t="str">
        <f>IF(M352&lt;&gt;"OK","",N(F352)/60*H352*IF(G352="",1,G352))</f>
        <v/>
      </c>
      <c r="L352" s="66" t="str">
        <f>IF(M352&lt;&gt;"OK","",N(F352)/60*I352)</f>
        <v/>
      </c>
      <c r="M352" s="69" t="str">
        <f>IF(AND(A352="",D352=""),"",IF(A352="","Produit manquant",IF(COUNTIF(prod_ref,A352)=0,"Produit inconnu",IF(D352="","Poste manquant",IF(ISNA(MATCH(D352,po_code,0)),"Poste inconnu",IF(INDEX(po_check,MATCH(D352,po_code,0))&lt;&gt;"OK","Poste à corriger",IF(AND(E352&lt;&gt;"",OR(NOT(ISNUMBER(E352)),N(E352)&lt;0)),"Réglage invalide",IF(AND(F352&lt;&gt;"",OR(NOT(ISNUMBER(F352)),N(F352)&lt;0)),"Temps par pièce invalide",IF(N(E352)+N(F352)=0,"Temps manquant",IF(AND(G352&lt;&gt;"",OR(NOT(ISNUMBER(G352)),N(G352)&lt;=0)),"Opérateurs invalide","OK"))))))))))</f>
        <v/>
      </c>
      <c r="N352" s="71" t="str">
        <f>IF(AND(fiche_sel&lt;&gt;"",A352=fiche_sel),COUNTIF(A$6:A352,fiche_sel),"")</f>
        <v/>
      </c>
    </row>
    <row r="353">
      <c r="A353" s="60" t="n"/>
      <c r="B353" s="73" t="n"/>
      <c r="C353" s="60" t="n"/>
      <c r="D353" s="61" t="n"/>
      <c r="E353" s="74" t="n"/>
      <c r="F353" s="74" t="n"/>
      <c r="G353" s="73" t="n"/>
      <c r="H353" s="66" t="str">
        <f>IF(M353&lt;&gt;"OK","",INDEX(po_mo,MATCH(D353,po_code,0)))</f>
        <v/>
      </c>
      <c r="I353" s="66" t="str">
        <f>IF(M353&lt;&gt;"OK","",INDEX(po_mac,MATCH(D353,po_code,0)))</f>
        <v/>
      </c>
      <c r="J353" s="66" t="str">
        <f>IF(M353&lt;&gt;"OK","",N(E353)*(H353*IF(G353="",1,G353)+I353))</f>
        <v/>
      </c>
      <c r="K353" s="66" t="str">
        <f>IF(M353&lt;&gt;"OK","",N(F353)/60*H353*IF(G353="",1,G353))</f>
        <v/>
      </c>
      <c r="L353" s="66" t="str">
        <f>IF(M353&lt;&gt;"OK","",N(F353)/60*I353)</f>
        <v/>
      </c>
      <c r="M353" s="69" t="str">
        <f>IF(AND(A353="",D353=""),"",IF(A353="","Produit manquant",IF(COUNTIF(prod_ref,A353)=0,"Produit inconnu",IF(D353="","Poste manquant",IF(ISNA(MATCH(D353,po_code,0)),"Poste inconnu",IF(INDEX(po_check,MATCH(D353,po_code,0))&lt;&gt;"OK","Poste à corriger",IF(AND(E353&lt;&gt;"",OR(NOT(ISNUMBER(E353)),N(E353)&lt;0)),"Réglage invalide",IF(AND(F353&lt;&gt;"",OR(NOT(ISNUMBER(F353)),N(F353)&lt;0)),"Temps par pièce invalide",IF(N(E353)+N(F353)=0,"Temps manquant",IF(AND(G353&lt;&gt;"",OR(NOT(ISNUMBER(G353)),N(G353)&lt;=0)),"Opérateurs invalide","OK"))))))))))</f>
        <v/>
      </c>
      <c r="N353" s="71" t="str">
        <f>IF(AND(fiche_sel&lt;&gt;"",A353=fiche_sel),COUNTIF(A$6:A353,fiche_sel),"")</f>
        <v/>
      </c>
    </row>
    <row r="354">
      <c r="A354" s="60" t="n"/>
      <c r="B354" s="73" t="n"/>
      <c r="C354" s="60" t="n"/>
      <c r="D354" s="61" t="n"/>
      <c r="E354" s="74" t="n"/>
      <c r="F354" s="74" t="n"/>
      <c r="G354" s="73" t="n"/>
      <c r="H354" s="66" t="str">
        <f>IF(M354&lt;&gt;"OK","",INDEX(po_mo,MATCH(D354,po_code,0)))</f>
        <v/>
      </c>
      <c r="I354" s="66" t="str">
        <f>IF(M354&lt;&gt;"OK","",INDEX(po_mac,MATCH(D354,po_code,0)))</f>
        <v/>
      </c>
      <c r="J354" s="66" t="str">
        <f>IF(M354&lt;&gt;"OK","",N(E354)*(H354*IF(G354="",1,G354)+I354))</f>
        <v/>
      </c>
      <c r="K354" s="66" t="str">
        <f>IF(M354&lt;&gt;"OK","",N(F354)/60*H354*IF(G354="",1,G354))</f>
        <v/>
      </c>
      <c r="L354" s="66" t="str">
        <f>IF(M354&lt;&gt;"OK","",N(F354)/60*I354)</f>
        <v/>
      </c>
      <c r="M354" s="69" t="str">
        <f>IF(AND(A354="",D354=""),"",IF(A354="","Produit manquant",IF(COUNTIF(prod_ref,A354)=0,"Produit inconnu",IF(D354="","Poste manquant",IF(ISNA(MATCH(D354,po_code,0)),"Poste inconnu",IF(INDEX(po_check,MATCH(D354,po_code,0))&lt;&gt;"OK","Poste à corriger",IF(AND(E354&lt;&gt;"",OR(NOT(ISNUMBER(E354)),N(E354)&lt;0)),"Réglage invalide",IF(AND(F354&lt;&gt;"",OR(NOT(ISNUMBER(F354)),N(F354)&lt;0)),"Temps par pièce invalide",IF(N(E354)+N(F354)=0,"Temps manquant",IF(AND(G354&lt;&gt;"",OR(NOT(ISNUMBER(G354)),N(G354)&lt;=0)),"Opérateurs invalide","OK"))))))))))</f>
        <v/>
      </c>
      <c r="N354" s="71" t="str">
        <f>IF(AND(fiche_sel&lt;&gt;"",A354=fiche_sel),COUNTIF(A$6:A354,fiche_sel),"")</f>
        <v/>
      </c>
    </row>
    <row r="355">
      <c r="A355" s="60" t="n"/>
      <c r="B355" s="73" t="n"/>
      <c r="C355" s="60" t="n"/>
      <c r="D355" s="61" t="n"/>
      <c r="E355" s="74" t="n"/>
      <c r="F355" s="74" t="n"/>
      <c r="G355" s="73" t="n"/>
      <c r="H355" s="66" t="str">
        <f>IF(M355&lt;&gt;"OK","",INDEX(po_mo,MATCH(D355,po_code,0)))</f>
        <v/>
      </c>
      <c r="I355" s="66" t="str">
        <f>IF(M355&lt;&gt;"OK","",INDEX(po_mac,MATCH(D355,po_code,0)))</f>
        <v/>
      </c>
      <c r="J355" s="66" t="str">
        <f>IF(M355&lt;&gt;"OK","",N(E355)*(H355*IF(G355="",1,G355)+I355))</f>
        <v/>
      </c>
      <c r="K355" s="66" t="str">
        <f>IF(M355&lt;&gt;"OK","",N(F355)/60*H355*IF(G355="",1,G355))</f>
        <v/>
      </c>
      <c r="L355" s="66" t="str">
        <f>IF(M355&lt;&gt;"OK","",N(F355)/60*I355)</f>
        <v/>
      </c>
      <c r="M355" s="69" t="str">
        <f>IF(AND(A355="",D355=""),"",IF(A355="","Produit manquant",IF(COUNTIF(prod_ref,A355)=0,"Produit inconnu",IF(D355="","Poste manquant",IF(ISNA(MATCH(D355,po_code,0)),"Poste inconnu",IF(INDEX(po_check,MATCH(D355,po_code,0))&lt;&gt;"OK","Poste à corriger",IF(AND(E355&lt;&gt;"",OR(NOT(ISNUMBER(E355)),N(E355)&lt;0)),"Réglage invalide",IF(AND(F355&lt;&gt;"",OR(NOT(ISNUMBER(F355)),N(F355)&lt;0)),"Temps par pièce invalide",IF(N(E355)+N(F355)=0,"Temps manquant",IF(AND(G355&lt;&gt;"",OR(NOT(ISNUMBER(G355)),N(G355)&lt;=0)),"Opérateurs invalide","OK"))))))))))</f>
        <v/>
      </c>
      <c r="N355" s="71" t="str">
        <f>IF(AND(fiche_sel&lt;&gt;"",A355=fiche_sel),COUNTIF(A$6:A355,fiche_sel),"")</f>
        <v/>
      </c>
    </row>
    <row r="356">
      <c r="A356" s="60" t="n"/>
      <c r="B356" s="73" t="n"/>
      <c r="C356" s="60" t="n"/>
      <c r="D356" s="61" t="n"/>
      <c r="E356" s="74" t="n"/>
      <c r="F356" s="74" t="n"/>
      <c r="G356" s="73" t="n"/>
      <c r="H356" s="66" t="str">
        <f>IF(M356&lt;&gt;"OK","",INDEX(po_mo,MATCH(D356,po_code,0)))</f>
        <v/>
      </c>
      <c r="I356" s="66" t="str">
        <f>IF(M356&lt;&gt;"OK","",INDEX(po_mac,MATCH(D356,po_code,0)))</f>
        <v/>
      </c>
      <c r="J356" s="66" t="str">
        <f>IF(M356&lt;&gt;"OK","",N(E356)*(H356*IF(G356="",1,G356)+I356))</f>
        <v/>
      </c>
      <c r="K356" s="66" t="str">
        <f>IF(M356&lt;&gt;"OK","",N(F356)/60*H356*IF(G356="",1,G356))</f>
        <v/>
      </c>
      <c r="L356" s="66" t="str">
        <f>IF(M356&lt;&gt;"OK","",N(F356)/60*I356)</f>
        <v/>
      </c>
      <c r="M356" s="69" t="str">
        <f>IF(AND(A356="",D356=""),"",IF(A356="","Produit manquant",IF(COUNTIF(prod_ref,A356)=0,"Produit inconnu",IF(D356="","Poste manquant",IF(ISNA(MATCH(D356,po_code,0)),"Poste inconnu",IF(INDEX(po_check,MATCH(D356,po_code,0))&lt;&gt;"OK","Poste à corriger",IF(AND(E356&lt;&gt;"",OR(NOT(ISNUMBER(E356)),N(E356)&lt;0)),"Réglage invalide",IF(AND(F356&lt;&gt;"",OR(NOT(ISNUMBER(F356)),N(F356)&lt;0)),"Temps par pièce invalide",IF(N(E356)+N(F356)=0,"Temps manquant",IF(AND(G356&lt;&gt;"",OR(NOT(ISNUMBER(G356)),N(G356)&lt;=0)),"Opérateurs invalide","OK"))))))))))</f>
        <v/>
      </c>
      <c r="N356" s="71" t="str">
        <f>IF(AND(fiche_sel&lt;&gt;"",A356=fiche_sel),COUNTIF(A$6:A356,fiche_sel),"")</f>
        <v/>
      </c>
    </row>
    <row r="357">
      <c r="A357" s="60" t="n"/>
      <c r="B357" s="73" t="n"/>
      <c r="C357" s="60" t="n"/>
      <c r="D357" s="61" t="n"/>
      <c r="E357" s="74" t="n"/>
      <c r="F357" s="74" t="n"/>
      <c r="G357" s="73" t="n"/>
      <c r="H357" s="66" t="str">
        <f>IF(M357&lt;&gt;"OK","",INDEX(po_mo,MATCH(D357,po_code,0)))</f>
        <v/>
      </c>
      <c r="I357" s="66" t="str">
        <f>IF(M357&lt;&gt;"OK","",INDEX(po_mac,MATCH(D357,po_code,0)))</f>
        <v/>
      </c>
      <c r="J357" s="66" t="str">
        <f>IF(M357&lt;&gt;"OK","",N(E357)*(H357*IF(G357="",1,G357)+I357))</f>
        <v/>
      </c>
      <c r="K357" s="66" t="str">
        <f>IF(M357&lt;&gt;"OK","",N(F357)/60*H357*IF(G357="",1,G357))</f>
        <v/>
      </c>
      <c r="L357" s="66" t="str">
        <f>IF(M357&lt;&gt;"OK","",N(F357)/60*I357)</f>
        <v/>
      </c>
      <c r="M357" s="69" t="str">
        <f>IF(AND(A357="",D357=""),"",IF(A357="","Produit manquant",IF(COUNTIF(prod_ref,A357)=0,"Produit inconnu",IF(D357="","Poste manquant",IF(ISNA(MATCH(D357,po_code,0)),"Poste inconnu",IF(INDEX(po_check,MATCH(D357,po_code,0))&lt;&gt;"OK","Poste à corriger",IF(AND(E357&lt;&gt;"",OR(NOT(ISNUMBER(E357)),N(E357)&lt;0)),"Réglage invalide",IF(AND(F357&lt;&gt;"",OR(NOT(ISNUMBER(F357)),N(F357)&lt;0)),"Temps par pièce invalide",IF(N(E357)+N(F357)=0,"Temps manquant",IF(AND(G357&lt;&gt;"",OR(NOT(ISNUMBER(G357)),N(G357)&lt;=0)),"Opérateurs invalide","OK"))))))))))</f>
        <v/>
      </c>
      <c r="N357" s="71" t="str">
        <f>IF(AND(fiche_sel&lt;&gt;"",A357=fiche_sel),COUNTIF(A$6:A357,fiche_sel),"")</f>
        <v/>
      </c>
    </row>
    <row r="358">
      <c r="A358" s="60" t="n"/>
      <c r="B358" s="73" t="n"/>
      <c r="C358" s="60" t="n"/>
      <c r="D358" s="61" t="n"/>
      <c r="E358" s="74" t="n"/>
      <c r="F358" s="74" t="n"/>
      <c r="G358" s="73" t="n"/>
      <c r="H358" s="66" t="str">
        <f>IF(M358&lt;&gt;"OK","",INDEX(po_mo,MATCH(D358,po_code,0)))</f>
        <v/>
      </c>
      <c r="I358" s="66" t="str">
        <f>IF(M358&lt;&gt;"OK","",INDEX(po_mac,MATCH(D358,po_code,0)))</f>
        <v/>
      </c>
      <c r="J358" s="66" t="str">
        <f>IF(M358&lt;&gt;"OK","",N(E358)*(H358*IF(G358="",1,G358)+I358))</f>
        <v/>
      </c>
      <c r="K358" s="66" t="str">
        <f>IF(M358&lt;&gt;"OK","",N(F358)/60*H358*IF(G358="",1,G358))</f>
        <v/>
      </c>
      <c r="L358" s="66" t="str">
        <f>IF(M358&lt;&gt;"OK","",N(F358)/60*I358)</f>
        <v/>
      </c>
      <c r="M358" s="69" t="str">
        <f>IF(AND(A358="",D358=""),"",IF(A358="","Produit manquant",IF(COUNTIF(prod_ref,A358)=0,"Produit inconnu",IF(D358="","Poste manquant",IF(ISNA(MATCH(D358,po_code,0)),"Poste inconnu",IF(INDEX(po_check,MATCH(D358,po_code,0))&lt;&gt;"OK","Poste à corriger",IF(AND(E358&lt;&gt;"",OR(NOT(ISNUMBER(E358)),N(E358)&lt;0)),"Réglage invalide",IF(AND(F358&lt;&gt;"",OR(NOT(ISNUMBER(F358)),N(F358)&lt;0)),"Temps par pièce invalide",IF(N(E358)+N(F358)=0,"Temps manquant",IF(AND(G358&lt;&gt;"",OR(NOT(ISNUMBER(G358)),N(G358)&lt;=0)),"Opérateurs invalide","OK"))))))))))</f>
        <v/>
      </c>
      <c r="N358" s="71" t="str">
        <f>IF(AND(fiche_sel&lt;&gt;"",A358=fiche_sel),COUNTIF(A$6:A358,fiche_sel),"")</f>
        <v/>
      </c>
    </row>
    <row r="359">
      <c r="A359" s="60" t="n"/>
      <c r="B359" s="73" t="n"/>
      <c r="C359" s="60" t="n"/>
      <c r="D359" s="61" t="n"/>
      <c r="E359" s="74" t="n"/>
      <c r="F359" s="74" t="n"/>
      <c r="G359" s="73" t="n"/>
      <c r="H359" s="66" t="str">
        <f>IF(M359&lt;&gt;"OK","",INDEX(po_mo,MATCH(D359,po_code,0)))</f>
        <v/>
      </c>
      <c r="I359" s="66" t="str">
        <f>IF(M359&lt;&gt;"OK","",INDEX(po_mac,MATCH(D359,po_code,0)))</f>
        <v/>
      </c>
      <c r="J359" s="66" t="str">
        <f>IF(M359&lt;&gt;"OK","",N(E359)*(H359*IF(G359="",1,G359)+I359))</f>
        <v/>
      </c>
      <c r="K359" s="66" t="str">
        <f>IF(M359&lt;&gt;"OK","",N(F359)/60*H359*IF(G359="",1,G359))</f>
        <v/>
      </c>
      <c r="L359" s="66" t="str">
        <f>IF(M359&lt;&gt;"OK","",N(F359)/60*I359)</f>
        <v/>
      </c>
      <c r="M359" s="69" t="str">
        <f>IF(AND(A359="",D359=""),"",IF(A359="","Produit manquant",IF(COUNTIF(prod_ref,A359)=0,"Produit inconnu",IF(D359="","Poste manquant",IF(ISNA(MATCH(D359,po_code,0)),"Poste inconnu",IF(INDEX(po_check,MATCH(D359,po_code,0))&lt;&gt;"OK","Poste à corriger",IF(AND(E359&lt;&gt;"",OR(NOT(ISNUMBER(E359)),N(E359)&lt;0)),"Réglage invalide",IF(AND(F359&lt;&gt;"",OR(NOT(ISNUMBER(F359)),N(F359)&lt;0)),"Temps par pièce invalide",IF(N(E359)+N(F359)=0,"Temps manquant",IF(AND(G359&lt;&gt;"",OR(NOT(ISNUMBER(G359)),N(G359)&lt;=0)),"Opérateurs invalide","OK"))))))))))</f>
        <v/>
      </c>
      <c r="N359" s="71" t="str">
        <f>IF(AND(fiche_sel&lt;&gt;"",A359=fiche_sel),COUNTIF(A$6:A359,fiche_sel),"")</f>
        <v/>
      </c>
    </row>
    <row r="360">
      <c r="A360" s="60" t="n"/>
      <c r="B360" s="73" t="n"/>
      <c r="C360" s="60" t="n"/>
      <c r="D360" s="61" t="n"/>
      <c r="E360" s="74" t="n"/>
      <c r="F360" s="74" t="n"/>
      <c r="G360" s="73" t="n"/>
      <c r="H360" s="66" t="str">
        <f>IF(M360&lt;&gt;"OK","",INDEX(po_mo,MATCH(D360,po_code,0)))</f>
        <v/>
      </c>
      <c r="I360" s="66" t="str">
        <f>IF(M360&lt;&gt;"OK","",INDEX(po_mac,MATCH(D360,po_code,0)))</f>
        <v/>
      </c>
      <c r="J360" s="66" t="str">
        <f>IF(M360&lt;&gt;"OK","",N(E360)*(H360*IF(G360="",1,G360)+I360))</f>
        <v/>
      </c>
      <c r="K360" s="66" t="str">
        <f>IF(M360&lt;&gt;"OK","",N(F360)/60*H360*IF(G360="",1,G360))</f>
        <v/>
      </c>
      <c r="L360" s="66" t="str">
        <f>IF(M360&lt;&gt;"OK","",N(F360)/60*I360)</f>
        <v/>
      </c>
      <c r="M360" s="69" t="str">
        <f>IF(AND(A360="",D360=""),"",IF(A360="","Produit manquant",IF(COUNTIF(prod_ref,A360)=0,"Produit inconnu",IF(D360="","Poste manquant",IF(ISNA(MATCH(D360,po_code,0)),"Poste inconnu",IF(INDEX(po_check,MATCH(D360,po_code,0))&lt;&gt;"OK","Poste à corriger",IF(AND(E360&lt;&gt;"",OR(NOT(ISNUMBER(E360)),N(E360)&lt;0)),"Réglage invalide",IF(AND(F360&lt;&gt;"",OR(NOT(ISNUMBER(F360)),N(F360)&lt;0)),"Temps par pièce invalide",IF(N(E360)+N(F360)=0,"Temps manquant",IF(AND(G360&lt;&gt;"",OR(NOT(ISNUMBER(G360)),N(G360)&lt;=0)),"Opérateurs invalide","OK"))))))))))</f>
        <v/>
      </c>
      <c r="N360" s="71" t="str">
        <f>IF(AND(fiche_sel&lt;&gt;"",A360=fiche_sel),COUNTIF(A$6:A360,fiche_sel),"")</f>
        <v/>
      </c>
    </row>
    <row r="361">
      <c r="A361" s="60" t="n"/>
      <c r="B361" s="73" t="n"/>
      <c r="C361" s="60" t="n"/>
      <c r="D361" s="61" t="n"/>
      <c r="E361" s="74" t="n"/>
      <c r="F361" s="74" t="n"/>
      <c r="G361" s="73" t="n"/>
      <c r="H361" s="66" t="str">
        <f>IF(M361&lt;&gt;"OK","",INDEX(po_mo,MATCH(D361,po_code,0)))</f>
        <v/>
      </c>
      <c r="I361" s="66" t="str">
        <f>IF(M361&lt;&gt;"OK","",INDEX(po_mac,MATCH(D361,po_code,0)))</f>
        <v/>
      </c>
      <c r="J361" s="66" t="str">
        <f>IF(M361&lt;&gt;"OK","",N(E361)*(H361*IF(G361="",1,G361)+I361))</f>
        <v/>
      </c>
      <c r="K361" s="66" t="str">
        <f>IF(M361&lt;&gt;"OK","",N(F361)/60*H361*IF(G361="",1,G361))</f>
        <v/>
      </c>
      <c r="L361" s="66" t="str">
        <f>IF(M361&lt;&gt;"OK","",N(F361)/60*I361)</f>
        <v/>
      </c>
      <c r="M361" s="69" t="str">
        <f>IF(AND(A361="",D361=""),"",IF(A361="","Produit manquant",IF(COUNTIF(prod_ref,A361)=0,"Produit inconnu",IF(D361="","Poste manquant",IF(ISNA(MATCH(D361,po_code,0)),"Poste inconnu",IF(INDEX(po_check,MATCH(D361,po_code,0))&lt;&gt;"OK","Poste à corriger",IF(AND(E361&lt;&gt;"",OR(NOT(ISNUMBER(E361)),N(E361)&lt;0)),"Réglage invalide",IF(AND(F361&lt;&gt;"",OR(NOT(ISNUMBER(F361)),N(F361)&lt;0)),"Temps par pièce invalide",IF(N(E361)+N(F361)=0,"Temps manquant",IF(AND(G361&lt;&gt;"",OR(NOT(ISNUMBER(G361)),N(G361)&lt;=0)),"Opérateurs invalide","OK"))))))))))</f>
        <v/>
      </c>
      <c r="N361" s="71" t="str">
        <f>IF(AND(fiche_sel&lt;&gt;"",A361=fiche_sel),COUNTIF(A$6:A361,fiche_sel),"")</f>
        <v/>
      </c>
    </row>
    <row r="362">
      <c r="A362" s="60" t="n"/>
      <c r="B362" s="73" t="n"/>
      <c r="C362" s="60" t="n"/>
      <c r="D362" s="61" t="n"/>
      <c r="E362" s="74" t="n"/>
      <c r="F362" s="74" t="n"/>
      <c r="G362" s="73" t="n"/>
      <c r="H362" s="66" t="str">
        <f>IF(M362&lt;&gt;"OK","",INDEX(po_mo,MATCH(D362,po_code,0)))</f>
        <v/>
      </c>
      <c r="I362" s="66" t="str">
        <f>IF(M362&lt;&gt;"OK","",INDEX(po_mac,MATCH(D362,po_code,0)))</f>
        <v/>
      </c>
      <c r="J362" s="66" t="str">
        <f>IF(M362&lt;&gt;"OK","",N(E362)*(H362*IF(G362="",1,G362)+I362))</f>
        <v/>
      </c>
      <c r="K362" s="66" t="str">
        <f>IF(M362&lt;&gt;"OK","",N(F362)/60*H362*IF(G362="",1,G362))</f>
        <v/>
      </c>
      <c r="L362" s="66" t="str">
        <f>IF(M362&lt;&gt;"OK","",N(F362)/60*I362)</f>
        <v/>
      </c>
      <c r="M362" s="69" t="str">
        <f>IF(AND(A362="",D362=""),"",IF(A362="","Produit manquant",IF(COUNTIF(prod_ref,A362)=0,"Produit inconnu",IF(D362="","Poste manquant",IF(ISNA(MATCH(D362,po_code,0)),"Poste inconnu",IF(INDEX(po_check,MATCH(D362,po_code,0))&lt;&gt;"OK","Poste à corriger",IF(AND(E362&lt;&gt;"",OR(NOT(ISNUMBER(E362)),N(E362)&lt;0)),"Réglage invalide",IF(AND(F362&lt;&gt;"",OR(NOT(ISNUMBER(F362)),N(F362)&lt;0)),"Temps par pièce invalide",IF(N(E362)+N(F362)=0,"Temps manquant",IF(AND(G362&lt;&gt;"",OR(NOT(ISNUMBER(G362)),N(G362)&lt;=0)),"Opérateurs invalide","OK"))))))))))</f>
        <v/>
      </c>
      <c r="N362" s="71" t="str">
        <f>IF(AND(fiche_sel&lt;&gt;"",A362=fiche_sel),COUNTIF(A$6:A362,fiche_sel),"")</f>
        <v/>
      </c>
    </row>
    <row r="363">
      <c r="A363" s="60" t="n"/>
      <c r="B363" s="73" t="n"/>
      <c r="C363" s="60" t="n"/>
      <c r="D363" s="61" t="n"/>
      <c r="E363" s="74" t="n"/>
      <c r="F363" s="74" t="n"/>
      <c r="G363" s="73" t="n"/>
      <c r="H363" s="66" t="str">
        <f>IF(M363&lt;&gt;"OK","",INDEX(po_mo,MATCH(D363,po_code,0)))</f>
        <v/>
      </c>
      <c r="I363" s="66" t="str">
        <f>IF(M363&lt;&gt;"OK","",INDEX(po_mac,MATCH(D363,po_code,0)))</f>
        <v/>
      </c>
      <c r="J363" s="66" t="str">
        <f>IF(M363&lt;&gt;"OK","",N(E363)*(H363*IF(G363="",1,G363)+I363))</f>
        <v/>
      </c>
      <c r="K363" s="66" t="str">
        <f>IF(M363&lt;&gt;"OK","",N(F363)/60*H363*IF(G363="",1,G363))</f>
        <v/>
      </c>
      <c r="L363" s="66" t="str">
        <f>IF(M363&lt;&gt;"OK","",N(F363)/60*I363)</f>
        <v/>
      </c>
      <c r="M363" s="69" t="str">
        <f>IF(AND(A363="",D363=""),"",IF(A363="","Produit manquant",IF(COUNTIF(prod_ref,A363)=0,"Produit inconnu",IF(D363="","Poste manquant",IF(ISNA(MATCH(D363,po_code,0)),"Poste inconnu",IF(INDEX(po_check,MATCH(D363,po_code,0))&lt;&gt;"OK","Poste à corriger",IF(AND(E363&lt;&gt;"",OR(NOT(ISNUMBER(E363)),N(E363)&lt;0)),"Réglage invalide",IF(AND(F363&lt;&gt;"",OR(NOT(ISNUMBER(F363)),N(F363)&lt;0)),"Temps par pièce invalide",IF(N(E363)+N(F363)=0,"Temps manquant",IF(AND(G363&lt;&gt;"",OR(NOT(ISNUMBER(G363)),N(G363)&lt;=0)),"Opérateurs invalide","OK"))))))))))</f>
        <v/>
      </c>
      <c r="N363" s="71" t="str">
        <f>IF(AND(fiche_sel&lt;&gt;"",A363=fiche_sel),COUNTIF(A$6:A363,fiche_sel),"")</f>
        <v/>
      </c>
    </row>
    <row r="364">
      <c r="A364" s="60" t="n"/>
      <c r="B364" s="73" t="n"/>
      <c r="C364" s="60" t="n"/>
      <c r="D364" s="61" t="n"/>
      <c r="E364" s="74" t="n"/>
      <c r="F364" s="74" t="n"/>
      <c r="G364" s="73" t="n"/>
      <c r="H364" s="66" t="str">
        <f>IF(M364&lt;&gt;"OK","",INDEX(po_mo,MATCH(D364,po_code,0)))</f>
        <v/>
      </c>
      <c r="I364" s="66" t="str">
        <f>IF(M364&lt;&gt;"OK","",INDEX(po_mac,MATCH(D364,po_code,0)))</f>
        <v/>
      </c>
      <c r="J364" s="66" t="str">
        <f>IF(M364&lt;&gt;"OK","",N(E364)*(H364*IF(G364="",1,G364)+I364))</f>
        <v/>
      </c>
      <c r="K364" s="66" t="str">
        <f>IF(M364&lt;&gt;"OK","",N(F364)/60*H364*IF(G364="",1,G364))</f>
        <v/>
      </c>
      <c r="L364" s="66" t="str">
        <f>IF(M364&lt;&gt;"OK","",N(F364)/60*I364)</f>
        <v/>
      </c>
      <c r="M364" s="69" t="str">
        <f>IF(AND(A364="",D364=""),"",IF(A364="","Produit manquant",IF(COUNTIF(prod_ref,A364)=0,"Produit inconnu",IF(D364="","Poste manquant",IF(ISNA(MATCH(D364,po_code,0)),"Poste inconnu",IF(INDEX(po_check,MATCH(D364,po_code,0))&lt;&gt;"OK","Poste à corriger",IF(AND(E364&lt;&gt;"",OR(NOT(ISNUMBER(E364)),N(E364)&lt;0)),"Réglage invalide",IF(AND(F364&lt;&gt;"",OR(NOT(ISNUMBER(F364)),N(F364)&lt;0)),"Temps par pièce invalide",IF(N(E364)+N(F364)=0,"Temps manquant",IF(AND(G364&lt;&gt;"",OR(NOT(ISNUMBER(G364)),N(G364)&lt;=0)),"Opérateurs invalide","OK"))))))))))</f>
        <v/>
      </c>
      <c r="N364" s="71" t="str">
        <f>IF(AND(fiche_sel&lt;&gt;"",A364=fiche_sel),COUNTIF(A$6:A364,fiche_sel),"")</f>
        <v/>
      </c>
    </row>
    <row r="365">
      <c r="A365" s="60" t="n"/>
      <c r="B365" s="73" t="n"/>
      <c r="C365" s="60" t="n"/>
      <c r="D365" s="61" t="n"/>
      <c r="E365" s="74" t="n"/>
      <c r="F365" s="74" t="n"/>
      <c r="G365" s="73" t="n"/>
      <c r="H365" s="66" t="str">
        <f>IF(M365&lt;&gt;"OK","",INDEX(po_mo,MATCH(D365,po_code,0)))</f>
        <v/>
      </c>
      <c r="I365" s="66" t="str">
        <f>IF(M365&lt;&gt;"OK","",INDEX(po_mac,MATCH(D365,po_code,0)))</f>
        <v/>
      </c>
      <c r="J365" s="66" t="str">
        <f>IF(M365&lt;&gt;"OK","",N(E365)*(H365*IF(G365="",1,G365)+I365))</f>
        <v/>
      </c>
      <c r="K365" s="66" t="str">
        <f>IF(M365&lt;&gt;"OK","",N(F365)/60*H365*IF(G365="",1,G365))</f>
        <v/>
      </c>
      <c r="L365" s="66" t="str">
        <f>IF(M365&lt;&gt;"OK","",N(F365)/60*I365)</f>
        <v/>
      </c>
      <c r="M365" s="69" t="str">
        <f>IF(AND(A365="",D365=""),"",IF(A365="","Produit manquant",IF(COUNTIF(prod_ref,A365)=0,"Produit inconnu",IF(D365="","Poste manquant",IF(ISNA(MATCH(D365,po_code,0)),"Poste inconnu",IF(INDEX(po_check,MATCH(D365,po_code,0))&lt;&gt;"OK","Poste à corriger",IF(AND(E365&lt;&gt;"",OR(NOT(ISNUMBER(E365)),N(E365)&lt;0)),"Réglage invalide",IF(AND(F365&lt;&gt;"",OR(NOT(ISNUMBER(F365)),N(F365)&lt;0)),"Temps par pièce invalide",IF(N(E365)+N(F365)=0,"Temps manquant",IF(AND(G365&lt;&gt;"",OR(NOT(ISNUMBER(G365)),N(G365)&lt;=0)),"Opérateurs invalide","OK"))))))))))</f>
        <v/>
      </c>
      <c r="N365" s="71" t="str">
        <f>IF(AND(fiche_sel&lt;&gt;"",A365=fiche_sel),COUNTIF(A$6:A365,fiche_sel),"")</f>
        <v/>
      </c>
    </row>
    <row r="366">
      <c r="A366" s="60" t="n"/>
      <c r="B366" s="73" t="n"/>
      <c r="C366" s="60" t="n"/>
      <c r="D366" s="61" t="n"/>
      <c r="E366" s="74" t="n"/>
      <c r="F366" s="74" t="n"/>
      <c r="G366" s="73" t="n"/>
      <c r="H366" s="66" t="str">
        <f>IF(M366&lt;&gt;"OK","",INDEX(po_mo,MATCH(D366,po_code,0)))</f>
        <v/>
      </c>
      <c r="I366" s="66" t="str">
        <f>IF(M366&lt;&gt;"OK","",INDEX(po_mac,MATCH(D366,po_code,0)))</f>
        <v/>
      </c>
      <c r="J366" s="66" t="str">
        <f>IF(M366&lt;&gt;"OK","",N(E366)*(H366*IF(G366="",1,G366)+I366))</f>
        <v/>
      </c>
      <c r="K366" s="66" t="str">
        <f>IF(M366&lt;&gt;"OK","",N(F366)/60*H366*IF(G366="",1,G366))</f>
        <v/>
      </c>
      <c r="L366" s="66" t="str">
        <f>IF(M366&lt;&gt;"OK","",N(F366)/60*I366)</f>
        <v/>
      </c>
      <c r="M366" s="69" t="str">
        <f>IF(AND(A366="",D366=""),"",IF(A366="","Produit manquant",IF(COUNTIF(prod_ref,A366)=0,"Produit inconnu",IF(D366="","Poste manquant",IF(ISNA(MATCH(D366,po_code,0)),"Poste inconnu",IF(INDEX(po_check,MATCH(D366,po_code,0))&lt;&gt;"OK","Poste à corriger",IF(AND(E366&lt;&gt;"",OR(NOT(ISNUMBER(E366)),N(E366)&lt;0)),"Réglage invalide",IF(AND(F366&lt;&gt;"",OR(NOT(ISNUMBER(F366)),N(F366)&lt;0)),"Temps par pièce invalide",IF(N(E366)+N(F366)=0,"Temps manquant",IF(AND(G366&lt;&gt;"",OR(NOT(ISNUMBER(G366)),N(G366)&lt;=0)),"Opérateurs invalide","OK"))))))))))</f>
        <v/>
      </c>
      <c r="N366" s="71" t="str">
        <f>IF(AND(fiche_sel&lt;&gt;"",A366=fiche_sel),COUNTIF(A$6:A366,fiche_sel),"")</f>
        <v/>
      </c>
    </row>
    <row r="367">
      <c r="A367" s="60" t="n"/>
      <c r="B367" s="73" t="n"/>
      <c r="C367" s="60" t="n"/>
      <c r="D367" s="61" t="n"/>
      <c r="E367" s="74" t="n"/>
      <c r="F367" s="74" t="n"/>
      <c r="G367" s="73" t="n"/>
      <c r="H367" s="66" t="str">
        <f>IF(M367&lt;&gt;"OK","",INDEX(po_mo,MATCH(D367,po_code,0)))</f>
        <v/>
      </c>
      <c r="I367" s="66" t="str">
        <f>IF(M367&lt;&gt;"OK","",INDEX(po_mac,MATCH(D367,po_code,0)))</f>
        <v/>
      </c>
      <c r="J367" s="66" t="str">
        <f>IF(M367&lt;&gt;"OK","",N(E367)*(H367*IF(G367="",1,G367)+I367))</f>
        <v/>
      </c>
      <c r="K367" s="66" t="str">
        <f>IF(M367&lt;&gt;"OK","",N(F367)/60*H367*IF(G367="",1,G367))</f>
        <v/>
      </c>
      <c r="L367" s="66" t="str">
        <f>IF(M367&lt;&gt;"OK","",N(F367)/60*I367)</f>
        <v/>
      </c>
      <c r="M367" s="69" t="str">
        <f>IF(AND(A367="",D367=""),"",IF(A367="","Produit manquant",IF(COUNTIF(prod_ref,A367)=0,"Produit inconnu",IF(D367="","Poste manquant",IF(ISNA(MATCH(D367,po_code,0)),"Poste inconnu",IF(INDEX(po_check,MATCH(D367,po_code,0))&lt;&gt;"OK","Poste à corriger",IF(AND(E367&lt;&gt;"",OR(NOT(ISNUMBER(E367)),N(E367)&lt;0)),"Réglage invalide",IF(AND(F367&lt;&gt;"",OR(NOT(ISNUMBER(F367)),N(F367)&lt;0)),"Temps par pièce invalide",IF(N(E367)+N(F367)=0,"Temps manquant",IF(AND(G367&lt;&gt;"",OR(NOT(ISNUMBER(G367)),N(G367)&lt;=0)),"Opérateurs invalide","OK"))))))))))</f>
        <v/>
      </c>
      <c r="N367" s="71" t="str">
        <f>IF(AND(fiche_sel&lt;&gt;"",A367=fiche_sel),COUNTIF(A$6:A367,fiche_sel),"")</f>
        <v/>
      </c>
    </row>
    <row r="368">
      <c r="A368" s="60" t="n"/>
      <c r="B368" s="73" t="n"/>
      <c r="C368" s="60" t="n"/>
      <c r="D368" s="61" t="n"/>
      <c r="E368" s="74" t="n"/>
      <c r="F368" s="74" t="n"/>
      <c r="G368" s="73" t="n"/>
      <c r="H368" s="66" t="str">
        <f>IF(M368&lt;&gt;"OK","",INDEX(po_mo,MATCH(D368,po_code,0)))</f>
        <v/>
      </c>
      <c r="I368" s="66" t="str">
        <f>IF(M368&lt;&gt;"OK","",INDEX(po_mac,MATCH(D368,po_code,0)))</f>
        <v/>
      </c>
      <c r="J368" s="66" t="str">
        <f>IF(M368&lt;&gt;"OK","",N(E368)*(H368*IF(G368="",1,G368)+I368))</f>
        <v/>
      </c>
      <c r="K368" s="66" t="str">
        <f>IF(M368&lt;&gt;"OK","",N(F368)/60*H368*IF(G368="",1,G368))</f>
        <v/>
      </c>
      <c r="L368" s="66" t="str">
        <f>IF(M368&lt;&gt;"OK","",N(F368)/60*I368)</f>
        <v/>
      </c>
      <c r="M368" s="69" t="str">
        <f>IF(AND(A368="",D368=""),"",IF(A368="","Produit manquant",IF(COUNTIF(prod_ref,A368)=0,"Produit inconnu",IF(D368="","Poste manquant",IF(ISNA(MATCH(D368,po_code,0)),"Poste inconnu",IF(INDEX(po_check,MATCH(D368,po_code,0))&lt;&gt;"OK","Poste à corriger",IF(AND(E368&lt;&gt;"",OR(NOT(ISNUMBER(E368)),N(E368)&lt;0)),"Réglage invalide",IF(AND(F368&lt;&gt;"",OR(NOT(ISNUMBER(F368)),N(F368)&lt;0)),"Temps par pièce invalide",IF(N(E368)+N(F368)=0,"Temps manquant",IF(AND(G368&lt;&gt;"",OR(NOT(ISNUMBER(G368)),N(G368)&lt;=0)),"Opérateurs invalide","OK"))))))))))</f>
        <v/>
      </c>
      <c r="N368" s="71" t="str">
        <f>IF(AND(fiche_sel&lt;&gt;"",A368=fiche_sel),COUNTIF(A$6:A368,fiche_sel),"")</f>
        <v/>
      </c>
    </row>
    <row r="369">
      <c r="A369" s="60" t="n"/>
      <c r="B369" s="73" t="n"/>
      <c r="C369" s="60" t="n"/>
      <c r="D369" s="61" t="n"/>
      <c r="E369" s="74" t="n"/>
      <c r="F369" s="74" t="n"/>
      <c r="G369" s="73" t="n"/>
      <c r="H369" s="66" t="str">
        <f>IF(M369&lt;&gt;"OK","",INDEX(po_mo,MATCH(D369,po_code,0)))</f>
        <v/>
      </c>
      <c r="I369" s="66" t="str">
        <f>IF(M369&lt;&gt;"OK","",INDEX(po_mac,MATCH(D369,po_code,0)))</f>
        <v/>
      </c>
      <c r="J369" s="66" t="str">
        <f>IF(M369&lt;&gt;"OK","",N(E369)*(H369*IF(G369="",1,G369)+I369))</f>
        <v/>
      </c>
      <c r="K369" s="66" t="str">
        <f>IF(M369&lt;&gt;"OK","",N(F369)/60*H369*IF(G369="",1,G369))</f>
        <v/>
      </c>
      <c r="L369" s="66" t="str">
        <f>IF(M369&lt;&gt;"OK","",N(F369)/60*I369)</f>
        <v/>
      </c>
      <c r="M369" s="69" t="str">
        <f>IF(AND(A369="",D369=""),"",IF(A369="","Produit manquant",IF(COUNTIF(prod_ref,A369)=0,"Produit inconnu",IF(D369="","Poste manquant",IF(ISNA(MATCH(D369,po_code,0)),"Poste inconnu",IF(INDEX(po_check,MATCH(D369,po_code,0))&lt;&gt;"OK","Poste à corriger",IF(AND(E369&lt;&gt;"",OR(NOT(ISNUMBER(E369)),N(E369)&lt;0)),"Réglage invalide",IF(AND(F369&lt;&gt;"",OR(NOT(ISNUMBER(F369)),N(F369)&lt;0)),"Temps par pièce invalide",IF(N(E369)+N(F369)=0,"Temps manquant",IF(AND(G369&lt;&gt;"",OR(NOT(ISNUMBER(G369)),N(G369)&lt;=0)),"Opérateurs invalide","OK"))))))))))</f>
        <v/>
      </c>
      <c r="N369" s="71" t="str">
        <f>IF(AND(fiche_sel&lt;&gt;"",A369=fiche_sel),COUNTIF(A$6:A369,fiche_sel),"")</f>
        <v/>
      </c>
    </row>
    <row r="370">
      <c r="A370" s="60" t="n"/>
      <c r="B370" s="73" t="n"/>
      <c r="C370" s="60" t="n"/>
      <c r="D370" s="61" t="n"/>
      <c r="E370" s="74" t="n"/>
      <c r="F370" s="74" t="n"/>
      <c r="G370" s="73" t="n"/>
      <c r="H370" s="66" t="str">
        <f>IF(M370&lt;&gt;"OK","",INDEX(po_mo,MATCH(D370,po_code,0)))</f>
        <v/>
      </c>
      <c r="I370" s="66" t="str">
        <f>IF(M370&lt;&gt;"OK","",INDEX(po_mac,MATCH(D370,po_code,0)))</f>
        <v/>
      </c>
      <c r="J370" s="66" t="str">
        <f>IF(M370&lt;&gt;"OK","",N(E370)*(H370*IF(G370="",1,G370)+I370))</f>
        <v/>
      </c>
      <c r="K370" s="66" t="str">
        <f>IF(M370&lt;&gt;"OK","",N(F370)/60*H370*IF(G370="",1,G370))</f>
        <v/>
      </c>
      <c r="L370" s="66" t="str">
        <f>IF(M370&lt;&gt;"OK","",N(F370)/60*I370)</f>
        <v/>
      </c>
      <c r="M370" s="69" t="str">
        <f>IF(AND(A370="",D370=""),"",IF(A370="","Produit manquant",IF(COUNTIF(prod_ref,A370)=0,"Produit inconnu",IF(D370="","Poste manquant",IF(ISNA(MATCH(D370,po_code,0)),"Poste inconnu",IF(INDEX(po_check,MATCH(D370,po_code,0))&lt;&gt;"OK","Poste à corriger",IF(AND(E370&lt;&gt;"",OR(NOT(ISNUMBER(E370)),N(E370)&lt;0)),"Réglage invalide",IF(AND(F370&lt;&gt;"",OR(NOT(ISNUMBER(F370)),N(F370)&lt;0)),"Temps par pièce invalide",IF(N(E370)+N(F370)=0,"Temps manquant",IF(AND(G370&lt;&gt;"",OR(NOT(ISNUMBER(G370)),N(G370)&lt;=0)),"Opérateurs invalide","OK"))))))))))</f>
        <v/>
      </c>
      <c r="N370" s="71" t="str">
        <f>IF(AND(fiche_sel&lt;&gt;"",A370=fiche_sel),COUNTIF(A$6:A370,fiche_sel),"")</f>
        <v/>
      </c>
    </row>
    <row r="371">
      <c r="A371" s="60" t="n"/>
      <c r="B371" s="73" t="n"/>
      <c r="C371" s="60" t="n"/>
      <c r="D371" s="61" t="n"/>
      <c r="E371" s="74" t="n"/>
      <c r="F371" s="74" t="n"/>
      <c r="G371" s="73" t="n"/>
      <c r="H371" s="66" t="str">
        <f>IF(M371&lt;&gt;"OK","",INDEX(po_mo,MATCH(D371,po_code,0)))</f>
        <v/>
      </c>
      <c r="I371" s="66" t="str">
        <f>IF(M371&lt;&gt;"OK","",INDEX(po_mac,MATCH(D371,po_code,0)))</f>
        <v/>
      </c>
      <c r="J371" s="66" t="str">
        <f>IF(M371&lt;&gt;"OK","",N(E371)*(H371*IF(G371="",1,G371)+I371))</f>
        <v/>
      </c>
      <c r="K371" s="66" t="str">
        <f>IF(M371&lt;&gt;"OK","",N(F371)/60*H371*IF(G371="",1,G371))</f>
        <v/>
      </c>
      <c r="L371" s="66" t="str">
        <f>IF(M371&lt;&gt;"OK","",N(F371)/60*I371)</f>
        <v/>
      </c>
      <c r="M371" s="69" t="str">
        <f>IF(AND(A371="",D371=""),"",IF(A371="","Produit manquant",IF(COUNTIF(prod_ref,A371)=0,"Produit inconnu",IF(D371="","Poste manquant",IF(ISNA(MATCH(D371,po_code,0)),"Poste inconnu",IF(INDEX(po_check,MATCH(D371,po_code,0))&lt;&gt;"OK","Poste à corriger",IF(AND(E371&lt;&gt;"",OR(NOT(ISNUMBER(E371)),N(E371)&lt;0)),"Réglage invalide",IF(AND(F371&lt;&gt;"",OR(NOT(ISNUMBER(F371)),N(F371)&lt;0)),"Temps par pièce invalide",IF(N(E371)+N(F371)=0,"Temps manquant",IF(AND(G371&lt;&gt;"",OR(NOT(ISNUMBER(G371)),N(G371)&lt;=0)),"Opérateurs invalide","OK"))))))))))</f>
        <v/>
      </c>
      <c r="N371" s="71" t="str">
        <f>IF(AND(fiche_sel&lt;&gt;"",A371=fiche_sel),COUNTIF(A$6:A371,fiche_sel),"")</f>
        <v/>
      </c>
    </row>
    <row r="372">
      <c r="A372" s="60" t="n"/>
      <c r="B372" s="73" t="n"/>
      <c r="C372" s="60" t="n"/>
      <c r="D372" s="61" t="n"/>
      <c r="E372" s="74" t="n"/>
      <c r="F372" s="74" t="n"/>
      <c r="G372" s="73" t="n"/>
      <c r="H372" s="66" t="str">
        <f>IF(M372&lt;&gt;"OK","",INDEX(po_mo,MATCH(D372,po_code,0)))</f>
        <v/>
      </c>
      <c r="I372" s="66" t="str">
        <f>IF(M372&lt;&gt;"OK","",INDEX(po_mac,MATCH(D372,po_code,0)))</f>
        <v/>
      </c>
      <c r="J372" s="66" t="str">
        <f>IF(M372&lt;&gt;"OK","",N(E372)*(H372*IF(G372="",1,G372)+I372))</f>
        <v/>
      </c>
      <c r="K372" s="66" t="str">
        <f>IF(M372&lt;&gt;"OK","",N(F372)/60*H372*IF(G372="",1,G372))</f>
        <v/>
      </c>
      <c r="L372" s="66" t="str">
        <f>IF(M372&lt;&gt;"OK","",N(F372)/60*I372)</f>
        <v/>
      </c>
      <c r="M372" s="69" t="str">
        <f>IF(AND(A372="",D372=""),"",IF(A372="","Produit manquant",IF(COUNTIF(prod_ref,A372)=0,"Produit inconnu",IF(D372="","Poste manquant",IF(ISNA(MATCH(D372,po_code,0)),"Poste inconnu",IF(INDEX(po_check,MATCH(D372,po_code,0))&lt;&gt;"OK","Poste à corriger",IF(AND(E372&lt;&gt;"",OR(NOT(ISNUMBER(E372)),N(E372)&lt;0)),"Réglage invalide",IF(AND(F372&lt;&gt;"",OR(NOT(ISNUMBER(F372)),N(F372)&lt;0)),"Temps par pièce invalide",IF(N(E372)+N(F372)=0,"Temps manquant",IF(AND(G372&lt;&gt;"",OR(NOT(ISNUMBER(G372)),N(G372)&lt;=0)),"Opérateurs invalide","OK"))))))))))</f>
        <v/>
      </c>
      <c r="N372" s="71" t="str">
        <f>IF(AND(fiche_sel&lt;&gt;"",A372=fiche_sel),COUNTIF(A$6:A372,fiche_sel),"")</f>
        <v/>
      </c>
    </row>
    <row r="373">
      <c r="A373" s="60" t="n"/>
      <c r="B373" s="73" t="n"/>
      <c r="C373" s="60" t="n"/>
      <c r="D373" s="61" t="n"/>
      <c r="E373" s="74" t="n"/>
      <c r="F373" s="74" t="n"/>
      <c r="G373" s="73" t="n"/>
      <c r="H373" s="66" t="str">
        <f>IF(M373&lt;&gt;"OK","",INDEX(po_mo,MATCH(D373,po_code,0)))</f>
        <v/>
      </c>
      <c r="I373" s="66" t="str">
        <f>IF(M373&lt;&gt;"OK","",INDEX(po_mac,MATCH(D373,po_code,0)))</f>
        <v/>
      </c>
      <c r="J373" s="66" t="str">
        <f>IF(M373&lt;&gt;"OK","",N(E373)*(H373*IF(G373="",1,G373)+I373))</f>
        <v/>
      </c>
      <c r="K373" s="66" t="str">
        <f>IF(M373&lt;&gt;"OK","",N(F373)/60*H373*IF(G373="",1,G373))</f>
        <v/>
      </c>
      <c r="L373" s="66" t="str">
        <f>IF(M373&lt;&gt;"OK","",N(F373)/60*I373)</f>
        <v/>
      </c>
      <c r="M373" s="69" t="str">
        <f>IF(AND(A373="",D373=""),"",IF(A373="","Produit manquant",IF(COUNTIF(prod_ref,A373)=0,"Produit inconnu",IF(D373="","Poste manquant",IF(ISNA(MATCH(D373,po_code,0)),"Poste inconnu",IF(INDEX(po_check,MATCH(D373,po_code,0))&lt;&gt;"OK","Poste à corriger",IF(AND(E373&lt;&gt;"",OR(NOT(ISNUMBER(E373)),N(E373)&lt;0)),"Réglage invalide",IF(AND(F373&lt;&gt;"",OR(NOT(ISNUMBER(F373)),N(F373)&lt;0)),"Temps par pièce invalide",IF(N(E373)+N(F373)=0,"Temps manquant",IF(AND(G373&lt;&gt;"",OR(NOT(ISNUMBER(G373)),N(G373)&lt;=0)),"Opérateurs invalide","OK"))))))))))</f>
        <v/>
      </c>
      <c r="N373" s="71" t="str">
        <f>IF(AND(fiche_sel&lt;&gt;"",A373=fiche_sel),COUNTIF(A$6:A373,fiche_sel),"")</f>
        <v/>
      </c>
    </row>
    <row r="374">
      <c r="A374" s="60" t="n"/>
      <c r="B374" s="73" t="n"/>
      <c r="C374" s="60" t="n"/>
      <c r="D374" s="61" t="n"/>
      <c r="E374" s="74" t="n"/>
      <c r="F374" s="74" t="n"/>
      <c r="G374" s="73" t="n"/>
      <c r="H374" s="66" t="str">
        <f>IF(M374&lt;&gt;"OK","",INDEX(po_mo,MATCH(D374,po_code,0)))</f>
        <v/>
      </c>
      <c r="I374" s="66" t="str">
        <f>IF(M374&lt;&gt;"OK","",INDEX(po_mac,MATCH(D374,po_code,0)))</f>
        <v/>
      </c>
      <c r="J374" s="66" t="str">
        <f>IF(M374&lt;&gt;"OK","",N(E374)*(H374*IF(G374="",1,G374)+I374))</f>
        <v/>
      </c>
      <c r="K374" s="66" t="str">
        <f>IF(M374&lt;&gt;"OK","",N(F374)/60*H374*IF(G374="",1,G374))</f>
        <v/>
      </c>
      <c r="L374" s="66" t="str">
        <f>IF(M374&lt;&gt;"OK","",N(F374)/60*I374)</f>
        <v/>
      </c>
      <c r="M374" s="69" t="str">
        <f>IF(AND(A374="",D374=""),"",IF(A374="","Produit manquant",IF(COUNTIF(prod_ref,A374)=0,"Produit inconnu",IF(D374="","Poste manquant",IF(ISNA(MATCH(D374,po_code,0)),"Poste inconnu",IF(INDEX(po_check,MATCH(D374,po_code,0))&lt;&gt;"OK","Poste à corriger",IF(AND(E374&lt;&gt;"",OR(NOT(ISNUMBER(E374)),N(E374)&lt;0)),"Réglage invalide",IF(AND(F374&lt;&gt;"",OR(NOT(ISNUMBER(F374)),N(F374)&lt;0)),"Temps par pièce invalide",IF(N(E374)+N(F374)=0,"Temps manquant",IF(AND(G374&lt;&gt;"",OR(NOT(ISNUMBER(G374)),N(G374)&lt;=0)),"Opérateurs invalide","OK"))))))))))</f>
        <v/>
      </c>
      <c r="N374" s="71" t="str">
        <f>IF(AND(fiche_sel&lt;&gt;"",A374=fiche_sel),COUNTIF(A$6:A374,fiche_sel),"")</f>
        <v/>
      </c>
    </row>
    <row r="375">
      <c r="A375" s="60" t="n"/>
      <c r="B375" s="73" t="n"/>
      <c r="C375" s="60" t="n"/>
      <c r="D375" s="61" t="n"/>
      <c r="E375" s="74" t="n"/>
      <c r="F375" s="74" t="n"/>
      <c r="G375" s="73" t="n"/>
      <c r="H375" s="66" t="str">
        <f>IF(M375&lt;&gt;"OK","",INDEX(po_mo,MATCH(D375,po_code,0)))</f>
        <v/>
      </c>
      <c r="I375" s="66" t="str">
        <f>IF(M375&lt;&gt;"OK","",INDEX(po_mac,MATCH(D375,po_code,0)))</f>
        <v/>
      </c>
      <c r="J375" s="66" t="str">
        <f>IF(M375&lt;&gt;"OK","",N(E375)*(H375*IF(G375="",1,G375)+I375))</f>
        <v/>
      </c>
      <c r="K375" s="66" t="str">
        <f>IF(M375&lt;&gt;"OK","",N(F375)/60*H375*IF(G375="",1,G375))</f>
        <v/>
      </c>
      <c r="L375" s="66" t="str">
        <f>IF(M375&lt;&gt;"OK","",N(F375)/60*I375)</f>
        <v/>
      </c>
      <c r="M375" s="69" t="str">
        <f>IF(AND(A375="",D375=""),"",IF(A375="","Produit manquant",IF(COUNTIF(prod_ref,A375)=0,"Produit inconnu",IF(D375="","Poste manquant",IF(ISNA(MATCH(D375,po_code,0)),"Poste inconnu",IF(INDEX(po_check,MATCH(D375,po_code,0))&lt;&gt;"OK","Poste à corriger",IF(AND(E375&lt;&gt;"",OR(NOT(ISNUMBER(E375)),N(E375)&lt;0)),"Réglage invalide",IF(AND(F375&lt;&gt;"",OR(NOT(ISNUMBER(F375)),N(F375)&lt;0)),"Temps par pièce invalide",IF(N(E375)+N(F375)=0,"Temps manquant",IF(AND(G375&lt;&gt;"",OR(NOT(ISNUMBER(G375)),N(G375)&lt;=0)),"Opérateurs invalide","OK"))))))))))</f>
        <v/>
      </c>
      <c r="N375" s="71" t="str">
        <f>IF(AND(fiche_sel&lt;&gt;"",A375=fiche_sel),COUNTIF(A$6:A375,fiche_sel),"")</f>
        <v/>
      </c>
    </row>
    <row r="376">
      <c r="A376" s="60" t="n"/>
      <c r="B376" s="73" t="n"/>
      <c r="C376" s="60" t="n"/>
      <c r="D376" s="61" t="n"/>
      <c r="E376" s="74" t="n"/>
      <c r="F376" s="74" t="n"/>
      <c r="G376" s="73" t="n"/>
      <c r="H376" s="66" t="str">
        <f>IF(M376&lt;&gt;"OK","",INDEX(po_mo,MATCH(D376,po_code,0)))</f>
        <v/>
      </c>
      <c r="I376" s="66" t="str">
        <f>IF(M376&lt;&gt;"OK","",INDEX(po_mac,MATCH(D376,po_code,0)))</f>
        <v/>
      </c>
      <c r="J376" s="66" t="str">
        <f>IF(M376&lt;&gt;"OK","",N(E376)*(H376*IF(G376="",1,G376)+I376))</f>
        <v/>
      </c>
      <c r="K376" s="66" t="str">
        <f>IF(M376&lt;&gt;"OK","",N(F376)/60*H376*IF(G376="",1,G376))</f>
        <v/>
      </c>
      <c r="L376" s="66" t="str">
        <f>IF(M376&lt;&gt;"OK","",N(F376)/60*I376)</f>
        <v/>
      </c>
      <c r="M376" s="69" t="str">
        <f>IF(AND(A376="",D376=""),"",IF(A376="","Produit manquant",IF(COUNTIF(prod_ref,A376)=0,"Produit inconnu",IF(D376="","Poste manquant",IF(ISNA(MATCH(D376,po_code,0)),"Poste inconnu",IF(INDEX(po_check,MATCH(D376,po_code,0))&lt;&gt;"OK","Poste à corriger",IF(AND(E376&lt;&gt;"",OR(NOT(ISNUMBER(E376)),N(E376)&lt;0)),"Réglage invalide",IF(AND(F376&lt;&gt;"",OR(NOT(ISNUMBER(F376)),N(F376)&lt;0)),"Temps par pièce invalide",IF(N(E376)+N(F376)=0,"Temps manquant",IF(AND(G376&lt;&gt;"",OR(NOT(ISNUMBER(G376)),N(G376)&lt;=0)),"Opérateurs invalide","OK"))))))))))</f>
        <v/>
      </c>
      <c r="N376" s="71" t="str">
        <f>IF(AND(fiche_sel&lt;&gt;"",A376=fiche_sel),COUNTIF(A$6:A376,fiche_sel),"")</f>
        <v/>
      </c>
    </row>
    <row r="377">
      <c r="A377" s="60" t="n"/>
      <c r="B377" s="73" t="n"/>
      <c r="C377" s="60" t="n"/>
      <c r="D377" s="61" t="n"/>
      <c r="E377" s="74" t="n"/>
      <c r="F377" s="74" t="n"/>
      <c r="G377" s="73" t="n"/>
      <c r="H377" s="66" t="str">
        <f>IF(M377&lt;&gt;"OK","",INDEX(po_mo,MATCH(D377,po_code,0)))</f>
        <v/>
      </c>
      <c r="I377" s="66" t="str">
        <f>IF(M377&lt;&gt;"OK","",INDEX(po_mac,MATCH(D377,po_code,0)))</f>
        <v/>
      </c>
      <c r="J377" s="66" t="str">
        <f>IF(M377&lt;&gt;"OK","",N(E377)*(H377*IF(G377="",1,G377)+I377))</f>
        <v/>
      </c>
      <c r="K377" s="66" t="str">
        <f>IF(M377&lt;&gt;"OK","",N(F377)/60*H377*IF(G377="",1,G377))</f>
        <v/>
      </c>
      <c r="L377" s="66" t="str">
        <f>IF(M377&lt;&gt;"OK","",N(F377)/60*I377)</f>
        <v/>
      </c>
      <c r="M377" s="69" t="str">
        <f>IF(AND(A377="",D377=""),"",IF(A377="","Produit manquant",IF(COUNTIF(prod_ref,A377)=0,"Produit inconnu",IF(D377="","Poste manquant",IF(ISNA(MATCH(D377,po_code,0)),"Poste inconnu",IF(INDEX(po_check,MATCH(D377,po_code,0))&lt;&gt;"OK","Poste à corriger",IF(AND(E377&lt;&gt;"",OR(NOT(ISNUMBER(E377)),N(E377)&lt;0)),"Réglage invalide",IF(AND(F377&lt;&gt;"",OR(NOT(ISNUMBER(F377)),N(F377)&lt;0)),"Temps par pièce invalide",IF(N(E377)+N(F377)=0,"Temps manquant",IF(AND(G377&lt;&gt;"",OR(NOT(ISNUMBER(G377)),N(G377)&lt;=0)),"Opérateurs invalide","OK"))))))))))</f>
        <v/>
      </c>
      <c r="N377" s="71" t="str">
        <f>IF(AND(fiche_sel&lt;&gt;"",A377=fiche_sel),COUNTIF(A$6:A377,fiche_sel),"")</f>
        <v/>
      </c>
    </row>
    <row r="378">
      <c r="A378" s="60" t="n"/>
      <c r="B378" s="73" t="n"/>
      <c r="C378" s="60" t="n"/>
      <c r="D378" s="61" t="n"/>
      <c r="E378" s="74" t="n"/>
      <c r="F378" s="74" t="n"/>
      <c r="G378" s="73" t="n"/>
      <c r="H378" s="66" t="str">
        <f>IF(M378&lt;&gt;"OK","",INDEX(po_mo,MATCH(D378,po_code,0)))</f>
        <v/>
      </c>
      <c r="I378" s="66" t="str">
        <f>IF(M378&lt;&gt;"OK","",INDEX(po_mac,MATCH(D378,po_code,0)))</f>
        <v/>
      </c>
      <c r="J378" s="66" t="str">
        <f>IF(M378&lt;&gt;"OK","",N(E378)*(H378*IF(G378="",1,G378)+I378))</f>
        <v/>
      </c>
      <c r="K378" s="66" t="str">
        <f>IF(M378&lt;&gt;"OK","",N(F378)/60*H378*IF(G378="",1,G378))</f>
        <v/>
      </c>
      <c r="L378" s="66" t="str">
        <f>IF(M378&lt;&gt;"OK","",N(F378)/60*I378)</f>
        <v/>
      </c>
      <c r="M378" s="69" t="str">
        <f>IF(AND(A378="",D378=""),"",IF(A378="","Produit manquant",IF(COUNTIF(prod_ref,A378)=0,"Produit inconnu",IF(D378="","Poste manquant",IF(ISNA(MATCH(D378,po_code,0)),"Poste inconnu",IF(INDEX(po_check,MATCH(D378,po_code,0))&lt;&gt;"OK","Poste à corriger",IF(AND(E378&lt;&gt;"",OR(NOT(ISNUMBER(E378)),N(E378)&lt;0)),"Réglage invalide",IF(AND(F378&lt;&gt;"",OR(NOT(ISNUMBER(F378)),N(F378)&lt;0)),"Temps par pièce invalide",IF(N(E378)+N(F378)=0,"Temps manquant",IF(AND(G378&lt;&gt;"",OR(NOT(ISNUMBER(G378)),N(G378)&lt;=0)),"Opérateurs invalide","OK"))))))))))</f>
        <v/>
      </c>
      <c r="N378" s="71" t="str">
        <f>IF(AND(fiche_sel&lt;&gt;"",A378=fiche_sel),COUNTIF(A$6:A378,fiche_sel),"")</f>
        <v/>
      </c>
    </row>
    <row r="379">
      <c r="A379" s="60" t="n"/>
      <c r="B379" s="73" t="n"/>
      <c r="C379" s="60" t="n"/>
      <c r="D379" s="61" t="n"/>
      <c r="E379" s="74" t="n"/>
      <c r="F379" s="74" t="n"/>
      <c r="G379" s="73" t="n"/>
      <c r="H379" s="66" t="str">
        <f>IF(M379&lt;&gt;"OK","",INDEX(po_mo,MATCH(D379,po_code,0)))</f>
        <v/>
      </c>
      <c r="I379" s="66" t="str">
        <f>IF(M379&lt;&gt;"OK","",INDEX(po_mac,MATCH(D379,po_code,0)))</f>
        <v/>
      </c>
      <c r="J379" s="66" t="str">
        <f>IF(M379&lt;&gt;"OK","",N(E379)*(H379*IF(G379="",1,G379)+I379))</f>
        <v/>
      </c>
      <c r="K379" s="66" t="str">
        <f>IF(M379&lt;&gt;"OK","",N(F379)/60*H379*IF(G379="",1,G379))</f>
        <v/>
      </c>
      <c r="L379" s="66" t="str">
        <f>IF(M379&lt;&gt;"OK","",N(F379)/60*I379)</f>
        <v/>
      </c>
      <c r="M379" s="69" t="str">
        <f>IF(AND(A379="",D379=""),"",IF(A379="","Produit manquant",IF(COUNTIF(prod_ref,A379)=0,"Produit inconnu",IF(D379="","Poste manquant",IF(ISNA(MATCH(D379,po_code,0)),"Poste inconnu",IF(INDEX(po_check,MATCH(D379,po_code,0))&lt;&gt;"OK","Poste à corriger",IF(AND(E379&lt;&gt;"",OR(NOT(ISNUMBER(E379)),N(E379)&lt;0)),"Réglage invalide",IF(AND(F379&lt;&gt;"",OR(NOT(ISNUMBER(F379)),N(F379)&lt;0)),"Temps par pièce invalide",IF(N(E379)+N(F379)=0,"Temps manquant",IF(AND(G379&lt;&gt;"",OR(NOT(ISNUMBER(G379)),N(G379)&lt;=0)),"Opérateurs invalide","OK"))))))))))</f>
        <v/>
      </c>
      <c r="N379" s="71" t="str">
        <f>IF(AND(fiche_sel&lt;&gt;"",A379=fiche_sel),COUNTIF(A$6:A379,fiche_sel),"")</f>
        <v/>
      </c>
    </row>
    <row r="380">
      <c r="A380" s="60" t="n"/>
      <c r="B380" s="73" t="n"/>
      <c r="C380" s="60" t="n"/>
      <c r="D380" s="61" t="n"/>
      <c r="E380" s="74" t="n"/>
      <c r="F380" s="74" t="n"/>
      <c r="G380" s="73" t="n"/>
      <c r="H380" s="66" t="str">
        <f>IF(M380&lt;&gt;"OK","",INDEX(po_mo,MATCH(D380,po_code,0)))</f>
        <v/>
      </c>
      <c r="I380" s="66" t="str">
        <f>IF(M380&lt;&gt;"OK","",INDEX(po_mac,MATCH(D380,po_code,0)))</f>
        <v/>
      </c>
      <c r="J380" s="66" t="str">
        <f>IF(M380&lt;&gt;"OK","",N(E380)*(H380*IF(G380="",1,G380)+I380))</f>
        <v/>
      </c>
      <c r="K380" s="66" t="str">
        <f>IF(M380&lt;&gt;"OK","",N(F380)/60*H380*IF(G380="",1,G380))</f>
        <v/>
      </c>
      <c r="L380" s="66" t="str">
        <f>IF(M380&lt;&gt;"OK","",N(F380)/60*I380)</f>
        <v/>
      </c>
      <c r="M380" s="69" t="str">
        <f>IF(AND(A380="",D380=""),"",IF(A380="","Produit manquant",IF(COUNTIF(prod_ref,A380)=0,"Produit inconnu",IF(D380="","Poste manquant",IF(ISNA(MATCH(D380,po_code,0)),"Poste inconnu",IF(INDEX(po_check,MATCH(D380,po_code,0))&lt;&gt;"OK","Poste à corriger",IF(AND(E380&lt;&gt;"",OR(NOT(ISNUMBER(E380)),N(E380)&lt;0)),"Réglage invalide",IF(AND(F380&lt;&gt;"",OR(NOT(ISNUMBER(F380)),N(F380)&lt;0)),"Temps par pièce invalide",IF(N(E380)+N(F380)=0,"Temps manquant",IF(AND(G380&lt;&gt;"",OR(NOT(ISNUMBER(G380)),N(G380)&lt;=0)),"Opérateurs invalide","OK"))))))))))</f>
        <v/>
      </c>
      <c r="N380" s="71" t="str">
        <f>IF(AND(fiche_sel&lt;&gt;"",A380=fiche_sel),COUNTIF(A$6:A380,fiche_sel),"")</f>
        <v/>
      </c>
    </row>
    <row r="381">
      <c r="A381" s="60" t="n"/>
      <c r="B381" s="73" t="n"/>
      <c r="C381" s="60" t="n"/>
      <c r="D381" s="61" t="n"/>
      <c r="E381" s="74" t="n"/>
      <c r="F381" s="74" t="n"/>
      <c r="G381" s="73" t="n"/>
      <c r="H381" s="66" t="str">
        <f>IF(M381&lt;&gt;"OK","",INDEX(po_mo,MATCH(D381,po_code,0)))</f>
        <v/>
      </c>
      <c r="I381" s="66" t="str">
        <f>IF(M381&lt;&gt;"OK","",INDEX(po_mac,MATCH(D381,po_code,0)))</f>
        <v/>
      </c>
      <c r="J381" s="66" t="str">
        <f>IF(M381&lt;&gt;"OK","",N(E381)*(H381*IF(G381="",1,G381)+I381))</f>
        <v/>
      </c>
      <c r="K381" s="66" t="str">
        <f>IF(M381&lt;&gt;"OK","",N(F381)/60*H381*IF(G381="",1,G381))</f>
        <v/>
      </c>
      <c r="L381" s="66" t="str">
        <f>IF(M381&lt;&gt;"OK","",N(F381)/60*I381)</f>
        <v/>
      </c>
      <c r="M381" s="69" t="str">
        <f>IF(AND(A381="",D381=""),"",IF(A381="","Produit manquant",IF(COUNTIF(prod_ref,A381)=0,"Produit inconnu",IF(D381="","Poste manquant",IF(ISNA(MATCH(D381,po_code,0)),"Poste inconnu",IF(INDEX(po_check,MATCH(D381,po_code,0))&lt;&gt;"OK","Poste à corriger",IF(AND(E381&lt;&gt;"",OR(NOT(ISNUMBER(E381)),N(E381)&lt;0)),"Réglage invalide",IF(AND(F381&lt;&gt;"",OR(NOT(ISNUMBER(F381)),N(F381)&lt;0)),"Temps par pièce invalide",IF(N(E381)+N(F381)=0,"Temps manquant",IF(AND(G381&lt;&gt;"",OR(NOT(ISNUMBER(G381)),N(G381)&lt;=0)),"Opérateurs invalide","OK"))))))))))</f>
        <v/>
      </c>
      <c r="N381" s="71" t="str">
        <f>IF(AND(fiche_sel&lt;&gt;"",A381=fiche_sel),COUNTIF(A$6:A381,fiche_sel),"")</f>
        <v/>
      </c>
    </row>
    <row r="382">
      <c r="A382" s="60" t="n"/>
      <c r="B382" s="73" t="n"/>
      <c r="C382" s="60" t="n"/>
      <c r="D382" s="61" t="n"/>
      <c r="E382" s="74" t="n"/>
      <c r="F382" s="74" t="n"/>
      <c r="G382" s="73" t="n"/>
      <c r="H382" s="66" t="str">
        <f>IF(M382&lt;&gt;"OK","",INDEX(po_mo,MATCH(D382,po_code,0)))</f>
        <v/>
      </c>
      <c r="I382" s="66" t="str">
        <f>IF(M382&lt;&gt;"OK","",INDEX(po_mac,MATCH(D382,po_code,0)))</f>
        <v/>
      </c>
      <c r="J382" s="66" t="str">
        <f>IF(M382&lt;&gt;"OK","",N(E382)*(H382*IF(G382="",1,G382)+I382))</f>
        <v/>
      </c>
      <c r="K382" s="66" t="str">
        <f>IF(M382&lt;&gt;"OK","",N(F382)/60*H382*IF(G382="",1,G382))</f>
        <v/>
      </c>
      <c r="L382" s="66" t="str">
        <f>IF(M382&lt;&gt;"OK","",N(F382)/60*I382)</f>
        <v/>
      </c>
      <c r="M382" s="69" t="str">
        <f>IF(AND(A382="",D382=""),"",IF(A382="","Produit manquant",IF(COUNTIF(prod_ref,A382)=0,"Produit inconnu",IF(D382="","Poste manquant",IF(ISNA(MATCH(D382,po_code,0)),"Poste inconnu",IF(INDEX(po_check,MATCH(D382,po_code,0))&lt;&gt;"OK","Poste à corriger",IF(AND(E382&lt;&gt;"",OR(NOT(ISNUMBER(E382)),N(E382)&lt;0)),"Réglage invalide",IF(AND(F382&lt;&gt;"",OR(NOT(ISNUMBER(F382)),N(F382)&lt;0)),"Temps par pièce invalide",IF(N(E382)+N(F382)=0,"Temps manquant",IF(AND(G382&lt;&gt;"",OR(NOT(ISNUMBER(G382)),N(G382)&lt;=0)),"Opérateurs invalide","OK"))))))))))</f>
        <v/>
      </c>
      <c r="N382" s="71" t="str">
        <f>IF(AND(fiche_sel&lt;&gt;"",A382=fiche_sel),COUNTIF(A$6:A382,fiche_sel),"")</f>
        <v/>
      </c>
    </row>
    <row r="383">
      <c r="A383" s="60" t="n"/>
      <c r="B383" s="73" t="n"/>
      <c r="C383" s="60" t="n"/>
      <c r="D383" s="61" t="n"/>
      <c r="E383" s="74" t="n"/>
      <c r="F383" s="74" t="n"/>
      <c r="G383" s="73" t="n"/>
      <c r="H383" s="66" t="str">
        <f>IF(M383&lt;&gt;"OK","",INDEX(po_mo,MATCH(D383,po_code,0)))</f>
        <v/>
      </c>
      <c r="I383" s="66" t="str">
        <f>IF(M383&lt;&gt;"OK","",INDEX(po_mac,MATCH(D383,po_code,0)))</f>
        <v/>
      </c>
      <c r="J383" s="66" t="str">
        <f>IF(M383&lt;&gt;"OK","",N(E383)*(H383*IF(G383="",1,G383)+I383))</f>
        <v/>
      </c>
      <c r="K383" s="66" t="str">
        <f>IF(M383&lt;&gt;"OK","",N(F383)/60*H383*IF(G383="",1,G383))</f>
        <v/>
      </c>
      <c r="L383" s="66" t="str">
        <f>IF(M383&lt;&gt;"OK","",N(F383)/60*I383)</f>
        <v/>
      </c>
      <c r="M383" s="69" t="str">
        <f>IF(AND(A383="",D383=""),"",IF(A383="","Produit manquant",IF(COUNTIF(prod_ref,A383)=0,"Produit inconnu",IF(D383="","Poste manquant",IF(ISNA(MATCH(D383,po_code,0)),"Poste inconnu",IF(INDEX(po_check,MATCH(D383,po_code,0))&lt;&gt;"OK","Poste à corriger",IF(AND(E383&lt;&gt;"",OR(NOT(ISNUMBER(E383)),N(E383)&lt;0)),"Réglage invalide",IF(AND(F383&lt;&gt;"",OR(NOT(ISNUMBER(F383)),N(F383)&lt;0)),"Temps par pièce invalide",IF(N(E383)+N(F383)=0,"Temps manquant",IF(AND(G383&lt;&gt;"",OR(NOT(ISNUMBER(G383)),N(G383)&lt;=0)),"Opérateurs invalide","OK"))))))))))</f>
        <v/>
      </c>
      <c r="N383" s="71" t="str">
        <f>IF(AND(fiche_sel&lt;&gt;"",A383=fiche_sel),COUNTIF(A$6:A383,fiche_sel),"")</f>
        <v/>
      </c>
    </row>
    <row r="384">
      <c r="A384" s="60" t="n"/>
      <c r="B384" s="73" t="n"/>
      <c r="C384" s="60" t="n"/>
      <c r="D384" s="61" t="n"/>
      <c r="E384" s="74" t="n"/>
      <c r="F384" s="74" t="n"/>
      <c r="G384" s="73" t="n"/>
      <c r="H384" s="66" t="str">
        <f>IF(M384&lt;&gt;"OK","",INDEX(po_mo,MATCH(D384,po_code,0)))</f>
        <v/>
      </c>
      <c r="I384" s="66" t="str">
        <f>IF(M384&lt;&gt;"OK","",INDEX(po_mac,MATCH(D384,po_code,0)))</f>
        <v/>
      </c>
      <c r="J384" s="66" t="str">
        <f>IF(M384&lt;&gt;"OK","",N(E384)*(H384*IF(G384="",1,G384)+I384))</f>
        <v/>
      </c>
      <c r="K384" s="66" t="str">
        <f>IF(M384&lt;&gt;"OK","",N(F384)/60*H384*IF(G384="",1,G384))</f>
        <v/>
      </c>
      <c r="L384" s="66" t="str">
        <f>IF(M384&lt;&gt;"OK","",N(F384)/60*I384)</f>
        <v/>
      </c>
      <c r="M384" s="69" t="str">
        <f>IF(AND(A384="",D384=""),"",IF(A384="","Produit manquant",IF(COUNTIF(prod_ref,A384)=0,"Produit inconnu",IF(D384="","Poste manquant",IF(ISNA(MATCH(D384,po_code,0)),"Poste inconnu",IF(INDEX(po_check,MATCH(D384,po_code,0))&lt;&gt;"OK","Poste à corriger",IF(AND(E384&lt;&gt;"",OR(NOT(ISNUMBER(E384)),N(E384)&lt;0)),"Réglage invalide",IF(AND(F384&lt;&gt;"",OR(NOT(ISNUMBER(F384)),N(F384)&lt;0)),"Temps par pièce invalide",IF(N(E384)+N(F384)=0,"Temps manquant",IF(AND(G384&lt;&gt;"",OR(NOT(ISNUMBER(G384)),N(G384)&lt;=0)),"Opérateurs invalide","OK"))))))))))</f>
        <v/>
      </c>
      <c r="N384" s="71" t="str">
        <f>IF(AND(fiche_sel&lt;&gt;"",A384=fiche_sel),COUNTIF(A$6:A384,fiche_sel),"")</f>
        <v/>
      </c>
    </row>
    <row r="385">
      <c r="A385" s="60" t="n"/>
      <c r="B385" s="73" t="n"/>
      <c r="C385" s="60" t="n"/>
      <c r="D385" s="61" t="n"/>
      <c r="E385" s="74" t="n"/>
      <c r="F385" s="74" t="n"/>
      <c r="G385" s="73" t="n"/>
      <c r="H385" s="66" t="str">
        <f>IF(M385&lt;&gt;"OK","",INDEX(po_mo,MATCH(D385,po_code,0)))</f>
        <v/>
      </c>
      <c r="I385" s="66" t="str">
        <f>IF(M385&lt;&gt;"OK","",INDEX(po_mac,MATCH(D385,po_code,0)))</f>
        <v/>
      </c>
      <c r="J385" s="66" t="str">
        <f>IF(M385&lt;&gt;"OK","",N(E385)*(H385*IF(G385="",1,G385)+I385))</f>
        <v/>
      </c>
      <c r="K385" s="66" t="str">
        <f>IF(M385&lt;&gt;"OK","",N(F385)/60*H385*IF(G385="",1,G385))</f>
        <v/>
      </c>
      <c r="L385" s="66" t="str">
        <f>IF(M385&lt;&gt;"OK","",N(F385)/60*I385)</f>
        <v/>
      </c>
      <c r="M385" s="69" t="str">
        <f>IF(AND(A385="",D385=""),"",IF(A385="","Produit manquant",IF(COUNTIF(prod_ref,A385)=0,"Produit inconnu",IF(D385="","Poste manquant",IF(ISNA(MATCH(D385,po_code,0)),"Poste inconnu",IF(INDEX(po_check,MATCH(D385,po_code,0))&lt;&gt;"OK","Poste à corriger",IF(AND(E385&lt;&gt;"",OR(NOT(ISNUMBER(E385)),N(E385)&lt;0)),"Réglage invalide",IF(AND(F385&lt;&gt;"",OR(NOT(ISNUMBER(F385)),N(F385)&lt;0)),"Temps par pièce invalide",IF(N(E385)+N(F385)=0,"Temps manquant",IF(AND(G385&lt;&gt;"",OR(NOT(ISNUMBER(G385)),N(G385)&lt;=0)),"Opérateurs invalide","OK"))))))))))</f>
        <v/>
      </c>
      <c r="N385" s="71" t="str">
        <f>IF(AND(fiche_sel&lt;&gt;"",A385=fiche_sel),COUNTIF(A$6:A385,fiche_sel),"")</f>
        <v/>
      </c>
    </row>
    <row r="386">
      <c r="A386" s="60" t="n"/>
      <c r="B386" s="73" t="n"/>
      <c r="C386" s="60" t="n"/>
      <c r="D386" s="61" t="n"/>
      <c r="E386" s="74" t="n"/>
      <c r="F386" s="74" t="n"/>
      <c r="G386" s="73" t="n"/>
      <c r="H386" s="66" t="str">
        <f>IF(M386&lt;&gt;"OK","",INDEX(po_mo,MATCH(D386,po_code,0)))</f>
        <v/>
      </c>
      <c r="I386" s="66" t="str">
        <f>IF(M386&lt;&gt;"OK","",INDEX(po_mac,MATCH(D386,po_code,0)))</f>
        <v/>
      </c>
      <c r="J386" s="66" t="str">
        <f>IF(M386&lt;&gt;"OK","",N(E386)*(H386*IF(G386="",1,G386)+I386))</f>
        <v/>
      </c>
      <c r="K386" s="66" t="str">
        <f>IF(M386&lt;&gt;"OK","",N(F386)/60*H386*IF(G386="",1,G386))</f>
        <v/>
      </c>
      <c r="L386" s="66" t="str">
        <f>IF(M386&lt;&gt;"OK","",N(F386)/60*I386)</f>
        <v/>
      </c>
      <c r="M386" s="69" t="str">
        <f>IF(AND(A386="",D386=""),"",IF(A386="","Produit manquant",IF(COUNTIF(prod_ref,A386)=0,"Produit inconnu",IF(D386="","Poste manquant",IF(ISNA(MATCH(D386,po_code,0)),"Poste inconnu",IF(INDEX(po_check,MATCH(D386,po_code,0))&lt;&gt;"OK","Poste à corriger",IF(AND(E386&lt;&gt;"",OR(NOT(ISNUMBER(E386)),N(E386)&lt;0)),"Réglage invalide",IF(AND(F386&lt;&gt;"",OR(NOT(ISNUMBER(F386)),N(F386)&lt;0)),"Temps par pièce invalide",IF(N(E386)+N(F386)=0,"Temps manquant",IF(AND(G386&lt;&gt;"",OR(NOT(ISNUMBER(G386)),N(G386)&lt;=0)),"Opérateurs invalide","OK"))))))))))</f>
        <v/>
      </c>
      <c r="N386" s="71" t="str">
        <f>IF(AND(fiche_sel&lt;&gt;"",A386=fiche_sel),COUNTIF(A$6:A386,fiche_sel),"")</f>
        <v/>
      </c>
    </row>
    <row r="387">
      <c r="A387" s="60" t="n"/>
      <c r="B387" s="73" t="n"/>
      <c r="C387" s="60" t="n"/>
      <c r="D387" s="61" t="n"/>
      <c r="E387" s="74" t="n"/>
      <c r="F387" s="74" t="n"/>
      <c r="G387" s="73" t="n"/>
      <c r="H387" s="66" t="str">
        <f>IF(M387&lt;&gt;"OK","",INDEX(po_mo,MATCH(D387,po_code,0)))</f>
        <v/>
      </c>
      <c r="I387" s="66" t="str">
        <f>IF(M387&lt;&gt;"OK","",INDEX(po_mac,MATCH(D387,po_code,0)))</f>
        <v/>
      </c>
      <c r="J387" s="66" t="str">
        <f>IF(M387&lt;&gt;"OK","",N(E387)*(H387*IF(G387="",1,G387)+I387))</f>
        <v/>
      </c>
      <c r="K387" s="66" t="str">
        <f>IF(M387&lt;&gt;"OK","",N(F387)/60*H387*IF(G387="",1,G387))</f>
        <v/>
      </c>
      <c r="L387" s="66" t="str">
        <f>IF(M387&lt;&gt;"OK","",N(F387)/60*I387)</f>
        <v/>
      </c>
      <c r="M387" s="69" t="str">
        <f>IF(AND(A387="",D387=""),"",IF(A387="","Produit manquant",IF(COUNTIF(prod_ref,A387)=0,"Produit inconnu",IF(D387="","Poste manquant",IF(ISNA(MATCH(D387,po_code,0)),"Poste inconnu",IF(INDEX(po_check,MATCH(D387,po_code,0))&lt;&gt;"OK","Poste à corriger",IF(AND(E387&lt;&gt;"",OR(NOT(ISNUMBER(E387)),N(E387)&lt;0)),"Réglage invalide",IF(AND(F387&lt;&gt;"",OR(NOT(ISNUMBER(F387)),N(F387)&lt;0)),"Temps par pièce invalide",IF(N(E387)+N(F387)=0,"Temps manquant",IF(AND(G387&lt;&gt;"",OR(NOT(ISNUMBER(G387)),N(G387)&lt;=0)),"Opérateurs invalide","OK"))))))))))</f>
        <v/>
      </c>
      <c r="N387" s="71" t="str">
        <f>IF(AND(fiche_sel&lt;&gt;"",A387=fiche_sel),COUNTIF(A$6:A387,fiche_sel),"")</f>
        <v/>
      </c>
    </row>
    <row r="388">
      <c r="A388" s="60" t="n"/>
      <c r="B388" s="73" t="n"/>
      <c r="C388" s="60" t="n"/>
      <c r="D388" s="61" t="n"/>
      <c r="E388" s="74" t="n"/>
      <c r="F388" s="74" t="n"/>
      <c r="G388" s="73" t="n"/>
      <c r="H388" s="66" t="str">
        <f>IF(M388&lt;&gt;"OK","",INDEX(po_mo,MATCH(D388,po_code,0)))</f>
        <v/>
      </c>
      <c r="I388" s="66" t="str">
        <f>IF(M388&lt;&gt;"OK","",INDEX(po_mac,MATCH(D388,po_code,0)))</f>
        <v/>
      </c>
      <c r="J388" s="66" t="str">
        <f>IF(M388&lt;&gt;"OK","",N(E388)*(H388*IF(G388="",1,G388)+I388))</f>
        <v/>
      </c>
      <c r="K388" s="66" t="str">
        <f>IF(M388&lt;&gt;"OK","",N(F388)/60*H388*IF(G388="",1,G388))</f>
        <v/>
      </c>
      <c r="L388" s="66" t="str">
        <f>IF(M388&lt;&gt;"OK","",N(F388)/60*I388)</f>
        <v/>
      </c>
      <c r="M388" s="69" t="str">
        <f>IF(AND(A388="",D388=""),"",IF(A388="","Produit manquant",IF(COUNTIF(prod_ref,A388)=0,"Produit inconnu",IF(D388="","Poste manquant",IF(ISNA(MATCH(D388,po_code,0)),"Poste inconnu",IF(INDEX(po_check,MATCH(D388,po_code,0))&lt;&gt;"OK","Poste à corriger",IF(AND(E388&lt;&gt;"",OR(NOT(ISNUMBER(E388)),N(E388)&lt;0)),"Réglage invalide",IF(AND(F388&lt;&gt;"",OR(NOT(ISNUMBER(F388)),N(F388)&lt;0)),"Temps par pièce invalide",IF(N(E388)+N(F388)=0,"Temps manquant",IF(AND(G388&lt;&gt;"",OR(NOT(ISNUMBER(G388)),N(G388)&lt;=0)),"Opérateurs invalide","OK"))))))))))</f>
        <v/>
      </c>
      <c r="N388" s="71" t="str">
        <f>IF(AND(fiche_sel&lt;&gt;"",A388=fiche_sel),COUNTIF(A$6:A388,fiche_sel),"")</f>
        <v/>
      </c>
    </row>
    <row r="389">
      <c r="A389" s="60" t="n"/>
      <c r="B389" s="73" t="n"/>
      <c r="C389" s="60" t="n"/>
      <c r="D389" s="61" t="n"/>
      <c r="E389" s="74" t="n"/>
      <c r="F389" s="74" t="n"/>
      <c r="G389" s="73" t="n"/>
      <c r="H389" s="66" t="str">
        <f>IF(M389&lt;&gt;"OK","",INDEX(po_mo,MATCH(D389,po_code,0)))</f>
        <v/>
      </c>
      <c r="I389" s="66" t="str">
        <f>IF(M389&lt;&gt;"OK","",INDEX(po_mac,MATCH(D389,po_code,0)))</f>
        <v/>
      </c>
      <c r="J389" s="66" t="str">
        <f>IF(M389&lt;&gt;"OK","",N(E389)*(H389*IF(G389="",1,G389)+I389))</f>
        <v/>
      </c>
      <c r="K389" s="66" t="str">
        <f>IF(M389&lt;&gt;"OK","",N(F389)/60*H389*IF(G389="",1,G389))</f>
        <v/>
      </c>
      <c r="L389" s="66" t="str">
        <f>IF(M389&lt;&gt;"OK","",N(F389)/60*I389)</f>
        <v/>
      </c>
      <c r="M389" s="69" t="str">
        <f>IF(AND(A389="",D389=""),"",IF(A389="","Produit manquant",IF(COUNTIF(prod_ref,A389)=0,"Produit inconnu",IF(D389="","Poste manquant",IF(ISNA(MATCH(D389,po_code,0)),"Poste inconnu",IF(INDEX(po_check,MATCH(D389,po_code,0))&lt;&gt;"OK","Poste à corriger",IF(AND(E389&lt;&gt;"",OR(NOT(ISNUMBER(E389)),N(E389)&lt;0)),"Réglage invalide",IF(AND(F389&lt;&gt;"",OR(NOT(ISNUMBER(F389)),N(F389)&lt;0)),"Temps par pièce invalide",IF(N(E389)+N(F389)=0,"Temps manquant",IF(AND(G389&lt;&gt;"",OR(NOT(ISNUMBER(G389)),N(G389)&lt;=0)),"Opérateurs invalide","OK"))))))))))</f>
        <v/>
      </c>
      <c r="N389" s="71" t="str">
        <f>IF(AND(fiche_sel&lt;&gt;"",A389=fiche_sel),COUNTIF(A$6:A389,fiche_sel),"")</f>
        <v/>
      </c>
    </row>
    <row r="390">
      <c r="A390" s="60" t="n"/>
      <c r="B390" s="73" t="n"/>
      <c r="C390" s="60" t="n"/>
      <c r="D390" s="61" t="n"/>
      <c r="E390" s="74" t="n"/>
      <c r="F390" s="74" t="n"/>
      <c r="G390" s="73" t="n"/>
      <c r="H390" s="66" t="str">
        <f>IF(M390&lt;&gt;"OK","",INDEX(po_mo,MATCH(D390,po_code,0)))</f>
        <v/>
      </c>
      <c r="I390" s="66" t="str">
        <f>IF(M390&lt;&gt;"OK","",INDEX(po_mac,MATCH(D390,po_code,0)))</f>
        <v/>
      </c>
      <c r="J390" s="66" t="str">
        <f>IF(M390&lt;&gt;"OK","",N(E390)*(H390*IF(G390="",1,G390)+I390))</f>
        <v/>
      </c>
      <c r="K390" s="66" t="str">
        <f>IF(M390&lt;&gt;"OK","",N(F390)/60*H390*IF(G390="",1,G390))</f>
        <v/>
      </c>
      <c r="L390" s="66" t="str">
        <f>IF(M390&lt;&gt;"OK","",N(F390)/60*I390)</f>
        <v/>
      </c>
      <c r="M390" s="69" t="str">
        <f>IF(AND(A390="",D390=""),"",IF(A390="","Produit manquant",IF(COUNTIF(prod_ref,A390)=0,"Produit inconnu",IF(D390="","Poste manquant",IF(ISNA(MATCH(D390,po_code,0)),"Poste inconnu",IF(INDEX(po_check,MATCH(D390,po_code,0))&lt;&gt;"OK","Poste à corriger",IF(AND(E390&lt;&gt;"",OR(NOT(ISNUMBER(E390)),N(E390)&lt;0)),"Réglage invalide",IF(AND(F390&lt;&gt;"",OR(NOT(ISNUMBER(F390)),N(F390)&lt;0)),"Temps par pièce invalide",IF(N(E390)+N(F390)=0,"Temps manquant",IF(AND(G390&lt;&gt;"",OR(NOT(ISNUMBER(G390)),N(G390)&lt;=0)),"Opérateurs invalide","OK"))))))))))</f>
        <v/>
      </c>
      <c r="N390" s="71" t="str">
        <f>IF(AND(fiche_sel&lt;&gt;"",A390=fiche_sel),COUNTIF(A$6:A390,fiche_sel),"")</f>
        <v/>
      </c>
    </row>
    <row r="391">
      <c r="A391" s="60" t="n"/>
      <c r="B391" s="73" t="n"/>
      <c r="C391" s="60" t="n"/>
      <c r="D391" s="61" t="n"/>
      <c r="E391" s="74" t="n"/>
      <c r="F391" s="74" t="n"/>
      <c r="G391" s="73" t="n"/>
      <c r="H391" s="66" t="str">
        <f>IF(M391&lt;&gt;"OK","",INDEX(po_mo,MATCH(D391,po_code,0)))</f>
        <v/>
      </c>
      <c r="I391" s="66" t="str">
        <f>IF(M391&lt;&gt;"OK","",INDEX(po_mac,MATCH(D391,po_code,0)))</f>
        <v/>
      </c>
      <c r="J391" s="66" t="str">
        <f>IF(M391&lt;&gt;"OK","",N(E391)*(H391*IF(G391="",1,G391)+I391))</f>
        <v/>
      </c>
      <c r="K391" s="66" t="str">
        <f>IF(M391&lt;&gt;"OK","",N(F391)/60*H391*IF(G391="",1,G391))</f>
        <v/>
      </c>
      <c r="L391" s="66" t="str">
        <f>IF(M391&lt;&gt;"OK","",N(F391)/60*I391)</f>
        <v/>
      </c>
      <c r="M391" s="69" t="str">
        <f>IF(AND(A391="",D391=""),"",IF(A391="","Produit manquant",IF(COUNTIF(prod_ref,A391)=0,"Produit inconnu",IF(D391="","Poste manquant",IF(ISNA(MATCH(D391,po_code,0)),"Poste inconnu",IF(INDEX(po_check,MATCH(D391,po_code,0))&lt;&gt;"OK","Poste à corriger",IF(AND(E391&lt;&gt;"",OR(NOT(ISNUMBER(E391)),N(E391)&lt;0)),"Réglage invalide",IF(AND(F391&lt;&gt;"",OR(NOT(ISNUMBER(F391)),N(F391)&lt;0)),"Temps par pièce invalide",IF(N(E391)+N(F391)=0,"Temps manquant",IF(AND(G391&lt;&gt;"",OR(NOT(ISNUMBER(G391)),N(G391)&lt;=0)),"Opérateurs invalide","OK"))))))))))</f>
        <v/>
      </c>
      <c r="N391" s="71" t="str">
        <f>IF(AND(fiche_sel&lt;&gt;"",A391=fiche_sel),COUNTIF(A$6:A391,fiche_sel),"")</f>
        <v/>
      </c>
    </row>
    <row r="392">
      <c r="A392" s="60" t="n"/>
      <c r="B392" s="73" t="n"/>
      <c r="C392" s="60" t="n"/>
      <c r="D392" s="61" t="n"/>
      <c r="E392" s="74" t="n"/>
      <c r="F392" s="74" t="n"/>
      <c r="G392" s="73" t="n"/>
      <c r="H392" s="66" t="str">
        <f>IF(M392&lt;&gt;"OK","",INDEX(po_mo,MATCH(D392,po_code,0)))</f>
        <v/>
      </c>
      <c r="I392" s="66" t="str">
        <f>IF(M392&lt;&gt;"OK","",INDEX(po_mac,MATCH(D392,po_code,0)))</f>
        <v/>
      </c>
      <c r="J392" s="66" t="str">
        <f>IF(M392&lt;&gt;"OK","",N(E392)*(H392*IF(G392="",1,G392)+I392))</f>
        <v/>
      </c>
      <c r="K392" s="66" t="str">
        <f>IF(M392&lt;&gt;"OK","",N(F392)/60*H392*IF(G392="",1,G392))</f>
        <v/>
      </c>
      <c r="L392" s="66" t="str">
        <f>IF(M392&lt;&gt;"OK","",N(F392)/60*I392)</f>
        <v/>
      </c>
      <c r="M392" s="69" t="str">
        <f>IF(AND(A392="",D392=""),"",IF(A392="","Produit manquant",IF(COUNTIF(prod_ref,A392)=0,"Produit inconnu",IF(D392="","Poste manquant",IF(ISNA(MATCH(D392,po_code,0)),"Poste inconnu",IF(INDEX(po_check,MATCH(D392,po_code,0))&lt;&gt;"OK","Poste à corriger",IF(AND(E392&lt;&gt;"",OR(NOT(ISNUMBER(E392)),N(E392)&lt;0)),"Réglage invalide",IF(AND(F392&lt;&gt;"",OR(NOT(ISNUMBER(F392)),N(F392)&lt;0)),"Temps par pièce invalide",IF(N(E392)+N(F392)=0,"Temps manquant",IF(AND(G392&lt;&gt;"",OR(NOT(ISNUMBER(G392)),N(G392)&lt;=0)),"Opérateurs invalide","OK"))))))))))</f>
        <v/>
      </c>
      <c r="N392" s="71" t="str">
        <f>IF(AND(fiche_sel&lt;&gt;"",A392=fiche_sel),COUNTIF(A$6:A392,fiche_sel),"")</f>
        <v/>
      </c>
    </row>
    <row r="393">
      <c r="A393" s="60" t="n"/>
      <c r="B393" s="73" t="n"/>
      <c r="C393" s="60" t="n"/>
      <c r="D393" s="61" t="n"/>
      <c r="E393" s="74" t="n"/>
      <c r="F393" s="74" t="n"/>
      <c r="G393" s="73" t="n"/>
      <c r="H393" s="66" t="str">
        <f>IF(M393&lt;&gt;"OK","",INDEX(po_mo,MATCH(D393,po_code,0)))</f>
        <v/>
      </c>
      <c r="I393" s="66" t="str">
        <f>IF(M393&lt;&gt;"OK","",INDEX(po_mac,MATCH(D393,po_code,0)))</f>
        <v/>
      </c>
      <c r="J393" s="66" t="str">
        <f>IF(M393&lt;&gt;"OK","",N(E393)*(H393*IF(G393="",1,G393)+I393))</f>
        <v/>
      </c>
      <c r="K393" s="66" t="str">
        <f>IF(M393&lt;&gt;"OK","",N(F393)/60*H393*IF(G393="",1,G393))</f>
        <v/>
      </c>
      <c r="L393" s="66" t="str">
        <f>IF(M393&lt;&gt;"OK","",N(F393)/60*I393)</f>
        <v/>
      </c>
      <c r="M393" s="69" t="str">
        <f>IF(AND(A393="",D393=""),"",IF(A393="","Produit manquant",IF(COUNTIF(prod_ref,A393)=0,"Produit inconnu",IF(D393="","Poste manquant",IF(ISNA(MATCH(D393,po_code,0)),"Poste inconnu",IF(INDEX(po_check,MATCH(D393,po_code,0))&lt;&gt;"OK","Poste à corriger",IF(AND(E393&lt;&gt;"",OR(NOT(ISNUMBER(E393)),N(E393)&lt;0)),"Réglage invalide",IF(AND(F393&lt;&gt;"",OR(NOT(ISNUMBER(F393)),N(F393)&lt;0)),"Temps par pièce invalide",IF(N(E393)+N(F393)=0,"Temps manquant",IF(AND(G393&lt;&gt;"",OR(NOT(ISNUMBER(G393)),N(G393)&lt;=0)),"Opérateurs invalide","OK"))))))))))</f>
        <v/>
      </c>
      <c r="N393" s="71" t="str">
        <f>IF(AND(fiche_sel&lt;&gt;"",A393=fiche_sel),COUNTIF(A$6:A393,fiche_sel),"")</f>
        <v/>
      </c>
    </row>
    <row r="394">
      <c r="A394" s="60" t="n"/>
      <c r="B394" s="73" t="n"/>
      <c r="C394" s="60" t="n"/>
      <c r="D394" s="61" t="n"/>
      <c r="E394" s="74" t="n"/>
      <c r="F394" s="74" t="n"/>
      <c r="G394" s="73" t="n"/>
      <c r="H394" s="66" t="str">
        <f>IF(M394&lt;&gt;"OK","",INDEX(po_mo,MATCH(D394,po_code,0)))</f>
        <v/>
      </c>
      <c r="I394" s="66" t="str">
        <f>IF(M394&lt;&gt;"OK","",INDEX(po_mac,MATCH(D394,po_code,0)))</f>
        <v/>
      </c>
      <c r="J394" s="66" t="str">
        <f>IF(M394&lt;&gt;"OK","",N(E394)*(H394*IF(G394="",1,G394)+I394))</f>
        <v/>
      </c>
      <c r="K394" s="66" t="str">
        <f>IF(M394&lt;&gt;"OK","",N(F394)/60*H394*IF(G394="",1,G394))</f>
        <v/>
      </c>
      <c r="L394" s="66" t="str">
        <f>IF(M394&lt;&gt;"OK","",N(F394)/60*I394)</f>
        <v/>
      </c>
      <c r="M394" s="69" t="str">
        <f>IF(AND(A394="",D394=""),"",IF(A394="","Produit manquant",IF(COUNTIF(prod_ref,A394)=0,"Produit inconnu",IF(D394="","Poste manquant",IF(ISNA(MATCH(D394,po_code,0)),"Poste inconnu",IF(INDEX(po_check,MATCH(D394,po_code,0))&lt;&gt;"OK","Poste à corriger",IF(AND(E394&lt;&gt;"",OR(NOT(ISNUMBER(E394)),N(E394)&lt;0)),"Réglage invalide",IF(AND(F394&lt;&gt;"",OR(NOT(ISNUMBER(F394)),N(F394)&lt;0)),"Temps par pièce invalide",IF(N(E394)+N(F394)=0,"Temps manquant",IF(AND(G394&lt;&gt;"",OR(NOT(ISNUMBER(G394)),N(G394)&lt;=0)),"Opérateurs invalide","OK"))))))))))</f>
        <v/>
      </c>
      <c r="N394" s="71" t="str">
        <f>IF(AND(fiche_sel&lt;&gt;"",A394=fiche_sel),COUNTIF(A$6:A394,fiche_sel),"")</f>
        <v/>
      </c>
    </row>
    <row r="395">
      <c r="A395" s="60" t="n"/>
      <c r="B395" s="73" t="n"/>
      <c r="C395" s="60" t="n"/>
      <c r="D395" s="61" t="n"/>
      <c r="E395" s="74" t="n"/>
      <c r="F395" s="74" t="n"/>
      <c r="G395" s="73" t="n"/>
      <c r="H395" s="66" t="str">
        <f>IF(M395&lt;&gt;"OK","",INDEX(po_mo,MATCH(D395,po_code,0)))</f>
        <v/>
      </c>
      <c r="I395" s="66" t="str">
        <f>IF(M395&lt;&gt;"OK","",INDEX(po_mac,MATCH(D395,po_code,0)))</f>
        <v/>
      </c>
      <c r="J395" s="66" t="str">
        <f>IF(M395&lt;&gt;"OK","",N(E395)*(H395*IF(G395="",1,G395)+I395))</f>
        <v/>
      </c>
      <c r="K395" s="66" t="str">
        <f>IF(M395&lt;&gt;"OK","",N(F395)/60*H395*IF(G395="",1,G395))</f>
        <v/>
      </c>
      <c r="L395" s="66" t="str">
        <f>IF(M395&lt;&gt;"OK","",N(F395)/60*I395)</f>
        <v/>
      </c>
      <c r="M395" s="69" t="str">
        <f>IF(AND(A395="",D395=""),"",IF(A395="","Produit manquant",IF(COUNTIF(prod_ref,A395)=0,"Produit inconnu",IF(D395="","Poste manquant",IF(ISNA(MATCH(D395,po_code,0)),"Poste inconnu",IF(INDEX(po_check,MATCH(D395,po_code,0))&lt;&gt;"OK","Poste à corriger",IF(AND(E395&lt;&gt;"",OR(NOT(ISNUMBER(E395)),N(E395)&lt;0)),"Réglage invalide",IF(AND(F395&lt;&gt;"",OR(NOT(ISNUMBER(F395)),N(F395)&lt;0)),"Temps par pièce invalide",IF(N(E395)+N(F395)=0,"Temps manquant",IF(AND(G395&lt;&gt;"",OR(NOT(ISNUMBER(G395)),N(G395)&lt;=0)),"Opérateurs invalide","OK"))))))))))</f>
        <v/>
      </c>
      <c r="N395" s="71" t="str">
        <f>IF(AND(fiche_sel&lt;&gt;"",A395=fiche_sel),COUNTIF(A$6:A395,fiche_sel),"")</f>
        <v/>
      </c>
    </row>
    <row r="396">
      <c r="A396" s="60" t="n"/>
      <c r="B396" s="73" t="n"/>
      <c r="C396" s="60" t="n"/>
      <c r="D396" s="61" t="n"/>
      <c r="E396" s="74" t="n"/>
      <c r="F396" s="74" t="n"/>
      <c r="G396" s="73" t="n"/>
      <c r="H396" s="66" t="str">
        <f>IF(M396&lt;&gt;"OK","",INDEX(po_mo,MATCH(D396,po_code,0)))</f>
        <v/>
      </c>
      <c r="I396" s="66" t="str">
        <f>IF(M396&lt;&gt;"OK","",INDEX(po_mac,MATCH(D396,po_code,0)))</f>
        <v/>
      </c>
      <c r="J396" s="66" t="str">
        <f>IF(M396&lt;&gt;"OK","",N(E396)*(H396*IF(G396="",1,G396)+I396))</f>
        <v/>
      </c>
      <c r="K396" s="66" t="str">
        <f>IF(M396&lt;&gt;"OK","",N(F396)/60*H396*IF(G396="",1,G396))</f>
        <v/>
      </c>
      <c r="L396" s="66" t="str">
        <f>IF(M396&lt;&gt;"OK","",N(F396)/60*I396)</f>
        <v/>
      </c>
      <c r="M396" s="69" t="str">
        <f>IF(AND(A396="",D396=""),"",IF(A396="","Produit manquant",IF(COUNTIF(prod_ref,A396)=0,"Produit inconnu",IF(D396="","Poste manquant",IF(ISNA(MATCH(D396,po_code,0)),"Poste inconnu",IF(INDEX(po_check,MATCH(D396,po_code,0))&lt;&gt;"OK","Poste à corriger",IF(AND(E396&lt;&gt;"",OR(NOT(ISNUMBER(E396)),N(E396)&lt;0)),"Réglage invalide",IF(AND(F396&lt;&gt;"",OR(NOT(ISNUMBER(F396)),N(F396)&lt;0)),"Temps par pièce invalide",IF(N(E396)+N(F396)=0,"Temps manquant",IF(AND(G396&lt;&gt;"",OR(NOT(ISNUMBER(G396)),N(G396)&lt;=0)),"Opérateurs invalide","OK"))))))))))</f>
        <v/>
      </c>
      <c r="N396" s="71" t="str">
        <f>IF(AND(fiche_sel&lt;&gt;"",A396=fiche_sel),COUNTIF(A$6:A396,fiche_sel),"")</f>
        <v/>
      </c>
    </row>
    <row r="397">
      <c r="A397" s="60" t="n"/>
      <c r="B397" s="73" t="n"/>
      <c r="C397" s="60" t="n"/>
      <c r="D397" s="61" t="n"/>
      <c r="E397" s="74" t="n"/>
      <c r="F397" s="74" t="n"/>
      <c r="G397" s="73" t="n"/>
      <c r="H397" s="66" t="str">
        <f>IF(M397&lt;&gt;"OK","",INDEX(po_mo,MATCH(D397,po_code,0)))</f>
        <v/>
      </c>
      <c r="I397" s="66" t="str">
        <f>IF(M397&lt;&gt;"OK","",INDEX(po_mac,MATCH(D397,po_code,0)))</f>
        <v/>
      </c>
      <c r="J397" s="66" t="str">
        <f>IF(M397&lt;&gt;"OK","",N(E397)*(H397*IF(G397="",1,G397)+I397))</f>
        <v/>
      </c>
      <c r="K397" s="66" t="str">
        <f>IF(M397&lt;&gt;"OK","",N(F397)/60*H397*IF(G397="",1,G397))</f>
        <v/>
      </c>
      <c r="L397" s="66" t="str">
        <f>IF(M397&lt;&gt;"OK","",N(F397)/60*I397)</f>
        <v/>
      </c>
      <c r="M397" s="69" t="str">
        <f>IF(AND(A397="",D397=""),"",IF(A397="","Produit manquant",IF(COUNTIF(prod_ref,A397)=0,"Produit inconnu",IF(D397="","Poste manquant",IF(ISNA(MATCH(D397,po_code,0)),"Poste inconnu",IF(INDEX(po_check,MATCH(D397,po_code,0))&lt;&gt;"OK","Poste à corriger",IF(AND(E397&lt;&gt;"",OR(NOT(ISNUMBER(E397)),N(E397)&lt;0)),"Réglage invalide",IF(AND(F397&lt;&gt;"",OR(NOT(ISNUMBER(F397)),N(F397)&lt;0)),"Temps par pièce invalide",IF(N(E397)+N(F397)=0,"Temps manquant",IF(AND(G397&lt;&gt;"",OR(NOT(ISNUMBER(G397)),N(G397)&lt;=0)),"Opérateurs invalide","OK"))))))))))</f>
        <v/>
      </c>
      <c r="N397" s="71" t="str">
        <f>IF(AND(fiche_sel&lt;&gt;"",A397=fiche_sel),COUNTIF(A$6:A397,fiche_sel),"")</f>
        <v/>
      </c>
    </row>
    <row r="398">
      <c r="A398" s="60" t="n"/>
      <c r="B398" s="73" t="n"/>
      <c r="C398" s="60" t="n"/>
      <c r="D398" s="61" t="n"/>
      <c r="E398" s="74" t="n"/>
      <c r="F398" s="74" t="n"/>
      <c r="G398" s="73" t="n"/>
      <c r="H398" s="66" t="str">
        <f>IF(M398&lt;&gt;"OK","",INDEX(po_mo,MATCH(D398,po_code,0)))</f>
        <v/>
      </c>
      <c r="I398" s="66" t="str">
        <f>IF(M398&lt;&gt;"OK","",INDEX(po_mac,MATCH(D398,po_code,0)))</f>
        <v/>
      </c>
      <c r="J398" s="66" t="str">
        <f>IF(M398&lt;&gt;"OK","",N(E398)*(H398*IF(G398="",1,G398)+I398))</f>
        <v/>
      </c>
      <c r="K398" s="66" t="str">
        <f>IF(M398&lt;&gt;"OK","",N(F398)/60*H398*IF(G398="",1,G398))</f>
        <v/>
      </c>
      <c r="L398" s="66" t="str">
        <f>IF(M398&lt;&gt;"OK","",N(F398)/60*I398)</f>
        <v/>
      </c>
      <c r="M398" s="69" t="str">
        <f>IF(AND(A398="",D398=""),"",IF(A398="","Produit manquant",IF(COUNTIF(prod_ref,A398)=0,"Produit inconnu",IF(D398="","Poste manquant",IF(ISNA(MATCH(D398,po_code,0)),"Poste inconnu",IF(INDEX(po_check,MATCH(D398,po_code,0))&lt;&gt;"OK","Poste à corriger",IF(AND(E398&lt;&gt;"",OR(NOT(ISNUMBER(E398)),N(E398)&lt;0)),"Réglage invalide",IF(AND(F398&lt;&gt;"",OR(NOT(ISNUMBER(F398)),N(F398)&lt;0)),"Temps par pièce invalide",IF(N(E398)+N(F398)=0,"Temps manquant",IF(AND(G398&lt;&gt;"",OR(NOT(ISNUMBER(G398)),N(G398)&lt;=0)),"Opérateurs invalide","OK"))))))))))</f>
        <v/>
      </c>
      <c r="N398" s="71" t="str">
        <f>IF(AND(fiche_sel&lt;&gt;"",A398=fiche_sel),COUNTIF(A$6:A398,fiche_sel),"")</f>
        <v/>
      </c>
    </row>
    <row r="399">
      <c r="A399" s="60" t="n"/>
      <c r="B399" s="73" t="n"/>
      <c r="C399" s="60" t="n"/>
      <c r="D399" s="61" t="n"/>
      <c r="E399" s="74" t="n"/>
      <c r="F399" s="74" t="n"/>
      <c r="G399" s="73" t="n"/>
      <c r="H399" s="66" t="str">
        <f>IF(M399&lt;&gt;"OK","",INDEX(po_mo,MATCH(D399,po_code,0)))</f>
        <v/>
      </c>
      <c r="I399" s="66" t="str">
        <f>IF(M399&lt;&gt;"OK","",INDEX(po_mac,MATCH(D399,po_code,0)))</f>
        <v/>
      </c>
      <c r="J399" s="66" t="str">
        <f>IF(M399&lt;&gt;"OK","",N(E399)*(H399*IF(G399="",1,G399)+I399))</f>
        <v/>
      </c>
      <c r="K399" s="66" t="str">
        <f>IF(M399&lt;&gt;"OK","",N(F399)/60*H399*IF(G399="",1,G399))</f>
        <v/>
      </c>
      <c r="L399" s="66" t="str">
        <f>IF(M399&lt;&gt;"OK","",N(F399)/60*I399)</f>
        <v/>
      </c>
      <c r="M399" s="69" t="str">
        <f>IF(AND(A399="",D399=""),"",IF(A399="","Produit manquant",IF(COUNTIF(prod_ref,A399)=0,"Produit inconnu",IF(D399="","Poste manquant",IF(ISNA(MATCH(D399,po_code,0)),"Poste inconnu",IF(INDEX(po_check,MATCH(D399,po_code,0))&lt;&gt;"OK","Poste à corriger",IF(AND(E399&lt;&gt;"",OR(NOT(ISNUMBER(E399)),N(E399)&lt;0)),"Réglage invalide",IF(AND(F399&lt;&gt;"",OR(NOT(ISNUMBER(F399)),N(F399)&lt;0)),"Temps par pièce invalide",IF(N(E399)+N(F399)=0,"Temps manquant",IF(AND(G399&lt;&gt;"",OR(NOT(ISNUMBER(G399)),N(G399)&lt;=0)),"Opérateurs invalide","OK"))))))))))</f>
        <v/>
      </c>
      <c r="N399" s="71" t="str">
        <f>IF(AND(fiche_sel&lt;&gt;"",A399=fiche_sel),COUNTIF(A$6:A399,fiche_sel),"")</f>
        <v/>
      </c>
    </row>
    <row r="400">
      <c r="A400" s="60" t="n"/>
      <c r="B400" s="73" t="n"/>
      <c r="C400" s="60" t="n"/>
      <c r="D400" s="61" t="n"/>
      <c r="E400" s="74" t="n"/>
      <c r="F400" s="74" t="n"/>
      <c r="G400" s="73" t="n"/>
      <c r="H400" s="66" t="str">
        <f>IF(M400&lt;&gt;"OK","",INDEX(po_mo,MATCH(D400,po_code,0)))</f>
        <v/>
      </c>
      <c r="I400" s="66" t="str">
        <f>IF(M400&lt;&gt;"OK","",INDEX(po_mac,MATCH(D400,po_code,0)))</f>
        <v/>
      </c>
      <c r="J400" s="66" t="str">
        <f>IF(M400&lt;&gt;"OK","",N(E400)*(H400*IF(G400="",1,G400)+I400))</f>
        <v/>
      </c>
      <c r="K400" s="66" t="str">
        <f>IF(M400&lt;&gt;"OK","",N(F400)/60*H400*IF(G400="",1,G400))</f>
        <v/>
      </c>
      <c r="L400" s="66" t="str">
        <f>IF(M400&lt;&gt;"OK","",N(F400)/60*I400)</f>
        <v/>
      </c>
      <c r="M400" s="69" t="str">
        <f>IF(AND(A400="",D400=""),"",IF(A400="","Produit manquant",IF(COUNTIF(prod_ref,A400)=0,"Produit inconnu",IF(D400="","Poste manquant",IF(ISNA(MATCH(D400,po_code,0)),"Poste inconnu",IF(INDEX(po_check,MATCH(D400,po_code,0))&lt;&gt;"OK","Poste à corriger",IF(AND(E400&lt;&gt;"",OR(NOT(ISNUMBER(E400)),N(E400)&lt;0)),"Réglage invalide",IF(AND(F400&lt;&gt;"",OR(NOT(ISNUMBER(F400)),N(F400)&lt;0)),"Temps par pièce invalide",IF(N(E400)+N(F400)=0,"Temps manquant",IF(AND(G400&lt;&gt;"",OR(NOT(ISNUMBER(G400)),N(G400)&lt;=0)),"Opérateurs invalide","OK"))))))))))</f>
        <v/>
      </c>
      <c r="N400" s="71" t="str">
        <f>IF(AND(fiche_sel&lt;&gt;"",A400=fiche_sel),COUNTIF(A$6:A400,fiche_sel),"")</f>
        <v/>
      </c>
    </row>
    <row r="401">
      <c r="A401" s="60" t="n"/>
      <c r="B401" s="73" t="n"/>
      <c r="C401" s="60" t="n"/>
      <c r="D401" s="61" t="n"/>
      <c r="E401" s="74" t="n"/>
      <c r="F401" s="74" t="n"/>
      <c r="G401" s="73" t="n"/>
      <c r="H401" s="66" t="str">
        <f>IF(M401&lt;&gt;"OK","",INDEX(po_mo,MATCH(D401,po_code,0)))</f>
        <v/>
      </c>
      <c r="I401" s="66" t="str">
        <f>IF(M401&lt;&gt;"OK","",INDEX(po_mac,MATCH(D401,po_code,0)))</f>
        <v/>
      </c>
      <c r="J401" s="66" t="str">
        <f>IF(M401&lt;&gt;"OK","",N(E401)*(H401*IF(G401="",1,G401)+I401))</f>
        <v/>
      </c>
      <c r="K401" s="66" t="str">
        <f>IF(M401&lt;&gt;"OK","",N(F401)/60*H401*IF(G401="",1,G401))</f>
        <v/>
      </c>
      <c r="L401" s="66" t="str">
        <f>IF(M401&lt;&gt;"OK","",N(F401)/60*I401)</f>
        <v/>
      </c>
      <c r="M401" s="69" t="str">
        <f>IF(AND(A401="",D401=""),"",IF(A401="","Produit manquant",IF(COUNTIF(prod_ref,A401)=0,"Produit inconnu",IF(D401="","Poste manquant",IF(ISNA(MATCH(D401,po_code,0)),"Poste inconnu",IF(INDEX(po_check,MATCH(D401,po_code,0))&lt;&gt;"OK","Poste à corriger",IF(AND(E401&lt;&gt;"",OR(NOT(ISNUMBER(E401)),N(E401)&lt;0)),"Réglage invalide",IF(AND(F401&lt;&gt;"",OR(NOT(ISNUMBER(F401)),N(F401)&lt;0)),"Temps par pièce invalide",IF(N(E401)+N(F401)=0,"Temps manquant",IF(AND(G401&lt;&gt;"",OR(NOT(ISNUMBER(G401)),N(G401)&lt;=0)),"Opérateurs invalide","OK"))))))))))</f>
        <v/>
      </c>
      <c r="N401" s="71" t="str">
        <f>IF(AND(fiche_sel&lt;&gt;"",A401=fiche_sel),COUNTIF(A$6:A401,fiche_sel),"")</f>
        <v/>
      </c>
    </row>
    <row r="402">
      <c r="A402" s="60" t="n"/>
      <c r="B402" s="73" t="n"/>
      <c r="C402" s="60" t="n"/>
      <c r="D402" s="61" t="n"/>
      <c r="E402" s="74" t="n"/>
      <c r="F402" s="74" t="n"/>
      <c r="G402" s="73" t="n"/>
      <c r="H402" s="66" t="str">
        <f>IF(M402&lt;&gt;"OK","",INDEX(po_mo,MATCH(D402,po_code,0)))</f>
        <v/>
      </c>
      <c r="I402" s="66" t="str">
        <f>IF(M402&lt;&gt;"OK","",INDEX(po_mac,MATCH(D402,po_code,0)))</f>
        <v/>
      </c>
      <c r="J402" s="66" t="str">
        <f>IF(M402&lt;&gt;"OK","",N(E402)*(H402*IF(G402="",1,G402)+I402))</f>
        <v/>
      </c>
      <c r="K402" s="66" t="str">
        <f>IF(M402&lt;&gt;"OK","",N(F402)/60*H402*IF(G402="",1,G402))</f>
        <v/>
      </c>
      <c r="L402" s="66" t="str">
        <f>IF(M402&lt;&gt;"OK","",N(F402)/60*I402)</f>
        <v/>
      </c>
      <c r="M402" s="69" t="str">
        <f>IF(AND(A402="",D402=""),"",IF(A402="","Produit manquant",IF(COUNTIF(prod_ref,A402)=0,"Produit inconnu",IF(D402="","Poste manquant",IF(ISNA(MATCH(D402,po_code,0)),"Poste inconnu",IF(INDEX(po_check,MATCH(D402,po_code,0))&lt;&gt;"OK","Poste à corriger",IF(AND(E402&lt;&gt;"",OR(NOT(ISNUMBER(E402)),N(E402)&lt;0)),"Réglage invalide",IF(AND(F402&lt;&gt;"",OR(NOT(ISNUMBER(F402)),N(F402)&lt;0)),"Temps par pièce invalide",IF(N(E402)+N(F402)=0,"Temps manquant",IF(AND(G402&lt;&gt;"",OR(NOT(ISNUMBER(G402)),N(G402)&lt;=0)),"Opérateurs invalide","OK"))))))))))</f>
        <v/>
      </c>
      <c r="N402" s="71" t="str">
        <f>IF(AND(fiche_sel&lt;&gt;"",A402=fiche_sel),COUNTIF(A$6:A402,fiche_sel),"")</f>
        <v/>
      </c>
    </row>
    <row r="403">
      <c r="A403" s="60" t="n"/>
      <c r="B403" s="73" t="n"/>
      <c r="C403" s="60" t="n"/>
      <c r="D403" s="61" t="n"/>
      <c r="E403" s="74" t="n"/>
      <c r="F403" s="74" t="n"/>
      <c r="G403" s="73" t="n"/>
      <c r="H403" s="66" t="str">
        <f>IF(M403&lt;&gt;"OK","",INDEX(po_mo,MATCH(D403,po_code,0)))</f>
        <v/>
      </c>
      <c r="I403" s="66" t="str">
        <f>IF(M403&lt;&gt;"OK","",INDEX(po_mac,MATCH(D403,po_code,0)))</f>
        <v/>
      </c>
      <c r="J403" s="66" t="str">
        <f>IF(M403&lt;&gt;"OK","",N(E403)*(H403*IF(G403="",1,G403)+I403))</f>
        <v/>
      </c>
      <c r="K403" s="66" t="str">
        <f>IF(M403&lt;&gt;"OK","",N(F403)/60*H403*IF(G403="",1,G403))</f>
        <v/>
      </c>
      <c r="L403" s="66" t="str">
        <f>IF(M403&lt;&gt;"OK","",N(F403)/60*I403)</f>
        <v/>
      </c>
      <c r="M403" s="69" t="str">
        <f>IF(AND(A403="",D403=""),"",IF(A403="","Produit manquant",IF(COUNTIF(prod_ref,A403)=0,"Produit inconnu",IF(D403="","Poste manquant",IF(ISNA(MATCH(D403,po_code,0)),"Poste inconnu",IF(INDEX(po_check,MATCH(D403,po_code,0))&lt;&gt;"OK","Poste à corriger",IF(AND(E403&lt;&gt;"",OR(NOT(ISNUMBER(E403)),N(E403)&lt;0)),"Réglage invalide",IF(AND(F403&lt;&gt;"",OR(NOT(ISNUMBER(F403)),N(F403)&lt;0)),"Temps par pièce invalide",IF(N(E403)+N(F403)=0,"Temps manquant",IF(AND(G403&lt;&gt;"",OR(NOT(ISNUMBER(G403)),N(G403)&lt;=0)),"Opérateurs invalide","OK"))))))))))</f>
        <v/>
      </c>
      <c r="N403" s="71" t="str">
        <f>IF(AND(fiche_sel&lt;&gt;"",A403=fiche_sel),COUNTIF(A$6:A403,fiche_sel),"")</f>
        <v/>
      </c>
    </row>
    <row r="404">
      <c r="A404" s="60" t="n"/>
      <c r="B404" s="73" t="n"/>
      <c r="C404" s="60" t="n"/>
      <c r="D404" s="61" t="n"/>
      <c r="E404" s="74" t="n"/>
      <c r="F404" s="74" t="n"/>
      <c r="G404" s="73" t="n"/>
      <c r="H404" s="66" t="str">
        <f>IF(M404&lt;&gt;"OK","",INDEX(po_mo,MATCH(D404,po_code,0)))</f>
        <v/>
      </c>
      <c r="I404" s="66" t="str">
        <f>IF(M404&lt;&gt;"OK","",INDEX(po_mac,MATCH(D404,po_code,0)))</f>
        <v/>
      </c>
      <c r="J404" s="66" t="str">
        <f>IF(M404&lt;&gt;"OK","",N(E404)*(H404*IF(G404="",1,G404)+I404))</f>
        <v/>
      </c>
      <c r="K404" s="66" t="str">
        <f>IF(M404&lt;&gt;"OK","",N(F404)/60*H404*IF(G404="",1,G404))</f>
        <v/>
      </c>
      <c r="L404" s="66" t="str">
        <f>IF(M404&lt;&gt;"OK","",N(F404)/60*I404)</f>
        <v/>
      </c>
      <c r="M404" s="69" t="str">
        <f>IF(AND(A404="",D404=""),"",IF(A404="","Produit manquant",IF(COUNTIF(prod_ref,A404)=0,"Produit inconnu",IF(D404="","Poste manquant",IF(ISNA(MATCH(D404,po_code,0)),"Poste inconnu",IF(INDEX(po_check,MATCH(D404,po_code,0))&lt;&gt;"OK","Poste à corriger",IF(AND(E404&lt;&gt;"",OR(NOT(ISNUMBER(E404)),N(E404)&lt;0)),"Réglage invalide",IF(AND(F404&lt;&gt;"",OR(NOT(ISNUMBER(F404)),N(F404)&lt;0)),"Temps par pièce invalide",IF(N(E404)+N(F404)=0,"Temps manquant",IF(AND(G404&lt;&gt;"",OR(NOT(ISNUMBER(G404)),N(G404)&lt;=0)),"Opérateurs invalide","OK"))))))))))</f>
        <v/>
      </c>
      <c r="N404" s="71" t="str">
        <f>IF(AND(fiche_sel&lt;&gt;"",A404=fiche_sel),COUNTIF(A$6:A404,fiche_sel),"")</f>
        <v/>
      </c>
    </row>
    <row r="405">
      <c r="A405" s="60" t="n"/>
      <c r="B405" s="73" t="n"/>
      <c r="C405" s="60" t="n"/>
      <c r="D405" s="61" t="n"/>
      <c r="E405" s="74" t="n"/>
      <c r="F405" s="74" t="n"/>
      <c r="G405" s="73" t="n"/>
      <c r="H405" s="66" t="str">
        <f>IF(M405&lt;&gt;"OK","",INDEX(po_mo,MATCH(D405,po_code,0)))</f>
        <v/>
      </c>
      <c r="I405" s="66" t="str">
        <f>IF(M405&lt;&gt;"OK","",INDEX(po_mac,MATCH(D405,po_code,0)))</f>
        <v/>
      </c>
      <c r="J405" s="66" t="str">
        <f>IF(M405&lt;&gt;"OK","",N(E405)*(H405*IF(G405="",1,G405)+I405))</f>
        <v/>
      </c>
      <c r="K405" s="66" t="str">
        <f>IF(M405&lt;&gt;"OK","",N(F405)/60*H405*IF(G405="",1,G405))</f>
        <v/>
      </c>
      <c r="L405" s="66" t="str">
        <f>IF(M405&lt;&gt;"OK","",N(F405)/60*I405)</f>
        <v/>
      </c>
      <c r="M405" s="69" t="str">
        <f>IF(AND(A405="",D405=""),"",IF(A405="","Produit manquant",IF(COUNTIF(prod_ref,A405)=0,"Produit inconnu",IF(D405="","Poste manquant",IF(ISNA(MATCH(D405,po_code,0)),"Poste inconnu",IF(INDEX(po_check,MATCH(D405,po_code,0))&lt;&gt;"OK","Poste à corriger",IF(AND(E405&lt;&gt;"",OR(NOT(ISNUMBER(E405)),N(E405)&lt;0)),"Réglage invalide",IF(AND(F405&lt;&gt;"",OR(NOT(ISNUMBER(F405)),N(F405)&lt;0)),"Temps par pièce invalide",IF(N(E405)+N(F405)=0,"Temps manquant",IF(AND(G405&lt;&gt;"",OR(NOT(ISNUMBER(G405)),N(G405)&lt;=0)),"Opérateurs invalide","OK"))))))))))</f>
        <v/>
      </c>
      <c r="N405" s="71" t="str">
        <f>IF(AND(fiche_sel&lt;&gt;"",A405=fiche_sel),COUNTIF(A$6:A405,fiche_sel),"")</f>
        <v/>
      </c>
    </row>
    <row r="406">
      <c r="A406" s="60" t="n"/>
      <c r="B406" s="73" t="n"/>
      <c r="C406" s="60" t="n"/>
      <c r="D406" s="61" t="n"/>
      <c r="E406" s="74" t="n"/>
      <c r="F406" s="74" t="n"/>
      <c r="G406" s="73" t="n"/>
      <c r="H406" s="66" t="str">
        <f>IF(M406&lt;&gt;"OK","",INDEX(po_mo,MATCH(D406,po_code,0)))</f>
        <v/>
      </c>
      <c r="I406" s="66" t="str">
        <f>IF(M406&lt;&gt;"OK","",INDEX(po_mac,MATCH(D406,po_code,0)))</f>
        <v/>
      </c>
      <c r="J406" s="66" t="str">
        <f>IF(M406&lt;&gt;"OK","",N(E406)*(H406*IF(G406="",1,G406)+I406))</f>
        <v/>
      </c>
      <c r="K406" s="66" t="str">
        <f>IF(M406&lt;&gt;"OK","",N(F406)/60*H406*IF(G406="",1,G406))</f>
        <v/>
      </c>
      <c r="L406" s="66" t="str">
        <f>IF(M406&lt;&gt;"OK","",N(F406)/60*I406)</f>
        <v/>
      </c>
      <c r="M406" s="69" t="str">
        <f>IF(AND(A406="",D406=""),"",IF(A406="","Produit manquant",IF(COUNTIF(prod_ref,A406)=0,"Produit inconnu",IF(D406="","Poste manquant",IF(ISNA(MATCH(D406,po_code,0)),"Poste inconnu",IF(INDEX(po_check,MATCH(D406,po_code,0))&lt;&gt;"OK","Poste à corriger",IF(AND(E406&lt;&gt;"",OR(NOT(ISNUMBER(E406)),N(E406)&lt;0)),"Réglage invalide",IF(AND(F406&lt;&gt;"",OR(NOT(ISNUMBER(F406)),N(F406)&lt;0)),"Temps par pièce invalide",IF(N(E406)+N(F406)=0,"Temps manquant",IF(AND(G406&lt;&gt;"",OR(NOT(ISNUMBER(G406)),N(G406)&lt;=0)),"Opérateurs invalide","OK"))))))))))</f>
        <v/>
      </c>
      <c r="N406" s="71" t="str">
        <f>IF(AND(fiche_sel&lt;&gt;"",A406=fiche_sel),COUNTIF(A$6:A406,fiche_sel),"")</f>
        <v/>
      </c>
    </row>
    <row r="407">
      <c r="A407" s="60" t="n"/>
      <c r="B407" s="73" t="n"/>
      <c r="C407" s="60" t="n"/>
      <c r="D407" s="61" t="n"/>
      <c r="E407" s="74" t="n"/>
      <c r="F407" s="74" t="n"/>
      <c r="G407" s="73" t="n"/>
      <c r="H407" s="66" t="str">
        <f>IF(M407&lt;&gt;"OK","",INDEX(po_mo,MATCH(D407,po_code,0)))</f>
        <v/>
      </c>
      <c r="I407" s="66" t="str">
        <f>IF(M407&lt;&gt;"OK","",INDEX(po_mac,MATCH(D407,po_code,0)))</f>
        <v/>
      </c>
      <c r="J407" s="66" t="str">
        <f>IF(M407&lt;&gt;"OK","",N(E407)*(H407*IF(G407="",1,G407)+I407))</f>
        <v/>
      </c>
      <c r="K407" s="66" t="str">
        <f>IF(M407&lt;&gt;"OK","",N(F407)/60*H407*IF(G407="",1,G407))</f>
        <v/>
      </c>
      <c r="L407" s="66" t="str">
        <f>IF(M407&lt;&gt;"OK","",N(F407)/60*I407)</f>
        <v/>
      </c>
      <c r="M407" s="69" t="str">
        <f>IF(AND(A407="",D407=""),"",IF(A407="","Produit manquant",IF(COUNTIF(prod_ref,A407)=0,"Produit inconnu",IF(D407="","Poste manquant",IF(ISNA(MATCH(D407,po_code,0)),"Poste inconnu",IF(INDEX(po_check,MATCH(D407,po_code,0))&lt;&gt;"OK","Poste à corriger",IF(AND(E407&lt;&gt;"",OR(NOT(ISNUMBER(E407)),N(E407)&lt;0)),"Réglage invalide",IF(AND(F407&lt;&gt;"",OR(NOT(ISNUMBER(F407)),N(F407)&lt;0)),"Temps par pièce invalide",IF(N(E407)+N(F407)=0,"Temps manquant",IF(AND(G407&lt;&gt;"",OR(NOT(ISNUMBER(G407)),N(G407)&lt;=0)),"Opérateurs invalide","OK"))))))))))</f>
        <v/>
      </c>
      <c r="N407" s="71" t="str">
        <f>IF(AND(fiche_sel&lt;&gt;"",A407=fiche_sel),COUNTIF(A$6:A407,fiche_sel),"")</f>
        <v/>
      </c>
    </row>
    <row r="408">
      <c r="A408" s="60" t="n"/>
      <c r="B408" s="73" t="n"/>
      <c r="C408" s="60" t="n"/>
      <c r="D408" s="61" t="n"/>
      <c r="E408" s="74" t="n"/>
      <c r="F408" s="74" t="n"/>
      <c r="G408" s="73" t="n"/>
      <c r="H408" s="66" t="str">
        <f>IF(M408&lt;&gt;"OK","",INDEX(po_mo,MATCH(D408,po_code,0)))</f>
        <v/>
      </c>
      <c r="I408" s="66" t="str">
        <f>IF(M408&lt;&gt;"OK","",INDEX(po_mac,MATCH(D408,po_code,0)))</f>
        <v/>
      </c>
      <c r="J408" s="66" t="str">
        <f>IF(M408&lt;&gt;"OK","",N(E408)*(H408*IF(G408="",1,G408)+I408))</f>
        <v/>
      </c>
      <c r="K408" s="66" t="str">
        <f>IF(M408&lt;&gt;"OK","",N(F408)/60*H408*IF(G408="",1,G408))</f>
        <v/>
      </c>
      <c r="L408" s="66" t="str">
        <f>IF(M408&lt;&gt;"OK","",N(F408)/60*I408)</f>
        <v/>
      </c>
      <c r="M408" s="69" t="str">
        <f>IF(AND(A408="",D408=""),"",IF(A408="","Produit manquant",IF(COUNTIF(prod_ref,A408)=0,"Produit inconnu",IF(D408="","Poste manquant",IF(ISNA(MATCH(D408,po_code,0)),"Poste inconnu",IF(INDEX(po_check,MATCH(D408,po_code,0))&lt;&gt;"OK","Poste à corriger",IF(AND(E408&lt;&gt;"",OR(NOT(ISNUMBER(E408)),N(E408)&lt;0)),"Réglage invalide",IF(AND(F408&lt;&gt;"",OR(NOT(ISNUMBER(F408)),N(F408)&lt;0)),"Temps par pièce invalide",IF(N(E408)+N(F408)=0,"Temps manquant",IF(AND(G408&lt;&gt;"",OR(NOT(ISNUMBER(G408)),N(G408)&lt;=0)),"Opérateurs invalide","OK"))))))))))</f>
        <v/>
      </c>
      <c r="N408" s="71" t="str">
        <f>IF(AND(fiche_sel&lt;&gt;"",A408=fiche_sel),COUNTIF(A$6:A408,fiche_sel),"")</f>
        <v/>
      </c>
    </row>
    <row r="409">
      <c r="A409" s="60" t="n"/>
      <c r="B409" s="73" t="n"/>
      <c r="C409" s="60" t="n"/>
      <c r="D409" s="61" t="n"/>
      <c r="E409" s="74" t="n"/>
      <c r="F409" s="74" t="n"/>
      <c r="G409" s="73" t="n"/>
      <c r="H409" s="66" t="str">
        <f>IF(M409&lt;&gt;"OK","",INDEX(po_mo,MATCH(D409,po_code,0)))</f>
        <v/>
      </c>
      <c r="I409" s="66" t="str">
        <f>IF(M409&lt;&gt;"OK","",INDEX(po_mac,MATCH(D409,po_code,0)))</f>
        <v/>
      </c>
      <c r="J409" s="66" t="str">
        <f>IF(M409&lt;&gt;"OK","",N(E409)*(H409*IF(G409="",1,G409)+I409))</f>
        <v/>
      </c>
      <c r="K409" s="66" t="str">
        <f>IF(M409&lt;&gt;"OK","",N(F409)/60*H409*IF(G409="",1,G409))</f>
        <v/>
      </c>
      <c r="L409" s="66" t="str">
        <f>IF(M409&lt;&gt;"OK","",N(F409)/60*I409)</f>
        <v/>
      </c>
      <c r="M409" s="69" t="str">
        <f>IF(AND(A409="",D409=""),"",IF(A409="","Produit manquant",IF(COUNTIF(prod_ref,A409)=0,"Produit inconnu",IF(D409="","Poste manquant",IF(ISNA(MATCH(D409,po_code,0)),"Poste inconnu",IF(INDEX(po_check,MATCH(D409,po_code,0))&lt;&gt;"OK","Poste à corriger",IF(AND(E409&lt;&gt;"",OR(NOT(ISNUMBER(E409)),N(E409)&lt;0)),"Réglage invalide",IF(AND(F409&lt;&gt;"",OR(NOT(ISNUMBER(F409)),N(F409)&lt;0)),"Temps par pièce invalide",IF(N(E409)+N(F409)=0,"Temps manquant",IF(AND(G409&lt;&gt;"",OR(NOT(ISNUMBER(G409)),N(G409)&lt;=0)),"Opérateurs invalide","OK"))))))))))</f>
        <v/>
      </c>
      <c r="N409" s="71" t="str">
        <f>IF(AND(fiche_sel&lt;&gt;"",A409=fiche_sel),COUNTIF(A$6:A409,fiche_sel),"")</f>
        <v/>
      </c>
    </row>
    <row r="410">
      <c r="A410" s="60" t="n"/>
      <c r="B410" s="73" t="n"/>
      <c r="C410" s="60" t="n"/>
      <c r="D410" s="61" t="n"/>
      <c r="E410" s="74" t="n"/>
      <c r="F410" s="74" t="n"/>
      <c r="G410" s="73" t="n"/>
      <c r="H410" s="66" t="str">
        <f>IF(M410&lt;&gt;"OK","",INDEX(po_mo,MATCH(D410,po_code,0)))</f>
        <v/>
      </c>
      <c r="I410" s="66" t="str">
        <f>IF(M410&lt;&gt;"OK","",INDEX(po_mac,MATCH(D410,po_code,0)))</f>
        <v/>
      </c>
      <c r="J410" s="66" t="str">
        <f>IF(M410&lt;&gt;"OK","",N(E410)*(H410*IF(G410="",1,G410)+I410))</f>
        <v/>
      </c>
      <c r="K410" s="66" t="str">
        <f>IF(M410&lt;&gt;"OK","",N(F410)/60*H410*IF(G410="",1,G410))</f>
        <v/>
      </c>
      <c r="L410" s="66" t="str">
        <f>IF(M410&lt;&gt;"OK","",N(F410)/60*I410)</f>
        <v/>
      </c>
      <c r="M410" s="69" t="str">
        <f>IF(AND(A410="",D410=""),"",IF(A410="","Produit manquant",IF(COUNTIF(prod_ref,A410)=0,"Produit inconnu",IF(D410="","Poste manquant",IF(ISNA(MATCH(D410,po_code,0)),"Poste inconnu",IF(INDEX(po_check,MATCH(D410,po_code,0))&lt;&gt;"OK","Poste à corriger",IF(AND(E410&lt;&gt;"",OR(NOT(ISNUMBER(E410)),N(E410)&lt;0)),"Réglage invalide",IF(AND(F410&lt;&gt;"",OR(NOT(ISNUMBER(F410)),N(F410)&lt;0)),"Temps par pièce invalide",IF(N(E410)+N(F410)=0,"Temps manquant",IF(AND(G410&lt;&gt;"",OR(NOT(ISNUMBER(G410)),N(G410)&lt;=0)),"Opérateurs invalide","OK"))))))))))</f>
        <v/>
      </c>
      <c r="N410" s="71" t="str">
        <f>IF(AND(fiche_sel&lt;&gt;"",A410=fiche_sel),COUNTIF(A$6:A410,fiche_sel),"")</f>
        <v/>
      </c>
    </row>
    <row r="411">
      <c r="A411" s="60" t="n"/>
      <c r="B411" s="73" t="n"/>
      <c r="C411" s="60" t="n"/>
      <c r="D411" s="61" t="n"/>
      <c r="E411" s="74" t="n"/>
      <c r="F411" s="74" t="n"/>
      <c r="G411" s="73" t="n"/>
      <c r="H411" s="66" t="str">
        <f>IF(M411&lt;&gt;"OK","",INDEX(po_mo,MATCH(D411,po_code,0)))</f>
        <v/>
      </c>
      <c r="I411" s="66" t="str">
        <f>IF(M411&lt;&gt;"OK","",INDEX(po_mac,MATCH(D411,po_code,0)))</f>
        <v/>
      </c>
      <c r="J411" s="66" t="str">
        <f>IF(M411&lt;&gt;"OK","",N(E411)*(H411*IF(G411="",1,G411)+I411))</f>
        <v/>
      </c>
      <c r="K411" s="66" t="str">
        <f>IF(M411&lt;&gt;"OK","",N(F411)/60*H411*IF(G411="",1,G411))</f>
        <v/>
      </c>
      <c r="L411" s="66" t="str">
        <f>IF(M411&lt;&gt;"OK","",N(F411)/60*I411)</f>
        <v/>
      </c>
      <c r="M411" s="69" t="str">
        <f>IF(AND(A411="",D411=""),"",IF(A411="","Produit manquant",IF(COUNTIF(prod_ref,A411)=0,"Produit inconnu",IF(D411="","Poste manquant",IF(ISNA(MATCH(D411,po_code,0)),"Poste inconnu",IF(INDEX(po_check,MATCH(D411,po_code,0))&lt;&gt;"OK","Poste à corriger",IF(AND(E411&lt;&gt;"",OR(NOT(ISNUMBER(E411)),N(E411)&lt;0)),"Réglage invalide",IF(AND(F411&lt;&gt;"",OR(NOT(ISNUMBER(F411)),N(F411)&lt;0)),"Temps par pièce invalide",IF(N(E411)+N(F411)=0,"Temps manquant",IF(AND(G411&lt;&gt;"",OR(NOT(ISNUMBER(G411)),N(G411)&lt;=0)),"Opérateurs invalide","OK"))))))))))</f>
        <v/>
      </c>
      <c r="N411" s="71" t="str">
        <f>IF(AND(fiche_sel&lt;&gt;"",A411=fiche_sel),COUNTIF(A$6:A411,fiche_sel),"")</f>
        <v/>
      </c>
    </row>
    <row r="412">
      <c r="A412" s="60" t="n"/>
      <c r="B412" s="73" t="n"/>
      <c r="C412" s="60" t="n"/>
      <c r="D412" s="61" t="n"/>
      <c r="E412" s="74" t="n"/>
      <c r="F412" s="74" t="n"/>
      <c r="G412" s="73" t="n"/>
      <c r="H412" s="66" t="str">
        <f>IF(M412&lt;&gt;"OK","",INDEX(po_mo,MATCH(D412,po_code,0)))</f>
        <v/>
      </c>
      <c r="I412" s="66" t="str">
        <f>IF(M412&lt;&gt;"OK","",INDEX(po_mac,MATCH(D412,po_code,0)))</f>
        <v/>
      </c>
      <c r="J412" s="66" t="str">
        <f>IF(M412&lt;&gt;"OK","",N(E412)*(H412*IF(G412="",1,G412)+I412))</f>
        <v/>
      </c>
      <c r="K412" s="66" t="str">
        <f>IF(M412&lt;&gt;"OK","",N(F412)/60*H412*IF(G412="",1,G412))</f>
        <v/>
      </c>
      <c r="L412" s="66" t="str">
        <f>IF(M412&lt;&gt;"OK","",N(F412)/60*I412)</f>
        <v/>
      </c>
      <c r="M412" s="69" t="str">
        <f>IF(AND(A412="",D412=""),"",IF(A412="","Produit manquant",IF(COUNTIF(prod_ref,A412)=0,"Produit inconnu",IF(D412="","Poste manquant",IF(ISNA(MATCH(D412,po_code,0)),"Poste inconnu",IF(INDEX(po_check,MATCH(D412,po_code,0))&lt;&gt;"OK","Poste à corriger",IF(AND(E412&lt;&gt;"",OR(NOT(ISNUMBER(E412)),N(E412)&lt;0)),"Réglage invalide",IF(AND(F412&lt;&gt;"",OR(NOT(ISNUMBER(F412)),N(F412)&lt;0)),"Temps par pièce invalide",IF(N(E412)+N(F412)=0,"Temps manquant",IF(AND(G412&lt;&gt;"",OR(NOT(ISNUMBER(G412)),N(G412)&lt;=0)),"Opérateurs invalide","OK"))))))))))</f>
        <v/>
      </c>
      <c r="N412" s="71" t="str">
        <f>IF(AND(fiche_sel&lt;&gt;"",A412=fiche_sel),COUNTIF(A$6:A412,fiche_sel),"")</f>
        <v/>
      </c>
    </row>
    <row r="413">
      <c r="A413" s="60" t="n"/>
      <c r="B413" s="73" t="n"/>
      <c r="C413" s="60" t="n"/>
      <c r="D413" s="61" t="n"/>
      <c r="E413" s="74" t="n"/>
      <c r="F413" s="74" t="n"/>
      <c r="G413" s="73" t="n"/>
      <c r="H413" s="66" t="str">
        <f>IF(M413&lt;&gt;"OK","",INDEX(po_mo,MATCH(D413,po_code,0)))</f>
        <v/>
      </c>
      <c r="I413" s="66" t="str">
        <f>IF(M413&lt;&gt;"OK","",INDEX(po_mac,MATCH(D413,po_code,0)))</f>
        <v/>
      </c>
      <c r="J413" s="66" t="str">
        <f>IF(M413&lt;&gt;"OK","",N(E413)*(H413*IF(G413="",1,G413)+I413))</f>
        <v/>
      </c>
      <c r="K413" s="66" t="str">
        <f>IF(M413&lt;&gt;"OK","",N(F413)/60*H413*IF(G413="",1,G413))</f>
        <v/>
      </c>
      <c r="L413" s="66" t="str">
        <f>IF(M413&lt;&gt;"OK","",N(F413)/60*I413)</f>
        <v/>
      </c>
      <c r="M413" s="69" t="str">
        <f>IF(AND(A413="",D413=""),"",IF(A413="","Produit manquant",IF(COUNTIF(prod_ref,A413)=0,"Produit inconnu",IF(D413="","Poste manquant",IF(ISNA(MATCH(D413,po_code,0)),"Poste inconnu",IF(INDEX(po_check,MATCH(D413,po_code,0))&lt;&gt;"OK","Poste à corriger",IF(AND(E413&lt;&gt;"",OR(NOT(ISNUMBER(E413)),N(E413)&lt;0)),"Réglage invalide",IF(AND(F413&lt;&gt;"",OR(NOT(ISNUMBER(F413)),N(F413)&lt;0)),"Temps par pièce invalide",IF(N(E413)+N(F413)=0,"Temps manquant",IF(AND(G413&lt;&gt;"",OR(NOT(ISNUMBER(G413)),N(G413)&lt;=0)),"Opérateurs invalide","OK"))))))))))</f>
        <v/>
      </c>
      <c r="N413" s="71" t="str">
        <f>IF(AND(fiche_sel&lt;&gt;"",A413=fiche_sel),COUNTIF(A$6:A413,fiche_sel),"")</f>
        <v/>
      </c>
    </row>
    <row r="414">
      <c r="A414" s="60" t="n"/>
      <c r="B414" s="73" t="n"/>
      <c r="C414" s="60" t="n"/>
      <c r="D414" s="61" t="n"/>
      <c r="E414" s="74" t="n"/>
      <c r="F414" s="74" t="n"/>
      <c r="G414" s="73" t="n"/>
      <c r="H414" s="66" t="str">
        <f>IF(M414&lt;&gt;"OK","",INDEX(po_mo,MATCH(D414,po_code,0)))</f>
        <v/>
      </c>
      <c r="I414" s="66" t="str">
        <f>IF(M414&lt;&gt;"OK","",INDEX(po_mac,MATCH(D414,po_code,0)))</f>
        <v/>
      </c>
      <c r="J414" s="66" t="str">
        <f>IF(M414&lt;&gt;"OK","",N(E414)*(H414*IF(G414="",1,G414)+I414))</f>
        <v/>
      </c>
      <c r="K414" s="66" t="str">
        <f>IF(M414&lt;&gt;"OK","",N(F414)/60*H414*IF(G414="",1,G414))</f>
        <v/>
      </c>
      <c r="L414" s="66" t="str">
        <f>IF(M414&lt;&gt;"OK","",N(F414)/60*I414)</f>
        <v/>
      </c>
      <c r="M414" s="69" t="str">
        <f>IF(AND(A414="",D414=""),"",IF(A414="","Produit manquant",IF(COUNTIF(prod_ref,A414)=0,"Produit inconnu",IF(D414="","Poste manquant",IF(ISNA(MATCH(D414,po_code,0)),"Poste inconnu",IF(INDEX(po_check,MATCH(D414,po_code,0))&lt;&gt;"OK","Poste à corriger",IF(AND(E414&lt;&gt;"",OR(NOT(ISNUMBER(E414)),N(E414)&lt;0)),"Réglage invalide",IF(AND(F414&lt;&gt;"",OR(NOT(ISNUMBER(F414)),N(F414)&lt;0)),"Temps par pièce invalide",IF(N(E414)+N(F414)=0,"Temps manquant",IF(AND(G414&lt;&gt;"",OR(NOT(ISNUMBER(G414)),N(G414)&lt;=0)),"Opérateurs invalide","OK"))))))))))</f>
        <v/>
      </c>
      <c r="N414" s="71" t="str">
        <f>IF(AND(fiche_sel&lt;&gt;"",A414=fiche_sel),COUNTIF(A$6:A414,fiche_sel),"")</f>
        <v/>
      </c>
    </row>
    <row r="415">
      <c r="A415" s="60" t="n"/>
      <c r="B415" s="73" t="n"/>
      <c r="C415" s="60" t="n"/>
      <c r="D415" s="61" t="n"/>
      <c r="E415" s="74" t="n"/>
      <c r="F415" s="74" t="n"/>
      <c r="G415" s="73" t="n"/>
      <c r="H415" s="66" t="str">
        <f>IF(M415&lt;&gt;"OK","",INDEX(po_mo,MATCH(D415,po_code,0)))</f>
        <v/>
      </c>
      <c r="I415" s="66" t="str">
        <f>IF(M415&lt;&gt;"OK","",INDEX(po_mac,MATCH(D415,po_code,0)))</f>
        <v/>
      </c>
      <c r="J415" s="66" t="str">
        <f>IF(M415&lt;&gt;"OK","",N(E415)*(H415*IF(G415="",1,G415)+I415))</f>
        <v/>
      </c>
      <c r="K415" s="66" t="str">
        <f>IF(M415&lt;&gt;"OK","",N(F415)/60*H415*IF(G415="",1,G415))</f>
        <v/>
      </c>
      <c r="L415" s="66" t="str">
        <f>IF(M415&lt;&gt;"OK","",N(F415)/60*I415)</f>
        <v/>
      </c>
      <c r="M415" s="69" t="str">
        <f>IF(AND(A415="",D415=""),"",IF(A415="","Produit manquant",IF(COUNTIF(prod_ref,A415)=0,"Produit inconnu",IF(D415="","Poste manquant",IF(ISNA(MATCH(D415,po_code,0)),"Poste inconnu",IF(INDEX(po_check,MATCH(D415,po_code,0))&lt;&gt;"OK","Poste à corriger",IF(AND(E415&lt;&gt;"",OR(NOT(ISNUMBER(E415)),N(E415)&lt;0)),"Réglage invalide",IF(AND(F415&lt;&gt;"",OR(NOT(ISNUMBER(F415)),N(F415)&lt;0)),"Temps par pièce invalide",IF(N(E415)+N(F415)=0,"Temps manquant",IF(AND(G415&lt;&gt;"",OR(NOT(ISNUMBER(G415)),N(G415)&lt;=0)),"Opérateurs invalide","OK"))))))))))</f>
        <v/>
      </c>
      <c r="N415" s="71" t="str">
        <f>IF(AND(fiche_sel&lt;&gt;"",A415=fiche_sel),COUNTIF(A$6:A415,fiche_sel),"")</f>
        <v/>
      </c>
    </row>
    <row r="416">
      <c r="A416" s="60" t="n"/>
      <c r="B416" s="73" t="n"/>
      <c r="C416" s="60" t="n"/>
      <c r="D416" s="61" t="n"/>
      <c r="E416" s="74" t="n"/>
      <c r="F416" s="74" t="n"/>
      <c r="G416" s="73" t="n"/>
      <c r="H416" s="66" t="str">
        <f>IF(M416&lt;&gt;"OK","",INDEX(po_mo,MATCH(D416,po_code,0)))</f>
        <v/>
      </c>
      <c r="I416" s="66" t="str">
        <f>IF(M416&lt;&gt;"OK","",INDEX(po_mac,MATCH(D416,po_code,0)))</f>
        <v/>
      </c>
      <c r="J416" s="66" t="str">
        <f>IF(M416&lt;&gt;"OK","",N(E416)*(H416*IF(G416="",1,G416)+I416))</f>
        <v/>
      </c>
      <c r="K416" s="66" t="str">
        <f>IF(M416&lt;&gt;"OK","",N(F416)/60*H416*IF(G416="",1,G416))</f>
        <v/>
      </c>
      <c r="L416" s="66" t="str">
        <f>IF(M416&lt;&gt;"OK","",N(F416)/60*I416)</f>
        <v/>
      </c>
      <c r="M416" s="69" t="str">
        <f>IF(AND(A416="",D416=""),"",IF(A416="","Produit manquant",IF(COUNTIF(prod_ref,A416)=0,"Produit inconnu",IF(D416="","Poste manquant",IF(ISNA(MATCH(D416,po_code,0)),"Poste inconnu",IF(INDEX(po_check,MATCH(D416,po_code,0))&lt;&gt;"OK","Poste à corriger",IF(AND(E416&lt;&gt;"",OR(NOT(ISNUMBER(E416)),N(E416)&lt;0)),"Réglage invalide",IF(AND(F416&lt;&gt;"",OR(NOT(ISNUMBER(F416)),N(F416)&lt;0)),"Temps par pièce invalide",IF(N(E416)+N(F416)=0,"Temps manquant",IF(AND(G416&lt;&gt;"",OR(NOT(ISNUMBER(G416)),N(G416)&lt;=0)),"Opérateurs invalide","OK"))))))))))</f>
        <v/>
      </c>
      <c r="N416" s="71" t="str">
        <f>IF(AND(fiche_sel&lt;&gt;"",A416=fiche_sel),COUNTIF(A$6:A416,fiche_sel),"")</f>
        <v/>
      </c>
    </row>
    <row r="417">
      <c r="A417" s="60" t="n"/>
      <c r="B417" s="73" t="n"/>
      <c r="C417" s="60" t="n"/>
      <c r="D417" s="61" t="n"/>
      <c r="E417" s="74" t="n"/>
      <c r="F417" s="74" t="n"/>
      <c r="G417" s="73" t="n"/>
      <c r="H417" s="66" t="str">
        <f>IF(M417&lt;&gt;"OK","",INDEX(po_mo,MATCH(D417,po_code,0)))</f>
        <v/>
      </c>
      <c r="I417" s="66" t="str">
        <f>IF(M417&lt;&gt;"OK","",INDEX(po_mac,MATCH(D417,po_code,0)))</f>
        <v/>
      </c>
      <c r="J417" s="66" t="str">
        <f>IF(M417&lt;&gt;"OK","",N(E417)*(H417*IF(G417="",1,G417)+I417))</f>
        <v/>
      </c>
      <c r="K417" s="66" t="str">
        <f>IF(M417&lt;&gt;"OK","",N(F417)/60*H417*IF(G417="",1,G417))</f>
        <v/>
      </c>
      <c r="L417" s="66" t="str">
        <f>IF(M417&lt;&gt;"OK","",N(F417)/60*I417)</f>
        <v/>
      </c>
      <c r="M417" s="69" t="str">
        <f>IF(AND(A417="",D417=""),"",IF(A417="","Produit manquant",IF(COUNTIF(prod_ref,A417)=0,"Produit inconnu",IF(D417="","Poste manquant",IF(ISNA(MATCH(D417,po_code,0)),"Poste inconnu",IF(INDEX(po_check,MATCH(D417,po_code,0))&lt;&gt;"OK","Poste à corriger",IF(AND(E417&lt;&gt;"",OR(NOT(ISNUMBER(E417)),N(E417)&lt;0)),"Réglage invalide",IF(AND(F417&lt;&gt;"",OR(NOT(ISNUMBER(F417)),N(F417)&lt;0)),"Temps par pièce invalide",IF(N(E417)+N(F417)=0,"Temps manquant",IF(AND(G417&lt;&gt;"",OR(NOT(ISNUMBER(G417)),N(G417)&lt;=0)),"Opérateurs invalide","OK"))))))))))</f>
        <v/>
      </c>
      <c r="N417" s="71" t="str">
        <f>IF(AND(fiche_sel&lt;&gt;"",A417=fiche_sel),COUNTIF(A$6:A417,fiche_sel),"")</f>
        <v/>
      </c>
    </row>
    <row r="418">
      <c r="A418" s="60" t="n"/>
      <c r="B418" s="73" t="n"/>
      <c r="C418" s="60" t="n"/>
      <c r="D418" s="61" t="n"/>
      <c r="E418" s="74" t="n"/>
      <c r="F418" s="74" t="n"/>
      <c r="G418" s="73" t="n"/>
      <c r="H418" s="66" t="str">
        <f>IF(M418&lt;&gt;"OK","",INDEX(po_mo,MATCH(D418,po_code,0)))</f>
        <v/>
      </c>
      <c r="I418" s="66" t="str">
        <f>IF(M418&lt;&gt;"OK","",INDEX(po_mac,MATCH(D418,po_code,0)))</f>
        <v/>
      </c>
      <c r="J418" s="66" t="str">
        <f>IF(M418&lt;&gt;"OK","",N(E418)*(H418*IF(G418="",1,G418)+I418))</f>
        <v/>
      </c>
      <c r="K418" s="66" t="str">
        <f>IF(M418&lt;&gt;"OK","",N(F418)/60*H418*IF(G418="",1,G418))</f>
        <v/>
      </c>
      <c r="L418" s="66" t="str">
        <f>IF(M418&lt;&gt;"OK","",N(F418)/60*I418)</f>
        <v/>
      </c>
      <c r="M418" s="69" t="str">
        <f>IF(AND(A418="",D418=""),"",IF(A418="","Produit manquant",IF(COUNTIF(prod_ref,A418)=0,"Produit inconnu",IF(D418="","Poste manquant",IF(ISNA(MATCH(D418,po_code,0)),"Poste inconnu",IF(INDEX(po_check,MATCH(D418,po_code,0))&lt;&gt;"OK","Poste à corriger",IF(AND(E418&lt;&gt;"",OR(NOT(ISNUMBER(E418)),N(E418)&lt;0)),"Réglage invalide",IF(AND(F418&lt;&gt;"",OR(NOT(ISNUMBER(F418)),N(F418)&lt;0)),"Temps par pièce invalide",IF(N(E418)+N(F418)=0,"Temps manquant",IF(AND(G418&lt;&gt;"",OR(NOT(ISNUMBER(G418)),N(G418)&lt;=0)),"Opérateurs invalide","OK"))))))))))</f>
        <v/>
      </c>
      <c r="N418" s="71" t="str">
        <f>IF(AND(fiche_sel&lt;&gt;"",A418=fiche_sel),COUNTIF(A$6:A418,fiche_sel),"")</f>
        <v/>
      </c>
    </row>
    <row r="419">
      <c r="A419" s="60" t="n"/>
      <c r="B419" s="73" t="n"/>
      <c r="C419" s="60" t="n"/>
      <c r="D419" s="61" t="n"/>
      <c r="E419" s="74" t="n"/>
      <c r="F419" s="74" t="n"/>
      <c r="G419" s="73" t="n"/>
      <c r="H419" s="66" t="str">
        <f>IF(M419&lt;&gt;"OK","",INDEX(po_mo,MATCH(D419,po_code,0)))</f>
        <v/>
      </c>
      <c r="I419" s="66" t="str">
        <f>IF(M419&lt;&gt;"OK","",INDEX(po_mac,MATCH(D419,po_code,0)))</f>
        <v/>
      </c>
      <c r="J419" s="66" t="str">
        <f>IF(M419&lt;&gt;"OK","",N(E419)*(H419*IF(G419="",1,G419)+I419))</f>
        <v/>
      </c>
      <c r="K419" s="66" t="str">
        <f>IF(M419&lt;&gt;"OK","",N(F419)/60*H419*IF(G419="",1,G419))</f>
        <v/>
      </c>
      <c r="L419" s="66" t="str">
        <f>IF(M419&lt;&gt;"OK","",N(F419)/60*I419)</f>
        <v/>
      </c>
      <c r="M419" s="69" t="str">
        <f>IF(AND(A419="",D419=""),"",IF(A419="","Produit manquant",IF(COUNTIF(prod_ref,A419)=0,"Produit inconnu",IF(D419="","Poste manquant",IF(ISNA(MATCH(D419,po_code,0)),"Poste inconnu",IF(INDEX(po_check,MATCH(D419,po_code,0))&lt;&gt;"OK","Poste à corriger",IF(AND(E419&lt;&gt;"",OR(NOT(ISNUMBER(E419)),N(E419)&lt;0)),"Réglage invalide",IF(AND(F419&lt;&gt;"",OR(NOT(ISNUMBER(F419)),N(F419)&lt;0)),"Temps par pièce invalide",IF(N(E419)+N(F419)=0,"Temps manquant",IF(AND(G419&lt;&gt;"",OR(NOT(ISNUMBER(G419)),N(G419)&lt;=0)),"Opérateurs invalide","OK"))))))))))</f>
        <v/>
      </c>
      <c r="N419" s="71" t="str">
        <f>IF(AND(fiche_sel&lt;&gt;"",A419=fiche_sel),COUNTIF(A$6:A419,fiche_sel),"")</f>
        <v/>
      </c>
    </row>
    <row r="420">
      <c r="A420" s="60" t="n"/>
      <c r="B420" s="73" t="n"/>
      <c r="C420" s="60" t="n"/>
      <c r="D420" s="61" t="n"/>
      <c r="E420" s="74" t="n"/>
      <c r="F420" s="74" t="n"/>
      <c r="G420" s="73" t="n"/>
      <c r="H420" s="66" t="str">
        <f>IF(M420&lt;&gt;"OK","",INDEX(po_mo,MATCH(D420,po_code,0)))</f>
        <v/>
      </c>
      <c r="I420" s="66" t="str">
        <f>IF(M420&lt;&gt;"OK","",INDEX(po_mac,MATCH(D420,po_code,0)))</f>
        <v/>
      </c>
      <c r="J420" s="66" t="str">
        <f>IF(M420&lt;&gt;"OK","",N(E420)*(H420*IF(G420="",1,G420)+I420))</f>
        <v/>
      </c>
      <c r="K420" s="66" t="str">
        <f>IF(M420&lt;&gt;"OK","",N(F420)/60*H420*IF(G420="",1,G420))</f>
        <v/>
      </c>
      <c r="L420" s="66" t="str">
        <f>IF(M420&lt;&gt;"OK","",N(F420)/60*I420)</f>
        <v/>
      </c>
      <c r="M420" s="69" t="str">
        <f>IF(AND(A420="",D420=""),"",IF(A420="","Produit manquant",IF(COUNTIF(prod_ref,A420)=0,"Produit inconnu",IF(D420="","Poste manquant",IF(ISNA(MATCH(D420,po_code,0)),"Poste inconnu",IF(INDEX(po_check,MATCH(D420,po_code,0))&lt;&gt;"OK","Poste à corriger",IF(AND(E420&lt;&gt;"",OR(NOT(ISNUMBER(E420)),N(E420)&lt;0)),"Réglage invalide",IF(AND(F420&lt;&gt;"",OR(NOT(ISNUMBER(F420)),N(F420)&lt;0)),"Temps par pièce invalide",IF(N(E420)+N(F420)=0,"Temps manquant",IF(AND(G420&lt;&gt;"",OR(NOT(ISNUMBER(G420)),N(G420)&lt;=0)),"Opérateurs invalide","OK"))))))))))</f>
        <v/>
      </c>
      <c r="N420" s="71" t="str">
        <f>IF(AND(fiche_sel&lt;&gt;"",A420=fiche_sel),COUNTIF(A$6:A420,fiche_sel),"")</f>
        <v/>
      </c>
    </row>
    <row r="421">
      <c r="A421" s="60" t="n"/>
      <c r="B421" s="73" t="n"/>
      <c r="C421" s="60" t="n"/>
      <c r="D421" s="61" t="n"/>
      <c r="E421" s="74" t="n"/>
      <c r="F421" s="74" t="n"/>
      <c r="G421" s="73" t="n"/>
      <c r="H421" s="66" t="str">
        <f>IF(M421&lt;&gt;"OK","",INDEX(po_mo,MATCH(D421,po_code,0)))</f>
        <v/>
      </c>
      <c r="I421" s="66" t="str">
        <f>IF(M421&lt;&gt;"OK","",INDEX(po_mac,MATCH(D421,po_code,0)))</f>
        <v/>
      </c>
      <c r="J421" s="66" t="str">
        <f>IF(M421&lt;&gt;"OK","",N(E421)*(H421*IF(G421="",1,G421)+I421))</f>
        <v/>
      </c>
      <c r="K421" s="66" t="str">
        <f>IF(M421&lt;&gt;"OK","",N(F421)/60*H421*IF(G421="",1,G421))</f>
        <v/>
      </c>
      <c r="L421" s="66" t="str">
        <f>IF(M421&lt;&gt;"OK","",N(F421)/60*I421)</f>
        <v/>
      </c>
      <c r="M421" s="69" t="str">
        <f>IF(AND(A421="",D421=""),"",IF(A421="","Produit manquant",IF(COUNTIF(prod_ref,A421)=0,"Produit inconnu",IF(D421="","Poste manquant",IF(ISNA(MATCH(D421,po_code,0)),"Poste inconnu",IF(INDEX(po_check,MATCH(D421,po_code,0))&lt;&gt;"OK","Poste à corriger",IF(AND(E421&lt;&gt;"",OR(NOT(ISNUMBER(E421)),N(E421)&lt;0)),"Réglage invalide",IF(AND(F421&lt;&gt;"",OR(NOT(ISNUMBER(F421)),N(F421)&lt;0)),"Temps par pièce invalide",IF(N(E421)+N(F421)=0,"Temps manquant",IF(AND(G421&lt;&gt;"",OR(NOT(ISNUMBER(G421)),N(G421)&lt;=0)),"Opérateurs invalide","OK"))))))))))</f>
        <v/>
      </c>
      <c r="N421" s="71" t="str">
        <f>IF(AND(fiche_sel&lt;&gt;"",A421=fiche_sel),COUNTIF(A$6:A421,fiche_sel),"")</f>
        <v/>
      </c>
    </row>
    <row r="422">
      <c r="A422" s="60" t="n"/>
      <c r="B422" s="73" t="n"/>
      <c r="C422" s="60" t="n"/>
      <c r="D422" s="61" t="n"/>
      <c r="E422" s="74" t="n"/>
      <c r="F422" s="74" t="n"/>
      <c r="G422" s="73" t="n"/>
      <c r="H422" s="66" t="str">
        <f>IF(M422&lt;&gt;"OK","",INDEX(po_mo,MATCH(D422,po_code,0)))</f>
        <v/>
      </c>
      <c r="I422" s="66" t="str">
        <f>IF(M422&lt;&gt;"OK","",INDEX(po_mac,MATCH(D422,po_code,0)))</f>
        <v/>
      </c>
      <c r="J422" s="66" t="str">
        <f>IF(M422&lt;&gt;"OK","",N(E422)*(H422*IF(G422="",1,G422)+I422))</f>
        <v/>
      </c>
      <c r="K422" s="66" t="str">
        <f>IF(M422&lt;&gt;"OK","",N(F422)/60*H422*IF(G422="",1,G422))</f>
        <v/>
      </c>
      <c r="L422" s="66" t="str">
        <f>IF(M422&lt;&gt;"OK","",N(F422)/60*I422)</f>
        <v/>
      </c>
      <c r="M422" s="69" t="str">
        <f>IF(AND(A422="",D422=""),"",IF(A422="","Produit manquant",IF(COUNTIF(prod_ref,A422)=0,"Produit inconnu",IF(D422="","Poste manquant",IF(ISNA(MATCH(D422,po_code,0)),"Poste inconnu",IF(INDEX(po_check,MATCH(D422,po_code,0))&lt;&gt;"OK","Poste à corriger",IF(AND(E422&lt;&gt;"",OR(NOT(ISNUMBER(E422)),N(E422)&lt;0)),"Réglage invalide",IF(AND(F422&lt;&gt;"",OR(NOT(ISNUMBER(F422)),N(F422)&lt;0)),"Temps par pièce invalide",IF(N(E422)+N(F422)=0,"Temps manquant",IF(AND(G422&lt;&gt;"",OR(NOT(ISNUMBER(G422)),N(G422)&lt;=0)),"Opérateurs invalide","OK"))))))))))</f>
        <v/>
      </c>
      <c r="N422" s="71" t="str">
        <f>IF(AND(fiche_sel&lt;&gt;"",A422=fiche_sel),COUNTIF(A$6:A422,fiche_sel),"")</f>
        <v/>
      </c>
    </row>
    <row r="423">
      <c r="A423" s="60" t="n"/>
      <c r="B423" s="73" t="n"/>
      <c r="C423" s="60" t="n"/>
      <c r="D423" s="61" t="n"/>
      <c r="E423" s="74" t="n"/>
      <c r="F423" s="74" t="n"/>
      <c r="G423" s="73" t="n"/>
      <c r="H423" s="66" t="str">
        <f>IF(M423&lt;&gt;"OK","",INDEX(po_mo,MATCH(D423,po_code,0)))</f>
        <v/>
      </c>
      <c r="I423" s="66" t="str">
        <f>IF(M423&lt;&gt;"OK","",INDEX(po_mac,MATCH(D423,po_code,0)))</f>
        <v/>
      </c>
      <c r="J423" s="66" t="str">
        <f>IF(M423&lt;&gt;"OK","",N(E423)*(H423*IF(G423="",1,G423)+I423))</f>
        <v/>
      </c>
      <c r="K423" s="66" t="str">
        <f>IF(M423&lt;&gt;"OK","",N(F423)/60*H423*IF(G423="",1,G423))</f>
        <v/>
      </c>
      <c r="L423" s="66" t="str">
        <f>IF(M423&lt;&gt;"OK","",N(F423)/60*I423)</f>
        <v/>
      </c>
      <c r="M423" s="69" t="str">
        <f>IF(AND(A423="",D423=""),"",IF(A423="","Produit manquant",IF(COUNTIF(prod_ref,A423)=0,"Produit inconnu",IF(D423="","Poste manquant",IF(ISNA(MATCH(D423,po_code,0)),"Poste inconnu",IF(INDEX(po_check,MATCH(D423,po_code,0))&lt;&gt;"OK","Poste à corriger",IF(AND(E423&lt;&gt;"",OR(NOT(ISNUMBER(E423)),N(E423)&lt;0)),"Réglage invalide",IF(AND(F423&lt;&gt;"",OR(NOT(ISNUMBER(F423)),N(F423)&lt;0)),"Temps par pièce invalide",IF(N(E423)+N(F423)=0,"Temps manquant",IF(AND(G423&lt;&gt;"",OR(NOT(ISNUMBER(G423)),N(G423)&lt;=0)),"Opérateurs invalide","OK"))))))))))</f>
        <v/>
      </c>
      <c r="N423" s="71" t="str">
        <f>IF(AND(fiche_sel&lt;&gt;"",A423=fiche_sel),COUNTIF(A$6:A423,fiche_sel),"")</f>
        <v/>
      </c>
    </row>
    <row r="424">
      <c r="A424" s="60" t="n"/>
      <c r="B424" s="73" t="n"/>
      <c r="C424" s="60" t="n"/>
      <c r="D424" s="61" t="n"/>
      <c r="E424" s="74" t="n"/>
      <c r="F424" s="74" t="n"/>
      <c r="G424" s="73" t="n"/>
      <c r="H424" s="66" t="str">
        <f>IF(M424&lt;&gt;"OK","",INDEX(po_mo,MATCH(D424,po_code,0)))</f>
        <v/>
      </c>
      <c r="I424" s="66" t="str">
        <f>IF(M424&lt;&gt;"OK","",INDEX(po_mac,MATCH(D424,po_code,0)))</f>
        <v/>
      </c>
      <c r="J424" s="66" t="str">
        <f>IF(M424&lt;&gt;"OK","",N(E424)*(H424*IF(G424="",1,G424)+I424))</f>
        <v/>
      </c>
      <c r="K424" s="66" t="str">
        <f>IF(M424&lt;&gt;"OK","",N(F424)/60*H424*IF(G424="",1,G424))</f>
        <v/>
      </c>
      <c r="L424" s="66" t="str">
        <f>IF(M424&lt;&gt;"OK","",N(F424)/60*I424)</f>
        <v/>
      </c>
      <c r="M424" s="69" t="str">
        <f>IF(AND(A424="",D424=""),"",IF(A424="","Produit manquant",IF(COUNTIF(prod_ref,A424)=0,"Produit inconnu",IF(D424="","Poste manquant",IF(ISNA(MATCH(D424,po_code,0)),"Poste inconnu",IF(INDEX(po_check,MATCH(D424,po_code,0))&lt;&gt;"OK","Poste à corriger",IF(AND(E424&lt;&gt;"",OR(NOT(ISNUMBER(E424)),N(E424)&lt;0)),"Réglage invalide",IF(AND(F424&lt;&gt;"",OR(NOT(ISNUMBER(F424)),N(F424)&lt;0)),"Temps par pièce invalide",IF(N(E424)+N(F424)=0,"Temps manquant",IF(AND(G424&lt;&gt;"",OR(NOT(ISNUMBER(G424)),N(G424)&lt;=0)),"Opérateurs invalide","OK"))))))))))</f>
        <v/>
      </c>
      <c r="N424" s="71" t="str">
        <f>IF(AND(fiche_sel&lt;&gt;"",A424=fiche_sel),COUNTIF(A$6:A424,fiche_sel),"")</f>
        <v/>
      </c>
    </row>
    <row r="425">
      <c r="A425" s="60" t="n"/>
      <c r="B425" s="73" t="n"/>
      <c r="C425" s="60" t="n"/>
      <c r="D425" s="61" t="n"/>
      <c r="E425" s="74" t="n"/>
      <c r="F425" s="74" t="n"/>
      <c r="G425" s="73" t="n"/>
      <c r="H425" s="66" t="str">
        <f>IF(M425&lt;&gt;"OK","",INDEX(po_mo,MATCH(D425,po_code,0)))</f>
        <v/>
      </c>
      <c r="I425" s="66" t="str">
        <f>IF(M425&lt;&gt;"OK","",INDEX(po_mac,MATCH(D425,po_code,0)))</f>
        <v/>
      </c>
      <c r="J425" s="66" t="str">
        <f>IF(M425&lt;&gt;"OK","",N(E425)*(H425*IF(G425="",1,G425)+I425))</f>
        <v/>
      </c>
      <c r="K425" s="66" t="str">
        <f>IF(M425&lt;&gt;"OK","",N(F425)/60*H425*IF(G425="",1,G425))</f>
        <v/>
      </c>
      <c r="L425" s="66" t="str">
        <f>IF(M425&lt;&gt;"OK","",N(F425)/60*I425)</f>
        <v/>
      </c>
      <c r="M425" s="69" t="str">
        <f>IF(AND(A425="",D425=""),"",IF(A425="","Produit manquant",IF(COUNTIF(prod_ref,A425)=0,"Produit inconnu",IF(D425="","Poste manquant",IF(ISNA(MATCH(D425,po_code,0)),"Poste inconnu",IF(INDEX(po_check,MATCH(D425,po_code,0))&lt;&gt;"OK","Poste à corriger",IF(AND(E425&lt;&gt;"",OR(NOT(ISNUMBER(E425)),N(E425)&lt;0)),"Réglage invalide",IF(AND(F425&lt;&gt;"",OR(NOT(ISNUMBER(F425)),N(F425)&lt;0)),"Temps par pièce invalide",IF(N(E425)+N(F425)=0,"Temps manquant",IF(AND(G425&lt;&gt;"",OR(NOT(ISNUMBER(G425)),N(G425)&lt;=0)),"Opérateurs invalide","OK"))))))))))</f>
        <v/>
      </c>
      <c r="N425" s="71" t="str">
        <f>IF(AND(fiche_sel&lt;&gt;"",A425=fiche_sel),COUNTIF(A$6:A425,fiche_sel),"")</f>
        <v/>
      </c>
    </row>
    <row r="426">
      <c r="A426" s="60" t="n"/>
      <c r="B426" s="73" t="n"/>
      <c r="C426" s="60" t="n"/>
      <c r="D426" s="61" t="n"/>
      <c r="E426" s="74" t="n"/>
      <c r="F426" s="74" t="n"/>
      <c r="G426" s="73" t="n"/>
      <c r="H426" s="66" t="str">
        <f>IF(M426&lt;&gt;"OK","",INDEX(po_mo,MATCH(D426,po_code,0)))</f>
        <v/>
      </c>
      <c r="I426" s="66" t="str">
        <f>IF(M426&lt;&gt;"OK","",INDEX(po_mac,MATCH(D426,po_code,0)))</f>
        <v/>
      </c>
      <c r="J426" s="66" t="str">
        <f>IF(M426&lt;&gt;"OK","",N(E426)*(H426*IF(G426="",1,G426)+I426))</f>
        <v/>
      </c>
      <c r="K426" s="66" t="str">
        <f>IF(M426&lt;&gt;"OK","",N(F426)/60*H426*IF(G426="",1,G426))</f>
        <v/>
      </c>
      <c r="L426" s="66" t="str">
        <f>IF(M426&lt;&gt;"OK","",N(F426)/60*I426)</f>
        <v/>
      </c>
      <c r="M426" s="69" t="str">
        <f>IF(AND(A426="",D426=""),"",IF(A426="","Produit manquant",IF(COUNTIF(prod_ref,A426)=0,"Produit inconnu",IF(D426="","Poste manquant",IF(ISNA(MATCH(D426,po_code,0)),"Poste inconnu",IF(INDEX(po_check,MATCH(D426,po_code,0))&lt;&gt;"OK","Poste à corriger",IF(AND(E426&lt;&gt;"",OR(NOT(ISNUMBER(E426)),N(E426)&lt;0)),"Réglage invalide",IF(AND(F426&lt;&gt;"",OR(NOT(ISNUMBER(F426)),N(F426)&lt;0)),"Temps par pièce invalide",IF(N(E426)+N(F426)=0,"Temps manquant",IF(AND(G426&lt;&gt;"",OR(NOT(ISNUMBER(G426)),N(G426)&lt;=0)),"Opérateurs invalide","OK"))))))))))</f>
        <v/>
      </c>
      <c r="N426" s="71" t="str">
        <f>IF(AND(fiche_sel&lt;&gt;"",A426=fiche_sel),COUNTIF(A$6:A426,fiche_sel),"")</f>
        <v/>
      </c>
    </row>
    <row r="427">
      <c r="A427" s="60" t="n"/>
      <c r="B427" s="73" t="n"/>
      <c r="C427" s="60" t="n"/>
      <c r="D427" s="61" t="n"/>
      <c r="E427" s="74" t="n"/>
      <c r="F427" s="74" t="n"/>
      <c r="G427" s="73" t="n"/>
      <c r="H427" s="66" t="str">
        <f>IF(M427&lt;&gt;"OK","",INDEX(po_mo,MATCH(D427,po_code,0)))</f>
        <v/>
      </c>
      <c r="I427" s="66" t="str">
        <f>IF(M427&lt;&gt;"OK","",INDEX(po_mac,MATCH(D427,po_code,0)))</f>
        <v/>
      </c>
      <c r="J427" s="66" t="str">
        <f>IF(M427&lt;&gt;"OK","",N(E427)*(H427*IF(G427="",1,G427)+I427))</f>
        <v/>
      </c>
      <c r="K427" s="66" t="str">
        <f>IF(M427&lt;&gt;"OK","",N(F427)/60*H427*IF(G427="",1,G427))</f>
        <v/>
      </c>
      <c r="L427" s="66" t="str">
        <f>IF(M427&lt;&gt;"OK","",N(F427)/60*I427)</f>
        <v/>
      </c>
      <c r="M427" s="69" t="str">
        <f>IF(AND(A427="",D427=""),"",IF(A427="","Produit manquant",IF(COUNTIF(prod_ref,A427)=0,"Produit inconnu",IF(D427="","Poste manquant",IF(ISNA(MATCH(D427,po_code,0)),"Poste inconnu",IF(INDEX(po_check,MATCH(D427,po_code,0))&lt;&gt;"OK","Poste à corriger",IF(AND(E427&lt;&gt;"",OR(NOT(ISNUMBER(E427)),N(E427)&lt;0)),"Réglage invalide",IF(AND(F427&lt;&gt;"",OR(NOT(ISNUMBER(F427)),N(F427)&lt;0)),"Temps par pièce invalide",IF(N(E427)+N(F427)=0,"Temps manquant",IF(AND(G427&lt;&gt;"",OR(NOT(ISNUMBER(G427)),N(G427)&lt;=0)),"Opérateurs invalide","OK"))))))))))</f>
        <v/>
      </c>
      <c r="N427" s="71" t="str">
        <f>IF(AND(fiche_sel&lt;&gt;"",A427=fiche_sel),COUNTIF(A$6:A427,fiche_sel),"")</f>
        <v/>
      </c>
    </row>
    <row r="428">
      <c r="A428" s="60" t="n"/>
      <c r="B428" s="73" t="n"/>
      <c r="C428" s="60" t="n"/>
      <c r="D428" s="61" t="n"/>
      <c r="E428" s="74" t="n"/>
      <c r="F428" s="74" t="n"/>
      <c r="G428" s="73" t="n"/>
      <c r="H428" s="66" t="str">
        <f>IF(M428&lt;&gt;"OK","",INDEX(po_mo,MATCH(D428,po_code,0)))</f>
        <v/>
      </c>
      <c r="I428" s="66" t="str">
        <f>IF(M428&lt;&gt;"OK","",INDEX(po_mac,MATCH(D428,po_code,0)))</f>
        <v/>
      </c>
      <c r="J428" s="66" t="str">
        <f>IF(M428&lt;&gt;"OK","",N(E428)*(H428*IF(G428="",1,G428)+I428))</f>
        <v/>
      </c>
      <c r="K428" s="66" t="str">
        <f>IF(M428&lt;&gt;"OK","",N(F428)/60*H428*IF(G428="",1,G428))</f>
        <v/>
      </c>
      <c r="L428" s="66" t="str">
        <f>IF(M428&lt;&gt;"OK","",N(F428)/60*I428)</f>
        <v/>
      </c>
      <c r="M428" s="69" t="str">
        <f>IF(AND(A428="",D428=""),"",IF(A428="","Produit manquant",IF(COUNTIF(prod_ref,A428)=0,"Produit inconnu",IF(D428="","Poste manquant",IF(ISNA(MATCH(D428,po_code,0)),"Poste inconnu",IF(INDEX(po_check,MATCH(D428,po_code,0))&lt;&gt;"OK","Poste à corriger",IF(AND(E428&lt;&gt;"",OR(NOT(ISNUMBER(E428)),N(E428)&lt;0)),"Réglage invalide",IF(AND(F428&lt;&gt;"",OR(NOT(ISNUMBER(F428)),N(F428)&lt;0)),"Temps par pièce invalide",IF(N(E428)+N(F428)=0,"Temps manquant",IF(AND(G428&lt;&gt;"",OR(NOT(ISNUMBER(G428)),N(G428)&lt;=0)),"Opérateurs invalide","OK"))))))))))</f>
        <v/>
      </c>
      <c r="N428" s="71" t="str">
        <f>IF(AND(fiche_sel&lt;&gt;"",A428=fiche_sel),COUNTIF(A$6:A428,fiche_sel),"")</f>
        <v/>
      </c>
    </row>
    <row r="429">
      <c r="A429" s="60" t="n"/>
      <c r="B429" s="73" t="n"/>
      <c r="C429" s="60" t="n"/>
      <c r="D429" s="61" t="n"/>
      <c r="E429" s="74" t="n"/>
      <c r="F429" s="74" t="n"/>
      <c r="G429" s="73" t="n"/>
      <c r="H429" s="66" t="str">
        <f>IF(M429&lt;&gt;"OK","",INDEX(po_mo,MATCH(D429,po_code,0)))</f>
        <v/>
      </c>
      <c r="I429" s="66" t="str">
        <f>IF(M429&lt;&gt;"OK","",INDEX(po_mac,MATCH(D429,po_code,0)))</f>
        <v/>
      </c>
      <c r="J429" s="66" t="str">
        <f>IF(M429&lt;&gt;"OK","",N(E429)*(H429*IF(G429="",1,G429)+I429))</f>
        <v/>
      </c>
      <c r="K429" s="66" t="str">
        <f>IF(M429&lt;&gt;"OK","",N(F429)/60*H429*IF(G429="",1,G429))</f>
        <v/>
      </c>
      <c r="L429" s="66" t="str">
        <f>IF(M429&lt;&gt;"OK","",N(F429)/60*I429)</f>
        <v/>
      </c>
      <c r="M429" s="69" t="str">
        <f>IF(AND(A429="",D429=""),"",IF(A429="","Produit manquant",IF(COUNTIF(prod_ref,A429)=0,"Produit inconnu",IF(D429="","Poste manquant",IF(ISNA(MATCH(D429,po_code,0)),"Poste inconnu",IF(INDEX(po_check,MATCH(D429,po_code,0))&lt;&gt;"OK","Poste à corriger",IF(AND(E429&lt;&gt;"",OR(NOT(ISNUMBER(E429)),N(E429)&lt;0)),"Réglage invalide",IF(AND(F429&lt;&gt;"",OR(NOT(ISNUMBER(F429)),N(F429)&lt;0)),"Temps par pièce invalide",IF(N(E429)+N(F429)=0,"Temps manquant",IF(AND(G429&lt;&gt;"",OR(NOT(ISNUMBER(G429)),N(G429)&lt;=0)),"Opérateurs invalide","OK"))))))))))</f>
        <v/>
      </c>
      <c r="N429" s="71" t="str">
        <f>IF(AND(fiche_sel&lt;&gt;"",A429=fiche_sel),COUNTIF(A$6:A429,fiche_sel),"")</f>
        <v/>
      </c>
    </row>
    <row r="430">
      <c r="A430" s="60" t="n"/>
      <c r="B430" s="73" t="n"/>
      <c r="C430" s="60" t="n"/>
      <c r="D430" s="61" t="n"/>
      <c r="E430" s="74" t="n"/>
      <c r="F430" s="74" t="n"/>
      <c r="G430" s="73" t="n"/>
      <c r="H430" s="66" t="str">
        <f>IF(M430&lt;&gt;"OK","",INDEX(po_mo,MATCH(D430,po_code,0)))</f>
        <v/>
      </c>
      <c r="I430" s="66" t="str">
        <f>IF(M430&lt;&gt;"OK","",INDEX(po_mac,MATCH(D430,po_code,0)))</f>
        <v/>
      </c>
      <c r="J430" s="66" t="str">
        <f>IF(M430&lt;&gt;"OK","",N(E430)*(H430*IF(G430="",1,G430)+I430))</f>
        <v/>
      </c>
      <c r="K430" s="66" t="str">
        <f>IF(M430&lt;&gt;"OK","",N(F430)/60*H430*IF(G430="",1,G430))</f>
        <v/>
      </c>
      <c r="L430" s="66" t="str">
        <f>IF(M430&lt;&gt;"OK","",N(F430)/60*I430)</f>
        <v/>
      </c>
      <c r="M430" s="69" t="str">
        <f>IF(AND(A430="",D430=""),"",IF(A430="","Produit manquant",IF(COUNTIF(prod_ref,A430)=0,"Produit inconnu",IF(D430="","Poste manquant",IF(ISNA(MATCH(D430,po_code,0)),"Poste inconnu",IF(INDEX(po_check,MATCH(D430,po_code,0))&lt;&gt;"OK","Poste à corriger",IF(AND(E430&lt;&gt;"",OR(NOT(ISNUMBER(E430)),N(E430)&lt;0)),"Réglage invalide",IF(AND(F430&lt;&gt;"",OR(NOT(ISNUMBER(F430)),N(F430)&lt;0)),"Temps par pièce invalide",IF(N(E430)+N(F430)=0,"Temps manquant",IF(AND(G430&lt;&gt;"",OR(NOT(ISNUMBER(G430)),N(G430)&lt;=0)),"Opérateurs invalide","OK"))))))))))</f>
        <v/>
      </c>
      <c r="N430" s="71" t="str">
        <f>IF(AND(fiche_sel&lt;&gt;"",A430=fiche_sel),COUNTIF(A$6:A430,fiche_sel),"")</f>
        <v/>
      </c>
    </row>
    <row r="431">
      <c r="A431" s="60" t="n"/>
      <c r="B431" s="73" t="n"/>
      <c r="C431" s="60" t="n"/>
      <c r="D431" s="61" t="n"/>
      <c r="E431" s="74" t="n"/>
      <c r="F431" s="74" t="n"/>
      <c r="G431" s="73" t="n"/>
      <c r="H431" s="66" t="str">
        <f>IF(M431&lt;&gt;"OK","",INDEX(po_mo,MATCH(D431,po_code,0)))</f>
        <v/>
      </c>
      <c r="I431" s="66" t="str">
        <f>IF(M431&lt;&gt;"OK","",INDEX(po_mac,MATCH(D431,po_code,0)))</f>
        <v/>
      </c>
      <c r="J431" s="66" t="str">
        <f>IF(M431&lt;&gt;"OK","",N(E431)*(H431*IF(G431="",1,G431)+I431))</f>
        <v/>
      </c>
      <c r="K431" s="66" t="str">
        <f>IF(M431&lt;&gt;"OK","",N(F431)/60*H431*IF(G431="",1,G431))</f>
        <v/>
      </c>
      <c r="L431" s="66" t="str">
        <f>IF(M431&lt;&gt;"OK","",N(F431)/60*I431)</f>
        <v/>
      </c>
      <c r="M431" s="69" t="str">
        <f>IF(AND(A431="",D431=""),"",IF(A431="","Produit manquant",IF(COUNTIF(prod_ref,A431)=0,"Produit inconnu",IF(D431="","Poste manquant",IF(ISNA(MATCH(D431,po_code,0)),"Poste inconnu",IF(INDEX(po_check,MATCH(D431,po_code,0))&lt;&gt;"OK","Poste à corriger",IF(AND(E431&lt;&gt;"",OR(NOT(ISNUMBER(E431)),N(E431)&lt;0)),"Réglage invalide",IF(AND(F431&lt;&gt;"",OR(NOT(ISNUMBER(F431)),N(F431)&lt;0)),"Temps par pièce invalide",IF(N(E431)+N(F431)=0,"Temps manquant",IF(AND(G431&lt;&gt;"",OR(NOT(ISNUMBER(G431)),N(G431)&lt;=0)),"Opérateurs invalide","OK"))))))))))</f>
        <v/>
      </c>
      <c r="N431" s="71" t="str">
        <f>IF(AND(fiche_sel&lt;&gt;"",A431=fiche_sel),COUNTIF(A$6:A431,fiche_sel),"")</f>
        <v/>
      </c>
    </row>
    <row r="432">
      <c r="A432" s="60" t="n"/>
      <c r="B432" s="73" t="n"/>
      <c r="C432" s="60" t="n"/>
      <c r="D432" s="61" t="n"/>
      <c r="E432" s="74" t="n"/>
      <c r="F432" s="74" t="n"/>
      <c r="G432" s="73" t="n"/>
      <c r="H432" s="66" t="str">
        <f>IF(M432&lt;&gt;"OK","",INDEX(po_mo,MATCH(D432,po_code,0)))</f>
        <v/>
      </c>
      <c r="I432" s="66" t="str">
        <f>IF(M432&lt;&gt;"OK","",INDEX(po_mac,MATCH(D432,po_code,0)))</f>
        <v/>
      </c>
      <c r="J432" s="66" t="str">
        <f>IF(M432&lt;&gt;"OK","",N(E432)*(H432*IF(G432="",1,G432)+I432))</f>
        <v/>
      </c>
      <c r="K432" s="66" t="str">
        <f>IF(M432&lt;&gt;"OK","",N(F432)/60*H432*IF(G432="",1,G432))</f>
        <v/>
      </c>
      <c r="L432" s="66" t="str">
        <f>IF(M432&lt;&gt;"OK","",N(F432)/60*I432)</f>
        <v/>
      </c>
      <c r="M432" s="69" t="str">
        <f>IF(AND(A432="",D432=""),"",IF(A432="","Produit manquant",IF(COUNTIF(prod_ref,A432)=0,"Produit inconnu",IF(D432="","Poste manquant",IF(ISNA(MATCH(D432,po_code,0)),"Poste inconnu",IF(INDEX(po_check,MATCH(D432,po_code,0))&lt;&gt;"OK","Poste à corriger",IF(AND(E432&lt;&gt;"",OR(NOT(ISNUMBER(E432)),N(E432)&lt;0)),"Réglage invalide",IF(AND(F432&lt;&gt;"",OR(NOT(ISNUMBER(F432)),N(F432)&lt;0)),"Temps par pièce invalide",IF(N(E432)+N(F432)=0,"Temps manquant",IF(AND(G432&lt;&gt;"",OR(NOT(ISNUMBER(G432)),N(G432)&lt;=0)),"Opérateurs invalide","OK"))))))))))</f>
        <v/>
      </c>
      <c r="N432" s="71" t="str">
        <f>IF(AND(fiche_sel&lt;&gt;"",A432=fiche_sel),COUNTIF(A$6:A432,fiche_sel),"")</f>
        <v/>
      </c>
    </row>
    <row r="433">
      <c r="A433" s="60" t="n"/>
      <c r="B433" s="73" t="n"/>
      <c r="C433" s="60" t="n"/>
      <c r="D433" s="61" t="n"/>
      <c r="E433" s="74" t="n"/>
      <c r="F433" s="74" t="n"/>
      <c r="G433" s="73" t="n"/>
      <c r="H433" s="66" t="str">
        <f>IF(M433&lt;&gt;"OK","",INDEX(po_mo,MATCH(D433,po_code,0)))</f>
        <v/>
      </c>
      <c r="I433" s="66" t="str">
        <f>IF(M433&lt;&gt;"OK","",INDEX(po_mac,MATCH(D433,po_code,0)))</f>
        <v/>
      </c>
      <c r="J433" s="66" t="str">
        <f>IF(M433&lt;&gt;"OK","",N(E433)*(H433*IF(G433="",1,G433)+I433))</f>
        <v/>
      </c>
      <c r="K433" s="66" t="str">
        <f>IF(M433&lt;&gt;"OK","",N(F433)/60*H433*IF(G433="",1,G433))</f>
        <v/>
      </c>
      <c r="L433" s="66" t="str">
        <f>IF(M433&lt;&gt;"OK","",N(F433)/60*I433)</f>
        <v/>
      </c>
      <c r="M433" s="69" t="str">
        <f>IF(AND(A433="",D433=""),"",IF(A433="","Produit manquant",IF(COUNTIF(prod_ref,A433)=0,"Produit inconnu",IF(D433="","Poste manquant",IF(ISNA(MATCH(D433,po_code,0)),"Poste inconnu",IF(INDEX(po_check,MATCH(D433,po_code,0))&lt;&gt;"OK","Poste à corriger",IF(AND(E433&lt;&gt;"",OR(NOT(ISNUMBER(E433)),N(E433)&lt;0)),"Réglage invalide",IF(AND(F433&lt;&gt;"",OR(NOT(ISNUMBER(F433)),N(F433)&lt;0)),"Temps par pièce invalide",IF(N(E433)+N(F433)=0,"Temps manquant",IF(AND(G433&lt;&gt;"",OR(NOT(ISNUMBER(G433)),N(G433)&lt;=0)),"Opérateurs invalide","OK"))))))))))</f>
        <v/>
      </c>
      <c r="N433" s="71" t="str">
        <f>IF(AND(fiche_sel&lt;&gt;"",A433=fiche_sel),COUNTIF(A$6:A433,fiche_sel),"")</f>
        <v/>
      </c>
    </row>
    <row r="434">
      <c r="A434" s="60" t="n"/>
      <c r="B434" s="73" t="n"/>
      <c r="C434" s="60" t="n"/>
      <c r="D434" s="61" t="n"/>
      <c r="E434" s="74" t="n"/>
      <c r="F434" s="74" t="n"/>
      <c r="G434" s="73" t="n"/>
      <c r="H434" s="66" t="str">
        <f>IF(M434&lt;&gt;"OK","",INDEX(po_mo,MATCH(D434,po_code,0)))</f>
        <v/>
      </c>
      <c r="I434" s="66" t="str">
        <f>IF(M434&lt;&gt;"OK","",INDEX(po_mac,MATCH(D434,po_code,0)))</f>
        <v/>
      </c>
      <c r="J434" s="66" t="str">
        <f>IF(M434&lt;&gt;"OK","",N(E434)*(H434*IF(G434="",1,G434)+I434))</f>
        <v/>
      </c>
      <c r="K434" s="66" t="str">
        <f>IF(M434&lt;&gt;"OK","",N(F434)/60*H434*IF(G434="",1,G434))</f>
        <v/>
      </c>
      <c r="L434" s="66" t="str">
        <f>IF(M434&lt;&gt;"OK","",N(F434)/60*I434)</f>
        <v/>
      </c>
      <c r="M434" s="69" t="str">
        <f>IF(AND(A434="",D434=""),"",IF(A434="","Produit manquant",IF(COUNTIF(prod_ref,A434)=0,"Produit inconnu",IF(D434="","Poste manquant",IF(ISNA(MATCH(D434,po_code,0)),"Poste inconnu",IF(INDEX(po_check,MATCH(D434,po_code,0))&lt;&gt;"OK","Poste à corriger",IF(AND(E434&lt;&gt;"",OR(NOT(ISNUMBER(E434)),N(E434)&lt;0)),"Réglage invalide",IF(AND(F434&lt;&gt;"",OR(NOT(ISNUMBER(F434)),N(F434)&lt;0)),"Temps par pièce invalide",IF(N(E434)+N(F434)=0,"Temps manquant",IF(AND(G434&lt;&gt;"",OR(NOT(ISNUMBER(G434)),N(G434)&lt;=0)),"Opérateurs invalide","OK"))))))))))</f>
        <v/>
      </c>
      <c r="N434" s="71" t="str">
        <f>IF(AND(fiche_sel&lt;&gt;"",A434=fiche_sel),COUNTIF(A$6:A434,fiche_sel),"")</f>
        <v/>
      </c>
    </row>
    <row r="435">
      <c r="A435" s="60" t="n"/>
      <c r="B435" s="73" t="n"/>
      <c r="C435" s="60" t="n"/>
      <c r="D435" s="61" t="n"/>
      <c r="E435" s="74" t="n"/>
      <c r="F435" s="74" t="n"/>
      <c r="G435" s="73" t="n"/>
      <c r="H435" s="66" t="str">
        <f>IF(M435&lt;&gt;"OK","",INDEX(po_mo,MATCH(D435,po_code,0)))</f>
        <v/>
      </c>
      <c r="I435" s="66" t="str">
        <f>IF(M435&lt;&gt;"OK","",INDEX(po_mac,MATCH(D435,po_code,0)))</f>
        <v/>
      </c>
      <c r="J435" s="66" t="str">
        <f>IF(M435&lt;&gt;"OK","",N(E435)*(H435*IF(G435="",1,G435)+I435))</f>
        <v/>
      </c>
      <c r="K435" s="66" t="str">
        <f>IF(M435&lt;&gt;"OK","",N(F435)/60*H435*IF(G435="",1,G435))</f>
        <v/>
      </c>
      <c r="L435" s="66" t="str">
        <f>IF(M435&lt;&gt;"OK","",N(F435)/60*I435)</f>
        <v/>
      </c>
      <c r="M435" s="69" t="str">
        <f>IF(AND(A435="",D435=""),"",IF(A435="","Produit manquant",IF(COUNTIF(prod_ref,A435)=0,"Produit inconnu",IF(D435="","Poste manquant",IF(ISNA(MATCH(D435,po_code,0)),"Poste inconnu",IF(INDEX(po_check,MATCH(D435,po_code,0))&lt;&gt;"OK","Poste à corriger",IF(AND(E435&lt;&gt;"",OR(NOT(ISNUMBER(E435)),N(E435)&lt;0)),"Réglage invalide",IF(AND(F435&lt;&gt;"",OR(NOT(ISNUMBER(F435)),N(F435)&lt;0)),"Temps par pièce invalide",IF(N(E435)+N(F435)=0,"Temps manquant",IF(AND(G435&lt;&gt;"",OR(NOT(ISNUMBER(G435)),N(G435)&lt;=0)),"Opérateurs invalide","OK"))))))))))</f>
        <v/>
      </c>
      <c r="N435" s="71" t="str">
        <f>IF(AND(fiche_sel&lt;&gt;"",A435=fiche_sel),COUNTIF(A$6:A435,fiche_sel),"")</f>
        <v/>
      </c>
    </row>
    <row r="436">
      <c r="A436" s="60" t="n"/>
      <c r="B436" s="73" t="n"/>
      <c r="C436" s="60" t="n"/>
      <c r="D436" s="61" t="n"/>
      <c r="E436" s="74" t="n"/>
      <c r="F436" s="74" t="n"/>
      <c r="G436" s="73" t="n"/>
      <c r="H436" s="66" t="str">
        <f>IF(M436&lt;&gt;"OK","",INDEX(po_mo,MATCH(D436,po_code,0)))</f>
        <v/>
      </c>
      <c r="I436" s="66" t="str">
        <f>IF(M436&lt;&gt;"OK","",INDEX(po_mac,MATCH(D436,po_code,0)))</f>
        <v/>
      </c>
      <c r="J436" s="66" t="str">
        <f>IF(M436&lt;&gt;"OK","",N(E436)*(H436*IF(G436="",1,G436)+I436))</f>
        <v/>
      </c>
      <c r="K436" s="66" t="str">
        <f>IF(M436&lt;&gt;"OK","",N(F436)/60*H436*IF(G436="",1,G436))</f>
        <v/>
      </c>
      <c r="L436" s="66" t="str">
        <f>IF(M436&lt;&gt;"OK","",N(F436)/60*I436)</f>
        <v/>
      </c>
      <c r="M436" s="69" t="str">
        <f>IF(AND(A436="",D436=""),"",IF(A436="","Produit manquant",IF(COUNTIF(prod_ref,A436)=0,"Produit inconnu",IF(D436="","Poste manquant",IF(ISNA(MATCH(D436,po_code,0)),"Poste inconnu",IF(INDEX(po_check,MATCH(D436,po_code,0))&lt;&gt;"OK","Poste à corriger",IF(AND(E436&lt;&gt;"",OR(NOT(ISNUMBER(E436)),N(E436)&lt;0)),"Réglage invalide",IF(AND(F436&lt;&gt;"",OR(NOT(ISNUMBER(F436)),N(F436)&lt;0)),"Temps par pièce invalide",IF(N(E436)+N(F436)=0,"Temps manquant",IF(AND(G436&lt;&gt;"",OR(NOT(ISNUMBER(G436)),N(G436)&lt;=0)),"Opérateurs invalide","OK"))))))))))</f>
        <v/>
      </c>
      <c r="N436" s="71" t="str">
        <f>IF(AND(fiche_sel&lt;&gt;"",A436=fiche_sel),COUNTIF(A$6:A436,fiche_sel),"")</f>
        <v/>
      </c>
    </row>
    <row r="437">
      <c r="A437" s="60" t="n"/>
      <c r="B437" s="73" t="n"/>
      <c r="C437" s="60" t="n"/>
      <c r="D437" s="61" t="n"/>
      <c r="E437" s="74" t="n"/>
      <c r="F437" s="74" t="n"/>
      <c r="G437" s="73" t="n"/>
      <c r="H437" s="66" t="str">
        <f>IF(M437&lt;&gt;"OK","",INDEX(po_mo,MATCH(D437,po_code,0)))</f>
        <v/>
      </c>
      <c r="I437" s="66" t="str">
        <f>IF(M437&lt;&gt;"OK","",INDEX(po_mac,MATCH(D437,po_code,0)))</f>
        <v/>
      </c>
      <c r="J437" s="66" t="str">
        <f>IF(M437&lt;&gt;"OK","",N(E437)*(H437*IF(G437="",1,G437)+I437))</f>
        <v/>
      </c>
      <c r="K437" s="66" t="str">
        <f>IF(M437&lt;&gt;"OK","",N(F437)/60*H437*IF(G437="",1,G437))</f>
        <v/>
      </c>
      <c r="L437" s="66" t="str">
        <f>IF(M437&lt;&gt;"OK","",N(F437)/60*I437)</f>
        <v/>
      </c>
      <c r="M437" s="69" t="str">
        <f>IF(AND(A437="",D437=""),"",IF(A437="","Produit manquant",IF(COUNTIF(prod_ref,A437)=0,"Produit inconnu",IF(D437="","Poste manquant",IF(ISNA(MATCH(D437,po_code,0)),"Poste inconnu",IF(INDEX(po_check,MATCH(D437,po_code,0))&lt;&gt;"OK","Poste à corriger",IF(AND(E437&lt;&gt;"",OR(NOT(ISNUMBER(E437)),N(E437)&lt;0)),"Réglage invalide",IF(AND(F437&lt;&gt;"",OR(NOT(ISNUMBER(F437)),N(F437)&lt;0)),"Temps par pièce invalide",IF(N(E437)+N(F437)=0,"Temps manquant",IF(AND(G437&lt;&gt;"",OR(NOT(ISNUMBER(G437)),N(G437)&lt;=0)),"Opérateurs invalide","OK"))))))))))</f>
        <v/>
      </c>
      <c r="N437" s="71" t="str">
        <f>IF(AND(fiche_sel&lt;&gt;"",A437=fiche_sel),COUNTIF(A$6:A437,fiche_sel),"")</f>
        <v/>
      </c>
    </row>
    <row r="438">
      <c r="A438" s="60" t="n"/>
      <c r="B438" s="73" t="n"/>
      <c r="C438" s="60" t="n"/>
      <c r="D438" s="61" t="n"/>
      <c r="E438" s="74" t="n"/>
      <c r="F438" s="74" t="n"/>
      <c r="G438" s="73" t="n"/>
      <c r="H438" s="66" t="str">
        <f>IF(M438&lt;&gt;"OK","",INDEX(po_mo,MATCH(D438,po_code,0)))</f>
        <v/>
      </c>
      <c r="I438" s="66" t="str">
        <f>IF(M438&lt;&gt;"OK","",INDEX(po_mac,MATCH(D438,po_code,0)))</f>
        <v/>
      </c>
      <c r="J438" s="66" t="str">
        <f>IF(M438&lt;&gt;"OK","",N(E438)*(H438*IF(G438="",1,G438)+I438))</f>
        <v/>
      </c>
      <c r="K438" s="66" t="str">
        <f>IF(M438&lt;&gt;"OK","",N(F438)/60*H438*IF(G438="",1,G438))</f>
        <v/>
      </c>
      <c r="L438" s="66" t="str">
        <f>IF(M438&lt;&gt;"OK","",N(F438)/60*I438)</f>
        <v/>
      </c>
      <c r="M438" s="69" t="str">
        <f>IF(AND(A438="",D438=""),"",IF(A438="","Produit manquant",IF(COUNTIF(prod_ref,A438)=0,"Produit inconnu",IF(D438="","Poste manquant",IF(ISNA(MATCH(D438,po_code,0)),"Poste inconnu",IF(INDEX(po_check,MATCH(D438,po_code,0))&lt;&gt;"OK","Poste à corriger",IF(AND(E438&lt;&gt;"",OR(NOT(ISNUMBER(E438)),N(E438)&lt;0)),"Réglage invalide",IF(AND(F438&lt;&gt;"",OR(NOT(ISNUMBER(F438)),N(F438)&lt;0)),"Temps par pièce invalide",IF(N(E438)+N(F438)=0,"Temps manquant",IF(AND(G438&lt;&gt;"",OR(NOT(ISNUMBER(G438)),N(G438)&lt;=0)),"Opérateurs invalide","OK"))))))))))</f>
        <v/>
      </c>
      <c r="N438" s="71" t="str">
        <f>IF(AND(fiche_sel&lt;&gt;"",A438=fiche_sel),COUNTIF(A$6:A438,fiche_sel),"")</f>
        <v/>
      </c>
    </row>
    <row r="439">
      <c r="A439" s="60" t="n"/>
      <c r="B439" s="73" t="n"/>
      <c r="C439" s="60" t="n"/>
      <c r="D439" s="61" t="n"/>
      <c r="E439" s="74" t="n"/>
      <c r="F439" s="74" t="n"/>
      <c r="G439" s="73" t="n"/>
      <c r="H439" s="66" t="str">
        <f>IF(M439&lt;&gt;"OK","",INDEX(po_mo,MATCH(D439,po_code,0)))</f>
        <v/>
      </c>
      <c r="I439" s="66" t="str">
        <f>IF(M439&lt;&gt;"OK","",INDEX(po_mac,MATCH(D439,po_code,0)))</f>
        <v/>
      </c>
      <c r="J439" s="66" t="str">
        <f>IF(M439&lt;&gt;"OK","",N(E439)*(H439*IF(G439="",1,G439)+I439))</f>
        <v/>
      </c>
      <c r="K439" s="66" t="str">
        <f>IF(M439&lt;&gt;"OK","",N(F439)/60*H439*IF(G439="",1,G439))</f>
        <v/>
      </c>
      <c r="L439" s="66" t="str">
        <f>IF(M439&lt;&gt;"OK","",N(F439)/60*I439)</f>
        <v/>
      </c>
      <c r="M439" s="69" t="str">
        <f>IF(AND(A439="",D439=""),"",IF(A439="","Produit manquant",IF(COUNTIF(prod_ref,A439)=0,"Produit inconnu",IF(D439="","Poste manquant",IF(ISNA(MATCH(D439,po_code,0)),"Poste inconnu",IF(INDEX(po_check,MATCH(D439,po_code,0))&lt;&gt;"OK","Poste à corriger",IF(AND(E439&lt;&gt;"",OR(NOT(ISNUMBER(E439)),N(E439)&lt;0)),"Réglage invalide",IF(AND(F439&lt;&gt;"",OR(NOT(ISNUMBER(F439)),N(F439)&lt;0)),"Temps par pièce invalide",IF(N(E439)+N(F439)=0,"Temps manquant",IF(AND(G439&lt;&gt;"",OR(NOT(ISNUMBER(G439)),N(G439)&lt;=0)),"Opérateurs invalide","OK"))))))))))</f>
        <v/>
      </c>
      <c r="N439" s="71" t="str">
        <f>IF(AND(fiche_sel&lt;&gt;"",A439=fiche_sel),COUNTIF(A$6:A439,fiche_sel),"")</f>
        <v/>
      </c>
    </row>
    <row r="440">
      <c r="A440" s="60" t="n"/>
      <c r="B440" s="73" t="n"/>
      <c r="C440" s="60" t="n"/>
      <c r="D440" s="61" t="n"/>
      <c r="E440" s="74" t="n"/>
      <c r="F440" s="74" t="n"/>
      <c r="G440" s="73" t="n"/>
      <c r="H440" s="66" t="str">
        <f>IF(M440&lt;&gt;"OK","",INDEX(po_mo,MATCH(D440,po_code,0)))</f>
        <v/>
      </c>
      <c r="I440" s="66" t="str">
        <f>IF(M440&lt;&gt;"OK","",INDEX(po_mac,MATCH(D440,po_code,0)))</f>
        <v/>
      </c>
      <c r="J440" s="66" t="str">
        <f>IF(M440&lt;&gt;"OK","",N(E440)*(H440*IF(G440="",1,G440)+I440))</f>
        <v/>
      </c>
      <c r="K440" s="66" t="str">
        <f>IF(M440&lt;&gt;"OK","",N(F440)/60*H440*IF(G440="",1,G440))</f>
        <v/>
      </c>
      <c r="L440" s="66" t="str">
        <f>IF(M440&lt;&gt;"OK","",N(F440)/60*I440)</f>
        <v/>
      </c>
      <c r="M440" s="69" t="str">
        <f>IF(AND(A440="",D440=""),"",IF(A440="","Produit manquant",IF(COUNTIF(prod_ref,A440)=0,"Produit inconnu",IF(D440="","Poste manquant",IF(ISNA(MATCH(D440,po_code,0)),"Poste inconnu",IF(INDEX(po_check,MATCH(D440,po_code,0))&lt;&gt;"OK","Poste à corriger",IF(AND(E440&lt;&gt;"",OR(NOT(ISNUMBER(E440)),N(E440)&lt;0)),"Réglage invalide",IF(AND(F440&lt;&gt;"",OR(NOT(ISNUMBER(F440)),N(F440)&lt;0)),"Temps par pièce invalide",IF(N(E440)+N(F440)=0,"Temps manquant",IF(AND(G440&lt;&gt;"",OR(NOT(ISNUMBER(G440)),N(G440)&lt;=0)),"Opérateurs invalide","OK"))))))))))</f>
        <v/>
      </c>
      <c r="N440" s="71" t="str">
        <f>IF(AND(fiche_sel&lt;&gt;"",A440=fiche_sel),COUNTIF(A$6:A440,fiche_sel),"")</f>
        <v/>
      </c>
    </row>
    <row r="441">
      <c r="A441" s="60" t="n"/>
      <c r="B441" s="73" t="n"/>
      <c r="C441" s="60" t="n"/>
      <c r="D441" s="61" t="n"/>
      <c r="E441" s="74" t="n"/>
      <c r="F441" s="74" t="n"/>
      <c r="G441" s="73" t="n"/>
      <c r="H441" s="66" t="str">
        <f>IF(M441&lt;&gt;"OK","",INDEX(po_mo,MATCH(D441,po_code,0)))</f>
        <v/>
      </c>
      <c r="I441" s="66" t="str">
        <f>IF(M441&lt;&gt;"OK","",INDEX(po_mac,MATCH(D441,po_code,0)))</f>
        <v/>
      </c>
      <c r="J441" s="66" t="str">
        <f>IF(M441&lt;&gt;"OK","",N(E441)*(H441*IF(G441="",1,G441)+I441))</f>
        <v/>
      </c>
      <c r="K441" s="66" t="str">
        <f>IF(M441&lt;&gt;"OK","",N(F441)/60*H441*IF(G441="",1,G441))</f>
        <v/>
      </c>
      <c r="L441" s="66" t="str">
        <f>IF(M441&lt;&gt;"OK","",N(F441)/60*I441)</f>
        <v/>
      </c>
      <c r="M441" s="69" t="str">
        <f>IF(AND(A441="",D441=""),"",IF(A441="","Produit manquant",IF(COUNTIF(prod_ref,A441)=0,"Produit inconnu",IF(D441="","Poste manquant",IF(ISNA(MATCH(D441,po_code,0)),"Poste inconnu",IF(INDEX(po_check,MATCH(D441,po_code,0))&lt;&gt;"OK","Poste à corriger",IF(AND(E441&lt;&gt;"",OR(NOT(ISNUMBER(E441)),N(E441)&lt;0)),"Réglage invalide",IF(AND(F441&lt;&gt;"",OR(NOT(ISNUMBER(F441)),N(F441)&lt;0)),"Temps par pièce invalide",IF(N(E441)+N(F441)=0,"Temps manquant",IF(AND(G441&lt;&gt;"",OR(NOT(ISNUMBER(G441)),N(G441)&lt;=0)),"Opérateurs invalide","OK"))))))))))</f>
        <v/>
      </c>
      <c r="N441" s="71" t="str">
        <f>IF(AND(fiche_sel&lt;&gt;"",A441=fiche_sel),COUNTIF(A$6:A441,fiche_sel),"")</f>
        <v/>
      </c>
    </row>
    <row r="442">
      <c r="A442" s="60" t="n"/>
      <c r="B442" s="73" t="n"/>
      <c r="C442" s="60" t="n"/>
      <c r="D442" s="61" t="n"/>
      <c r="E442" s="74" t="n"/>
      <c r="F442" s="74" t="n"/>
      <c r="G442" s="73" t="n"/>
      <c r="H442" s="66" t="str">
        <f>IF(M442&lt;&gt;"OK","",INDEX(po_mo,MATCH(D442,po_code,0)))</f>
        <v/>
      </c>
      <c r="I442" s="66" t="str">
        <f>IF(M442&lt;&gt;"OK","",INDEX(po_mac,MATCH(D442,po_code,0)))</f>
        <v/>
      </c>
      <c r="J442" s="66" t="str">
        <f>IF(M442&lt;&gt;"OK","",N(E442)*(H442*IF(G442="",1,G442)+I442))</f>
        <v/>
      </c>
      <c r="K442" s="66" t="str">
        <f>IF(M442&lt;&gt;"OK","",N(F442)/60*H442*IF(G442="",1,G442))</f>
        <v/>
      </c>
      <c r="L442" s="66" t="str">
        <f>IF(M442&lt;&gt;"OK","",N(F442)/60*I442)</f>
        <v/>
      </c>
      <c r="M442" s="69" t="str">
        <f>IF(AND(A442="",D442=""),"",IF(A442="","Produit manquant",IF(COUNTIF(prod_ref,A442)=0,"Produit inconnu",IF(D442="","Poste manquant",IF(ISNA(MATCH(D442,po_code,0)),"Poste inconnu",IF(INDEX(po_check,MATCH(D442,po_code,0))&lt;&gt;"OK","Poste à corriger",IF(AND(E442&lt;&gt;"",OR(NOT(ISNUMBER(E442)),N(E442)&lt;0)),"Réglage invalide",IF(AND(F442&lt;&gt;"",OR(NOT(ISNUMBER(F442)),N(F442)&lt;0)),"Temps par pièce invalide",IF(N(E442)+N(F442)=0,"Temps manquant",IF(AND(G442&lt;&gt;"",OR(NOT(ISNUMBER(G442)),N(G442)&lt;=0)),"Opérateurs invalide","OK"))))))))))</f>
        <v/>
      </c>
      <c r="N442" s="71" t="str">
        <f>IF(AND(fiche_sel&lt;&gt;"",A442=fiche_sel),COUNTIF(A$6:A442,fiche_sel),"")</f>
        <v/>
      </c>
    </row>
    <row r="443">
      <c r="A443" s="60" t="n"/>
      <c r="B443" s="73" t="n"/>
      <c r="C443" s="60" t="n"/>
      <c r="D443" s="61" t="n"/>
      <c r="E443" s="74" t="n"/>
      <c r="F443" s="74" t="n"/>
      <c r="G443" s="73" t="n"/>
      <c r="H443" s="66" t="str">
        <f>IF(M443&lt;&gt;"OK","",INDEX(po_mo,MATCH(D443,po_code,0)))</f>
        <v/>
      </c>
      <c r="I443" s="66" t="str">
        <f>IF(M443&lt;&gt;"OK","",INDEX(po_mac,MATCH(D443,po_code,0)))</f>
        <v/>
      </c>
      <c r="J443" s="66" t="str">
        <f>IF(M443&lt;&gt;"OK","",N(E443)*(H443*IF(G443="",1,G443)+I443))</f>
        <v/>
      </c>
      <c r="K443" s="66" t="str">
        <f>IF(M443&lt;&gt;"OK","",N(F443)/60*H443*IF(G443="",1,G443))</f>
        <v/>
      </c>
      <c r="L443" s="66" t="str">
        <f>IF(M443&lt;&gt;"OK","",N(F443)/60*I443)</f>
        <v/>
      </c>
      <c r="M443" s="69" t="str">
        <f>IF(AND(A443="",D443=""),"",IF(A443="","Produit manquant",IF(COUNTIF(prod_ref,A443)=0,"Produit inconnu",IF(D443="","Poste manquant",IF(ISNA(MATCH(D443,po_code,0)),"Poste inconnu",IF(INDEX(po_check,MATCH(D443,po_code,0))&lt;&gt;"OK","Poste à corriger",IF(AND(E443&lt;&gt;"",OR(NOT(ISNUMBER(E443)),N(E443)&lt;0)),"Réglage invalide",IF(AND(F443&lt;&gt;"",OR(NOT(ISNUMBER(F443)),N(F443)&lt;0)),"Temps par pièce invalide",IF(N(E443)+N(F443)=0,"Temps manquant",IF(AND(G443&lt;&gt;"",OR(NOT(ISNUMBER(G443)),N(G443)&lt;=0)),"Opérateurs invalide","OK"))))))))))</f>
        <v/>
      </c>
      <c r="N443" s="71" t="str">
        <f>IF(AND(fiche_sel&lt;&gt;"",A443=fiche_sel),COUNTIF(A$6:A443,fiche_sel),"")</f>
        <v/>
      </c>
    </row>
    <row r="444">
      <c r="A444" s="60" t="n"/>
      <c r="B444" s="73" t="n"/>
      <c r="C444" s="60" t="n"/>
      <c r="D444" s="61" t="n"/>
      <c r="E444" s="74" t="n"/>
      <c r="F444" s="74" t="n"/>
      <c r="G444" s="73" t="n"/>
      <c r="H444" s="66" t="str">
        <f>IF(M444&lt;&gt;"OK","",INDEX(po_mo,MATCH(D444,po_code,0)))</f>
        <v/>
      </c>
      <c r="I444" s="66" t="str">
        <f>IF(M444&lt;&gt;"OK","",INDEX(po_mac,MATCH(D444,po_code,0)))</f>
        <v/>
      </c>
      <c r="J444" s="66" t="str">
        <f>IF(M444&lt;&gt;"OK","",N(E444)*(H444*IF(G444="",1,G444)+I444))</f>
        <v/>
      </c>
      <c r="K444" s="66" t="str">
        <f>IF(M444&lt;&gt;"OK","",N(F444)/60*H444*IF(G444="",1,G444))</f>
        <v/>
      </c>
      <c r="L444" s="66" t="str">
        <f>IF(M444&lt;&gt;"OK","",N(F444)/60*I444)</f>
        <v/>
      </c>
      <c r="M444" s="69" t="str">
        <f>IF(AND(A444="",D444=""),"",IF(A444="","Produit manquant",IF(COUNTIF(prod_ref,A444)=0,"Produit inconnu",IF(D444="","Poste manquant",IF(ISNA(MATCH(D444,po_code,0)),"Poste inconnu",IF(INDEX(po_check,MATCH(D444,po_code,0))&lt;&gt;"OK","Poste à corriger",IF(AND(E444&lt;&gt;"",OR(NOT(ISNUMBER(E444)),N(E444)&lt;0)),"Réglage invalide",IF(AND(F444&lt;&gt;"",OR(NOT(ISNUMBER(F444)),N(F444)&lt;0)),"Temps par pièce invalide",IF(N(E444)+N(F444)=0,"Temps manquant",IF(AND(G444&lt;&gt;"",OR(NOT(ISNUMBER(G444)),N(G444)&lt;=0)),"Opérateurs invalide","OK"))))))))))</f>
        <v/>
      </c>
      <c r="N444" s="71" t="str">
        <f>IF(AND(fiche_sel&lt;&gt;"",A444=fiche_sel),COUNTIF(A$6:A444,fiche_sel),"")</f>
        <v/>
      </c>
    </row>
    <row r="445">
      <c r="A445" s="60" t="n"/>
      <c r="B445" s="73" t="n"/>
      <c r="C445" s="60" t="n"/>
      <c r="D445" s="61" t="n"/>
      <c r="E445" s="74" t="n"/>
      <c r="F445" s="74" t="n"/>
      <c r="G445" s="73" t="n"/>
      <c r="H445" s="66" t="str">
        <f>IF(M445&lt;&gt;"OK","",INDEX(po_mo,MATCH(D445,po_code,0)))</f>
        <v/>
      </c>
      <c r="I445" s="66" t="str">
        <f>IF(M445&lt;&gt;"OK","",INDEX(po_mac,MATCH(D445,po_code,0)))</f>
        <v/>
      </c>
      <c r="J445" s="66" t="str">
        <f>IF(M445&lt;&gt;"OK","",N(E445)*(H445*IF(G445="",1,G445)+I445))</f>
        <v/>
      </c>
      <c r="K445" s="66" t="str">
        <f>IF(M445&lt;&gt;"OK","",N(F445)/60*H445*IF(G445="",1,G445))</f>
        <v/>
      </c>
      <c r="L445" s="66" t="str">
        <f>IF(M445&lt;&gt;"OK","",N(F445)/60*I445)</f>
        <v/>
      </c>
      <c r="M445" s="69" t="str">
        <f>IF(AND(A445="",D445=""),"",IF(A445="","Produit manquant",IF(COUNTIF(prod_ref,A445)=0,"Produit inconnu",IF(D445="","Poste manquant",IF(ISNA(MATCH(D445,po_code,0)),"Poste inconnu",IF(INDEX(po_check,MATCH(D445,po_code,0))&lt;&gt;"OK","Poste à corriger",IF(AND(E445&lt;&gt;"",OR(NOT(ISNUMBER(E445)),N(E445)&lt;0)),"Réglage invalide",IF(AND(F445&lt;&gt;"",OR(NOT(ISNUMBER(F445)),N(F445)&lt;0)),"Temps par pièce invalide",IF(N(E445)+N(F445)=0,"Temps manquant",IF(AND(G445&lt;&gt;"",OR(NOT(ISNUMBER(G445)),N(G445)&lt;=0)),"Opérateurs invalide","OK"))))))))))</f>
        <v/>
      </c>
      <c r="N445" s="71" t="str">
        <f>IF(AND(fiche_sel&lt;&gt;"",A445=fiche_sel),COUNTIF(A$6:A445,fiche_sel),"")</f>
        <v/>
      </c>
    </row>
    <row r="446">
      <c r="A446" s="60" t="n"/>
      <c r="B446" s="73" t="n"/>
      <c r="C446" s="60" t="n"/>
      <c r="D446" s="61" t="n"/>
      <c r="E446" s="74" t="n"/>
      <c r="F446" s="74" t="n"/>
      <c r="G446" s="73" t="n"/>
      <c r="H446" s="66" t="str">
        <f>IF(M446&lt;&gt;"OK","",INDEX(po_mo,MATCH(D446,po_code,0)))</f>
        <v/>
      </c>
      <c r="I446" s="66" t="str">
        <f>IF(M446&lt;&gt;"OK","",INDEX(po_mac,MATCH(D446,po_code,0)))</f>
        <v/>
      </c>
      <c r="J446" s="66" t="str">
        <f>IF(M446&lt;&gt;"OK","",N(E446)*(H446*IF(G446="",1,G446)+I446))</f>
        <v/>
      </c>
      <c r="K446" s="66" t="str">
        <f>IF(M446&lt;&gt;"OK","",N(F446)/60*H446*IF(G446="",1,G446))</f>
        <v/>
      </c>
      <c r="L446" s="66" t="str">
        <f>IF(M446&lt;&gt;"OK","",N(F446)/60*I446)</f>
        <v/>
      </c>
      <c r="M446" s="69" t="str">
        <f>IF(AND(A446="",D446=""),"",IF(A446="","Produit manquant",IF(COUNTIF(prod_ref,A446)=0,"Produit inconnu",IF(D446="","Poste manquant",IF(ISNA(MATCH(D446,po_code,0)),"Poste inconnu",IF(INDEX(po_check,MATCH(D446,po_code,0))&lt;&gt;"OK","Poste à corriger",IF(AND(E446&lt;&gt;"",OR(NOT(ISNUMBER(E446)),N(E446)&lt;0)),"Réglage invalide",IF(AND(F446&lt;&gt;"",OR(NOT(ISNUMBER(F446)),N(F446)&lt;0)),"Temps par pièce invalide",IF(N(E446)+N(F446)=0,"Temps manquant",IF(AND(G446&lt;&gt;"",OR(NOT(ISNUMBER(G446)),N(G446)&lt;=0)),"Opérateurs invalide","OK"))))))))))</f>
        <v/>
      </c>
      <c r="N446" s="71" t="str">
        <f>IF(AND(fiche_sel&lt;&gt;"",A446=fiche_sel),COUNTIF(A$6:A446,fiche_sel),"")</f>
        <v/>
      </c>
    </row>
    <row r="447">
      <c r="A447" s="60" t="n"/>
      <c r="B447" s="73" t="n"/>
      <c r="C447" s="60" t="n"/>
      <c r="D447" s="61" t="n"/>
      <c r="E447" s="74" t="n"/>
      <c r="F447" s="74" t="n"/>
      <c r="G447" s="73" t="n"/>
      <c r="H447" s="66" t="str">
        <f>IF(M447&lt;&gt;"OK","",INDEX(po_mo,MATCH(D447,po_code,0)))</f>
        <v/>
      </c>
      <c r="I447" s="66" t="str">
        <f>IF(M447&lt;&gt;"OK","",INDEX(po_mac,MATCH(D447,po_code,0)))</f>
        <v/>
      </c>
      <c r="J447" s="66" t="str">
        <f>IF(M447&lt;&gt;"OK","",N(E447)*(H447*IF(G447="",1,G447)+I447))</f>
        <v/>
      </c>
      <c r="K447" s="66" t="str">
        <f>IF(M447&lt;&gt;"OK","",N(F447)/60*H447*IF(G447="",1,G447))</f>
        <v/>
      </c>
      <c r="L447" s="66" t="str">
        <f>IF(M447&lt;&gt;"OK","",N(F447)/60*I447)</f>
        <v/>
      </c>
      <c r="M447" s="69" t="str">
        <f>IF(AND(A447="",D447=""),"",IF(A447="","Produit manquant",IF(COUNTIF(prod_ref,A447)=0,"Produit inconnu",IF(D447="","Poste manquant",IF(ISNA(MATCH(D447,po_code,0)),"Poste inconnu",IF(INDEX(po_check,MATCH(D447,po_code,0))&lt;&gt;"OK","Poste à corriger",IF(AND(E447&lt;&gt;"",OR(NOT(ISNUMBER(E447)),N(E447)&lt;0)),"Réglage invalide",IF(AND(F447&lt;&gt;"",OR(NOT(ISNUMBER(F447)),N(F447)&lt;0)),"Temps par pièce invalide",IF(N(E447)+N(F447)=0,"Temps manquant",IF(AND(G447&lt;&gt;"",OR(NOT(ISNUMBER(G447)),N(G447)&lt;=0)),"Opérateurs invalide","OK"))))))))))</f>
        <v/>
      </c>
      <c r="N447" s="71" t="str">
        <f>IF(AND(fiche_sel&lt;&gt;"",A447=fiche_sel),COUNTIF(A$6:A447,fiche_sel),"")</f>
        <v/>
      </c>
    </row>
    <row r="448">
      <c r="A448" s="60" t="n"/>
      <c r="B448" s="73" t="n"/>
      <c r="C448" s="60" t="n"/>
      <c r="D448" s="61" t="n"/>
      <c r="E448" s="74" t="n"/>
      <c r="F448" s="74" t="n"/>
      <c r="G448" s="73" t="n"/>
      <c r="H448" s="66" t="str">
        <f>IF(M448&lt;&gt;"OK","",INDEX(po_mo,MATCH(D448,po_code,0)))</f>
        <v/>
      </c>
      <c r="I448" s="66" t="str">
        <f>IF(M448&lt;&gt;"OK","",INDEX(po_mac,MATCH(D448,po_code,0)))</f>
        <v/>
      </c>
      <c r="J448" s="66" t="str">
        <f>IF(M448&lt;&gt;"OK","",N(E448)*(H448*IF(G448="",1,G448)+I448))</f>
        <v/>
      </c>
      <c r="K448" s="66" t="str">
        <f>IF(M448&lt;&gt;"OK","",N(F448)/60*H448*IF(G448="",1,G448))</f>
        <v/>
      </c>
      <c r="L448" s="66" t="str">
        <f>IF(M448&lt;&gt;"OK","",N(F448)/60*I448)</f>
        <v/>
      </c>
      <c r="M448" s="69" t="str">
        <f>IF(AND(A448="",D448=""),"",IF(A448="","Produit manquant",IF(COUNTIF(prod_ref,A448)=0,"Produit inconnu",IF(D448="","Poste manquant",IF(ISNA(MATCH(D448,po_code,0)),"Poste inconnu",IF(INDEX(po_check,MATCH(D448,po_code,0))&lt;&gt;"OK","Poste à corriger",IF(AND(E448&lt;&gt;"",OR(NOT(ISNUMBER(E448)),N(E448)&lt;0)),"Réglage invalide",IF(AND(F448&lt;&gt;"",OR(NOT(ISNUMBER(F448)),N(F448)&lt;0)),"Temps par pièce invalide",IF(N(E448)+N(F448)=0,"Temps manquant",IF(AND(G448&lt;&gt;"",OR(NOT(ISNUMBER(G448)),N(G448)&lt;=0)),"Opérateurs invalide","OK"))))))))))</f>
        <v/>
      </c>
      <c r="N448" s="71" t="str">
        <f>IF(AND(fiche_sel&lt;&gt;"",A448=fiche_sel),COUNTIF(A$6:A448,fiche_sel),"")</f>
        <v/>
      </c>
    </row>
    <row r="449">
      <c r="A449" s="60" t="n"/>
      <c r="B449" s="73" t="n"/>
      <c r="C449" s="60" t="n"/>
      <c r="D449" s="61" t="n"/>
      <c r="E449" s="74" t="n"/>
      <c r="F449" s="74" t="n"/>
      <c r="G449" s="73" t="n"/>
      <c r="H449" s="66" t="str">
        <f>IF(M449&lt;&gt;"OK","",INDEX(po_mo,MATCH(D449,po_code,0)))</f>
        <v/>
      </c>
      <c r="I449" s="66" t="str">
        <f>IF(M449&lt;&gt;"OK","",INDEX(po_mac,MATCH(D449,po_code,0)))</f>
        <v/>
      </c>
      <c r="J449" s="66" t="str">
        <f>IF(M449&lt;&gt;"OK","",N(E449)*(H449*IF(G449="",1,G449)+I449))</f>
        <v/>
      </c>
      <c r="K449" s="66" t="str">
        <f>IF(M449&lt;&gt;"OK","",N(F449)/60*H449*IF(G449="",1,G449))</f>
        <v/>
      </c>
      <c r="L449" s="66" t="str">
        <f>IF(M449&lt;&gt;"OK","",N(F449)/60*I449)</f>
        <v/>
      </c>
      <c r="M449" s="69" t="str">
        <f>IF(AND(A449="",D449=""),"",IF(A449="","Produit manquant",IF(COUNTIF(prod_ref,A449)=0,"Produit inconnu",IF(D449="","Poste manquant",IF(ISNA(MATCH(D449,po_code,0)),"Poste inconnu",IF(INDEX(po_check,MATCH(D449,po_code,0))&lt;&gt;"OK","Poste à corriger",IF(AND(E449&lt;&gt;"",OR(NOT(ISNUMBER(E449)),N(E449)&lt;0)),"Réglage invalide",IF(AND(F449&lt;&gt;"",OR(NOT(ISNUMBER(F449)),N(F449)&lt;0)),"Temps par pièce invalide",IF(N(E449)+N(F449)=0,"Temps manquant",IF(AND(G449&lt;&gt;"",OR(NOT(ISNUMBER(G449)),N(G449)&lt;=0)),"Opérateurs invalide","OK"))))))))))</f>
        <v/>
      </c>
      <c r="N449" s="71" t="str">
        <f>IF(AND(fiche_sel&lt;&gt;"",A449=fiche_sel),COUNTIF(A$6:A449,fiche_sel),"")</f>
        <v/>
      </c>
    </row>
    <row r="450">
      <c r="A450" s="60" t="n"/>
      <c r="B450" s="73" t="n"/>
      <c r="C450" s="60" t="n"/>
      <c r="D450" s="61" t="n"/>
      <c r="E450" s="74" t="n"/>
      <c r="F450" s="74" t="n"/>
      <c r="G450" s="73" t="n"/>
      <c r="H450" s="66" t="str">
        <f>IF(M450&lt;&gt;"OK","",INDEX(po_mo,MATCH(D450,po_code,0)))</f>
        <v/>
      </c>
      <c r="I450" s="66" t="str">
        <f>IF(M450&lt;&gt;"OK","",INDEX(po_mac,MATCH(D450,po_code,0)))</f>
        <v/>
      </c>
      <c r="J450" s="66" t="str">
        <f>IF(M450&lt;&gt;"OK","",N(E450)*(H450*IF(G450="",1,G450)+I450))</f>
        <v/>
      </c>
      <c r="K450" s="66" t="str">
        <f>IF(M450&lt;&gt;"OK","",N(F450)/60*H450*IF(G450="",1,G450))</f>
        <v/>
      </c>
      <c r="L450" s="66" t="str">
        <f>IF(M450&lt;&gt;"OK","",N(F450)/60*I450)</f>
        <v/>
      </c>
      <c r="M450" s="69" t="str">
        <f>IF(AND(A450="",D450=""),"",IF(A450="","Produit manquant",IF(COUNTIF(prod_ref,A450)=0,"Produit inconnu",IF(D450="","Poste manquant",IF(ISNA(MATCH(D450,po_code,0)),"Poste inconnu",IF(INDEX(po_check,MATCH(D450,po_code,0))&lt;&gt;"OK","Poste à corriger",IF(AND(E450&lt;&gt;"",OR(NOT(ISNUMBER(E450)),N(E450)&lt;0)),"Réglage invalide",IF(AND(F450&lt;&gt;"",OR(NOT(ISNUMBER(F450)),N(F450)&lt;0)),"Temps par pièce invalide",IF(N(E450)+N(F450)=0,"Temps manquant",IF(AND(G450&lt;&gt;"",OR(NOT(ISNUMBER(G450)),N(G450)&lt;=0)),"Opérateurs invalide","OK"))))))))))</f>
        <v/>
      </c>
      <c r="N450" s="71" t="str">
        <f>IF(AND(fiche_sel&lt;&gt;"",A450=fiche_sel),COUNTIF(A$6:A450,fiche_sel),"")</f>
        <v/>
      </c>
    </row>
    <row r="451">
      <c r="A451" s="60" t="n"/>
      <c r="B451" s="73" t="n"/>
      <c r="C451" s="60" t="n"/>
      <c r="D451" s="61" t="n"/>
      <c r="E451" s="74" t="n"/>
      <c r="F451" s="74" t="n"/>
      <c r="G451" s="73" t="n"/>
      <c r="H451" s="66" t="str">
        <f>IF(M451&lt;&gt;"OK","",INDEX(po_mo,MATCH(D451,po_code,0)))</f>
        <v/>
      </c>
      <c r="I451" s="66" t="str">
        <f>IF(M451&lt;&gt;"OK","",INDEX(po_mac,MATCH(D451,po_code,0)))</f>
        <v/>
      </c>
      <c r="J451" s="66" t="str">
        <f>IF(M451&lt;&gt;"OK","",N(E451)*(H451*IF(G451="",1,G451)+I451))</f>
        <v/>
      </c>
      <c r="K451" s="66" t="str">
        <f>IF(M451&lt;&gt;"OK","",N(F451)/60*H451*IF(G451="",1,G451))</f>
        <v/>
      </c>
      <c r="L451" s="66" t="str">
        <f>IF(M451&lt;&gt;"OK","",N(F451)/60*I451)</f>
        <v/>
      </c>
      <c r="M451" s="69" t="str">
        <f>IF(AND(A451="",D451=""),"",IF(A451="","Produit manquant",IF(COUNTIF(prod_ref,A451)=0,"Produit inconnu",IF(D451="","Poste manquant",IF(ISNA(MATCH(D451,po_code,0)),"Poste inconnu",IF(INDEX(po_check,MATCH(D451,po_code,0))&lt;&gt;"OK","Poste à corriger",IF(AND(E451&lt;&gt;"",OR(NOT(ISNUMBER(E451)),N(E451)&lt;0)),"Réglage invalide",IF(AND(F451&lt;&gt;"",OR(NOT(ISNUMBER(F451)),N(F451)&lt;0)),"Temps par pièce invalide",IF(N(E451)+N(F451)=0,"Temps manquant",IF(AND(G451&lt;&gt;"",OR(NOT(ISNUMBER(G451)),N(G451)&lt;=0)),"Opérateurs invalide","OK"))))))))))</f>
        <v/>
      </c>
      <c r="N451" s="71" t="str">
        <f>IF(AND(fiche_sel&lt;&gt;"",A451=fiche_sel),COUNTIF(A$6:A451,fiche_sel),"")</f>
        <v/>
      </c>
    </row>
    <row r="452">
      <c r="A452" s="60" t="n"/>
      <c r="B452" s="73" t="n"/>
      <c r="C452" s="60" t="n"/>
      <c r="D452" s="61" t="n"/>
      <c r="E452" s="74" t="n"/>
      <c r="F452" s="74" t="n"/>
      <c r="G452" s="73" t="n"/>
      <c r="H452" s="66" t="str">
        <f>IF(M452&lt;&gt;"OK","",INDEX(po_mo,MATCH(D452,po_code,0)))</f>
        <v/>
      </c>
      <c r="I452" s="66" t="str">
        <f>IF(M452&lt;&gt;"OK","",INDEX(po_mac,MATCH(D452,po_code,0)))</f>
        <v/>
      </c>
      <c r="J452" s="66" t="str">
        <f>IF(M452&lt;&gt;"OK","",N(E452)*(H452*IF(G452="",1,G452)+I452))</f>
        <v/>
      </c>
      <c r="K452" s="66" t="str">
        <f>IF(M452&lt;&gt;"OK","",N(F452)/60*H452*IF(G452="",1,G452))</f>
        <v/>
      </c>
      <c r="L452" s="66" t="str">
        <f>IF(M452&lt;&gt;"OK","",N(F452)/60*I452)</f>
        <v/>
      </c>
      <c r="M452" s="69" t="str">
        <f>IF(AND(A452="",D452=""),"",IF(A452="","Produit manquant",IF(COUNTIF(prod_ref,A452)=0,"Produit inconnu",IF(D452="","Poste manquant",IF(ISNA(MATCH(D452,po_code,0)),"Poste inconnu",IF(INDEX(po_check,MATCH(D452,po_code,0))&lt;&gt;"OK","Poste à corriger",IF(AND(E452&lt;&gt;"",OR(NOT(ISNUMBER(E452)),N(E452)&lt;0)),"Réglage invalide",IF(AND(F452&lt;&gt;"",OR(NOT(ISNUMBER(F452)),N(F452)&lt;0)),"Temps par pièce invalide",IF(N(E452)+N(F452)=0,"Temps manquant",IF(AND(G452&lt;&gt;"",OR(NOT(ISNUMBER(G452)),N(G452)&lt;=0)),"Opérateurs invalide","OK"))))))))))</f>
        <v/>
      </c>
      <c r="N452" s="71" t="str">
        <f>IF(AND(fiche_sel&lt;&gt;"",A452=fiche_sel),COUNTIF(A$6:A452,fiche_sel),"")</f>
        <v/>
      </c>
    </row>
    <row r="453">
      <c r="A453" s="60" t="n"/>
      <c r="B453" s="73" t="n"/>
      <c r="C453" s="60" t="n"/>
      <c r="D453" s="61" t="n"/>
      <c r="E453" s="74" t="n"/>
      <c r="F453" s="74" t="n"/>
      <c r="G453" s="73" t="n"/>
      <c r="H453" s="66" t="str">
        <f>IF(M453&lt;&gt;"OK","",INDEX(po_mo,MATCH(D453,po_code,0)))</f>
        <v/>
      </c>
      <c r="I453" s="66" t="str">
        <f>IF(M453&lt;&gt;"OK","",INDEX(po_mac,MATCH(D453,po_code,0)))</f>
        <v/>
      </c>
      <c r="J453" s="66" t="str">
        <f>IF(M453&lt;&gt;"OK","",N(E453)*(H453*IF(G453="",1,G453)+I453))</f>
        <v/>
      </c>
      <c r="K453" s="66" t="str">
        <f>IF(M453&lt;&gt;"OK","",N(F453)/60*H453*IF(G453="",1,G453))</f>
        <v/>
      </c>
      <c r="L453" s="66" t="str">
        <f>IF(M453&lt;&gt;"OK","",N(F453)/60*I453)</f>
        <v/>
      </c>
      <c r="M453" s="69" t="str">
        <f>IF(AND(A453="",D453=""),"",IF(A453="","Produit manquant",IF(COUNTIF(prod_ref,A453)=0,"Produit inconnu",IF(D453="","Poste manquant",IF(ISNA(MATCH(D453,po_code,0)),"Poste inconnu",IF(INDEX(po_check,MATCH(D453,po_code,0))&lt;&gt;"OK","Poste à corriger",IF(AND(E453&lt;&gt;"",OR(NOT(ISNUMBER(E453)),N(E453)&lt;0)),"Réglage invalide",IF(AND(F453&lt;&gt;"",OR(NOT(ISNUMBER(F453)),N(F453)&lt;0)),"Temps par pièce invalide",IF(N(E453)+N(F453)=0,"Temps manquant",IF(AND(G453&lt;&gt;"",OR(NOT(ISNUMBER(G453)),N(G453)&lt;=0)),"Opérateurs invalide","OK"))))))))))</f>
        <v/>
      </c>
      <c r="N453" s="71" t="str">
        <f>IF(AND(fiche_sel&lt;&gt;"",A453=fiche_sel),COUNTIF(A$6:A453,fiche_sel),"")</f>
        <v/>
      </c>
    </row>
    <row r="454">
      <c r="A454" s="60" t="n"/>
      <c r="B454" s="73" t="n"/>
      <c r="C454" s="60" t="n"/>
      <c r="D454" s="61" t="n"/>
      <c r="E454" s="74" t="n"/>
      <c r="F454" s="74" t="n"/>
      <c r="G454" s="73" t="n"/>
      <c r="H454" s="66" t="str">
        <f>IF(M454&lt;&gt;"OK","",INDEX(po_mo,MATCH(D454,po_code,0)))</f>
        <v/>
      </c>
      <c r="I454" s="66" t="str">
        <f>IF(M454&lt;&gt;"OK","",INDEX(po_mac,MATCH(D454,po_code,0)))</f>
        <v/>
      </c>
      <c r="J454" s="66" t="str">
        <f>IF(M454&lt;&gt;"OK","",N(E454)*(H454*IF(G454="",1,G454)+I454))</f>
        <v/>
      </c>
      <c r="K454" s="66" t="str">
        <f>IF(M454&lt;&gt;"OK","",N(F454)/60*H454*IF(G454="",1,G454))</f>
        <v/>
      </c>
      <c r="L454" s="66" t="str">
        <f>IF(M454&lt;&gt;"OK","",N(F454)/60*I454)</f>
        <v/>
      </c>
      <c r="M454" s="69" t="str">
        <f>IF(AND(A454="",D454=""),"",IF(A454="","Produit manquant",IF(COUNTIF(prod_ref,A454)=0,"Produit inconnu",IF(D454="","Poste manquant",IF(ISNA(MATCH(D454,po_code,0)),"Poste inconnu",IF(INDEX(po_check,MATCH(D454,po_code,0))&lt;&gt;"OK","Poste à corriger",IF(AND(E454&lt;&gt;"",OR(NOT(ISNUMBER(E454)),N(E454)&lt;0)),"Réglage invalide",IF(AND(F454&lt;&gt;"",OR(NOT(ISNUMBER(F454)),N(F454)&lt;0)),"Temps par pièce invalide",IF(N(E454)+N(F454)=0,"Temps manquant",IF(AND(G454&lt;&gt;"",OR(NOT(ISNUMBER(G454)),N(G454)&lt;=0)),"Opérateurs invalide","OK"))))))))))</f>
        <v/>
      </c>
      <c r="N454" s="71" t="str">
        <f>IF(AND(fiche_sel&lt;&gt;"",A454=fiche_sel),COUNTIF(A$6:A454,fiche_sel),"")</f>
        <v/>
      </c>
    </row>
    <row r="455">
      <c r="A455" s="60" t="n"/>
      <c r="B455" s="73" t="n"/>
      <c r="C455" s="60" t="n"/>
      <c r="D455" s="61" t="n"/>
      <c r="E455" s="74" t="n"/>
      <c r="F455" s="74" t="n"/>
      <c r="G455" s="73" t="n"/>
      <c r="H455" s="66" t="str">
        <f>IF(M455&lt;&gt;"OK","",INDEX(po_mo,MATCH(D455,po_code,0)))</f>
        <v/>
      </c>
      <c r="I455" s="66" t="str">
        <f>IF(M455&lt;&gt;"OK","",INDEX(po_mac,MATCH(D455,po_code,0)))</f>
        <v/>
      </c>
      <c r="J455" s="66" t="str">
        <f>IF(M455&lt;&gt;"OK","",N(E455)*(H455*IF(G455="",1,G455)+I455))</f>
        <v/>
      </c>
      <c r="K455" s="66" t="str">
        <f>IF(M455&lt;&gt;"OK","",N(F455)/60*H455*IF(G455="",1,G455))</f>
        <v/>
      </c>
      <c r="L455" s="66" t="str">
        <f>IF(M455&lt;&gt;"OK","",N(F455)/60*I455)</f>
        <v/>
      </c>
      <c r="M455" s="69" t="str">
        <f>IF(AND(A455="",D455=""),"",IF(A455="","Produit manquant",IF(COUNTIF(prod_ref,A455)=0,"Produit inconnu",IF(D455="","Poste manquant",IF(ISNA(MATCH(D455,po_code,0)),"Poste inconnu",IF(INDEX(po_check,MATCH(D455,po_code,0))&lt;&gt;"OK","Poste à corriger",IF(AND(E455&lt;&gt;"",OR(NOT(ISNUMBER(E455)),N(E455)&lt;0)),"Réglage invalide",IF(AND(F455&lt;&gt;"",OR(NOT(ISNUMBER(F455)),N(F455)&lt;0)),"Temps par pièce invalide",IF(N(E455)+N(F455)=0,"Temps manquant",IF(AND(G455&lt;&gt;"",OR(NOT(ISNUMBER(G455)),N(G455)&lt;=0)),"Opérateurs invalide","OK"))))))))))</f>
        <v/>
      </c>
      <c r="N455" s="71" t="str">
        <f>IF(AND(fiche_sel&lt;&gt;"",A455=fiche_sel),COUNTIF(A$6:A455,fiche_sel),"")</f>
        <v/>
      </c>
    </row>
    <row r="456">
      <c r="A456" s="60" t="n"/>
      <c r="B456" s="73" t="n"/>
      <c r="C456" s="60" t="n"/>
      <c r="D456" s="61" t="n"/>
      <c r="E456" s="74" t="n"/>
      <c r="F456" s="74" t="n"/>
      <c r="G456" s="73" t="n"/>
      <c r="H456" s="66" t="str">
        <f>IF(M456&lt;&gt;"OK","",INDEX(po_mo,MATCH(D456,po_code,0)))</f>
        <v/>
      </c>
      <c r="I456" s="66" t="str">
        <f>IF(M456&lt;&gt;"OK","",INDEX(po_mac,MATCH(D456,po_code,0)))</f>
        <v/>
      </c>
      <c r="J456" s="66" t="str">
        <f>IF(M456&lt;&gt;"OK","",N(E456)*(H456*IF(G456="",1,G456)+I456))</f>
        <v/>
      </c>
      <c r="K456" s="66" t="str">
        <f>IF(M456&lt;&gt;"OK","",N(F456)/60*H456*IF(G456="",1,G456))</f>
        <v/>
      </c>
      <c r="L456" s="66" t="str">
        <f>IF(M456&lt;&gt;"OK","",N(F456)/60*I456)</f>
        <v/>
      </c>
      <c r="M456" s="69" t="str">
        <f>IF(AND(A456="",D456=""),"",IF(A456="","Produit manquant",IF(COUNTIF(prod_ref,A456)=0,"Produit inconnu",IF(D456="","Poste manquant",IF(ISNA(MATCH(D456,po_code,0)),"Poste inconnu",IF(INDEX(po_check,MATCH(D456,po_code,0))&lt;&gt;"OK","Poste à corriger",IF(AND(E456&lt;&gt;"",OR(NOT(ISNUMBER(E456)),N(E456)&lt;0)),"Réglage invalide",IF(AND(F456&lt;&gt;"",OR(NOT(ISNUMBER(F456)),N(F456)&lt;0)),"Temps par pièce invalide",IF(N(E456)+N(F456)=0,"Temps manquant",IF(AND(G456&lt;&gt;"",OR(NOT(ISNUMBER(G456)),N(G456)&lt;=0)),"Opérateurs invalide","OK"))))))))))</f>
        <v/>
      </c>
      <c r="N456" s="71" t="str">
        <f>IF(AND(fiche_sel&lt;&gt;"",A456=fiche_sel),COUNTIF(A$6:A456,fiche_sel),"")</f>
        <v/>
      </c>
    </row>
    <row r="457">
      <c r="A457" s="60" t="n"/>
      <c r="B457" s="73" t="n"/>
      <c r="C457" s="60" t="n"/>
      <c r="D457" s="61" t="n"/>
      <c r="E457" s="74" t="n"/>
      <c r="F457" s="74" t="n"/>
      <c r="G457" s="73" t="n"/>
      <c r="H457" s="66" t="str">
        <f>IF(M457&lt;&gt;"OK","",INDEX(po_mo,MATCH(D457,po_code,0)))</f>
        <v/>
      </c>
      <c r="I457" s="66" t="str">
        <f>IF(M457&lt;&gt;"OK","",INDEX(po_mac,MATCH(D457,po_code,0)))</f>
        <v/>
      </c>
      <c r="J457" s="66" t="str">
        <f>IF(M457&lt;&gt;"OK","",N(E457)*(H457*IF(G457="",1,G457)+I457))</f>
        <v/>
      </c>
      <c r="K457" s="66" t="str">
        <f>IF(M457&lt;&gt;"OK","",N(F457)/60*H457*IF(G457="",1,G457))</f>
        <v/>
      </c>
      <c r="L457" s="66" t="str">
        <f>IF(M457&lt;&gt;"OK","",N(F457)/60*I457)</f>
        <v/>
      </c>
      <c r="M457" s="69" t="str">
        <f>IF(AND(A457="",D457=""),"",IF(A457="","Produit manquant",IF(COUNTIF(prod_ref,A457)=0,"Produit inconnu",IF(D457="","Poste manquant",IF(ISNA(MATCH(D457,po_code,0)),"Poste inconnu",IF(INDEX(po_check,MATCH(D457,po_code,0))&lt;&gt;"OK","Poste à corriger",IF(AND(E457&lt;&gt;"",OR(NOT(ISNUMBER(E457)),N(E457)&lt;0)),"Réglage invalide",IF(AND(F457&lt;&gt;"",OR(NOT(ISNUMBER(F457)),N(F457)&lt;0)),"Temps par pièce invalide",IF(N(E457)+N(F457)=0,"Temps manquant",IF(AND(G457&lt;&gt;"",OR(NOT(ISNUMBER(G457)),N(G457)&lt;=0)),"Opérateurs invalide","OK"))))))))))</f>
        <v/>
      </c>
      <c r="N457" s="71" t="str">
        <f>IF(AND(fiche_sel&lt;&gt;"",A457=fiche_sel),COUNTIF(A$6:A457,fiche_sel),"")</f>
        <v/>
      </c>
    </row>
    <row r="458">
      <c r="A458" s="60" t="n"/>
      <c r="B458" s="73" t="n"/>
      <c r="C458" s="60" t="n"/>
      <c r="D458" s="61" t="n"/>
      <c r="E458" s="74" t="n"/>
      <c r="F458" s="74" t="n"/>
      <c r="G458" s="73" t="n"/>
      <c r="H458" s="66" t="str">
        <f>IF(M458&lt;&gt;"OK","",INDEX(po_mo,MATCH(D458,po_code,0)))</f>
        <v/>
      </c>
      <c r="I458" s="66" t="str">
        <f>IF(M458&lt;&gt;"OK","",INDEX(po_mac,MATCH(D458,po_code,0)))</f>
        <v/>
      </c>
      <c r="J458" s="66" t="str">
        <f>IF(M458&lt;&gt;"OK","",N(E458)*(H458*IF(G458="",1,G458)+I458))</f>
        <v/>
      </c>
      <c r="K458" s="66" t="str">
        <f>IF(M458&lt;&gt;"OK","",N(F458)/60*H458*IF(G458="",1,G458))</f>
        <v/>
      </c>
      <c r="L458" s="66" t="str">
        <f>IF(M458&lt;&gt;"OK","",N(F458)/60*I458)</f>
        <v/>
      </c>
      <c r="M458" s="69" t="str">
        <f>IF(AND(A458="",D458=""),"",IF(A458="","Produit manquant",IF(COUNTIF(prod_ref,A458)=0,"Produit inconnu",IF(D458="","Poste manquant",IF(ISNA(MATCH(D458,po_code,0)),"Poste inconnu",IF(INDEX(po_check,MATCH(D458,po_code,0))&lt;&gt;"OK","Poste à corriger",IF(AND(E458&lt;&gt;"",OR(NOT(ISNUMBER(E458)),N(E458)&lt;0)),"Réglage invalide",IF(AND(F458&lt;&gt;"",OR(NOT(ISNUMBER(F458)),N(F458)&lt;0)),"Temps par pièce invalide",IF(N(E458)+N(F458)=0,"Temps manquant",IF(AND(G458&lt;&gt;"",OR(NOT(ISNUMBER(G458)),N(G458)&lt;=0)),"Opérateurs invalide","OK"))))))))))</f>
        <v/>
      </c>
      <c r="N458" s="71" t="str">
        <f>IF(AND(fiche_sel&lt;&gt;"",A458=fiche_sel),COUNTIF(A$6:A458,fiche_sel),"")</f>
        <v/>
      </c>
    </row>
    <row r="459">
      <c r="A459" s="60" t="n"/>
      <c r="B459" s="73" t="n"/>
      <c r="C459" s="60" t="n"/>
      <c r="D459" s="61" t="n"/>
      <c r="E459" s="74" t="n"/>
      <c r="F459" s="74" t="n"/>
      <c r="G459" s="73" t="n"/>
      <c r="H459" s="66" t="str">
        <f>IF(M459&lt;&gt;"OK","",INDEX(po_mo,MATCH(D459,po_code,0)))</f>
        <v/>
      </c>
      <c r="I459" s="66" t="str">
        <f>IF(M459&lt;&gt;"OK","",INDEX(po_mac,MATCH(D459,po_code,0)))</f>
        <v/>
      </c>
      <c r="J459" s="66" t="str">
        <f>IF(M459&lt;&gt;"OK","",N(E459)*(H459*IF(G459="",1,G459)+I459))</f>
        <v/>
      </c>
      <c r="K459" s="66" t="str">
        <f>IF(M459&lt;&gt;"OK","",N(F459)/60*H459*IF(G459="",1,G459))</f>
        <v/>
      </c>
      <c r="L459" s="66" t="str">
        <f>IF(M459&lt;&gt;"OK","",N(F459)/60*I459)</f>
        <v/>
      </c>
      <c r="M459" s="69" t="str">
        <f>IF(AND(A459="",D459=""),"",IF(A459="","Produit manquant",IF(COUNTIF(prod_ref,A459)=0,"Produit inconnu",IF(D459="","Poste manquant",IF(ISNA(MATCH(D459,po_code,0)),"Poste inconnu",IF(INDEX(po_check,MATCH(D459,po_code,0))&lt;&gt;"OK","Poste à corriger",IF(AND(E459&lt;&gt;"",OR(NOT(ISNUMBER(E459)),N(E459)&lt;0)),"Réglage invalide",IF(AND(F459&lt;&gt;"",OR(NOT(ISNUMBER(F459)),N(F459)&lt;0)),"Temps par pièce invalide",IF(N(E459)+N(F459)=0,"Temps manquant",IF(AND(G459&lt;&gt;"",OR(NOT(ISNUMBER(G459)),N(G459)&lt;=0)),"Opérateurs invalide","OK"))))))))))</f>
        <v/>
      </c>
      <c r="N459" s="71" t="str">
        <f>IF(AND(fiche_sel&lt;&gt;"",A459=fiche_sel),COUNTIF(A$6:A459,fiche_sel),"")</f>
        <v/>
      </c>
    </row>
    <row r="460">
      <c r="A460" s="60" t="n"/>
      <c r="B460" s="73" t="n"/>
      <c r="C460" s="60" t="n"/>
      <c r="D460" s="61" t="n"/>
      <c r="E460" s="74" t="n"/>
      <c r="F460" s="74" t="n"/>
      <c r="G460" s="73" t="n"/>
      <c r="H460" s="66" t="str">
        <f>IF(M460&lt;&gt;"OK","",INDEX(po_mo,MATCH(D460,po_code,0)))</f>
        <v/>
      </c>
      <c r="I460" s="66" t="str">
        <f>IF(M460&lt;&gt;"OK","",INDEX(po_mac,MATCH(D460,po_code,0)))</f>
        <v/>
      </c>
      <c r="J460" s="66" t="str">
        <f>IF(M460&lt;&gt;"OK","",N(E460)*(H460*IF(G460="",1,G460)+I460))</f>
        <v/>
      </c>
      <c r="K460" s="66" t="str">
        <f>IF(M460&lt;&gt;"OK","",N(F460)/60*H460*IF(G460="",1,G460))</f>
        <v/>
      </c>
      <c r="L460" s="66" t="str">
        <f>IF(M460&lt;&gt;"OK","",N(F460)/60*I460)</f>
        <v/>
      </c>
      <c r="M460" s="69" t="str">
        <f>IF(AND(A460="",D460=""),"",IF(A460="","Produit manquant",IF(COUNTIF(prod_ref,A460)=0,"Produit inconnu",IF(D460="","Poste manquant",IF(ISNA(MATCH(D460,po_code,0)),"Poste inconnu",IF(INDEX(po_check,MATCH(D460,po_code,0))&lt;&gt;"OK","Poste à corriger",IF(AND(E460&lt;&gt;"",OR(NOT(ISNUMBER(E460)),N(E460)&lt;0)),"Réglage invalide",IF(AND(F460&lt;&gt;"",OR(NOT(ISNUMBER(F460)),N(F460)&lt;0)),"Temps par pièce invalide",IF(N(E460)+N(F460)=0,"Temps manquant",IF(AND(G460&lt;&gt;"",OR(NOT(ISNUMBER(G460)),N(G460)&lt;=0)),"Opérateurs invalide","OK"))))))))))</f>
        <v/>
      </c>
      <c r="N460" s="71" t="str">
        <f>IF(AND(fiche_sel&lt;&gt;"",A460=fiche_sel),COUNTIF(A$6:A460,fiche_sel),"")</f>
        <v/>
      </c>
    </row>
    <row r="461">
      <c r="A461" s="60" t="n"/>
      <c r="B461" s="73" t="n"/>
      <c r="C461" s="60" t="n"/>
      <c r="D461" s="61" t="n"/>
      <c r="E461" s="74" t="n"/>
      <c r="F461" s="74" t="n"/>
      <c r="G461" s="73" t="n"/>
      <c r="H461" s="66" t="str">
        <f>IF(M461&lt;&gt;"OK","",INDEX(po_mo,MATCH(D461,po_code,0)))</f>
        <v/>
      </c>
      <c r="I461" s="66" t="str">
        <f>IF(M461&lt;&gt;"OK","",INDEX(po_mac,MATCH(D461,po_code,0)))</f>
        <v/>
      </c>
      <c r="J461" s="66" t="str">
        <f>IF(M461&lt;&gt;"OK","",N(E461)*(H461*IF(G461="",1,G461)+I461))</f>
        <v/>
      </c>
      <c r="K461" s="66" t="str">
        <f>IF(M461&lt;&gt;"OK","",N(F461)/60*H461*IF(G461="",1,G461))</f>
        <v/>
      </c>
      <c r="L461" s="66" t="str">
        <f>IF(M461&lt;&gt;"OK","",N(F461)/60*I461)</f>
        <v/>
      </c>
      <c r="M461" s="69" t="str">
        <f>IF(AND(A461="",D461=""),"",IF(A461="","Produit manquant",IF(COUNTIF(prod_ref,A461)=0,"Produit inconnu",IF(D461="","Poste manquant",IF(ISNA(MATCH(D461,po_code,0)),"Poste inconnu",IF(INDEX(po_check,MATCH(D461,po_code,0))&lt;&gt;"OK","Poste à corriger",IF(AND(E461&lt;&gt;"",OR(NOT(ISNUMBER(E461)),N(E461)&lt;0)),"Réglage invalide",IF(AND(F461&lt;&gt;"",OR(NOT(ISNUMBER(F461)),N(F461)&lt;0)),"Temps par pièce invalide",IF(N(E461)+N(F461)=0,"Temps manquant",IF(AND(G461&lt;&gt;"",OR(NOT(ISNUMBER(G461)),N(G461)&lt;=0)),"Opérateurs invalide","OK"))))))))))</f>
        <v/>
      </c>
      <c r="N461" s="71" t="str">
        <f>IF(AND(fiche_sel&lt;&gt;"",A461=fiche_sel),COUNTIF(A$6:A461,fiche_sel),"")</f>
        <v/>
      </c>
    </row>
    <row r="462">
      <c r="A462" s="60" t="n"/>
      <c r="B462" s="73" t="n"/>
      <c r="C462" s="60" t="n"/>
      <c r="D462" s="61" t="n"/>
      <c r="E462" s="74" t="n"/>
      <c r="F462" s="74" t="n"/>
      <c r="G462" s="73" t="n"/>
      <c r="H462" s="66" t="str">
        <f>IF(M462&lt;&gt;"OK","",INDEX(po_mo,MATCH(D462,po_code,0)))</f>
        <v/>
      </c>
      <c r="I462" s="66" t="str">
        <f>IF(M462&lt;&gt;"OK","",INDEX(po_mac,MATCH(D462,po_code,0)))</f>
        <v/>
      </c>
      <c r="J462" s="66" t="str">
        <f>IF(M462&lt;&gt;"OK","",N(E462)*(H462*IF(G462="",1,G462)+I462))</f>
        <v/>
      </c>
      <c r="K462" s="66" t="str">
        <f>IF(M462&lt;&gt;"OK","",N(F462)/60*H462*IF(G462="",1,G462))</f>
        <v/>
      </c>
      <c r="L462" s="66" t="str">
        <f>IF(M462&lt;&gt;"OK","",N(F462)/60*I462)</f>
        <v/>
      </c>
      <c r="M462" s="69" t="str">
        <f>IF(AND(A462="",D462=""),"",IF(A462="","Produit manquant",IF(COUNTIF(prod_ref,A462)=0,"Produit inconnu",IF(D462="","Poste manquant",IF(ISNA(MATCH(D462,po_code,0)),"Poste inconnu",IF(INDEX(po_check,MATCH(D462,po_code,0))&lt;&gt;"OK","Poste à corriger",IF(AND(E462&lt;&gt;"",OR(NOT(ISNUMBER(E462)),N(E462)&lt;0)),"Réglage invalide",IF(AND(F462&lt;&gt;"",OR(NOT(ISNUMBER(F462)),N(F462)&lt;0)),"Temps par pièce invalide",IF(N(E462)+N(F462)=0,"Temps manquant",IF(AND(G462&lt;&gt;"",OR(NOT(ISNUMBER(G462)),N(G462)&lt;=0)),"Opérateurs invalide","OK"))))))))))</f>
        <v/>
      </c>
      <c r="N462" s="71" t="str">
        <f>IF(AND(fiche_sel&lt;&gt;"",A462=fiche_sel),COUNTIF(A$6:A462,fiche_sel),"")</f>
        <v/>
      </c>
    </row>
    <row r="463">
      <c r="A463" s="60" t="n"/>
      <c r="B463" s="73" t="n"/>
      <c r="C463" s="60" t="n"/>
      <c r="D463" s="61" t="n"/>
      <c r="E463" s="74" t="n"/>
      <c r="F463" s="74" t="n"/>
      <c r="G463" s="73" t="n"/>
      <c r="H463" s="66" t="str">
        <f>IF(M463&lt;&gt;"OK","",INDEX(po_mo,MATCH(D463,po_code,0)))</f>
        <v/>
      </c>
      <c r="I463" s="66" t="str">
        <f>IF(M463&lt;&gt;"OK","",INDEX(po_mac,MATCH(D463,po_code,0)))</f>
        <v/>
      </c>
      <c r="J463" s="66" t="str">
        <f>IF(M463&lt;&gt;"OK","",N(E463)*(H463*IF(G463="",1,G463)+I463))</f>
        <v/>
      </c>
      <c r="K463" s="66" t="str">
        <f>IF(M463&lt;&gt;"OK","",N(F463)/60*H463*IF(G463="",1,G463))</f>
        <v/>
      </c>
      <c r="L463" s="66" t="str">
        <f>IF(M463&lt;&gt;"OK","",N(F463)/60*I463)</f>
        <v/>
      </c>
      <c r="M463" s="69" t="str">
        <f>IF(AND(A463="",D463=""),"",IF(A463="","Produit manquant",IF(COUNTIF(prod_ref,A463)=0,"Produit inconnu",IF(D463="","Poste manquant",IF(ISNA(MATCH(D463,po_code,0)),"Poste inconnu",IF(INDEX(po_check,MATCH(D463,po_code,0))&lt;&gt;"OK","Poste à corriger",IF(AND(E463&lt;&gt;"",OR(NOT(ISNUMBER(E463)),N(E463)&lt;0)),"Réglage invalide",IF(AND(F463&lt;&gt;"",OR(NOT(ISNUMBER(F463)),N(F463)&lt;0)),"Temps par pièce invalide",IF(N(E463)+N(F463)=0,"Temps manquant",IF(AND(G463&lt;&gt;"",OR(NOT(ISNUMBER(G463)),N(G463)&lt;=0)),"Opérateurs invalide","OK"))))))))))</f>
        <v/>
      </c>
      <c r="N463" s="71" t="str">
        <f>IF(AND(fiche_sel&lt;&gt;"",A463=fiche_sel),COUNTIF(A$6:A463,fiche_sel),"")</f>
        <v/>
      </c>
    </row>
    <row r="464">
      <c r="A464" s="60" t="n"/>
      <c r="B464" s="73" t="n"/>
      <c r="C464" s="60" t="n"/>
      <c r="D464" s="61" t="n"/>
      <c r="E464" s="74" t="n"/>
      <c r="F464" s="74" t="n"/>
      <c r="G464" s="73" t="n"/>
      <c r="H464" s="66" t="str">
        <f>IF(M464&lt;&gt;"OK","",INDEX(po_mo,MATCH(D464,po_code,0)))</f>
        <v/>
      </c>
      <c r="I464" s="66" t="str">
        <f>IF(M464&lt;&gt;"OK","",INDEX(po_mac,MATCH(D464,po_code,0)))</f>
        <v/>
      </c>
      <c r="J464" s="66" t="str">
        <f>IF(M464&lt;&gt;"OK","",N(E464)*(H464*IF(G464="",1,G464)+I464))</f>
        <v/>
      </c>
      <c r="K464" s="66" t="str">
        <f>IF(M464&lt;&gt;"OK","",N(F464)/60*H464*IF(G464="",1,G464))</f>
        <v/>
      </c>
      <c r="L464" s="66" t="str">
        <f>IF(M464&lt;&gt;"OK","",N(F464)/60*I464)</f>
        <v/>
      </c>
      <c r="M464" s="69" t="str">
        <f>IF(AND(A464="",D464=""),"",IF(A464="","Produit manquant",IF(COUNTIF(prod_ref,A464)=0,"Produit inconnu",IF(D464="","Poste manquant",IF(ISNA(MATCH(D464,po_code,0)),"Poste inconnu",IF(INDEX(po_check,MATCH(D464,po_code,0))&lt;&gt;"OK","Poste à corriger",IF(AND(E464&lt;&gt;"",OR(NOT(ISNUMBER(E464)),N(E464)&lt;0)),"Réglage invalide",IF(AND(F464&lt;&gt;"",OR(NOT(ISNUMBER(F464)),N(F464)&lt;0)),"Temps par pièce invalide",IF(N(E464)+N(F464)=0,"Temps manquant",IF(AND(G464&lt;&gt;"",OR(NOT(ISNUMBER(G464)),N(G464)&lt;=0)),"Opérateurs invalide","OK"))))))))))</f>
        <v/>
      </c>
      <c r="N464" s="71" t="str">
        <f>IF(AND(fiche_sel&lt;&gt;"",A464=fiche_sel),COUNTIF(A$6:A464,fiche_sel),"")</f>
        <v/>
      </c>
    </row>
    <row r="465">
      <c r="A465" s="60" t="n"/>
      <c r="B465" s="73" t="n"/>
      <c r="C465" s="60" t="n"/>
      <c r="D465" s="61" t="n"/>
      <c r="E465" s="74" t="n"/>
      <c r="F465" s="74" t="n"/>
      <c r="G465" s="73" t="n"/>
      <c r="H465" s="66" t="str">
        <f>IF(M465&lt;&gt;"OK","",INDEX(po_mo,MATCH(D465,po_code,0)))</f>
        <v/>
      </c>
      <c r="I465" s="66" t="str">
        <f>IF(M465&lt;&gt;"OK","",INDEX(po_mac,MATCH(D465,po_code,0)))</f>
        <v/>
      </c>
      <c r="J465" s="66" t="str">
        <f>IF(M465&lt;&gt;"OK","",N(E465)*(H465*IF(G465="",1,G465)+I465))</f>
        <v/>
      </c>
      <c r="K465" s="66" t="str">
        <f>IF(M465&lt;&gt;"OK","",N(F465)/60*H465*IF(G465="",1,G465))</f>
        <v/>
      </c>
      <c r="L465" s="66" t="str">
        <f>IF(M465&lt;&gt;"OK","",N(F465)/60*I465)</f>
        <v/>
      </c>
      <c r="M465" s="69" t="str">
        <f>IF(AND(A465="",D465=""),"",IF(A465="","Produit manquant",IF(COUNTIF(prod_ref,A465)=0,"Produit inconnu",IF(D465="","Poste manquant",IF(ISNA(MATCH(D465,po_code,0)),"Poste inconnu",IF(INDEX(po_check,MATCH(D465,po_code,0))&lt;&gt;"OK","Poste à corriger",IF(AND(E465&lt;&gt;"",OR(NOT(ISNUMBER(E465)),N(E465)&lt;0)),"Réglage invalide",IF(AND(F465&lt;&gt;"",OR(NOT(ISNUMBER(F465)),N(F465)&lt;0)),"Temps par pièce invalide",IF(N(E465)+N(F465)=0,"Temps manquant",IF(AND(G465&lt;&gt;"",OR(NOT(ISNUMBER(G465)),N(G465)&lt;=0)),"Opérateurs invalide","OK"))))))))))</f>
        <v/>
      </c>
      <c r="N465" s="71" t="str">
        <f>IF(AND(fiche_sel&lt;&gt;"",A465=fiche_sel),COUNTIF(A$6:A465,fiche_sel),"")</f>
        <v/>
      </c>
    </row>
    <row r="466">
      <c r="A466" s="60" t="n"/>
      <c r="B466" s="73" t="n"/>
      <c r="C466" s="60" t="n"/>
      <c r="D466" s="61" t="n"/>
      <c r="E466" s="74" t="n"/>
      <c r="F466" s="74" t="n"/>
      <c r="G466" s="73" t="n"/>
      <c r="H466" s="66" t="str">
        <f>IF(M466&lt;&gt;"OK","",INDEX(po_mo,MATCH(D466,po_code,0)))</f>
        <v/>
      </c>
      <c r="I466" s="66" t="str">
        <f>IF(M466&lt;&gt;"OK","",INDEX(po_mac,MATCH(D466,po_code,0)))</f>
        <v/>
      </c>
      <c r="J466" s="66" t="str">
        <f>IF(M466&lt;&gt;"OK","",N(E466)*(H466*IF(G466="",1,G466)+I466))</f>
        <v/>
      </c>
      <c r="K466" s="66" t="str">
        <f>IF(M466&lt;&gt;"OK","",N(F466)/60*H466*IF(G466="",1,G466))</f>
        <v/>
      </c>
      <c r="L466" s="66" t="str">
        <f>IF(M466&lt;&gt;"OK","",N(F466)/60*I466)</f>
        <v/>
      </c>
      <c r="M466" s="69" t="str">
        <f>IF(AND(A466="",D466=""),"",IF(A466="","Produit manquant",IF(COUNTIF(prod_ref,A466)=0,"Produit inconnu",IF(D466="","Poste manquant",IF(ISNA(MATCH(D466,po_code,0)),"Poste inconnu",IF(INDEX(po_check,MATCH(D466,po_code,0))&lt;&gt;"OK","Poste à corriger",IF(AND(E466&lt;&gt;"",OR(NOT(ISNUMBER(E466)),N(E466)&lt;0)),"Réglage invalide",IF(AND(F466&lt;&gt;"",OR(NOT(ISNUMBER(F466)),N(F466)&lt;0)),"Temps par pièce invalide",IF(N(E466)+N(F466)=0,"Temps manquant",IF(AND(G466&lt;&gt;"",OR(NOT(ISNUMBER(G466)),N(G466)&lt;=0)),"Opérateurs invalide","OK"))))))))))</f>
        <v/>
      </c>
      <c r="N466" s="71" t="str">
        <f>IF(AND(fiche_sel&lt;&gt;"",A466=fiche_sel),COUNTIF(A$6:A466,fiche_sel),"")</f>
        <v/>
      </c>
    </row>
    <row r="467">
      <c r="A467" s="60" t="n"/>
      <c r="B467" s="73" t="n"/>
      <c r="C467" s="60" t="n"/>
      <c r="D467" s="61" t="n"/>
      <c r="E467" s="74" t="n"/>
      <c r="F467" s="74" t="n"/>
      <c r="G467" s="73" t="n"/>
      <c r="H467" s="66" t="str">
        <f>IF(M467&lt;&gt;"OK","",INDEX(po_mo,MATCH(D467,po_code,0)))</f>
        <v/>
      </c>
      <c r="I467" s="66" t="str">
        <f>IF(M467&lt;&gt;"OK","",INDEX(po_mac,MATCH(D467,po_code,0)))</f>
        <v/>
      </c>
      <c r="J467" s="66" t="str">
        <f>IF(M467&lt;&gt;"OK","",N(E467)*(H467*IF(G467="",1,G467)+I467))</f>
        <v/>
      </c>
      <c r="K467" s="66" t="str">
        <f>IF(M467&lt;&gt;"OK","",N(F467)/60*H467*IF(G467="",1,G467))</f>
        <v/>
      </c>
      <c r="L467" s="66" t="str">
        <f>IF(M467&lt;&gt;"OK","",N(F467)/60*I467)</f>
        <v/>
      </c>
      <c r="M467" s="69" t="str">
        <f>IF(AND(A467="",D467=""),"",IF(A467="","Produit manquant",IF(COUNTIF(prod_ref,A467)=0,"Produit inconnu",IF(D467="","Poste manquant",IF(ISNA(MATCH(D467,po_code,0)),"Poste inconnu",IF(INDEX(po_check,MATCH(D467,po_code,0))&lt;&gt;"OK","Poste à corriger",IF(AND(E467&lt;&gt;"",OR(NOT(ISNUMBER(E467)),N(E467)&lt;0)),"Réglage invalide",IF(AND(F467&lt;&gt;"",OR(NOT(ISNUMBER(F467)),N(F467)&lt;0)),"Temps par pièce invalide",IF(N(E467)+N(F467)=0,"Temps manquant",IF(AND(G467&lt;&gt;"",OR(NOT(ISNUMBER(G467)),N(G467)&lt;=0)),"Opérateurs invalide","OK"))))))))))</f>
        <v/>
      </c>
      <c r="N467" s="71" t="str">
        <f>IF(AND(fiche_sel&lt;&gt;"",A467=fiche_sel),COUNTIF(A$6:A467,fiche_sel),"")</f>
        <v/>
      </c>
    </row>
    <row r="468">
      <c r="A468" s="60" t="n"/>
      <c r="B468" s="73" t="n"/>
      <c r="C468" s="60" t="n"/>
      <c r="D468" s="61" t="n"/>
      <c r="E468" s="74" t="n"/>
      <c r="F468" s="74" t="n"/>
      <c r="G468" s="73" t="n"/>
      <c r="H468" s="66" t="str">
        <f>IF(M468&lt;&gt;"OK","",INDEX(po_mo,MATCH(D468,po_code,0)))</f>
        <v/>
      </c>
      <c r="I468" s="66" t="str">
        <f>IF(M468&lt;&gt;"OK","",INDEX(po_mac,MATCH(D468,po_code,0)))</f>
        <v/>
      </c>
      <c r="J468" s="66" t="str">
        <f>IF(M468&lt;&gt;"OK","",N(E468)*(H468*IF(G468="",1,G468)+I468))</f>
        <v/>
      </c>
      <c r="K468" s="66" t="str">
        <f>IF(M468&lt;&gt;"OK","",N(F468)/60*H468*IF(G468="",1,G468))</f>
        <v/>
      </c>
      <c r="L468" s="66" t="str">
        <f>IF(M468&lt;&gt;"OK","",N(F468)/60*I468)</f>
        <v/>
      </c>
      <c r="M468" s="69" t="str">
        <f>IF(AND(A468="",D468=""),"",IF(A468="","Produit manquant",IF(COUNTIF(prod_ref,A468)=0,"Produit inconnu",IF(D468="","Poste manquant",IF(ISNA(MATCH(D468,po_code,0)),"Poste inconnu",IF(INDEX(po_check,MATCH(D468,po_code,0))&lt;&gt;"OK","Poste à corriger",IF(AND(E468&lt;&gt;"",OR(NOT(ISNUMBER(E468)),N(E468)&lt;0)),"Réglage invalide",IF(AND(F468&lt;&gt;"",OR(NOT(ISNUMBER(F468)),N(F468)&lt;0)),"Temps par pièce invalide",IF(N(E468)+N(F468)=0,"Temps manquant",IF(AND(G468&lt;&gt;"",OR(NOT(ISNUMBER(G468)),N(G468)&lt;=0)),"Opérateurs invalide","OK"))))))))))</f>
        <v/>
      </c>
      <c r="N468" s="71" t="str">
        <f>IF(AND(fiche_sel&lt;&gt;"",A468=fiche_sel),COUNTIF(A$6:A468,fiche_sel),"")</f>
        <v/>
      </c>
    </row>
    <row r="469">
      <c r="A469" s="60" t="n"/>
      <c r="B469" s="73" t="n"/>
      <c r="C469" s="60" t="n"/>
      <c r="D469" s="61" t="n"/>
      <c r="E469" s="74" t="n"/>
      <c r="F469" s="74" t="n"/>
      <c r="G469" s="73" t="n"/>
      <c r="H469" s="66" t="str">
        <f>IF(M469&lt;&gt;"OK","",INDEX(po_mo,MATCH(D469,po_code,0)))</f>
        <v/>
      </c>
      <c r="I469" s="66" t="str">
        <f>IF(M469&lt;&gt;"OK","",INDEX(po_mac,MATCH(D469,po_code,0)))</f>
        <v/>
      </c>
      <c r="J469" s="66" t="str">
        <f>IF(M469&lt;&gt;"OK","",N(E469)*(H469*IF(G469="",1,G469)+I469))</f>
        <v/>
      </c>
      <c r="K469" s="66" t="str">
        <f>IF(M469&lt;&gt;"OK","",N(F469)/60*H469*IF(G469="",1,G469))</f>
        <v/>
      </c>
      <c r="L469" s="66" t="str">
        <f>IF(M469&lt;&gt;"OK","",N(F469)/60*I469)</f>
        <v/>
      </c>
      <c r="M469" s="69" t="str">
        <f>IF(AND(A469="",D469=""),"",IF(A469="","Produit manquant",IF(COUNTIF(prod_ref,A469)=0,"Produit inconnu",IF(D469="","Poste manquant",IF(ISNA(MATCH(D469,po_code,0)),"Poste inconnu",IF(INDEX(po_check,MATCH(D469,po_code,0))&lt;&gt;"OK","Poste à corriger",IF(AND(E469&lt;&gt;"",OR(NOT(ISNUMBER(E469)),N(E469)&lt;0)),"Réglage invalide",IF(AND(F469&lt;&gt;"",OR(NOT(ISNUMBER(F469)),N(F469)&lt;0)),"Temps par pièce invalide",IF(N(E469)+N(F469)=0,"Temps manquant",IF(AND(G469&lt;&gt;"",OR(NOT(ISNUMBER(G469)),N(G469)&lt;=0)),"Opérateurs invalide","OK"))))))))))</f>
        <v/>
      </c>
      <c r="N469" s="71" t="str">
        <f>IF(AND(fiche_sel&lt;&gt;"",A469=fiche_sel),COUNTIF(A$6:A469,fiche_sel),"")</f>
        <v/>
      </c>
    </row>
    <row r="470">
      <c r="A470" s="60" t="n"/>
      <c r="B470" s="73" t="n"/>
      <c r="C470" s="60" t="n"/>
      <c r="D470" s="61" t="n"/>
      <c r="E470" s="74" t="n"/>
      <c r="F470" s="74" t="n"/>
      <c r="G470" s="73" t="n"/>
      <c r="H470" s="66" t="str">
        <f>IF(M470&lt;&gt;"OK","",INDEX(po_mo,MATCH(D470,po_code,0)))</f>
        <v/>
      </c>
      <c r="I470" s="66" t="str">
        <f>IF(M470&lt;&gt;"OK","",INDEX(po_mac,MATCH(D470,po_code,0)))</f>
        <v/>
      </c>
      <c r="J470" s="66" t="str">
        <f>IF(M470&lt;&gt;"OK","",N(E470)*(H470*IF(G470="",1,G470)+I470))</f>
        <v/>
      </c>
      <c r="K470" s="66" t="str">
        <f>IF(M470&lt;&gt;"OK","",N(F470)/60*H470*IF(G470="",1,G470))</f>
        <v/>
      </c>
      <c r="L470" s="66" t="str">
        <f>IF(M470&lt;&gt;"OK","",N(F470)/60*I470)</f>
        <v/>
      </c>
      <c r="M470" s="69" t="str">
        <f>IF(AND(A470="",D470=""),"",IF(A470="","Produit manquant",IF(COUNTIF(prod_ref,A470)=0,"Produit inconnu",IF(D470="","Poste manquant",IF(ISNA(MATCH(D470,po_code,0)),"Poste inconnu",IF(INDEX(po_check,MATCH(D470,po_code,0))&lt;&gt;"OK","Poste à corriger",IF(AND(E470&lt;&gt;"",OR(NOT(ISNUMBER(E470)),N(E470)&lt;0)),"Réglage invalide",IF(AND(F470&lt;&gt;"",OR(NOT(ISNUMBER(F470)),N(F470)&lt;0)),"Temps par pièce invalide",IF(N(E470)+N(F470)=0,"Temps manquant",IF(AND(G470&lt;&gt;"",OR(NOT(ISNUMBER(G470)),N(G470)&lt;=0)),"Opérateurs invalide","OK"))))))))))</f>
        <v/>
      </c>
      <c r="N470" s="71" t="str">
        <f>IF(AND(fiche_sel&lt;&gt;"",A470=fiche_sel),COUNTIF(A$6:A470,fiche_sel),"")</f>
        <v/>
      </c>
    </row>
    <row r="471">
      <c r="A471" s="60" t="n"/>
      <c r="B471" s="73" t="n"/>
      <c r="C471" s="60" t="n"/>
      <c r="D471" s="61" t="n"/>
      <c r="E471" s="74" t="n"/>
      <c r="F471" s="74" t="n"/>
      <c r="G471" s="73" t="n"/>
      <c r="H471" s="66" t="str">
        <f>IF(M471&lt;&gt;"OK","",INDEX(po_mo,MATCH(D471,po_code,0)))</f>
        <v/>
      </c>
      <c r="I471" s="66" t="str">
        <f>IF(M471&lt;&gt;"OK","",INDEX(po_mac,MATCH(D471,po_code,0)))</f>
        <v/>
      </c>
      <c r="J471" s="66" t="str">
        <f>IF(M471&lt;&gt;"OK","",N(E471)*(H471*IF(G471="",1,G471)+I471))</f>
        <v/>
      </c>
      <c r="K471" s="66" t="str">
        <f>IF(M471&lt;&gt;"OK","",N(F471)/60*H471*IF(G471="",1,G471))</f>
        <v/>
      </c>
      <c r="L471" s="66" t="str">
        <f>IF(M471&lt;&gt;"OK","",N(F471)/60*I471)</f>
        <v/>
      </c>
      <c r="M471" s="69" t="str">
        <f>IF(AND(A471="",D471=""),"",IF(A471="","Produit manquant",IF(COUNTIF(prod_ref,A471)=0,"Produit inconnu",IF(D471="","Poste manquant",IF(ISNA(MATCH(D471,po_code,0)),"Poste inconnu",IF(INDEX(po_check,MATCH(D471,po_code,0))&lt;&gt;"OK","Poste à corriger",IF(AND(E471&lt;&gt;"",OR(NOT(ISNUMBER(E471)),N(E471)&lt;0)),"Réglage invalide",IF(AND(F471&lt;&gt;"",OR(NOT(ISNUMBER(F471)),N(F471)&lt;0)),"Temps par pièce invalide",IF(N(E471)+N(F471)=0,"Temps manquant",IF(AND(G471&lt;&gt;"",OR(NOT(ISNUMBER(G471)),N(G471)&lt;=0)),"Opérateurs invalide","OK"))))))))))</f>
        <v/>
      </c>
      <c r="N471" s="71" t="str">
        <f>IF(AND(fiche_sel&lt;&gt;"",A471=fiche_sel),COUNTIF(A$6:A471,fiche_sel),"")</f>
        <v/>
      </c>
    </row>
    <row r="472">
      <c r="A472" s="60" t="n"/>
      <c r="B472" s="73" t="n"/>
      <c r="C472" s="60" t="n"/>
      <c r="D472" s="61" t="n"/>
      <c r="E472" s="74" t="n"/>
      <c r="F472" s="74" t="n"/>
      <c r="G472" s="73" t="n"/>
      <c r="H472" s="66" t="str">
        <f>IF(M472&lt;&gt;"OK","",INDEX(po_mo,MATCH(D472,po_code,0)))</f>
        <v/>
      </c>
      <c r="I472" s="66" t="str">
        <f>IF(M472&lt;&gt;"OK","",INDEX(po_mac,MATCH(D472,po_code,0)))</f>
        <v/>
      </c>
      <c r="J472" s="66" t="str">
        <f>IF(M472&lt;&gt;"OK","",N(E472)*(H472*IF(G472="",1,G472)+I472))</f>
        <v/>
      </c>
      <c r="K472" s="66" t="str">
        <f>IF(M472&lt;&gt;"OK","",N(F472)/60*H472*IF(G472="",1,G472))</f>
        <v/>
      </c>
      <c r="L472" s="66" t="str">
        <f>IF(M472&lt;&gt;"OK","",N(F472)/60*I472)</f>
        <v/>
      </c>
      <c r="M472" s="69" t="str">
        <f>IF(AND(A472="",D472=""),"",IF(A472="","Produit manquant",IF(COUNTIF(prod_ref,A472)=0,"Produit inconnu",IF(D472="","Poste manquant",IF(ISNA(MATCH(D472,po_code,0)),"Poste inconnu",IF(INDEX(po_check,MATCH(D472,po_code,0))&lt;&gt;"OK","Poste à corriger",IF(AND(E472&lt;&gt;"",OR(NOT(ISNUMBER(E472)),N(E472)&lt;0)),"Réglage invalide",IF(AND(F472&lt;&gt;"",OR(NOT(ISNUMBER(F472)),N(F472)&lt;0)),"Temps par pièce invalide",IF(N(E472)+N(F472)=0,"Temps manquant",IF(AND(G472&lt;&gt;"",OR(NOT(ISNUMBER(G472)),N(G472)&lt;=0)),"Opérateurs invalide","OK"))))))))))</f>
        <v/>
      </c>
      <c r="N472" s="71" t="str">
        <f>IF(AND(fiche_sel&lt;&gt;"",A472=fiche_sel),COUNTIF(A$6:A472,fiche_sel),"")</f>
        <v/>
      </c>
    </row>
    <row r="473">
      <c r="A473" s="60" t="n"/>
      <c r="B473" s="73" t="n"/>
      <c r="C473" s="60" t="n"/>
      <c r="D473" s="61" t="n"/>
      <c r="E473" s="74" t="n"/>
      <c r="F473" s="74" t="n"/>
      <c r="G473" s="73" t="n"/>
      <c r="H473" s="66" t="str">
        <f>IF(M473&lt;&gt;"OK","",INDEX(po_mo,MATCH(D473,po_code,0)))</f>
        <v/>
      </c>
      <c r="I473" s="66" t="str">
        <f>IF(M473&lt;&gt;"OK","",INDEX(po_mac,MATCH(D473,po_code,0)))</f>
        <v/>
      </c>
      <c r="J473" s="66" t="str">
        <f>IF(M473&lt;&gt;"OK","",N(E473)*(H473*IF(G473="",1,G473)+I473))</f>
        <v/>
      </c>
      <c r="K473" s="66" t="str">
        <f>IF(M473&lt;&gt;"OK","",N(F473)/60*H473*IF(G473="",1,G473))</f>
        <v/>
      </c>
      <c r="L473" s="66" t="str">
        <f>IF(M473&lt;&gt;"OK","",N(F473)/60*I473)</f>
        <v/>
      </c>
      <c r="M473" s="69" t="str">
        <f>IF(AND(A473="",D473=""),"",IF(A473="","Produit manquant",IF(COUNTIF(prod_ref,A473)=0,"Produit inconnu",IF(D473="","Poste manquant",IF(ISNA(MATCH(D473,po_code,0)),"Poste inconnu",IF(INDEX(po_check,MATCH(D473,po_code,0))&lt;&gt;"OK","Poste à corriger",IF(AND(E473&lt;&gt;"",OR(NOT(ISNUMBER(E473)),N(E473)&lt;0)),"Réglage invalide",IF(AND(F473&lt;&gt;"",OR(NOT(ISNUMBER(F473)),N(F473)&lt;0)),"Temps par pièce invalide",IF(N(E473)+N(F473)=0,"Temps manquant",IF(AND(G473&lt;&gt;"",OR(NOT(ISNUMBER(G473)),N(G473)&lt;=0)),"Opérateurs invalide","OK"))))))))))</f>
        <v/>
      </c>
      <c r="N473" s="71" t="str">
        <f>IF(AND(fiche_sel&lt;&gt;"",A473=fiche_sel),COUNTIF(A$6:A473,fiche_sel),"")</f>
        <v/>
      </c>
    </row>
    <row r="474">
      <c r="A474" s="60" t="n"/>
      <c r="B474" s="73" t="n"/>
      <c r="C474" s="60" t="n"/>
      <c r="D474" s="61" t="n"/>
      <c r="E474" s="74" t="n"/>
      <c r="F474" s="74" t="n"/>
      <c r="G474" s="73" t="n"/>
      <c r="H474" s="66" t="str">
        <f>IF(M474&lt;&gt;"OK","",INDEX(po_mo,MATCH(D474,po_code,0)))</f>
        <v/>
      </c>
      <c r="I474" s="66" t="str">
        <f>IF(M474&lt;&gt;"OK","",INDEX(po_mac,MATCH(D474,po_code,0)))</f>
        <v/>
      </c>
      <c r="J474" s="66" t="str">
        <f>IF(M474&lt;&gt;"OK","",N(E474)*(H474*IF(G474="",1,G474)+I474))</f>
        <v/>
      </c>
      <c r="K474" s="66" t="str">
        <f>IF(M474&lt;&gt;"OK","",N(F474)/60*H474*IF(G474="",1,G474))</f>
        <v/>
      </c>
      <c r="L474" s="66" t="str">
        <f>IF(M474&lt;&gt;"OK","",N(F474)/60*I474)</f>
        <v/>
      </c>
      <c r="M474" s="69" t="str">
        <f>IF(AND(A474="",D474=""),"",IF(A474="","Produit manquant",IF(COUNTIF(prod_ref,A474)=0,"Produit inconnu",IF(D474="","Poste manquant",IF(ISNA(MATCH(D474,po_code,0)),"Poste inconnu",IF(INDEX(po_check,MATCH(D474,po_code,0))&lt;&gt;"OK","Poste à corriger",IF(AND(E474&lt;&gt;"",OR(NOT(ISNUMBER(E474)),N(E474)&lt;0)),"Réglage invalide",IF(AND(F474&lt;&gt;"",OR(NOT(ISNUMBER(F474)),N(F474)&lt;0)),"Temps par pièce invalide",IF(N(E474)+N(F474)=0,"Temps manquant",IF(AND(G474&lt;&gt;"",OR(NOT(ISNUMBER(G474)),N(G474)&lt;=0)),"Opérateurs invalide","OK"))))))))))</f>
        <v/>
      </c>
      <c r="N474" s="71" t="str">
        <f>IF(AND(fiche_sel&lt;&gt;"",A474=fiche_sel),COUNTIF(A$6:A474,fiche_sel),"")</f>
        <v/>
      </c>
    </row>
    <row r="475">
      <c r="A475" s="60" t="n"/>
      <c r="B475" s="73" t="n"/>
      <c r="C475" s="60" t="n"/>
      <c r="D475" s="61" t="n"/>
      <c r="E475" s="74" t="n"/>
      <c r="F475" s="74" t="n"/>
      <c r="G475" s="73" t="n"/>
      <c r="H475" s="66" t="str">
        <f>IF(M475&lt;&gt;"OK","",INDEX(po_mo,MATCH(D475,po_code,0)))</f>
        <v/>
      </c>
      <c r="I475" s="66" t="str">
        <f>IF(M475&lt;&gt;"OK","",INDEX(po_mac,MATCH(D475,po_code,0)))</f>
        <v/>
      </c>
      <c r="J475" s="66" t="str">
        <f>IF(M475&lt;&gt;"OK","",N(E475)*(H475*IF(G475="",1,G475)+I475))</f>
        <v/>
      </c>
      <c r="K475" s="66" t="str">
        <f>IF(M475&lt;&gt;"OK","",N(F475)/60*H475*IF(G475="",1,G475))</f>
        <v/>
      </c>
      <c r="L475" s="66" t="str">
        <f>IF(M475&lt;&gt;"OK","",N(F475)/60*I475)</f>
        <v/>
      </c>
      <c r="M475" s="69" t="str">
        <f>IF(AND(A475="",D475=""),"",IF(A475="","Produit manquant",IF(COUNTIF(prod_ref,A475)=0,"Produit inconnu",IF(D475="","Poste manquant",IF(ISNA(MATCH(D475,po_code,0)),"Poste inconnu",IF(INDEX(po_check,MATCH(D475,po_code,0))&lt;&gt;"OK","Poste à corriger",IF(AND(E475&lt;&gt;"",OR(NOT(ISNUMBER(E475)),N(E475)&lt;0)),"Réglage invalide",IF(AND(F475&lt;&gt;"",OR(NOT(ISNUMBER(F475)),N(F475)&lt;0)),"Temps par pièce invalide",IF(N(E475)+N(F475)=0,"Temps manquant",IF(AND(G475&lt;&gt;"",OR(NOT(ISNUMBER(G475)),N(G475)&lt;=0)),"Opérateurs invalide","OK"))))))))))</f>
        <v/>
      </c>
      <c r="N475" s="71" t="str">
        <f>IF(AND(fiche_sel&lt;&gt;"",A475=fiche_sel),COUNTIF(A$6:A475,fiche_sel),"")</f>
        <v/>
      </c>
    </row>
    <row r="476">
      <c r="A476" s="60" t="n"/>
      <c r="B476" s="73" t="n"/>
      <c r="C476" s="60" t="n"/>
      <c r="D476" s="61" t="n"/>
      <c r="E476" s="74" t="n"/>
      <c r="F476" s="74" t="n"/>
      <c r="G476" s="73" t="n"/>
      <c r="H476" s="66" t="str">
        <f>IF(M476&lt;&gt;"OK","",INDEX(po_mo,MATCH(D476,po_code,0)))</f>
        <v/>
      </c>
      <c r="I476" s="66" t="str">
        <f>IF(M476&lt;&gt;"OK","",INDEX(po_mac,MATCH(D476,po_code,0)))</f>
        <v/>
      </c>
      <c r="J476" s="66" t="str">
        <f>IF(M476&lt;&gt;"OK","",N(E476)*(H476*IF(G476="",1,G476)+I476))</f>
        <v/>
      </c>
      <c r="K476" s="66" t="str">
        <f>IF(M476&lt;&gt;"OK","",N(F476)/60*H476*IF(G476="",1,G476))</f>
        <v/>
      </c>
      <c r="L476" s="66" t="str">
        <f>IF(M476&lt;&gt;"OK","",N(F476)/60*I476)</f>
        <v/>
      </c>
      <c r="M476" s="69" t="str">
        <f>IF(AND(A476="",D476=""),"",IF(A476="","Produit manquant",IF(COUNTIF(prod_ref,A476)=0,"Produit inconnu",IF(D476="","Poste manquant",IF(ISNA(MATCH(D476,po_code,0)),"Poste inconnu",IF(INDEX(po_check,MATCH(D476,po_code,0))&lt;&gt;"OK","Poste à corriger",IF(AND(E476&lt;&gt;"",OR(NOT(ISNUMBER(E476)),N(E476)&lt;0)),"Réglage invalide",IF(AND(F476&lt;&gt;"",OR(NOT(ISNUMBER(F476)),N(F476)&lt;0)),"Temps par pièce invalide",IF(N(E476)+N(F476)=0,"Temps manquant",IF(AND(G476&lt;&gt;"",OR(NOT(ISNUMBER(G476)),N(G476)&lt;=0)),"Opérateurs invalide","OK"))))))))))</f>
        <v/>
      </c>
      <c r="N476" s="71" t="str">
        <f>IF(AND(fiche_sel&lt;&gt;"",A476=fiche_sel),COUNTIF(A$6:A476,fiche_sel),"")</f>
        <v/>
      </c>
    </row>
    <row r="477">
      <c r="A477" s="60" t="n"/>
      <c r="B477" s="73" t="n"/>
      <c r="C477" s="60" t="n"/>
      <c r="D477" s="61" t="n"/>
      <c r="E477" s="74" t="n"/>
      <c r="F477" s="74" t="n"/>
      <c r="G477" s="73" t="n"/>
      <c r="H477" s="66" t="str">
        <f>IF(M477&lt;&gt;"OK","",INDEX(po_mo,MATCH(D477,po_code,0)))</f>
        <v/>
      </c>
      <c r="I477" s="66" t="str">
        <f>IF(M477&lt;&gt;"OK","",INDEX(po_mac,MATCH(D477,po_code,0)))</f>
        <v/>
      </c>
      <c r="J477" s="66" t="str">
        <f>IF(M477&lt;&gt;"OK","",N(E477)*(H477*IF(G477="",1,G477)+I477))</f>
        <v/>
      </c>
      <c r="K477" s="66" t="str">
        <f>IF(M477&lt;&gt;"OK","",N(F477)/60*H477*IF(G477="",1,G477))</f>
        <v/>
      </c>
      <c r="L477" s="66" t="str">
        <f>IF(M477&lt;&gt;"OK","",N(F477)/60*I477)</f>
        <v/>
      </c>
      <c r="M477" s="69" t="str">
        <f>IF(AND(A477="",D477=""),"",IF(A477="","Produit manquant",IF(COUNTIF(prod_ref,A477)=0,"Produit inconnu",IF(D477="","Poste manquant",IF(ISNA(MATCH(D477,po_code,0)),"Poste inconnu",IF(INDEX(po_check,MATCH(D477,po_code,0))&lt;&gt;"OK","Poste à corriger",IF(AND(E477&lt;&gt;"",OR(NOT(ISNUMBER(E477)),N(E477)&lt;0)),"Réglage invalide",IF(AND(F477&lt;&gt;"",OR(NOT(ISNUMBER(F477)),N(F477)&lt;0)),"Temps par pièce invalide",IF(N(E477)+N(F477)=0,"Temps manquant",IF(AND(G477&lt;&gt;"",OR(NOT(ISNUMBER(G477)),N(G477)&lt;=0)),"Opérateurs invalide","OK"))))))))))</f>
        <v/>
      </c>
      <c r="N477" s="71" t="str">
        <f>IF(AND(fiche_sel&lt;&gt;"",A477=fiche_sel),COUNTIF(A$6:A477,fiche_sel),"")</f>
        <v/>
      </c>
    </row>
    <row r="478">
      <c r="A478" s="60" t="n"/>
      <c r="B478" s="73" t="n"/>
      <c r="C478" s="60" t="n"/>
      <c r="D478" s="61" t="n"/>
      <c r="E478" s="74" t="n"/>
      <c r="F478" s="74" t="n"/>
      <c r="G478" s="73" t="n"/>
      <c r="H478" s="66" t="str">
        <f>IF(M478&lt;&gt;"OK","",INDEX(po_mo,MATCH(D478,po_code,0)))</f>
        <v/>
      </c>
      <c r="I478" s="66" t="str">
        <f>IF(M478&lt;&gt;"OK","",INDEX(po_mac,MATCH(D478,po_code,0)))</f>
        <v/>
      </c>
      <c r="J478" s="66" t="str">
        <f>IF(M478&lt;&gt;"OK","",N(E478)*(H478*IF(G478="",1,G478)+I478))</f>
        <v/>
      </c>
      <c r="K478" s="66" t="str">
        <f>IF(M478&lt;&gt;"OK","",N(F478)/60*H478*IF(G478="",1,G478))</f>
        <v/>
      </c>
      <c r="L478" s="66" t="str">
        <f>IF(M478&lt;&gt;"OK","",N(F478)/60*I478)</f>
        <v/>
      </c>
      <c r="M478" s="69" t="str">
        <f>IF(AND(A478="",D478=""),"",IF(A478="","Produit manquant",IF(COUNTIF(prod_ref,A478)=0,"Produit inconnu",IF(D478="","Poste manquant",IF(ISNA(MATCH(D478,po_code,0)),"Poste inconnu",IF(INDEX(po_check,MATCH(D478,po_code,0))&lt;&gt;"OK","Poste à corriger",IF(AND(E478&lt;&gt;"",OR(NOT(ISNUMBER(E478)),N(E478)&lt;0)),"Réglage invalide",IF(AND(F478&lt;&gt;"",OR(NOT(ISNUMBER(F478)),N(F478)&lt;0)),"Temps par pièce invalide",IF(N(E478)+N(F478)=0,"Temps manquant",IF(AND(G478&lt;&gt;"",OR(NOT(ISNUMBER(G478)),N(G478)&lt;=0)),"Opérateurs invalide","OK"))))))))))</f>
        <v/>
      </c>
      <c r="N478" s="71" t="str">
        <f>IF(AND(fiche_sel&lt;&gt;"",A478=fiche_sel),COUNTIF(A$6:A478,fiche_sel),"")</f>
        <v/>
      </c>
    </row>
    <row r="479">
      <c r="A479" s="60" t="n"/>
      <c r="B479" s="73" t="n"/>
      <c r="C479" s="60" t="n"/>
      <c r="D479" s="61" t="n"/>
      <c r="E479" s="74" t="n"/>
      <c r="F479" s="74" t="n"/>
      <c r="G479" s="73" t="n"/>
      <c r="H479" s="66" t="str">
        <f>IF(M479&lt;&gt;"OK","",INDEX(po_mo,MATCH(D479,po_code,0)))</f>
        <v/>
      </c>
      <c r="I479" s="66" t="str">
        <f>IF(M479&lt;&gt;"OK","",INDEX(po_mac,MATCH(D479,po_code,0)))</f>
        <v/>
      </c>
      <c r="J479" s="66" t="str">
        <f>IF(M479&lt;&gt;"OK","",N(E479)*(H479*IF(G479="",1,G479)+I479))</f>
        <v/>
      </c>
      <c r="K479" s="66" t="str">
        <f>IF(M479&lt;&gt;"OK","",N(F479)/60*H479*IF(G479="",1,G479))</f>
        <v/>
      </c>
      <c r="L479" s="66" t="str">
        <f>IF(M479&lt;&gt;"OK","",N(F479)/60*I479)</f>
        <v/>
      </c>
      <c r="M479" s="69" t="str">
        <f>IF(AND(A479="",D479=""),"",IF(A479="","Produit manquant",IF(COUNTIF(prod_ref,A479)=0,"Produit inconnu",IF(D479="","Poste manquant",IF(ISNA(MATCH(D479,po_code,0)),"Poste inconnu",IF(INDEX(po_check,MATCH(D479,po_code,0))&lt;&gt;"OK","Poste à corriger",IF(AND(E479&lt;&gt;"",OR(NOT(ISNUMBER(E479)),N(E479)&lt;0)),"Réglage invalide",IF(AND(F479&lt;&gt;"",OR(NOT(ISNUMBER(F479)),N(F479)&lt;0)),"Temps par pièce invalide",IF(N(E479)+N(F479)=0,"Temps manquant",IF(AND(G479&lt;&gt;"",OR(NOT(ISNUMBER(G479)),N(G479)&lt;=0)),"Opérateurs invalide","OK"))))))))))</f>
        <v/>
      </c>
      <c r="N479" s="71" t="str">
        <f>IF(AND(fiche_sel&lt;&gt;"",A479=fiche_sel),COUNTIF(A$6:A479,fiche_sel),"")</f>
        <v/>
      </c>
    </row>
    <row r="480">
      <c r="A480" s="60" t="n"/>
      <c r="B480" s="73" t="n"/>
      <c r="C480" s="60" t="n"/>
      <c r="D480" s="61" t="n"/>
      <c r="E480" s="74" t="n"/>
      <c r="F480" s="74" t="n"/>
      <c r="G480" s="73" t="n"/>
      <c r="H480" s="66" t="str">
        <f>IF(M480&lt;&gt;"OK","",INDEX(po_mo,MATCH(D480,po_code,0)))</f>
        <v/>
      </c>
      <c r="I480" s="66" t="str">
        <f>IF(M480&lt;&gt;"OK","",INDEX(po_mac,MATCH(D480,po_code,0)))</f>
        <v/>
      </c>
      <c r="J480" s="66" t="str">
        <f>IF(M480&lt;&gt;"OK","",N(E480)*(H480*IF(G480="",1,G480)+I480))</f>
        <v/>
      </c>
      <c r="K480" s="66" t="str">
        <f>IF(M480&lt;&gt;"OK","",N(F480)/60*H480*IF(G480="",1,G480))</f>
        <v/>
      </c>
      <c r="L480" s="66" t="str">
        <f>IF(M480&lt;&gt;"OK","",N(F480)/60*I480)</f>
        <v/>
      </c>
      <c r="M480" s="69" t="str">
        <f>IF(AND(A480="",D480=""),"",IF(A480="","Produit manquant",IF(COUNTIF(prod_ref,A480)=0,"Produit inconnu",IF(D480="","Poste manquant",IF(ISNA(MATCH(D480,po_code,0)),"Poste inconnu",IF(INDEX(po_check,MATCH(D480,po_code,0))&lt;&gt;"OK","Poste à corriger",IF(AND(E480&lt;&gt;"",OR(NOT(ISNUMBER(E480)),N(E480)&lt;0)),"Réglage invalide",IF(AND(F480&lt;&gt;"",OR(NOT(ISNUMBER(F480)),N(F480)&lt;0)),"Temps par pièce invalide",IF(N(E480)+N(F480)=0,"Temps manquant",IF(AND(G480&lt;&gt;"",OR(NOT(ISNUMBER(G480)),N(G480)&lt;=0)),"Opérateurs invalide","OK"))))))))))</f>
        <v/>
      </c>
      <c r="N480" s="71" t="str">
        <f>IF(AND(fiche_sel&lt;&gt;"",A480=fiche_sel),COUNTIF(A$6:A480,fiche_sel),"")</f>
        <v/>
      </c>
    </row>
    <row r="481">
      <c r="A481" s="60" t="n"/>
      <c r="B481" s="73" t="n"/>
      <c r="C481" s="60" t="n"/>
      <c r="D481" s="61" t="n"/>
      <c r="E481" s="74" t="n"/>
      <c r="F481" s="74" t="n"/>
      <c r="G481" s="73" t="n"/>
      <c r="H481" s="66" t="str">
        <f>IF(M481&lt;&gt;"OK","",INDEX(po_mo,MATCH(D481,po_code,0)))</f>
        <v/>
      </c>
      <c r="I481" s="66" t="str">
        <f>IF(M481&lt;&gt;"OK","",INDEX(po_mac,MATCH(D481,po_code,0)))</f>
        <v/>
      </c>
      <c r="J481" s="66" t="str">
        <f>IF(M481&lt;&gt;"OK","",N(E481)*(H481*IF(G481="",1,G481)+I481))</f>
        <v/>
      </c>
      <c r="K481" s="66" t="str">
        <f>IF(M481&lt;&gt;"OK","",N(F481)/60*H481*IF(G481="",1,G481))</f>
        <v/>
      </c>
      <c r="L481" s="66" t="str">
        <f>IF(M481&lt;&gt;"OK","",N(F481)/60*I481)</f>
        <v/>
      </c>
      <c r="M481" s="69" t="str">
        <f>IF(AND(A481="",D481=""),"",IF(A481="","Produit manquant",IF(COUNTIF(prod_ref,A481)=0,"Produit inconnu",IF(D481="","Poste manquant",IF(ISNA(MATCH(D481,po_code,0)),"Poste inconnu",IF(INDEX(po_check,MATCH(D481,po_code,0))&lt;&gt;"OK","Poste à corriger",IF(AND(E481&lt;&gt;"",OR(NOT(ISNUMBER(E481)),N(E481)&lt;0)),"Réglage invalide",IF(AND(F481&lt;&gt;"",OR(NOT(ISNUMBER(F481)),N(F481)&lt;0)),"Temps par pièce invalide",IF(N(E481)+N(F481)=0,"Temps manquant",IF(AND(G481&lt;&gt;"",OR(NOT(ISNUMBER(G481)),N(G481)&lt;=0)),"Opérateurs invalide","OK"))))))))))</f>
        <v/>
      </c>
      <c r="N481" s="71" t="str">
        <f>IF(AND(fiche_sel&lt;&gt;"",A481=fiche_sel),COUNTIF(A$6:A481,fiche_sel),"")</f>
        <v/>
      </c>
    </row>
    <row r="482">
      <c r="A482" s="60" t="n"/>
      <c r="B482" s="73" t="n"/>
      <c r="C482" s="60" t="n"/>
      <c r="D482" s="61" t="n"/>
      <c r="E482" s="74" t="n"/>
      <c r="F482" s="74" t="n"/>
      <c r="G482" s="73" t="n"/>
      <c r="H482" s="66" t="str">
        <f>IF(M482&lt;&gt;"OK","",INDEX(po_mo,MATCH(D482,po_code,0)))</f>
        <v/>
      </c>
      <c r="I482" s="66" t="str">
        <f>IF(M482&lt;&gt;"OK","",INDEX(po_mac,MATCH(D482,po_code,0)))</f>
        <v/>
      </c>
      <c r="J482" s="66" t="str">
        <f>IF(M482&lt;&gt;"OK","",N(E482)*(H482*IF(G482="",1,G482)+I482))</f>
        <v/>
      </c>
      <c r="K482" s="66" t="str">
        <f>IF(M482&lt;&gt;"OK","",N(F482)/60*H482*IF(G482="",1,G482))</f>
        <v/>
      </c>
      <c r="L482" s="66" t="str">
        <f>IF(M482&lt;&gt;"OK","",N(F482)/60*I482)</f>
        <v/>
      </c>
      <c r="M482" s="69" t="str">
        <f>IF(AND(A482="",D482=""),"",IF(A482="","Produit manquant",IF(COUNTIF(prod_ref,A482)=0,"Produit inconnu",IF(D482="","Poste manquant",IF(ISNA(MATCH(D482,po_code,0)),"Poste inconnu",IF(INDEX(po_check,MATCH(D482,po_code,0))&lt;&gt;"OK","Poste à corriger",IF(AND(E482&lt;&gt;"",OR(NOT(ISNUMBER(E482)),N(E482)&lt;0)),"Réglage invalide",IF(AND(F482&lt;&gt;"",OR(NOT(ISNUMBER(F482)),N(F482)&lt;0)),"Temps par pièce invalide",IF(N(E482)+N(F482)=0,"Temps manquant",IF(AND(G482&lt;&gt;"",OR(NOT(ISNUMBER(G482)),N(G482)&lt;=0)),"Opérateurs invalide","OK"))))))))))</f>
        <v/>
      </c>
      <c r="N482" s="71" t="str">
        <f>IF(AND(fiche_sel&lt;&gt;"",A482=fiche_sel),COUNTIF(A$6:A482,fiche_sel),"")</f>
        <v/>
      </c>
    </row>
    <row r="483">
      <c r="A483" s="60" t="n"/>
      <c r="B483" s="73" t="n"/>
      <c r="C483" s="60" t="n"/>
      <c r="D483" s="61" t="n"/>
      <c r="E483" s="74" t="n"/>
      <c r="F483" s="74" t="n"/>
      <c r="G483" s="73" t="n"/>
      <c r="H483" s="66" t="str">
        <f>IF(M483&lt;&gt;"OK","",INDEX(po_mo,MATCH(D483,po_code,0)))</f>
        <v/>
      </c>
      <c r="I483" s="66" t="str">
        <f>IF(M483&lt;&gt;"OK","",INDEX(po_mac,MATCH(D483,po_code,0)))</f>
        <v/>
      </c>
      <c r="J483" s="66" t="str">
        <f>IF(M483&lt;&gt;"OK","",N(E483)*(H483*IF(G483="",1,G483)+I483))</f>
        <v/>
      </c>
      <c r="K483" s="66" t="str">
        <f>IF(M483&lt;&gt;"OK","",N(F483)/60*H483*IF(G483="",1,G483))</f>
        <v/>
      </c>
      <c r="L483" s="66" t="str">
        <f>IF(M483&lt;&gt;"OK","",N(F483)/60*I483)</f>
        <v/>
      </c>
      <c r="M483" s="69" t="str">
        <f>IF(AND(A483="",D483=""),"",IF(A483="","Produit manquant",IF(COUNTIF(prod_ref,A483)=0,"Produit inconnu",IF(D483="","Poste manquant",IF(ISNA(MATCH(D483,po_code,0)),"Poste inconnu",IF(INDEX(po_check,MATCH(D483,po_code,0))&lt;&gt;"OK","Poste à corriger",IF(AND(E483&lt;&gt;"",OR(NOT(ISNUMBER(E483)),N(E483)&lt;0)),"Réglage invalide",IF(AND(F483&lt;&gt;"",OR(NOT(ISNUMBER(F483)),N(F483)&lt;0)),"Temps par pièce invalide",IF(N(E483)+N(F483)=0,"Temps manquant",IF(AND(G483&lt;&gt;"",OR(NOT(ISNUMBER(G483)),N(G483)&lt;=0)),"Opérateurs invalide","OK"))))))))))</f>
        <v/>
      </c>
      <c r="N483" s="71" t="str">
        <f>IF(AND(fiche_sel&lt;&gt;"",A483=fiche_sel),COUNTIF(A$6:A483,fiche_sel),"")</f>
        <v/>
      </c>
    </row>
    <row r="484">
      <c r="A484" s="60" t="n"/>
      <c r="B484" s="73" t="n"/>
      <c r="C484" s="60" t="n"/>
      <c r="D484" s="61" t="n"/>
      <c r="E484" s="74" t="n"/>
      <c r="F484" s="74" t="n"/>
      <c r="G484" s="73" t="n"/>
      <c r="H484" s="66" t="str">
        <f>IF(M484&lt;&gt;"OK","",INDEX(po_mo,MATCH(D484,po_code,0)))</f>
        <v/>
      </c>
      <c r="I484" s="66" t="str">
        <f>IF(M484&lt;&gt;"OK","",INDEX(po_mac,MATCH(D484,po_code,0)))</f>
        <v/>
      </c>
      <c r="J484" s="66" t="str">
        <f>IF(M484&lt;&gt;"OK","",N(E484)*(H484*IF(G484="",1,G484)+I484))</f>
        <v/>
      </c>
      <c r="K484" s="66" t="str">
        <f>IF(M484&lt;&gt;"OK","",N(F484)/60*H484*IF(G484="",1,G484))</f>
        <v/>
      </c>
      <c r="L484" s="66" t="str">
        <f>IF(M484&lt;&gt;"OK","",N(F484)/60*I484)</f>
        <v/>
      </c>
      <c r="M484" s="69" t="str">
        <f>IF(AND(A484="",D484=""),"",IF(A484="","Produit manquant",IF(COUNTIF(prod_ref,A484)=0,"Produit inconnu",IF(D484="","Poste manquant",IF(ISNA(MATCH(D484,po_code,0)),"Poste inconnu",IF(INDEX(po_check,MATCH(D484,po_code,0))&lt;&gt;"OK","Poste à corriger",IF(AND(E484&lt;&gt;"",OR(NOT(ISNUMBER(E484)),N(E484)&lt;0)),"Réglage invalide",IF(AND(F484&lt;&gt;"",OR(NOT(ISNUMBER(F484)),N(F484)&lt;0)),"Temps par pièce invalide",IF(N(E484)+N(F484)=0,"Temps manquant",IF(AND(G484&lt;&gt;"",OR(NOT(ISNUMBER(G484)),N(G484)&lt;=0)),"Opérateurs invalide","OK"))))))))))</f>
        <v/>
      </c>
      <c r="N484" s="71" t="str">
        <f>IF(AND(fiche_sel&lt;&gt;"",A484=fiche_sel),COUNTIF(A$6:A484,fiche_sel),"")</f>
        <v/>
      </c>
    </row>
    <row r="485">
      <c r="A485" s="60" t="n"/>
      <c r="B485" s="73" t="n"/>
      <c r="C485" s="60" t="n"/>
      <c r="D485" s="61" t="n"/>
      <c r="E485" s="74" t="n"/>
      <c r="F485" s="74" t="n"/>
      <c r="G485" s="73" t="n"/>
      <c r="H485" s="66" t="str">
        <f>IF(M485&lt;&gt;"OK","",INDEX(po_mo,MATCH(D485,po_code,0)))</f>
        <v/>
      </c>
      <c r="I485" s="66" t="str">
        <f>IF(M485&lt;&gt;"OK","",INDEX(po_mac,MATCH(D485,po_code,0)))</f>
        <v/>
      </c>
      <c r="J485" s="66" t="str">
        <f>IF(M485&lt;&gt;"OK","",N(E485)*(H485*IF(G485="",1,G485)+I485))</f>
        <v/>
      </c>
      <c r="K485" s="66" t="str">
        <f>IF(M485&lt;&gt;"OK","",N(F485)/60*H485*IF(G485="",1,G485))</f>
        <v/>
      </c>
      <c r="L485" s="66" t="str">
        <f>IF(M485&lt;&gt;"OK","",N(F485)/60*I485)</f>
        <v/>
      </c>
      <c r="M485" s="69" t="str">
        <f>IF(AND(A485="",D485=""),"",IF(A485="","Produit manquant",IF(COUNTIF(prod_ref,A485)=0,"Produit inconnu",IF(D485="","Poste manquant",IF(ISNA(MATCH(D485,po_code,0)),"Poste inconnu",IF(INDEX(po_check,MATCH(D485,po_code,0))&lt;&gt;"OK","Poste à corriger",IF(AND(E485&lt;&gt;"",OR(NOT(ISNUMBER(E485)),N(E485)&lt;0)),"Réglage invalide",IF(AND(F485&lt;&gt;"",OR(NOT(ISNUMBER(F485)),N(F485)&lt;0)),"Temps par pièce invalide",IF(N(E485)+N(F485)=0,"Temps manquant",IF(AND(G485&lt;&gt;"",OR(NOT(ISNUMBER(G485)),N(G485)&lt;=0)),"Opérateurs invalide","OK"))))))))))</f>
        <v/>
      </c>
      <c r="N485" s="71" t="str">
        <f>IF(AND(fiche_sel&lt;&gt;"",A485=fiche_sel),COUNTIF(A$6:A485,fiche_sel),"")</f>
        <v/>
      </c>
    </row>
    <row r="486">
      <c r="A486" s="60" t="n"/>
      <c r="B486" s="73" t="n"/>
      <c r="C486" s="60" t="n"/>
      <c r="D486" s="61" t="n"/>
      <c r="E486" s="74" t="n"/>
      <c r="F486" s="74" t="n"/>
      <c r="G486" s="73" t="n"/>
      <c r="H486" s="66" t="str">
        <f>IF(M486&lt;&gt;"OK","",INDEX(po_mo,MATCH(D486,po_code,0)))</f>
        <v/>
      </c>
      <c r="I486" s="66" t="str">
        <f>IF(M486&lt;&gt;"OK","",INDEX(po_mac,MATCH(D486,po_code,0)))</f>
        <v/>
      </c>
      <c r="J486" s="66" t="str">
        <f>IF(M486&lt;&gt;"OK","",N(E486)*(H486*IF(G486="",1,G486)+I486))</f>
        <v/>
      </c>
      <c r="K486" s="66" t="str">
        <f>IF(M486&lt;&gt;"OK","",N(F486)/60*H486*IF(G486="",1,G486))</f>
        <v/>
      </c>
      <c r="L486" s="66" t="str">
        <f>IF(M486&lt;&gt;"OK","",N(F486)/60*I486)</f>
        <v/>
      </c>
      <c r="M486" s="69" t="str">
        <f>IF(AND(A486="",D486=""),"",IF(A486="","Produit manquant",IF(COUNTIF(prod_ref,A486)=0,"Produit inconnu",IF(D486="","Poste manquant",IF(ISNA(MATCH(D486,po_code,0)),"Poste inconnu",IF(INDEX(po_check,MATCH(D486,po_code,0))&lt;&gt;"OK","Poste à corriger",IF(AND(E486&lt;&gt;"",OR(NOT(ISNUMBER(E486)),N(E486)&lt;0)),"Réglage invalide",IF(AND(F486&lt;&gt;"",OR(NOT(ISNUMBER(F486)),N(F486)&lt;0)),"Temps par pièce invalide",IF(N(E486)+N(F486)=0,"Temps manquant",IF(AND(G486&lt;&gt;"",OR(NOT(ISNUMBER(G486)),N(G486)&lt;=0)),"Opérateurs invalide","OK"))))))))))</f>
        <v/>
      </c>
      <c r="N486" s="71" t="str">
        <f>IF(AND(fiche_sel&lt;&gt;"",A486=fiche_sel),COUNTIF(A$6:A486,fiche_sel),"")</f>
        <v/>
      </c>
    </row>
    <row r="487">
      <c r="A487" s="60" t="n"/>
      <c r="B487" s="73" t="n"/>
      <c r="C487" s="60" t="n"/>
      <c r="D487" s="61" t="n"/>
      <c r="E487" s="74" t="n"/>
      <c r="F487" s="74" t="n"/>
      <c r="G487" s="73" t="n"/>
      <c r="H487" s="66" t="str">
        <f>IF(M487&lt;&gt;"OK","",INDEX(po_mo,MATCH(D487,po_code,0)))</f>
        <v/>
      </c>
      <c r="I487" s="66" t="str">
        <f>IF(M487&lt;&gt;"OK","",INDEX(po_mac,MATCH(D487,po_code,0)))</f>
        <v/>
      </c>
      <c r="J487" s="66" t="str">
        <f>IF(M487&lt;&gt;"OK","",N(E487)*(H487*IF(G487="",1,G487)+I487))</f>
        <v/>
      </c>
      <c r="K487" s="66" t="str">
        <f>IF(M487&lt;&gt;"OK","",N(F487)/60*H487*IF(G487="",1,G487))</f>
        <v/>
      </c>
      <c r="L487" s="66" t="str">
        <f>IF(M487&lt;&gt;"OK","",N(F487)/60*I487)</f>
        <v/>
      </c>
      <c r="M487" s="69" t="str">
        <f>IF(AND(A487="",D487=""),"",IF(A487="","Produit manquant",IF(COUNTIF(prod_ref,A487)=0,"Produit inconnu",IF(D487="","Poste manquant",IF(ISNA(MATCH(D487,po_code,0)),"Poste inconnu",IF(INDEX(po_check,MATCH(D487,po_code,0))&lt;&gt;"OK","Poste à corriger",IF(AND(E487&lt;&gt;"",OR(NOT(ISNUMBER(E487)),N(E487)&lt;0)),"Réglage invalide",IF(AND(F487&lt;&gt;"",OR(NOT(ISNUMBER(F487)),N(F487)&lt;0)),"Temps par pièce invalide",IF(N(E487)+N(F487)=0,"Temps manquant",IF(AND(G487&lt;&gt;"",OR(NOT(ISNUMBER(G487)),N(G487)&lt;=0)),"Opérateurs invalide","OK"))))))))))</f>
        <v/>
      </c>
      <c r="N487" s="71" t="str">
        <f>IF(AND(fiche_sel&lt;&gt;"",A487=fiche_sel),COUNTIF(A$6:A487,fiche_sel),"")</f>
        <v/>
      </c>
    </row>
    <row r="488">
      <c r="A488" s="60" t="n"/>
      <c r="B488" s="73" t="n"/>
      <c r="C488" s="60" t="n"/>
      <c r="D488" s="61" t="n"/>
      <c r="E488" s="74" t="n"/>
      <c r="F488" s="74" t="n"/>
      <c r="G488" s="73" t="n"/>
      <c r="H488" s="66" t="str">
        <f>IF(M488&lt;&gt;"OK","",INDEX(po_mo,MATCH(D488,po_code,0)))</f>
        <v/>
      </c>
      <c r="I488" s="66" t="str">
        <f>IF(M488&lt;&gt;"OK","",INDEX(po_mac,MATCH(D488,po_code,0)))</f>
        <v/>
      </c>
      <c r="J488" s="66" t="str">
        <f>IF(M488&lt;&gt;"OK","",N(E488)*(H488*IF(G488="",1,G488)+I488))</f>
        <v/>
      </c>
      <c r="K488" s="66" t="str">
        <f>IF(M488&lt;&gt;"OK","",N(F488)/60*H488*IF(G488="",1,G488))</f>
        <v/>
      </c>
      <c r="L488" s="66" t="str">
        <f>IF(M488&lt;&gt;"OK","",N(F488)/60*I488)</f>
        <v/>
      </c>
      <c r="M488" s="69" t="str">
        <f>IF(AND(A488="",D488=""),"",IF(A488="","Produit manquant",IF(COUNTIF(prod_ref,A488)=0,"Produit inconnu",IF(D488="","Poste manquant",IF(ISNA(MATCH(D488,po_code,0)),"Poste inconnu",IF(INDEX(po_check,MATCH(D488,po_code,0))&lt;&gt;"OK","Poste à corriger",IF(AND(E488&lt;&gt;"",OR(NOT(ISNUMBER(E488)),N(E488)&lt;0)),"Réglage invalide",IF(AND(F488&lt;&gt;"",OR(NOT(ISNUMBER(F488)),N(F488)&lt;0)),"Temps par pièce invalide",IF(N(E488)+N(F488)=0,"Temps manquant",IF(AND(G488&lt;&gt;"",OR(NOT(ISNUMBER(G488)),N(G488)&lt;=0)),"Opérateurs invalide","OK"))))))))))</f>
        <v/>
      </c>
      <c r="N488" s="71" t="str">
        <f>IF(AND(fiche_sel&lt;&gt;"",A488=fiche_sel),COUNTIF(A$6:A488,fiche_sel),"")</f>
        <v/>
      </c>
    </row>
    <row r="489">
      <c r="A489" s="60" t="n"/>
      <c r="B489" s="73" t="n"/>
      <c r="C489" s="60" t="n"/>
      <c r="D489" s="61" t="n"/>
      <c r="E489" s="74" t="n"/>
      <c r="F489" s="74" t="n"/>
      <c r="G489" s="73" t="n"/>
      <c r="H489" s="66" t="str">
        <f>IF(M489&lt;&gt;"OK","",INDEX(po_mo,MATCH(D489,po_code,0)))</f>
        <v/>
      </c>
      <c r="I489" s="66" t="str">
        <f>IF(M489&lt;&gt;"OK","",INDEX(po_mac,MATCH(D489,po_code,0)))</f>
        <v/>
      </c>
      <c r="J489" s="66" t="str">
        <f>IF(M489&lt;&gt;"OK","",N(E489)*(H489*IF(G489="",1,G489)+I489))</f>
        <v/>
      </c>
      <c r="K489" s="66" t="str">
        <f>IF(M489&lt;&gt;"OK","",N(F489)/60*H489*IF(G489="",1,G489))</f>
        <v/>
      </c>
      <c r="L489" s="66" t="str">
        <f>IF(M489&lt;&gt;"OK","",N(F489)/60*I489)</f>
        <v/>
      </c>
      <c r="M489" s="69" t="str">
        <f>IF(AND(A489="",D489=""),"",IF(A489="","Produit manquant",IF(COUNTIF(prod_ref,A489)=0,"Produit inconnu",IF(D489="","Poste manquant",IF(ISNA(MATCH(D489,po_code,0)),"Poste inconnu",IF(INDEX(po_check,MATCH(D489,po_code,0))&lt;&gt;"OK","Poste à corriger",IF(AND(E489&lt;&gt;"",OR(NOT(ISNUMBER(E489)),N(E489)&lt;0)),"Réglage invalide",IF(AND(F489&lt;&gt;"",OR(NOT(ISNUMBER(F489)),N(F489)&lt;0)),"Temps par pièce invalide",IF(N(E489)+N(F489)=0,"Temps manquant",IF(AND(G489&lt;&gt;"",OR(NOT(ISNUMBER(G489)),N(G489)&lt;=0)),"Opérateurs invalide","OK"))))))))))</f>
        <v/>
      </c>
      <c r="N489" s="71" t="str">
        <f>IF(AND(fiche_sel&lt;&gt;"",A489=fiche_sel),COUNTIF(A$6:A489,fiche_sel),"")</f>
        <v/>
      </c>
    </row>
    <row r="490">
      <c r="A490" s="60" t="n"/>
      <c r="B490" s="73" t="n"/>
      <c r="C490" s="60" t="n"/>
      <c r="D490" s="61" t="n"/>
      <c r="E490" s="74" t="n"/>
      <c r="F490" s="74" t="n"/>
      <c r="G490" s="73" t="n"/>
      <c r="H490" s="66" t="str">
        <f>IF(M490&lt;&gt;"OK","",INDEX(po_mo,MATCH(D490,po_code,0)))</f>
        <v/>
      </c>
      <c r="I490" s="66" t="str">
        <f>IF(M490&lt;&gt;"OK","",INDEX(po_mac,MATCH(D490,po_code,0)))</f>
        <v/>
      </c>
      <c r="J490" s="66" t="str">
        <f>IF(M490&lt;&gt;"OK","",N(E490)*(H490*IF(G490="",1,G490)+I490))</f>
        <v/>
      </c>
      <c r="K490" s="66" t="str">
        <f>IF(M490&lt;&gt;"OK","",N(F490)/60*H490*IF(G490="",1,G490))</f>
        <v/>
      </c>
      <c r="L490" s="66" t="str">
        <f>IF(M490&lt;&gt;"OK","",N(F490)/60*I490)</f>
        <v/>
      </c>
      <c r="M490" s="69" t="str">
        <f>IF(AND(A490="",D490=""),"",IF(A490="","Produit manquant",IF(COUNTIF(prod_ref,A490)=0,"Produit inconnu",IF(D490="","Poste manquant",IF(ISNA(MATCH(D490,po_code,0)),"Poste inconnu",IF(INDEX(po_check,MATCH(D490,po_code,0))&lt;&gt;"OK","Poste à corriger",IF(AND(E490&lt;&gt;"",OR(NOT(ISNUMBER(E490)),N(E490)&lt;0)),"Réglage invalide",IF(AND(F490&lt;&gt;"",OR(NOT(ISNUMBER(F490)),N(F490)&lt;0)),"Temps par pièce invalide",IF(N(E490)+N(F490)=0,"Temps manquant",IF(AND(G490&lt;&gt;"",OR(NOT(ISNUMBER(G490)),N(G490)&lt;=0)),"Opérateurs invalide","OK"))))))))))</f>
        <v/>
      </c>
      <c r="N490" s="71" t="str">
        <f>IF(AND(fiche_sel&lt;&gt;"",A490=fiche_sel),COUNTIF(A$6:A490,fiche_sel),"")</f>
        <v/>
      </c>
    </row>
    <row r="491">
      <c r="A491" s="60" t="n"/>
      <c r="B491" s="73" t="n"/>
      <c r="C491" s="60" t="n"/>
      <c r="D491" s="61" t="n"/>
      <c r="E491" s="74" t="n"/>
      <c r="F491" s="74" t="n"/>
      <c r="G491" s="73" t="n"/>
      <c r="H491" s="66" t="str">
        <f>IF(M491&lt;&gt;"OK","",INDEX(po_mo,MATCH(D491,po_code,0)))</f>
        <v/>
      </c>
      <c r="I491" s="66" t="str">
        <f>IF(M491&lt;&gt;"OK","",INDEX(po_mac,MATCH(D491,po_code,0)))</f>
        <v/>
      </c>
      <c r="J491" s="66" t="str">
        <f>IF(M491&lt;&gt;"OK","",N(E491)*(H491*IF(G491="",1,G491)+I491))</f>
        <v/>
      </c>
      <c r="K491" s="66" t="str">
        <f>IF(M491&lt;&gt;"OK","",N(F491)/60*H491*IF(G491="",1,G491))</f>
        <v/>
      </c>
      <c r="L491" s="66" t="str">
        <f>IF(M491&lt;&gt;"OK","",N(F491)/60*I491)</f>
        <v/>
      </c>
      <c r="M491" s="69" t="str">
        <f>IF(AND(A491="",D491=""),"",IF(A491="","Produit manquant",IF(COUNTIF(prod_ref,A491)=0,"Produit inconnu",IF(D491="","Poste manquant",IF(ISNA(MATCH(D491,po_code,0)),"Poste inconnu",IF(INDEX(po_check,MATCH(D491,po_code,0))&lt;&gt;"OK","Poste à corriger",IF(AND(E491&lt;&gt;"",OR(NOT(ISNUMBER(E491)),N(E491)&lt;0)),"Réglage invalide",IF(AND(F491&lt;&gt;"",OR(NOT(ISNUMBER(F491)),N(F491)&lt;0)),"Temps par pièce invalide",IF(N(E491)+N(F491)=0,"Temps manquant",IF(AND(G491&lt;&gt;"",OR(NOT(ISNUMBER(G491)),N(G491)&lt;=0)),"Opérateurs invalide","OK"))))))))))</f>
        <v/>
      </c>
      <c r="N491" s="71" t="str">
        <f>IF(AND(fiche_sel&lt;&gt;"",A491=fiche_sel),COUNTIF(A$6:A491,fiche_sel),"")</f>
        <v/>
      </c>
    </row>
    <row r="492">
      <c r="A492" s="60" t="n"/>
      <c r="B492" s="73" t="n"/>
      <c r="C492" s="60" t="n"/>
      <c r="D492" s="61" t="n"/>
      <c r="E492" s="74" t="n"/>
      <c r="F492" s="74" t="n"/>
      <c r="G492" s="73" t="n"/>
      <c r="H492" s="66" t="str">
        <f>IF(M492&lt;&gt;"OK","",INDEX(po_mo,MATCH(D492,po_code,0)))</f>
        <v/>
      </c>
      <c r="I492" s="66" t="str">
        <f>IF(M492&lt;&gt;"OK","",INDEX(po_mac,MATCH(D492,po_code,0)))</f>
        <v/>
      </c>
      <c r="J492" s="66" t="str">
        <f>IF(M492&lt;&gt;"OK","",N(E492)*(H492*IF(G492="",1,G492)+I492))</f>
        <v/>
      </c>
      <c r="K492" s="66" t="str">
        <f>IF(M492&lt;&gt;"OK","",N(F492)/60*H492*IF(G492="",1,G492))</f>
        <v/>
      </c>
      <c r="L492" s="66" t="str">
        <f>IF(M492&lt;&gt;"OK","",N(F492)/60*I492)</f>
        <v/>
      </c>
      <c r="M492" s="69" t="str">
        <f>IF(AND(A492="",D492=""),"",IF(A492="","Produit manquant",IF(COUNTIF(prod_ref,A492)=0,"Produit inconnu",IF(D492="","Poste manquant",IF(ISNA(MATCH(D492,po_code,0)),"Poste inconnu",IF(INDEX(po_check,MATCH(D492,po_code,0))&lt;&gt;"OK","Poste à corriger",IF(AND(E492&lt;&gt;"",OR(NOT(ISNUMBER(E492)),N(E492)&lt;0)),"Réglage invalide",IF(AND(F492&lt;&gt;"",OR(NOT(ISNUMBER(F492)),N(F492)&lt;0)),"Temps par pièce invalide",IF(N(E492)+N(F492)=0,"Temps manquant",IF(AND(G492&lt;&gt;"",OR(NOT(ISNUMBER(G492)),N(G492)&lt;=0)),"Opérateurs invalide","OK"))))))))))</f>
        <v/>
      </c>
      <c r="N492" s="71" t="str">
        <f>IF(AND(fiche_sel&lt;&gt;"",A492=fiche_sel),COUNTIF(A$6:A492,fiche_sel),"")</f>
        <v/>
      </c>
    </row>
    <row r="493">
      <c r="A493" s="60" t="n"/>
      <c r="B493" s="73" t="n"/>
      <c r="C493" s="60" t="n"/>
      <c r="D493" s="61" t="n"/>
      <c r="E493" s="74" t="n"/>
      <c r="F493" s="74" t="n"/>
      <c r="G493" s="73" t="n"/>
      <c r="H493" s="66" t="str">
        <f>IF(M493&lt;&gt;"OK","",INDEX(po_mo,MATCH(D493,po_code,0)))</f>
        <v/>
      </c>
      <c r="I493" s="66" t="str">
        <f>IF(M493&lt;&gt;"OK","",INDEX(po_mac,MATCH(D493,po_code,0)))</f>
        <v/>
      </c>
      <c r="J493" s="66" t="str">
        <f>IF(M493&lt;&gt;"OK","",N(E493)*(H493*IF(G493="",1,G493)+I493))</f>
        <v/>
      </c>
      <c r="K493" s="66" t="str">
        <f>IF(M493&lt;&gt;"OK","",N(F493)/60*H493*IF(G493="",1,G493))</f>
        <v/>
      </c>
      <c r="L493" s="66" t="str">
        <f>IF(M493&lt;&gt;"OK","",N(F493)/60*I493)</f>
        <v/>
      </c>
      <c r="M493" s="69" t="str">
        <f>IF(AND(A493="",D493=""),"",IF(A493="","Produit manquant",IF(COUNTIF(prod_ref,A493)=0,"Produit inconnu",IF(D493="","Poste manquant",IF(ISNA(MATCH(D493,po_code,0)),"Poste inconnu",IF(INDEX(po_check,MATCH(D493,po_code,0))&lt;&gt;"OK","Poste à corriger",IF(AND(E493&lt;&gt;"",OR(NOT(ISNUMBER(E493)),N(E493)&lt;0)),"Réglage invalide",IF(AND(F493&lt;&gt;"",OR(NOT(ISNUMBER(F493)),N(F493)&lt;0)),"Temps par pièce invalide",IF(N(E493)+N(F493)=0,"Temps manquant",IF(AND(G493&lt;&gt;"",OR(NOT(ISNUMBER(G493)),N(G493)&lt;=0)),"Opérateurs invalide","OK"))))))))))</f>
        <v/>
      </c>
      <c r="N493" s="71" t="str">
        <f>IF(AND(fiche_sel&lt;&gt;"",A493=fiche_sel),COUNTIF(A$6:A493,fiche_sel),"")</f>
        <v/>
      </c>
    </row>
    <row r="494">
      <c r="A494" s="60" t="n"/>
      <c r="B494" s="73" t="n"/>
      <c r="C494" s="60" t="n"/>
      <c r="D494" s="61" t="n"/>
      <c r="E494" s="74" t="n"/>
      <c r="F494" s="74" t="n"/>
      <c r="G494" s="73" t="n"/>
      <c r="H494" s="66" t="str">
        <f>IF(M494&lt;&gt;"OK","",INDEX(po_mo,MATCH(D494,po_code,0)))</f>
        <v/>
      </c>
      <c r="I494" s="66" t="str">
        <f>IF(M494&lt;&gt;"OK","",INDEX(po_mac,MATCH(D494,po_code,0)))</f>
        <v/>
      </c>
      <c r="J494" s="66" t="str">
        <f>IF(M494&lt;&gt;"OK","",N(E494)*(H494*IF(G494="",1,G494)+I494))</f>
        <v/>
      </c>
      <c r="K494" s="66" t="str">
        <f>IF(M494&lt;&gt;"OK","",N(F494)/60*H494*IF(G494="",1,G494))</f>
        <v/>
      </c>
      <c r="L494" s="66" t="str">
        <f>IF(M494&lt;&gt;"OK","",N(F494)/60*I494)</f>
        <v/>
      </c>
      <c r="M494" s="69" t="str">
        <f>IF(AND(A494="",D494=""),"",IF(A494="","Produit manquant",IF(COUNTIF(prod_ref,A494)=0,"Produit inconnu",IF(D494="","Poste manquant",IF(ISNA(MATCH(D494,po_code,0)),"Poste inconnu",IF(INDEX(po_check,MATCH(D494,po_code,0))&lt;&gt;"OK","Poste à corriger",IF(AND(E494&lt;&gt;"",OR(NOT(ISNUMBER(E494)),N(E494)&lt;0)),"Réglage invalide",IF(AND(F494&lt;&gt;"",OR(NOT(ISNUMBER(F494)),N(F494)&lt;0)),"Temps par pièce invalide",IF(N(E494)+N(F494)=0,"Temps manquant",IF(AND(G494&lt;&gt;"",OR(NOT(ISNUMBER(G494)),N(G494)&lt;=0)),"Opérateurs invalide","OK"))))))))))</f>
        <v/>
      </c>
      <c r="N494" s="71" t="str">
        <f>IF(AND(fiche_sel&lt;&gt;"",A494=fiche_sel),COUNTIF(A$6:A494,fiche_sel),"")</f>
        <v/>
      </c>
    </row>
    <row r="495">
      <c r="A495" s="60" t="n"/>
      <c r="B495" s="73" t="n"/>
      <c r="C495" s="60" t="n"/>
      <c r="D495" s="61" t="n"/>
      <c r="E495" s="74" t="n"/>
      <c r="F495" s="74" t="n"/>
      <c r="G495" s="73" t="n"/>
      <c r="H495" s="66" t="str">
        <f>IF(M495&lt;&gt;"OK","",INDEX(po_mo,MATCH(D495,po_code,0)))</f>
        <v/>
      </c>
      <c r="I495" s="66" t="str">
        <f>IF(M495&lt;&gt;"OK","",INDEX(po_mac,MATCH(D495,po_code,0)))</f>
        <v/>
      </c>
      <c r="J495" s="66" t="str">
        <f>IF(M495&lt;&gt;"OK","",N(E495)*(H495*IF(G495="",1,G495)+I495))</f>
        <v/>
      </c>
      <c r="K495" s="66" t="str">
        <f>IF(M495&lt;&gt;"OK","",N(F495)/60*H495*IF(G495="",1,G495))</f>
        <v/>
      </c>
      <c r="L495" s="66" t="str">
        <f>IF(M495&lt;&gt;"OK","",N(F495)/60*I495)</f>
        <v/>
      </c>
      <c r="M495" s="69" t="str">
        <f>IF(AND(A495="",D495=""),"",IF(A495="","Produit manquant",IF(COUNTIF(prod_ref,A495)=0,"Produit inconnu",IF(D495="","Poste manquant",IF(ISNA(MATCH(D495,po_code,0)),"Poste inconnu",IF(INDEX(po_check,MATCH(D495,po_code,0))&lt;&gt;"OK","Poste à corriger",IF(AND(E495&lt;&gt;"",OR(NOT(ISNUMBER(E495)),N(E495)&lt;0)),"Réglage invalide",IF(AND(F495&lt;&gt;"",OR(NOT(ISNUMBER(F495)),N(F495)&lt;0)),"Temps par pièce invalide",IF(N(E495)+N(F495)=0,"Temps manquant",IF(AND(G495&lt;&gt;"",OR(NOT(ISNUMBER(G495)),N(G495)&lt;=0)),"Opérateurs invalide","OK"))))))))))</f>
        <v/>
      </c>
      <c r="N495" s="71" t="str">
        <f>IF(AND(fiche_sel&lt;&gt;"",A495=fiche_sel),COUNTIF(A$6:A495,fiche_sel),"")</f>
        <v/>
      </c>
    </row>
    <row r="496">
      <c r="A496" s="60" t="n"/>
      <c r="B496" s="73" t="n"/>
      <c r="C496" s="60" t="n"/>
      <c r="D496" s="61" t="n"/>
      <c r="E496" s="74" t="n"/>
      <c r="F496" s="74" t="n"/>
      <c r="G496" s="73" t="n"/>
      <c r="H496" s="66" t="str">
        <f>IF(M496&lt;&gt;"OK","",INDEX(po_mo,MATCH(D496,po_code,0)))</f>
        <v/>
      </c>
      <c r="I496" s="66" t="str">
        <f>IF(M496&lt;&gt;"OK","",INDEX(po_mac,MATCH(D496,po_code,0)))</f>
        <v/>
      </c>
      <c r="J496" s="66" t="str">
        <f>IF(M496&lt;&gt;"OK","",N(E496)*(H496*IF(G496="",1,G496)+I496))</f>
        <v/>
      </c>
      <c r="K496" s="66" t="str">
        <f>IF(M496&lt;&gt;"OK","",N(F496)/60*H496*IF(G496="",1,G496))</f>
        <v/>
      </c>
      <c r="L496" s="66" t="str">
        <f>IF(M496&lt;&gt;"OK","",N(F496)/60*I496)</f>
        <v/>
      </c>
      <c r="M496" s="69" t="str">
        <f>IF(AND(A496="",D496=""),"",IF(A496="","Produit manquant",IF(COUNTIF(prod_ref,A496)=0,"Produit inconnu",IF(D496="","Poste manquant",IF(ISNA(MATCH(D496,po_code,0)),"Poste inconnu",IF(INDEX(po_check,MATCH(D496,po_code,0))&lt;&gt;"OK","Poste à corriger",IF(AND(E496&lt;&gt;"",OR(NOT(ISNUMBER(E496)),N(E496)&lt;0)),"Réglage invalide",IF(AND(F496&lt;&gt;"",OR(NOT(ISNUMBER(F496)),N(F496)&lt;0)),"Temps par pièce invalide",IF(N(E496)+N(F496)=0,"Temps manquant",IF(AND(G496&lt;&gt;"",OR(NOT(ISNUMBER(G496)),N(G496)&lt;=0)),"Opérateurs invalide","OK"))))))))))</f>
        <v/>
      </c>
      <c r="N496" s="71" t="str">
        <f>IF(AND(fiche_sel&lt;&gt;"",A496=fiche_sel),COUNTIF(A$6:A496,fiche_sel),"")</f>
        <v/>
      </c>
    </row>
    <row r="497">
      <c r="A497" s="60" t="n"/>
      <c r="B497" s="73" t="n"/>
      <c r="C497" s="60" t="n"/>
      <c r="D497" s="61" t="n"/>
      <c r="E497" s="74" t="n"/>
      <c r="F497" s="74" t="n"/>
      <c r="G497" s="73" t="n"/>
      <c r="H497" s="66" t="str">
        <f>IF(M497&lt;&gt;"OK","",INDEX(po_mo,MATCH(D497,po_code,0)))</f>
        <v/>
      </c>
      <c r="I497" s="66" t="str">
        <f>IF(M497&lt;&gt;"OK","",INDEX(po_mac,MATCH(D497,po_code,0)))</f>
        <v/>
      </c>
      <c r="J497" s="66" t="str">
        <f>IF(M497&lt;&gt;"OK","",N(E497)*(H497*IF(G497="",1,G497)+I497))</f>
        <v/>
      </c>
      <c r="K497" s="66" t="str">
        <f>IF(M497&lt;&gt;"OK","",N(F497)/60*H497*IF(G497="",1,G497))</f>
        <v/>
      </c>
      <c r="L497" s="66" t="str">
        <f>IF(M497&lt;&gt;"OK","",N(F497)/60*I497)</f>
        <v/>
      </c>
      <c r="M497" s="69" t="str">
        <f>IF(AND(A497="",D497=""),"",IF(A497="","Produit manquant",IF(COUNTIF(prod_ref,A497)=0,"Produit inconnu",IF(D497="","Poste manquant",IF(ISNA(MATCH(D497,po_code,0)),"Poste inconnu",IF(INDEX(po_check,MATCH(D497,po_code,0))&lt;&gt;"OK","Poste à corriger",IF(AND(E497&lt;&gt;"",OR(NOT(ISNUMBER(E497)),N(E497)&lt;0)),"Réglage invalide",IF(AND(F497&lt;&gt;"",OR(NOT(ISNUMBER(F497)),N(F497)&lt;0)),"Temps par pièce invalide",IF(N(E497)+N(F497)=0,"Temps manquant",IF(AND(G497&lt;&gt;"",OR(NOT(ISNUMBER(G497)),N(G497)&lt;=0)),"Opérateurs invalide","OK"))))))))))</f>
        <v/>
      </c>
      <c r="N497" s="71" t="str">
        <f>IF(AND(fiche_sel&lt;&gt;"",A497=fiche_sel),COUNTIF(A$6:A497,fiche_sel),"")</f>
        <v/>
      </c>
    </row>
    <row r="498">
      <c r="A498" s="60" t="n"/>
      <c r="B498" s="73" t="n"/>
      <c r="C498" s="60" t="n"/>
      <c r="D498" s="61" t="n"/>
      <c r="E498" s="74" t="n"/>
      <c r="F498" s="74" t="n"/>
      <c r="G498" s="73" t="n"/>
      <c r="H498" s="66" t="str">
        <f>IF(M498&lt;&gt;"OK","",INDEX(po_mo,MATCH(D498,po_code,0)))</f>
        <v/>
      </c>
      <c r="I498" s="66" t="str">
        <f>IF(M498&lt;&gt;"OK","",INDEX(po_mac,MATCH(D498,po_code,0)))</f>
        <v/>
      </c>
      <c r="J498" s="66" t="str">
        <f>IF(M498&lt;&gt;"OK","",N(E498)*(H498*IF(G498="",1,G498)+I498))</f>
        <v/>
      </c>
      <c r="K498" s="66" t="str">
        <f>IF(M498&lt;&gt;"OK","",N(F498)/60*H498*IF(G498="",1,G498))</f>
        <v/>
      </c>
      <c r="L498" s="66" t="str">
        <f>IF(M498&lt;&gt;"OK","",N(F498)/60*I498)</f>
        <v/>
      </c>
      <c r="M498" s="69" t="str">
        <f>IF(AND(A498="",D498=""),"",IF(A498="","Produit manquant",IF(COUNTIF(prod_ref,A498)=0,"Produit inconnu",IF(D498="","Poste manquant",IF(ISNA(MATCH(D498,po_code,0)),"Poste inconnu",IF(INDEX(po_check,MATCH(D498,po_code,0))&lt;&gt;"OK","Poste à corriger",IF(AND(E498&lt;&gt;"",OR(NOT(ISNUMBER(E498)),N(E498)&lt;0)),"Réglage invalide",IF(AND(F498&lt;&gt;"",OR(NOT(ISNUMBER(F498)),N(F498)&lt;0)),"Temps par pièce invalide",IF(N(E498)+N(F498)=0,"Temps manquant",IF(AND(G498&lt;&gt;"",OR(NOT(ISNUMBER(G498)),N(G498)&lt;=0)),"Opérateurs invalide","OK"))))))))))</f>
        <v/>
      </c>
      <c r="N498" s="71" t="str">
        <f>IF(AND(fiche_sel&lt;&gt;"",A498=fiche_sel),COUNTIF(A$6:A498,fiche_sel),"")</f>
        <v/>
      </c>
    </row>
    <row r="499">
      <c r="A499" s="60" t="n"/>
      <c r="B499" s="73" t="n"/>
      <c r="C499" s="60" t="n"/>
      <c r="D499" s="61" t="n"/>
      <c r="E499" s="74" t="n"/>
      <c r="F499" s="74" t="n"/>
      <c r="G499" s="73" t="n"/>
      <c r="H499" s="66" t="str">
        <f>IF(M499&lt;&gt;"OK","",INDEX(po_mo,MATCH(D499,po_code,0)))</f>
        <v/>
      </c>
      <c r="I499" s="66" t="str">
        <f>IF(M499&lt;&gt;"OK","",INDEX(po_mac,MATCH(D499,po_code,0)))</f>
        <v/>
      </c>
      <c r="J499" s="66" t="str">
        <f>IF(M499&lt;&gt;"OK","",N(E499)*(H499*IF(G499="",1,G499)+I499))</f>
        <v/>
      </c>
      <c r="K499" s="66" t="str">
        <f>IF(M499&lt;&gt;"OK","",N(F499)/60*H499*IF(G499="",1,G499))</f>
        <v/>
      </c>
      <c r="L499" s="66" t="str">
        <f>IF(M499&lt;&gt;"OK","",N(F499)/60*I499)</f>
        <v/>
      </c>
      <c r="M499" s="69" t="str">
        <f>IF(AND(A499="",D499=""),"",IF(A499="","Produit manquant",IF(COUNTIF(prod_ref,A499)=0,"Produit inconnu",IF(D499="","Poste manquant",IF(ISNA(MATCH(D499,po_code,0)),"Poste inconnu",IF(INDEX(po_check,MATCH(D499,po_code,0))&lt;&gt;"OK","Poste à corriger",IF(AND(E499&lt;&gt;"",OR(NOT(ISNUMBER(E499)),N(E499)&lt;0)),"Réglage invalide",IF(AND(F499&lt;&gt;"",OR(NOT(ISNUMBER(F499)),N(F499)&lt;0)),"Temps par pièce invalide",IF(N(E499)+N(F499)=0,"Temps manquant",IF(AND(G499&lt;&gt;"",OR(NOT(ISNUMBER(G499)),N(G499)&lt;=0)),"Opérateurs invalide","OK"))))))))))</f>
        <v/>
      </c>
      <c r="N499" s="71" t="str">
        <f>IF(AND(fiche_sel&lt;&gt;"",A499=fiche_sel),COUNTIF(A$6:A499,fiche_sel),"")</f>
        <v/>
      </c>
    </row>
    <row r="500">
      <c r="A500" s="60" t="n"/>
      <c r="B500" s="73" t="n"/>
      <c r="C500" s="60" t="n"/>
      <c r="D500" s="61" t="n"/>
      <c r="E500" s="74" t="n"/>
      <c r="F500" s="74" t="n"/>
      <c r="G500" s="73" t="n"/>
      <c r="H500" s="66" t="str">
        <f>IF(M500&lt;&gt;"OK","",INDEX(po_mo,MATCH(D500,po_code,0)))</f>
        <v/>
      </c>
      <c r="I500" s="66" t="str">
        <f>IF(M500&lt;&gt;"OK","",INDEX(po_mac,MATCH(D500,po_code,0)))</f>
        <v/>
      </c>
      <c r="J500" s="66" t="str">
        <f>IF(M500&lt;&gt;"OK","",N(E500)*(H500*IF(G500="",1,G500)+I500))</f>
        <v/>
      </c>
      <c r="K500" s="66" t="str">
        <f>IF(M500&lt;&gt;"OK","",N(F500)/60*H500*IF(G500="",1,G500))</f>
        <v/>
      </c>
      <c r="L500" s="66" t="str">
        <f>IF(M500&lt;&gt;"OK","",N(F500)/60*I500)</f>
        <v/>
      </c>
      <c r="M500" s="69" t="str">
        <f>IF(AND(A500="",D500=""),"",IF(A500="","Produit manquant",IF(COUNTIF(prod_ref,A500)=0,"Produit inconnu",IF(D500="","Poste manquant",IF(ISNA(MATCH(D500,po_code,0)),"Poste inconnu",IF(INDEX(po_check,MATCH(D500,po_code,0))&lt;&gt;"OK","Poste à corriger",IF(AND(E500&lt;&gt;"",OR(NOT(ISNUMBER(E500)),N(E500)&lt;0)),"Réglage invalide",IF(AND(F500&lt;&gt;"",OR(NOT(ISNUMBER(F500)),N(F500)&lt;0)),"Temps par pièce invalide",IF(N(E500)+N(F500)=0,"Temps manquant",IF(AND(G500&lt;&gt;"",OR(NOT(ISNUMBER(G500)),N(G500)&lt;=0)),"Opérateurs invalide","OK"))))))))))</f>
        <v/>
      </c>
      <c r="N500" s="71" t="str">
        <f>IF(AND(fiche_sel&lt;&gt;"",A500=fiche_sel),COUNTIF(A$6:A500,fiche_sel),"")</f>
        <v/>
      </c>
    </row>
    <row r="501">
      <c r="A501" s="60" t="n"/>
      <c r="B501" s="73" t="n"/>
      <c r="C501" s="60" t="n"/>
      <c r="D501" s="61" t="n"/>
      <c r="E501" s="74" t="n"/>
      <c r="F501" s="74" t="n"/>
      <c r="G501" s="73" t="n"/>
      <c r="H501" s="66" t="str">
        <f>IF(M501&lt;&gt;"OK","",INDEX(po_mo,MATCH(D501,po_code,0)))</f>
        <v/>
      </c>
      <c r="I501" s="66" t="str">
        <f>IF(M501&lt;&gt;"OK","",INDEX(po_mac,MATCH(D501,po_code,0)))</f>
        <v/>
      </c>
      <c r="J501" s="66" t="str">
        <f>IF(M501&lt;&gt;"OK","",N(E501)*(H501*IF(G501="",1,G501)+I501))</f>
        <v/>
      </c>
      <c r="K501" s="66" t="str">
        <f>IF(M501&lt;&gt;"OK","",N(F501)/60*H501*IF(G501="",1,G501))</f>
        <v/>
      </c>
      <c r="L501" s="66" t="str">
        <f>IF(M501&lt;&gt;"OK","",N(F501)/60*I501)</f>
        <v/>
      </c>
      <c r="M501" s="69" t="str">
        <f>IF(AND(A501="",D501=""),"",IF(A501="","Produit manquant",IF(COUNTIF(prod_ref,A501)=0,"Produit inconnu",IF(D501="","Poste manquant",IF(ISNA(MATCH(D501,po_code,0)),"Poste inconnu",IF(INDEX(po_check,MATCH(D501,po_code,0))&lt;&gt;"OK","Poste à corriger",IF(AND(E501&lt;&gt;"",OR(NOT(ISNUMBER(E501)),N(E501)&lt;0)),"Réglage invalide",IF(AND(F501&lt;&gt;"",OR(NOT(ISNUMBER(F501)),N(F501)&lt;0)),"Temps par pièce invalide",IF(N(E501)+N(F501)=0,"Temps manquant",IF(AND(G501&lt;&gt;"",OR(NOT(ISNUMBER(G501)),N(G501)&lt;=0)),"Opérateurs invalide","OK"))))))))))</f>
        <v/>
      </c>
      <c r="N501" s="71" t="str">
        <f>IF(AND(fiche_sel&lt;&gt;"",A501=fiche_sel),COUNTIF(A$6:A501,fiche_sel),"")</f>
        <v/>
      </c>
    </row>
    <row r="502">
      <c r="A502" s="60" t="n"/>
      <c r="B502" s="73" t="n"/>
      <c r="C502" s="60" t="n"/>
      <c r="D502" s="61" t="n"/>
      <c r="E502" s="74" t="n"/>
      <c r="F502" s="74" t="n"/>
      <c r="G502" s="73" t="n"/>
      <c r="H502" s="66" t="str">
        <f>IF(M502&lt;&gt;"OK","",INDEX(po_mo,MATCH(D502,po_code,0)))</f>
        <v/>
      </c>
      <c r="I502" s="66" t="str">
        <f>IF(M502&lt;&gt;"OK","",INDEX(po_mac,MATCH(D502,po_code,0)))</f>
        <v/>
      </c>
      <c r="J502" s="66" t="str">
        <f>IF(M502&lt;&gt;"OK","",N(E502)*(H502*IF(G502="",1,G502)+I502))</f>
        <v/>
      </c>
      <c r="K502" s="66" t="str">
        <f>IF(M502&lt;&gt;"OK","",N(F502)/60*H502*IF(G502="",1,G502))</f>
        <v/>
      </c>
      <c r="L502" s="66" t="str">
        <f>IF(M502&lt;&gt;"OK","",N(F502)/60*I502)</f>
        <v/>
      </c>
      <c r="M502" s="69" t="str">
        <f>IF(AND(A502="",D502=""),"",IF(A502="","Produit manquant",IF(COUNTIF(prod_ref,A502)=0,"Produit inconnu",IF(D502="","Poste manquant",IF(ISNA(MATCH(D502,po_code,0)),"Poste inconnu",IF(INDEX(po_check,MATCH(D502,po_code,0))&lt;&gt;"OK","Poste à corriger",IF(AND(E502&lt;&gt;"",OR(NOT(ISNUMBER(E502)),N(E502)&lt;0)),"Réglage invalide",IF(AND(F502&lt;&gt;"",OR(NOT(ISNUMBER(F502)),N(F502)&lt;0)),"Temps par pièce invalide",IF(N(E502)+N(F502)=0,"Temps manquant",IF(AND(G502&lt;&gt;"",OR(NOT(ISNUMBER(G502)),N(G502)&lt;=0)),"Opérateurs invalide","OK"))))))))))</f>
        <v/>
      </c>
      <c r="N502" s="71" t="str">
        <f>IF(AND(fiche_sel&lt;&gt;"",A502=fiche_sel),COUNTIF(A$6:A502,fiche_sel),"")</f>
        <v/>
      </c>
    </row>
    <row r="503">
      <c r="A503" s="60" t="n"/>
      <c r="B503" s="73" t="n"/>
      <c r="C503" s="60" t="n"/>
      <c r="D503" s="61" t="n"/>
      <c r="E503" s="74" t="n"/>
      <c r="F503" s="74" t="n"/>
      <c r="G503" s="73" t="n"/>
      <c r="H503" s="66" t="str">
        <f>IF(M503&lt;&gt;"OK","",INDEX(po_mo,MATCH(D503,po_code,0)))</f>
        <v/>
      </c>
      <c r="I503" s="66" t="str">
        <f>IF(M503&lt;&gt;"OK","",INDEX(po_mac,MATCH(D503,po_code,0)))</f>
        <v/>
      </c>
      <c r="J503" s="66" t="str">
        <f>IF(M503&lt;&gt;"OK","",N(E503)*(H503*IF(G503="",1,G503)+I503))</f>
        <v/>
      </c>
      <c r="K503" s="66" t="str">
        <f>IF(M503&lt;&gt;"OK","",N(F503)/60*H503*IF(G503="",1,G503))</f>
        <v/>
      </c>
      <c r="L503" s="66" t="str">
        <f>IF(M503&lt;&gt;"OK","",N(F503)/60*I503)</f>
        <v/>
      </c>
      <c r="M503" s="69" t="str">
        <f>IF(AND(A503="",D503=""),"",IF(A503="","Produit manquant",IF(COUNTIF(prod_ref,A503)=0,"Produit inconnu",IF(D503="","Poste manquant",IF(ISNA(MATCH(D503,po_code,0)),"Poste inconnu",IF(INDEX(po_check,MATCH(D503,po_code,0))&lt;&gt;"OK","Poste à corriger",IF(AND(E503&lt;&gt;"",OR(NOT(ISNUMBER(E503)),N(E503)&lt;0)),"Réglage invalide",IF(AND(F503&lt;&gt;"",OR(NOT(ISNUMBER(F503)),N(F503)&lt;0)),"Temps par pièce invalide",IF(N(E503)+N(F503)=0,"Temps manquant",IF(AND(G503&lt;&gt;"",OR(NOT(ISNUMBER(G503)),N(G503)&lt;=0)),"Opérateurs invalide","OK"))))))))))</f>
        <v/>
      </c>
      <c r="N503" s="71" t="str">
        <f>IF(AND(fiche_sel&lt;&gt;"",A503=fiche_sel),COUNTIF(A$6:A503,fiche_sel),"")</f>
        <v/>
      </c>
    </row>
    <row r="504">
      <c r="A504" s="60" t="n"/>
      <c r="B504" s="73" t="n"/>
      <c r="C504" s="60" t="n"/>
      <c r="D504" s="61" t="n"/>
      <c r="E504" s="74" t="n"/>
      <c r="F504" s="74" t="n"/>
      <c r="G504" s="73" t="n"/>
      <c r="H504" s="66" t="str">
        <f>IF(M504&lt;&gt;"OK","",INDEX(po_mo,MATCH(D504,po_code,0)))</f>
        <v/>
      </c>
      <c r="I504" s="66" t="str">
        <f>IF(M504&lt;&gt;"OK","",INDEX(po_mac,MATCH(D504,po_code,0)))</f>
        <v/>
      </c>
      <c r="J504" s="66" t="str">
        <f>IF(M504&lt;&gt;"OK","",N(E504)*(H504*IF(G504="",1,G504)+I504))</f>
        <v/>
      </c>
      <c r="K504" s="66" t="str">
        <f>IF(M504&lt;&gt;"OK","",N(F504)/60*H504*IF(G504="",1,G504))</f>
        <v/>
      </c>
      <c r="L504" s="66" t="str">
        <f>IF(M504&lt;&gt;"OK","",N(F504)/60*I504)</f>
        <v/>
      </c>
      <c r="M504" s="69" t="str">
        <f>IF(AND(A504="",D504=""),"",IF(A504="","Produit manquant",IF(COUNTIF(prod_ref,A504)=0,"Produit inconnu",IF(D504="","Poste manquant",IF(ISNA(MATCH(D504,po_code,0)),"Poste inconnu",IF(INDEX(po_check,MATCH(D504,po_code,0))&lt;&gt;"OK","Poste à corriger",IF(AND(E504&lt;&gt;"",OR(NOT(ISNUMBER(E504)),N(E504)&lt;0)),"Réglage invalide",IF(AND(F504&lt;&gt;"",OR(NOT(ISNUMBER(F504)),N(F504)&lt;0)),"Temps par pièce invalide",IF(N(E504)+N(F504)=0,"Temps manquant",IF(AND(G504&lt;&gt;"",OR(NOT(ISNUMBER(G504)),N(G504)&lt;=0)),"Opérateurs invalide","OK"))))))))))</f>
        <v/>
      </c>
      <c r="N504" s="71" t="str">
        <f>IF(AND(fiche_sel&lt;&gt;"",A504=fiche_sel),COUNTIF(A$6:A504,fiche_sel),"")</f>
        <v/>
      </c>
    </row>
    <row r="505">
      <c r="A505" s="60" t="n"/>
      <c r="B505" s="73" t="n"/>
      <c r="C505" s="60" t="n"/>
      <c r="D505" s="61" t="n"/>
      <c r="E505" s="74" t="n"/>
      <c r="F505" s="74" t="n"/>
      <c r="G505" s="73" t="n"/>
      <c r="H505" s="66" t="str">
        <f>IF(M505&lt;&gt;"OK","",INDEX(po_mo,MATCH(D505,po_code,0)))</f>
        <v/>
      </c>
      <c r="I505" s="66" t="str">
        <f>IF(M505&lt;&gt;"OK","",INDEX(po_mac,MATCH(D505,po_code,0)))</f>
        <v/>
      </c>
      <c r="J505" s="66" t="str">
        <f>IF(M505&lt;&gt;"OK","",N(E505)*(H505*IF(G505="",1,G505)+I505))</f>
        <v/>
      </c>
      <c r="K505" s="66" t="str">
        <f>IF(M505&lt;&gt;"OK","",N(F505)/60*H505*IF(G505="",1,G505))</f>
        <v/>
      </c>
      <c r="L505" s="66" t="str">
        <f>IF(M505&lt;&gt;"OK","",N(F505)/60*I505)</f>
        <v/>
      </c>
      <c r="M505" s="69" t="str">
        <f>IF(AND(A505="",D505=""),"",IF(A505="","Produit manquant",IF(COUNTIF(prod_ref,A505)=0,"Produit inconnu",IF(D505="","Poste manquant",IF(ISNA(MATCH(D505,po_code,0)),"Poste inconnu",IF(INDEX(po_check,MATCH(D505,po_code,0))&lt;&gt;"OK","Poste à corriger",IF(AND(E505&lt;&gt;"",OR(NOT(ISNUMBER(E505)),N(E505)&lt;0)),"Réglage invalide",IF(AND(F505&lt;&gt;"",OR(NOT(ISNUMBER(F505)),N(F505)&lt;0)),"Temps par pièce invalide",IF(N(E505)+N(F505)=0,"Temps manquant",IF(AND(G505&lt;&gt;"",OR(NOT(ISNUMBER(G505)),N(G505)&lt;=0)),"Opérateurs invalide","OK"))))))))))</f>
        <v/>
      </c>
      <c r="N505" s="71" t="str">
        <f>IF(AND(fiche_sel&lt;&gt;"",A505=fiche_sel),COUNTIF(A$6:A505,fiche_sel),"")</f>
        <v/>
      </c>
    </row>
    <row r="506">
      <c r="A506" s="60" t="n"/>
      <c r="B506" s="73" t="n"/>
      <c r="C506" s="60" t="n"/>
      <c r="D506" s="61" t="n"/>
      <c r="E506" s="74" t="n"/>
      <c r="F506" s="74" t="n"/>
      <c r="G506" s="73" t="n"/>
      <c r="H506" s="66" t="str">
        <f>IF(M506&lt;&gt;"OK","",INDEX(po_mo,MATCH(D506,po_code,0)))</f>
        <v/>
      </c>
      <c r="I506" s="66" t="str">
        <f>IF(M506&lt;&gt;"OK","",INDEX(po_mac,MATCH(D506,po_code,0)))</f>
        <v/>
      </c>
      <c r="J506" s="66" t="str">
        <f>IF(M506&lt;&gt;"OK","",N(E506)*(H506*IF(G506="",1,G506)+I506))</f>
        <v/>
      </c>
      <c r="K506" s="66" t="str">
        <f>IF(M506&lt;&gt;"OK","",N(F506)/60*H506*IF(G506="",1,G506))</f>
        <v/>
      </c>
      <c r="L506" s="66" t="str">
        <f>IF(M506&lt;&gt;"OK","",N(F506)/60*I506)</f>
        <v/>
      </c>
      <c r="M506" s="69" t="str">
        <f>IF(AND(A506="",D506=""),"",IF(A506="","Produit manquant",IF(COUNTIF(prod_ref,A506)=0,"Produit inconnu",IF(D506="","Poste manquant",IF(ISNA(MATCH(D506,po_code,0)),"Poste inconnu",IF(INDEX(po_check,MATCH(D506,po_code,0))&lt;&gt;"OK","Poste à corriger",IF(AND(E506&lt;&gt;"",OR(NOT(ISNUMBER(E506)),N(E506)&lt;0)),"Réglage invalide",IF(AND(F506&lt;&gt;"",OR(NOT(ISNUMBER(F506)),N(F506)&lt;0)),"Temps par pièce invalide",IF(N(E506)+N(F506)=0,"Temps manquant",IF(AND(G506&lt;&gt;"",OR(NOT(ISNUMBER(G506)),N(G506)&lt;=0)),"Opérateurs invalide","OK"))))))))))</f>
        <v/>
      </c>
      <c r="N506" s="71" t="str">
        <f>IF(AND(fiche_sel&lt;&gt;"",A506=fiche_sel),COUNTIF(A$6:A506,fiche_sel),"")</f>
        <v/>
      </c>
    </row>
    <row r="507">
      <c r="A507" s="60" t="n"/>
      <c r="B507" s="73" t="n"/>
      <c r="C507" s="60" t="n"/>
      <c r="D507" s="61" t="n"/>
      <c r="E507" s="74" t="n"/>
      <c r="F507" s="74" t="n"/>
      <c r="G507" s="73" t="n"/>
      <c r="H507" s="66" t="str">
        <f>IF(M507&lt;&gt;"OK","",INDEX(po_mo,MATCH(D507,po_code,0)))</f>
        <v/>
      </c>
      <c r="I507" s="66" t="str">
        <f>IF(M507&lt;&gt;"OK","",INDEX(po_mac,MATCH(D507,po_code,0)))</f>
        <v/>
      </c>
      <c r="J507" s="66" t="str">
        <f>IF(M507&lt;&gt;"OK","",N(E507)*(H507*IF(G507="",1,G507)+I507))</f>
        <v/>
      </c>
      <c r="K507" s="66" t="str">
        <f>IF(M507&lt;&gt;"OK","",N(F507)/60*H507*IF(G507="",1,G507))</f>
        <v/>
      </c>
      <c r="L507" s="66" t="str">
        <f>IF(M507&lt;&gt;"OK","",N(F507)/60*I507)</f>
        <v/>
      </c>
      <c r="M507" s="69" t="str">
        <f>IF(AND(A507="",D507=""),"",IF(A507="","Produit manquant",IF(COUNTIF(prod_ref,A507)=0,"Produit inconnu",IF(D507="","Poste manquant",IF(ISNA(MATCH(D507,po_code,0)),"Poste inconnu",IF(INDEX(po_check,MATCH(D507,po_code,0))&lt;&gt;"OK","Poste à corriger",IF(AND(E507&lt;&gt;"",OR(NOT(ISNUMBER(E507)),N(E507)&lt;0)),"Réglage invalide",IF(AND(F507&lt;&gt;"",OR(NOT(ISNUMBER(F507)),N(F507)&lt;0)),"Temps par pièce invalide",IF(N(E507)+N(F507)=0,"Temps manquant",IF(AND(G507&lt;&gt;"",OR(NOT(ISNUMBER(G507)),N(G507)&lt;=0)),"Opérateurs invalide","OK"))))))))))</f>
        <v/>
      </c>
      <c r="N507" s="71" t="str">
        <f>IF(AND(fiche_sel&lt;&gt;"",A507=fiche_sel),COUNTIF(A$6:A507,fiche_sel),"")</f>
        <v/>
      </c>
    </row>
    <row r="508">
      <c r="A508" s="60" t="n"/>
      <c r="B508" s="73" t="n"/>
      <c r="C508" s="60" t="n"/>
      <c r="D508" s="61" t="n"/>
      <c r="E508" s="74" t="n"/>
      <c r="F508" s="74" t="n"/>
      <c r="G508" s="73" t="n"/>
      <c r="H508" s="66" t="str">
        <f>IF(M508&lt;&gt;"OK","",INDEX(po_mo,MATCH(D508,po_code,0)))</f>
        <v/>
      </c>
      <c r="I508" s="66" t="str">
        <f>IF(M508&lt;&gt;"OK","",INDEX(po_mac,MATCH(D508,po_code,0)))</f>
        <v/>
      </c>
      <c r="J508" s="66" t="str">
        <f>IF(M508&lt;&gt;"OK","",N(E508)*(H508*IF(G508="",1,G508)+I508))</f>
        <v/>
      </c>
      <c r="K508" s="66" t="str">
        <f>IF(M508&lt;&gt;"OK","",N(F508)/60*H508*IF(G508="",1,G508))</f>
        <v/>
      </c>
      <c r="L508" s="66" t="str">
        <f>IF(M508&lt;&gt;"OK","",N(F508)/60*I508)</f>
        <v/>
      </c>
      <c r="M508" s="69" t="str">
        <f>IF(AND(A508="",D508=""),"",IF(A508="","Produit manquant",IF(COUNTIF(prod_ref,A508)=0,"Produit inconnu",IF(D508="","Poste manquant",IF(ISNA(MATCH(D508,po_code,0)),"Poste inconnu",IF(INDEX(po_check,MATCH(D508,po_code,0))&lt;&gt;"OK","Poste à corriger",IF(AND(E508&lt;&gt;"",OR(NOT(ISNUMBER(E508)),N(E508)&lt;0)),"Réglage invalide",IF(AND(F508&lt;&gt;"",OR(NOT(ISNUMBER(F508)),N(F508)&lt;0)),"Temps par pièce invalide",IF(N(E508)+N(F508)=0,"Temps manquant",IF(AND(G508&lt;&gt;"",OR(NOT(ISNUMBER(G508)),N(G508)&lt;=0)),"Opérateurs invalide","OK"))))))))))</f>
        <v/>
      </c>
      <c r="N508" s="71" t="str">
        <f>IF(AND(fiche_sel&lt;&gt;"",A508=fiche_sel),COUNTIF(A$6:A508,fiche_sel),"")</f>
        <v/>
      </c>
    </row>
    <row r="509">
      <c r="A509" s="60" t="n"/>
      <c r="B509" s="73" t="n"/>
      <c r="C509" s="60" t="n"/>
      <c r="D509" s="61" t="n"/>
      <c r="E509" s="74" t="n"/>
      <c r="F509" s="74" t="n"/>
      <c r="G509" s="73" t="n"/>
      <c r="H509" s="66" t="str">
        <f>IF(M509&lt;&gt;"OK","",INDEX(po_mo,MATCH(D509,po_code,0)))</f>
        <v/>
      </c>
      <c r="I509" s="66" t="str">
        <f>IF(M509&lt;&gt;"OK","",INDEX(po_mac,MATCH(D509,po_code,0)))</f>
        <v/>
      </c>
      <c r="J509" s="66" t="str">
        <f>IF(M509&lt;&gt;"OK","",N(E509)*(H509*IF(G509="",1,G509)+I509))</f>
        <v/>
      </c>
      <c r="K509" s="66" t="str">
        <f>IF(M509&lt;&gt;"OK","",N(F509)/60*H509*IF(G509="",1,G509))</f>
        <v/>
      </c>
      <c r="L509" s="66" t="str">
        <f>IF(M509&lt;&gt;"OK","",N(F509)/60*I509)</f>
        <v/>
      </c>
      <c r="M509" s="69" t="str">
        <f>IF(AND(A509="",D509=""),"",IF(A509="","Produit manquant",IF(COUNTIF(prod_ref,A509)=0,"Produit inconnu",IF(D509="","Poste manquant",IF(ISNA(MATCH(D509,po_code,0)),"Poste inconnu",IF(INDEX(po_check,MATCH(D509,po_code,0))&lt;&gt;"OK","Poste à corriger",IF(AND(E509&lt;&gt;"",OR(NOT(ISNUMBER(E509)),N(E509)&lt;0)),"Réglage invalide",IF(AND(F509&lt;&gt;"",OR(NOT(ISNUMBER(F509)),N(F509)&lt;0)),"Temps par pièce invalide",IF(N(E509)+N(F509)=0,"Temps manquant",IF(AND(G509&lt;&gt;"",OR(NOT(ISNUMBER(G509)),N(G509)&lt;=0)),"Opérateurs invalide","OK"))))))))))</f>
        <v/>
      </c>
      <c r="N509" s="71" t="str">
        <f>IF(AND(fiche_sel&lt;&gt;"",A509=fiche_sel),COUNTIF(A$6:A509,fiche_sel),"")</f>
        <v/>
      </c>
    </row>
    <row r="510">
      <c r="A510" s="60" t="n"/>
      <c r="B510" s="73" t="n"/>
      <c r="C510" s="60" t="n"/>
      <c r="D510" s="61" t="n"/>
      <c r="E510" s="74" t="n"/>
      <c r="F510" s="74" t="n"/>
      <c r="G510" s="73" t="n"/>
      <c r="H510" s="66" t="str">
        <f>IF(M510&lt;&gt;"OK","",INDEX(po_mo,MATCH(D510,po_code,0)))</f>
        <v/>
      </c>
      <c r="I510" s="66" t="str">
        <f>IF(M510&lt;&gt;"OK","",INDEX(po_mac,MATCH(D510,po_code,0)))</f>
        <v/>
      </c>
      <c r="J510" s="66" t="str">
        <f>IF(M510&lt;&gt;"OK","",N(E510)*(H510*IF(G510="",1,G510)+I510))</f>
        <v/>
      </c>
      <c r="K510" s="66" t="str">
        <f>IF(M510&lt;&gt;"OK","",N(F510)/60*H510*IF(G510="",1,G510))</f>
        <v/>
      </c>
      <c r="L510" s="66" t="str">
        <f>IF(M510&lt;&gt;"OK","",N(F510)/60*I510)</f>
        <v/>
      </c>
      <c r="M510" s="69" t="str">
        <f>IF(AND(A510="",D510=""),"",IF(A510="","Produit manquant",IF(COUNTIF(prod_ref,A510)=0,"Produit inconnu",IF(D510="","Poste manquant",IF(ISNA(MATCH(D510,po_code,0)),"Poste inconnu",IF(INDEX(po_check,MATCH(D510,po_code,0))&lt;&gt;"OK","Poste à corriger",IF(AND(E510&lt;&gt;"",OR(NOT(ISNUMBER(E510)),N(E510)&lt;0)),"Réglage invalide",IF(AND(F510&lt;&gt;"",OR(NOT(ISNUMBER(F510)),N(F510)&lt;0)),"Temps par pièce invalide",IF(N(E510)+N(F510)=0,"Temps manquant",IF(AND(G510&lt;&gt;"",OR(NOT(ISNUMBER(G510)),N(G510)&lt;=0)),"Opérateurs invalide","OK"))))))))))</f>
        <v/>
      </c>
      <c r="N510" s="71" t="str">
        <f>IF(AND(fiche_sel&lt;&gt;"",A510=fiche_sel),COUNTIF(A$6:A510,fiche_sel),"")</f>
        <v/>
      </c>
    </row>
    <row r="511">
      <c r="A511" s="60" t="n"/>
      <c r="B511" s="73" t="n"/>
      <c r="C511" s="60" t="n"/>
      <c r="D511" s="61" t="n"/>
      <c r="E511" s="74" t="n"/>
      <c r="F511" s="74" t="n"/>
      <c r="G511" s="73" t="n"/>
      <c r="H511" s="66" t="str">
        <f>IF(M511&lt;&gt;"OK","",INDEX(po_mo,MATCH(D511,po_code,0)))</f>
        <v/>
      </c>
      <c r="I511" s="66" t="str">
        <f>IF(M511&lt;&gt;"OK","",INDEX(po_mac,MATCH(D511,po_code,0)))</f>
        <v/>
      </c>
      <c r="J511" s="66" t="str">
        <f>IF(M511&lt;&gt;"OK","",N(E511)*(H511*IF(G511="",1,G511)+I511))</f>
        <v/>
      </c>
      <c r="K511" s="66" t="str">
        <f>IF(M511&lt;&gt;"OK","",N(F511)/60*H511*IF(G511="",1,G511))</f>
        <v/>
      </c>
      <c r="L511" s="66" t="str">
        <f>IF(M511&lt;&gt;"OK","",N(F511)/60*I511)</f>
        <v/>
      </c>
      <c r="M511" s="69" t="str">
        <f>IF(AND(A511="",D511=""),"",IF(A511="","Produit manquant",IF(COUNTIF(prod_ref,A511)=0,"Produit inconnu",IF(D511="","Poste manquant",IF(ISNA(MATCH(D511,po_code,0)),"Poste inconnu",IF(INDEX(po_check,MATCH(D511,po_code,0))&lt;&gt;"OK","Poste à corriger",IF(AND(E511&lt;&gt;"",OR(NOT(ISNUMBER(E511)),N(E511)&lt;0)),"Réglage invalide",IF(AND(F511&lt;&gt;"",OR(NOT(ISNUMBER(F511)),N(F511)&lt;0)),"Temps par pièce invalide",IF(N(E511)+N(F511)=0,"Temps manquant",IF(AND(G511&lt;&gt;"",OR(NOT(ISNUMBER(G511)),N(G511)&lt;=0)),"Opérateurs invalide","OK"))))))))))</f>
        <v/>
      </c>
      <c r="N511" s="71" t="str">
        <f>IF(AND(fiche_sel&lt;&gt;"",A511=fiche_sel),COUNTIF(A$6:A511,fiche_sel),"")</f>
        <v/>
      </c>
    </row>
    <row r="512">
      <c r="A512" s="60" t="n"/>
      <c r="B512" s="73" t="n"/>
      <c r="C512" s="60" t="n"/>
      <c r="D512" s="61" t="n"/>
      <c r="E512" s="74" t="n"/>
      <c r="F512" s="74" t="n"/>
      <c r="G512" s="73" t="n"/>
      <c r="H512" s="66" t="str">
        <f>IF(M512&lt;&gt;"OK","",INDEX(po_mo,MATCH(D512,po_code,0)))</f>
        <v/>
      </c>
      <c r="I512" s="66" t="str">
        <f>IF(M512&lt;&gt;"OK","",INDEX(po_mac,MATCH(D512,po_code,0)))</f>
        <v/>
      </c>
      <c r="J512" s="66" t="str">
        <f>IF(M512&lt;&gt;"OK","",N(E512)*(H512*IF(G512="",1,G512)+I512))</f>
        <v/>
      </c>
      <c r="K512" s="66" t="str">
        <f>IF(M512&lt;&gt;"OK","",N(F512)/60*H512*IF(G512="",1,G512))</f>
        <v/>
      </c>
      <c r="L512" s="66" t="str">
        <f>IF(M512&lt;&gt;"OK","",N(F512)/60*I512)</f>
        <v/>
      </c>
      <c r="M512" s="69" t="str">
        <f>IF(AND(A512="",D512=""),"",IF(A512="","Produit manquant",IF(COUNTIF(prod_ref,A512)=0,"Produit inconnu",IF(D512="","Poste manquant",IF(ISNA(MATCH(D512,po_code,0)),"Poste inconnu",IF(INDEX(po_check,MATCH(D512,po_code,0))&lt;&gt;"OK","Poste à corriger",IF(AND(E512&lt;&gt;"",OR(NOT(ISNUMBER(E512)),N(E512)&lt;0)),"Réglage invalide",IF(AND(F512&lt;&gt;"",OR(NOT(ISNUMBER(F512)),N(F512)&lt;0)),"Temps par pièce invalide",IF(N(E512)+N(F512)=0,"Temps manquant",IF(AND(G512&lt;&gt;"",OR(NOT(ISNUMBER(G512)),N(G512)&lt;=0)),"Opérateurs invalide","OK"))))))))))</f>
        <v/>
      </c>
      <c r="N512" s="71" t="str">
        <f>IF(AND(fiche_sel&lt;&gt;"",A512=fiche_sel),COUNTIF(A$6:A512,fiche_sel),"")</f>
        <v/>
      </c>
    </row>
    <row r="513">
      <c r="A513" s="60" t="n"/>
      <c r="B513" s="73" t="n"/>
      <c r="C513" s="60" t="n"/>
      <c r="D513" s="61" t="n"/>
      <c r="E513" s="74" t="n"/>
      <c r="F513" s="74" t="n"/>
      <c r="G513" s="73" t="n"/>
      <c r="H513" s="66" t="str">
        <f>IF(M513&lt;&gt;"OK","",INDEX(po_mo,MATCH(D513,po_code,0)))</f>
        <v/>
      </c>
      <c r="I513" s="66" t="str">
        <f>IF(M513&lt;&gt;"OK","",INDEX(po_mac,MATCH(D513,po_code,0)))</f>
        <v/>
      </c>
      <c r="J513" s="66" t="str">
        <f>IF(M513&lt;&gt;"OK","",N(E513)*(H513*IF(G513="",1,G513)+I513))</f>
        <v/>
      </c>
      <c r="K513" s="66" t="str">
        <f>IF(M513&lt;&gt;"OK","",N(F513)/60*H513*IF(G513="",1,G513))</f>
        <v/>
      </c>
      <c r="L513" s="66" t="str">
        <f>IF(M513&lt;&gt;"OK","",N(F513)/60*I513)</f>
        <v/>
      </c>
      <c r="M513" s="69" t="str">
        <f>IF(AND(A513="",D513=""),"",IF(A513="","Produit manquant",IF(COUNTIF(prod_ref,A513)=0,"Produit inconnu",IF(D513="","Poste manquant",IF(ISNA(MATCH(D513,po_code,0)),"Poste inconnu",IF(INDEX(po_check,MATCH(D513,po_code,0))&lt;&gt;"OK","Poste à corriger",IF(AND(E513&lt;&gt;"",OR(NOT(ISNUMBER(E513)),N(E513)&lt;0)),"Réglage invalide",IF(AND(F513&lt;&gt;"",OR(NOT(ISNUMBER(F513)),N(F513)&lt;0)),"Temps par pièce invalide",IF(N(E513)+N(F513)=0,"Temps manquant",IF(AND(G513&lt;&gt;"",OR(NOT(ISNUMBER(G513)),N(G513)&lt;=0)),"Opérateurs invalide","OK"))))))))))</f>
        <v/>
      </c>
      <c r="N513" s="71" t="str">
        <f>IF(AND(fiche_sel&lt;&gt;"",A513=fiche_sel),COUNTIF(A$6:A513,fiche_sel),"")</f>
        <v/>
      </c>
    </row>
    <row r="514">
      <c r="A514" s="60" t="n"/>
      <c r="B514" s="73" t="n"/>
      <c r="C514" s="60" t="n"/>
      <c r="D514" s="61" t="n"/>
      <c r="E514" s="74" t="n"/>
      <c r="F514" s="74" t="n"/>
      <c r="G514" s="73" t="n"/>
      <c r="H514" s="66" t="str">
        <f>IF(M514&lt;&gt;"OK","",INDEX(po_mo,MATCH(D514,po_code,0)))</f>
        <v/>
      </c>
      <c r="I514" s="66" t="str">
        <f>IF(M514&lt;&gt;"OK","",INDEX(po_mac,MATCH(D514,po_code,0)))</f>
        <v/>
      </c>
      <c r="J514" s="66" t="str">
        <f>IF(M514&lt;&gt;"OK","",N(E514)*(H514*IF(G514="",1,G514)+I514))</f>
        <v/>
      </c>
      <c r="K514" s="66" t="str">
        <f>IF(M514&lt;&gt;"OK","",N(F514)/60*H514*IF(G514="",1,G514))</f>
        <v/>
      </c>
      <c r="L514" s="66" t="str">
        <f>IF(M514&lt;&gt;"OK","",N(F514)/60*I514)</f>
        <v/>
      </c>
      <c r="M514" s="69" t="str">
        <f>IF(AND(A514="",D514=""),"",IF(A514="","Produit manquant",IF(COUNTIF(prod_ref,A514)=0,"Produit inconnu",IF(D514="","Poste manquant",IF(ISNA(MATCH(D514,po_code,0)),"Poste inconnu",IF(INDEX(po_check,MATCH(D514,po_code,0))&lt;&gt;"OK","Poste à corriger",IF(AND(E514&lt;&gt;"",OR(NOT(ISNUMBER(E514)),N(E514)&lt;0)),"Réglage invalide",IF(AND(F514&lt;&gt;"",OR(NOT(ISNUMBER(F514)),N(F514)&lt;0)),"Temps par pièce invalide",IF(N(E514)+N(F514)=0,"Temps manquant",IF(AND(G514&lt;&gt;"",OR(NOT(ISNUMBER(G514)),N(G514)&lt;=0)),"Opérateurs invalide","OK"))))))))))</f>
        <v/>
      </c>
      <c r="N514" s="71" t="str">
        <f>IF(AND(fiche_sel&lt;&gt;"",A514=fiche_sel),COUNTIF(A$6:A514,fiche_sel),"")</f>
        <v/>
      </c>
    </row>
    <row r="515">
      <c r="A515" s="60" t="n"/>
      <c r="B515" s="73" t="n"/>
      <c r="C515" s="60" t="n"/>
      <c r="D515" s="61" t="n"/>
      <c r="E515" s="74" t="n"/>
      <c r="F515" s="74" t="n"/>
      <c r="G515" s="73" t="n"/>
      <c r="H515" s="66" t="str">
        <f>IF(M515&lt;&gt;"OK","",INDEX(po_mo,MATCH(D515,po_code,0)))</f>
        <v/>
      </c>
      <c r="I515" s="66" t="str">
        <f>IF(M515&lt;&gt;"OK","",INDEX(po_mac,MATCH(D515,po_code,0)))</f>
        <v/>
      </c>
      <c r="J515" s="66" t="str">
        <f>IF(M515&lt;&gt;"OK","",N(E515)*(H515*IF(G515="",1,G515)+I515))</f>
        <v/>
      </c>
      <c r="K515" s="66" t="str">
        <f>IF(M515&lt;&gt;"OK","",N(F515)/60*H515*IF(G515="",1,G515))</f>
        <v/>
      </c>
      <c r="L515" s="66" t="str">
        <f>IF(M515&lt;&gt;"OK","",N(F515)/60*I515)</f>
        <v/>
      </c>
      <c r="M515" s="69" t="str">
        <f>IF(AND(A515="",D515=""),"",IF(A515="","Produit manquant",IF(COUNTIF(prod_ref,A515)=0,"Produit inconnu",IF(D515="","Poste manquant",IF(ISNA(MATCH(D515,po_code,0)),"Poste inconnu",IF(INDEX(po_check,MATCH(D515,po_code,0))&lt;&gt;"OK","Poste à corriger",IF(AND(E515&lt;&gt;"",OR(NOT(ISNUMBER(E515)),N(E515)&lt;0)),"Réglage invalide",IF(AND(F515&lt;&gt;"",OR(NOT(ISNUMBER(F515)),N(F515)&lt;0)),"Temps par pièce invalide",IF(N(E515)+N(F515)=0,"Temps manquant",IF(AND(G515&lt;&gt;"",OR(NOT(ISNUMBER(G515)),N(G515)&lt;=0)),"Opérateurs invalide","OK"))))))))))</f>
        <v/>
      </c>
      <c r="N515" s="71" t="str">
        <f>IF(AND(fiche_sel&lt;&gt;"",A515=fiche_sel),COUNTIF(A$6:A515,fiche_sel),"")</f>
        <v/>
      </c>
    </row>
    <row r="516">
      <c r="A516" s="60" t="n"/>
      <c r="B516" s="73" t="n"/>
      <c r="C516" s="60" t="n"/>
      <c r="D516" s="61" t="n"/>
      <c r="E516" s="74" t="n"/>
      <c r="F516" s="74" t="n"/>
      <c r="G516" s="73" t="n"/>
      <c r="H516" s="66" t="str">
        <f>IF(M516&lt;&gt;"OK","",INDEX(po_mo,MATCH(D516,po_code,0)))</f>
        <v/>
      </c>
      <c r="I516" s="66" t="str">
        <f>IF(M516&lt;&gt;"OK","",INDEX(po_mac,MATCH(D516,po_code,0)))</f>
        <v/>
      </c>
      <c r="J516" s="66" t="str">
        <f>IF(M516&lt;&gt;"OK","",N(E516)*(H516*IF(G516="",1,G516)+I516))</f>
        <v/>
      </c>
      <c r="K516" s="66" t="str">
        <f>IF(M516&lt;&gt;"OK","",N(F516)/60*H516*IF(G516="",1,G516))</f>
        <v/>
      </c>
      <c r="L516" s="66" t="str">
        <f>IF(M516&lt;&gt;"OK","",N(F516)/60*I516)</f>
        <v/>
      </c>
      <c r="M516" s="69" t="str">
        <f>IF(AND(A516="",D516=""),"",IF(A516="","Produit manquant",IF(COUNTIF(prod_ref,A516)=0,"Produit inconnu",IF(D516="","Poste manquant",IF(ISNA(MATCH(D516,po_code,0)),"Poste inconnu",IF(INDEX(po_check,MATCH(D516,po_code,0))&lt;&gt;"OK","Poste à corriger",IF(AND(E516&lt;&gt;"",OR(NOT(ISNUMBER(E516)),N(E516)&lt;0)),"Réglage invalide",IF(AND(F516&lt;&gt;"",OR(NOT(ISNUMBER(F516)),N(F516)&lt;0)),"Temps par pièce invalide",IF(N(E516)+N(F516)=0,"Temps manquant",IF(AND(G516&lt;&gt;"",OR(NOT(ISNUMBER(G516)),N(G516)&lt;=0)),"Opérateurs invalide","OK"))))))))))</f>
        <v/>
      </c>
      <c r="N516" s="71" t="str">
        <f>IF(AND(fiche_sel&lt;&gt;"",A516=fiche_sel),COUNTIF(A$6:A516,fiche_sel),"")</f>
        <v/>
      </c>
    </row>
    <row r="517">
      <c r="A517" s="60" t="n"/>
      <c r="B517" s="73" t="n"/>
      <c r="C517" s="60" t="n"/>
      <c r="D517" s="61" t="n"/>
      <c r="E517" s="74" t="n"/>
      <c r="F517" s="74" t="n"/>
      <c r="G517" s="73" t="n"/>
      <c r="H517" s="66" t="str">
        <f>IF(M517&lt;&gt;"OK","",INDEX(po_mo,MATCH(D517,po_code,0)))</f>
        <v/>
      </c>
      <c r="I517" s="66" t="str">
        <f>IF(M517&lt;&gt;"OK","",INDEX(po_mac,MATCH(D517,po_code,0)))</f>
        <v/>
      </c>
      <c r="J517" s="66" t="str">
        <f>IF(M517&lt;&gt;"OK","",N(E517)*(H517*IF(G517="",1,G517)+I517))</f>
        <v/>
      </c>
      <c r="K517" s="66" t="str">
        <f>IF(M517&lt;&gt;"OK","",N(F517)/60*H517*IF(G517="",1,G517))</f>
        <v/>
      </c>
      <c r="L517" s="66" t="str">
        <f>IF(M517&lt;&gt;"OK","",N(F517)/60*I517)</f>
        <v/>
      </c>
      <c r="M517" s="69" t="str">
        <f>IF(AND(A517="",D517=""),"",IF(A517="","Produit manquant",IF(COUNTIF(prod_ref,A517)=0,"Produit inconnu",IF(D517="","Poste manquant",IF(ISNA(MATCH(D517,po_code,0)),"Poste inconnu",IF(INDEX(po_check,MATCH(D517,po_code,0))&lt;&gt;"OK","Poste à corriger",IF(AND(E517&lt;&gt;"",OR(NOT(ISNUMBER(E517)),N(E517)&lt;0)),"Réglage invalide",IF(AND(F517&lt;&gt;"",OR(NOT(ISNUMBER(F517)),N(F517)&lt;0)),"Temps par pièce invalide",IF(N(E517)+N(F517)=0,"Temps manquant",IF(AND(G517&lt;&gt;"",OR(NOT(ISNUMBER(G517)),N(G517)&lt;=0)),"Opérateurs invalide","OK"))))))))))</f>
        <v/>
      </c>
      <c r="N517" s="71" t="str">
        <f>IF(AND(fiche_sel&lt;&gt;"",A517=fiche_sel),COUNTIF(A$6:A517,fiche_sel),"")</f>
        <v/>
      </c>
    </row>
    <row r="518">
      <c r="A518" s="60" t="n"/>
      <c r="B518" s="73" t="n"/>
      <c r="C518" s="60" t="n"/>
      <c r="D518" s="61" t="n"/>
      <c r="E518" s="74" t="n"/>
      <c r="F518" s="74" t="n"/>
      <c r="G518" s="73" t="n"/>
      <c r="H518" s="66" t="str">
        <f>IF(M518&lt;&gt;"OK","",INDEX(po_mo,MATCH(D518,po_code,0)))</f>
        <v/>
      </c>
      <c r="I518" s="66" t="str">
        <f>IF(M518&lt;&gt;"OK","",INDEX(po_mac,MATCH(D518,po_code,0)))</f>
        <v/>
      </c>
      <c r="J518" s="66" t="str">
        <f>IF(M518&lt;&gt;"OK","",N(E518)*(H518*IF(G518="",1,G518)+I518))</f>
        <v/>
      </c>
      <c r="K518" s="66" t="str">
        <f>IF(M518&lt;&gt;"OK","",N(F518)/60*H518*IF(G518="",1,G518))</f>
        <v/>
      </c>
      <c r="L518" s="66" t="str">
        <f>IF(M518&lt;&gt;"OK","",N(F518)/60*I518)</f>
        <v/>
      </c>
      <c r="M518" s="69" t="str">
        <f>IF(AND(A518="",D518=""),"",IF(A518="","Produit manquant",IF(COUNTIF(prod_ref,A518)=0,"Produit inconnu",IF(D518="","Poste manquant",IF(ISNA(MATCH(D518,po_code,0)),"Poste inconnu",IF(INDEX(po_check,MATCH(D518,po_code,0))&lt;&gt;"OK","Poste à corriger",IF(AND(E518&lt;&gt;"",OR(NOT(ISNUMBER(E518)),N(E518)&lt;0)),"Réglage invalide",IF(AND(F518&lt;&gt;"",OR(NOT(ISNUMBER(F518)),N(F518)&lt;0)),"Temps par pièce invalide",IF(N(E518)+N(F518)=0,"Temps manquant",IF(AND(G518&lt;&gt;"",OR(NOT(ISNUMBER(G518)),N(G518)&lt;=0)),"Opérateurs invalide","OK"))))))))))</f>
        <v/>
      </c>
      <c r="N518" s="71" t="str">
        <f>IF(AND(fiche_sel&lt;&gt;"",A518=fiche_sel),COUNTIF(A$6:A518,fiche_sel),"")</f>
        <v/>
      </c>
    </row>
    <row r="519">
      <c r="A519" s="60" t="n"/>
      <c r="B519" s="73" t="n"/>
      <c r="C519" s="60" t="n"/>
      <c r="D519" s="61" t="n"/>
      <c r="E519" s="74" t="n"/>
      <c r="F519" s="74" t="n"/>
      <c r="G519" s="73" t="n"/>
      <c r="H519" s="66" t="str">
        <f>IF(M519&lt;&gt;"OK","",INDEX(po_mo,MATCH(D519,po_code,0)))</f>
        <v/>
      </c>
      <c r="I519" s="66" t="str">
        <f>IF(M519&lt;&gt;"OK","",INDEX(po_mac,MATCH(D519,po_code,0)))</f>
        <v/>
      </c>
      <c r="J519" s="66" t="str">
        <f>IF(M519&lt;&gt;"OK","",N(E519)*(H519*IF(G519="",1,G519)+I519))</f>
        <v/>
      </c>
      <c r="K519" s="66" t="str">
        <f>IF(M519&lt;&gt;"OK","",N(F519)/60*H519*IF(G519="",1,G519))</f>
        <v/>
      </c>
      <c r="L519" s="66" t="str">
        <f>IF(M519&lt;&gt;"OK","",N(F519)/60*I519)</f>
        <v/>
      </c>
      <c r="M519" s="69" t="str">
        <f>IF(AND(A519="",D519=""),"",IF(A519="","Produit manquant",IF(COUNTIF(prod_ref,A519)=0,"Produit inconnu",IF(D519="","Poste manquant",IF(ISNA(MATCH(D519,po_code,0)),"Poste inconnu",IF(INDEX(po_check,MATCH(D519,po_code,0))&lt;&gt;"OK","Poste à corriger",IF(AND(E519&lt;&gt;"",OR(NOT(ISNUMBER(E519)),N(E519)&lt;0)),"Réglage invalide",IF(AND(F519&lt;&gt;"",OR(NOT(ISNUMBER(F519)),N(F519)&lt;0)),"Temps par pièce invalide",IF(N(E519)+N(F519)=0,"Temps manquant",IF(AND(G519&lt;&gt;"",OR(NOT(ISNUMBER(G519)),N(G519)&lt;=0)),"Opérateurs invalide","OK"))))))))))</f>
        <v/>
      </c>
      <c r="N519" s="71" t="str">
        <f>IF(AND(fiche_sel&lt;&gt;"",A519=fiche_sel),COUNTIF(A$6:A519,fiche_sel),"")</f>
        <v/>
      </c>
    </row>
    <row r="520">
      <c r="A520" s="60" t="n"/>
      <c r="B520" s="73" t="n"/>
      <c r="C520" s="60" t="n"/>
      <c r="D520" s="61" t="n"/>
      <c r="E520" s="74" t="n"/>
      <c r="F520" s="74" t="n"/>
      <c r="G520" s="73" t="n"/>
      <c r="H520" s="66" t="str">
        <f>IF(M520&lt;&gt;"OK","",INDEX(po_mo,MATCH(D520,po_code,0)))</f>
        <v/>
      </c>
      <c r="I520" s="66" t="str">
        <f>IF(M520&lt;&gt;"OK","",INDEX(po_mac,MATCH(D520,po_code,0)))</f>
        <v/>
      </c>
      <c r="J520" s="66" t="str">
        <f>IF(M520&lt;&gt;"OK","",N(E520)*(H520*IF(G520="",1,G520)+I520))</f>
        <v/>
      </c>
      <c r="K520" s="66" t="str">
        <f>IF(M520&lt;&gt;"OK","",N(F520)/60*H520*IF(G520="",1,G520))</f>
        <v/>
      </c>
      <c r="L520" s="66" t="str">
        <f>IF(M520&lt;&gt;"OK","",N(F520)/60*I520)</f>
        <v/>
      </c>
      <c r="M520" s="69" t="str">
        <f>IF(AND(A520="",D520=""),"",IF(A520="","Produit manquant",IF(COUNTIF(prod_ref,A520)=0,"Produit inconnu",IF(D520="","Poste manquant",IF(ISNA(MATCH(D520,po_code,0)),"Poste inconnu",IF(INDEX(po_check,MATCH(D520,po_code,0))&lt;&gt;"OK","Poste à corriger",IF(AND(E520&lt;&gt;"",OR(NOT(ISNUMBER(E520)),N(E520)&lt;0)),"Réglage invalide",IF(AND(F520&lt;&gt;"",OR(NOT(ISNUMBER(F520)),N(F520)&lt;0)),"Temps par pièce invalide",IF(N(E520)+N(F520)=0,"Temps manquant",IF(AND(G520&lt;&gt;"",OR(NOT(ISNUMBER(G520)),N(G520)&lt;=0)),"Opérateurs invalide","OK"))))))))))</f>
        <v/>
      </c>
      <c r="N520" s="71" t="str">
        <f>IF(AND(fiche_sel&lt;&gt;"",A520=fiche_sel),COUNTIF(A$6:A520,fiche_sel),"")</f>
        <v/>
      </c>
    </row>
    <row r="521">
      <c r="A521" s="60" t="n"/>
      <c r="B521" s="73" t="n"/>
      <c r="C521" s="60" t="n"/>
      <c r="D521" s="61" t="n"/>
      <c r="E521" s="74" t="n"/>
      <c r="F521" s="74" t="n"/>
      <c r="G521" s="73" t="n"/>
      <c r="H521" s="66" t="str">
        <f>IF(M521&lt;&gt;"OK","",INDEX(po_mo,MATCH(D521,po_code,0)))</f>
        <v/>
      </c>
      <c r="I521" s="66" t="str">
        <f>IF(M521&lt;&gt;"OK","",INDEX(po_mac,MATCH(D521,po_code,0)))</f>
        <v/>
      </c>
      <c r="J521" s="66" t="str">
        <f>IF(M521&lt;&gt;"OK","",N(E521)*(H521*IF(G521="",1,G521)+I521))</f>
        <v/>
      </c>
      <c r="K521" s="66" t="str">
        <f>IF(M521&lt;&gt;"OK","",N(F521)/60*H521*IF(G521="",1,G521))</f>
        <v/>
      </c>
      <c r="L521" s="66" t="str">
        <f>IF(M521&lt;&gt;"OK","",N(F521)/60*I521)</f>
        <v/>
      </c>
      <c r="M521" s="69" t="str">
        <f>IF(AND(A521="",D521=""),"",IF(A521="","Produit manquant",IF(COUNTIF(prod_ref,A521)=0,"Produit inconnu",IF(D521="","Poste manquant",IF(ISNA(MATCH(D521,po_code,0)),"Poste inconnu",IF(INDEX(po_check,MATCH(D521,po_code,0))&lt;&gt;"OK","Poste à corriger",IF(AND(E521&lt;&gt;"",OR(NOT(ISNUMBER(E521)),N(E521)&lt;0)),"Réglage invalide",IF(AND(F521&lt;&gt;"",OR(NOT(ISNUMBER(F521)),N(F521)&lt;0)),"Temps par pièce invalide",IF(N(E521)+N(F521)=0,"Temps manquant",IF(AND(G521&lt;&gt;"",OR(NOT(ISNUMBER(G521)),N(G521)&lt;=0)),"Opérateurs invalide","OK"))))))))))</f>
        <v/>
      </c>
      <c r="N521" s="71" t="str">
        <f>IF(AND(fiche_sel&lt;&gt;"",A521=fiche_sel),COUNTIF(A$6:A521,fiche_sel),"")</f>
        <v/>
      </c>
    </row>
    <row r="522">
      <c r="A522" s="60" t="n"/>
      <c r="B522" s="73" t="n"/>
      <c r="C522" s="60" t="n"/>
      <c r="D522" s="61" t="n"/>
      <c r="E522" s="74" t="n"/>
      <c r="F522" s="74" t="n"/>
      <c r="G522" s="73" t="n"/>
      <c r="H522" s="66" t="str">
        <f>IF(M522&lt;&gt;"OK","",INDEX(po_mo,MATCH(D522,po_code,0)))</f>
        <v/>
      </c>
      <c r="I522" s="66" t="str">
        <f>IF(M522&lt;&gt;"OK","",INDEX(po_mac,MATCH(D522,po_code,0)))</f>
        <v/>
      </c>
      <c r="J522" s="66" t="str">
        <f>IF(M522&lt;&gt;"OK","",N(E522)*(H522*IF(G522="",1,G522)+I522))</f>
        <v/>
      </c>
      <c r="K522" s="66" t="str">
        <f>IF(M522&lt;&gt;"OK","",N(F522)/60*H522*IF(G522="",1,G522))</f>
        <v/>
      </c>
      <c r="L522" s="66" t="str">
        <f>IF(M522&lt;&gt;"OK","",N(F522)/60*I522)</f>
        <v/>
      </c>
      <c r="M522" s="69" t="str">
        <f>IF(AND(A522="",D522=""),"",IF(A522="","Produit manquant",IF(COUNTIF(prod_ref,A522)=0,"Produit inconnu",IF(D522="","Poste manquant",IF(ISNA(MATCH(D522,po_code,0)),"Poste inconnu",IF(INDEX(po_check,MATCH(D522,po_code,0))&lt;&gt;"OK","Poste à corriger",IF(AND(E522&lt;&gt;"",OR(NOT(ISNUMBER(E522)),N(E522)&lt;0)),"Réglage invalide",IF(AND(F522&lt;&gt;"",OR(NOT(ISNUMBER(F522)),N(F522)&lt;0)),"Temps par pièce invalide",IF(N(E522)+N(F522)=0,"Temps manquant",IF(AND(G522&lt;&gt;"",OR(NOT(ISNUMBER(G522)),N(G522)&lt;=0)),"Opérateurs invalide","OK"))))))))))</f>
        <v/>
      </c>
      <c r="N522" s="71" t="str">
        <f>IF(AND(fiche_sel&lt;&gt;"",A522=fiche_sel),COUNTIF(A$6:A522,fiche_sel),"")</f>
        <v/>
      </c>
    </row>
    <row r="523">
      <c r="A523" s="60" t="n"/>
      <c r="B523" s="73" t="n"/>
      <c r="C523" s="60" t="n"/>
      <c r="D523" s="61" t="n"/>
      <c r="E523" s="74" t="n"/>
      <c r="F523" s="74" t="n"/>
      <c r="G523" s="73" t="n"/>
      <c r="H523" s="66" t="str">
        <f>IF(M523&lt;&gt;"OK","",INDEX(po_mo,MATCH(D523,po_code,0)))</f>
        <v/>
      </c>
      <c r="I523" s="66" t="str">
        <f>IF(M523&lt;&gt;"OK","",INDEX(po_mac,MATCH(D523,po_code,0)))</f>
        <v/>
      </c>
      <c r="J523" s="66" t="str">
        <f>IF(M523&lt;&gt;"OK","",N(E523)*(H523*IF(G523="",1,G523)+I523))</f>
        <v/>
      </c>
      <c r="K523" s="66" t="str">
        <f>IF(M523&lt;&gt;"OK","",N(F523)/60*H523*IF(G523="",1,G523))</f>
        <v/>
      </c>
      <c r="L523" s="66" t="str">
        <f>IF(M523&lt;&gt;"OK","",N(F523)/60*I523)</f>
        <v/>
      </c>
      <c r="M523" s="69" t="str">
        <f>IF(AND(A523="",D523=""),"",IF(A523="","Produit manquant",IF(COUNTIF(prod_ref,A523)=0,"Produit inconnu",IF(D523="","Poste manquant",IF(ISNA(MATCH(D523,po_code,0)),"Poste inconnu",IF(INDEX(po_check,MATCH(D523,po_code,0))&lt;&gt;"OK","Poste à corriger",IF(AND(E523&lt;&gt;"",OR(NOT(ISNUMBER(E523)),N(E523)&lt;0)),"Réglage invalide",IF(AND(F523&lt;&gt;"",OR(NOT(ISNUMBER(F523)),N(F523)&lt;0)),"Temps par pièce invalide",IF(N(E523)+N(F523)=0,"Temps manquant",IF(AND(G523&lt;&gt;"",OR(NOT(ISNUMBER(G523)),N(G523)&lt;=0)),"Opérateurs invalide","OK"))))))))))</f>
        <v/>
      </c>
      <c r="N523" s="71" t="str">
        <f>IF(AND(fiche_sel&lt;&gt;"",A523=fiche_sel),COUNTIF(A$6:A523,fiche_sel),"")</f>
        <v/>
      </c>
    </row>
    <row r="524">
      <c r="A524" s="60" t="n"/>
      <c r="B524" s="73" t="n"/>
      <c r="C524" s="60" t="n"/>
      <c r="D524" s="61" t="n"/>
      <c r="E524" s="74" t="n"/>
      <c r="F524" s="74" t="n"/>
      <c r="G524" s="73" t="n"/>
      <c r="H524" s="66" t="str">
        <f>IF(M524&lt;&gt;"OK","",INDEX(po_mo,MATCH(D524,po_code,0)))</f>
        <v/>
      </c>
      <c r="I524" s="66" t="str">
        <f>IF(M524&lt;&gt;"OK","",INDEX(po_mac,MATCH(D524,po_code,0)))</f>
        <v/>
      </c>
      <c r="J524" s="66" t="str">
        <f>IF(M524&lt;&gt;"OK","",N(E524)*(H524*IF(G524="",1,G524)+I524))</f>
        <v/>
      </c>
      <c r="K524" s="66" t="str">
        <f>IF(M524&lt;&gt;"OK","",N(F524)/60*H524*IF(G524="",1,G524))</f>
        <v/>
      </c>
      <c r="L524" s="66" t="str">
        <f>IF(M524&lt;&gt;"OK","",N(F524)/60*I524)</f>
        <v/>
      </c>
      <c r="M524" s="69" t="str">
        <f>IF(AND(A524="",D524=""),"",IF(A524="","Produit manquant",IF(COUNTIF(prod_ref,A524)=0,"Produit inconnu",IF(D524="","Poste manquant",IF(ISNA(MATCH(D524,po_code,0)),"Poste inconnu",IF(INDEX(po_check,MATCH(D524,po_code,0))&lt;&gt;"OK","Poste à corriger",IF(AND(E524&lt;&gt;"",OR(NOT(ISNUMBER(E524)),N(E524)&lt;0)),"Réglage invalide",IF(AND(F524&lt;&gt;"",OR(NOT(ISNUMBER(F524)),N(F524)&lt;0)),"Temps par pièce invalide",IF(N(E524)+N(F524)=0,"Temps manquant",IF(AND(G524&lt;&gt;"",OR(NOT(ISNUMBER(G524)),N(G524)&lt;=0)),"Opérateurs invalide","OK"))))))))))</f>
        <v/>
      </c>
      <c r="N524" s="71" t="str">
        <f>IF(AND(fiche_sel&lt;&gt;"",A524=fiche_sel),COUNTIF(A$6:A524,fiche_sel),"")</f>
        <v/>
      </c>
    </row>
    <row r="525">
      <c r="A525" s="60" t="n"/>
      <c r="B525" s="73" t="n"/>
      <c r="C525" s="60" t="n"/>
      <c r="D525" s="61" t="n"/>
      <c r="E525" s="74" t="n"/>
      <c r="F525" s="74" t="n"/>
      <c r="G525" s="73" t="n"/>
      <c r="H525" s="66" t="str">
        <f>IF(M525&lt;&gt;"OK","",INDEX(po_mo,MATCH(D525,po_code,0)))</f>
        <v/>
      </c>
      <c r="I525" s="66" t="str">
        <f>IF(M525&lt;&gt;"OK","",INDEX(po_mac,MATCH(D525,po_code,0)))</f>
        <v/>
      </c>
      <c r="J525" s="66" t="str">
        <f>IF(M525&lt;&gt;"OK","",N(E525)*(H525*IF(G525="",1,G525)+I525))</f>
        <v/>
      </c>
      <c r="K525" s="66" t="str">
        <f>IF(M525&lt;&gt;"OK","",N(F525)/60*H525*IF(G525="",1,G525))</f>
        <v/>
      </c>
      <c r="L525" s="66" t="str">
        <f>IF(M525&lt;&gt;"OK","",N(F525)/60*I525)</f>
        <v/>
      </c>
      <c r="M525" s="69" t="str">
        <f>IF(AND(A525="",D525=""),"",IF(A525="","Produit manquant",IF(COUNTIF(prod_ref,A525)=0,"Produit inconnu",IF(D525="","Poste manquant",IF(ISNA(MATCH(D525,po_code,0)),"Poste inconnu",IF(INDEX(po_check,MATCH(D525,po_code,0))&lt;&gt;"OK","Poste à corriger",IF(AND(E525&lt;&gt;"",OR(NOT(ISNUMBER(E525)),N(E525)&lt;0)),"Réglage invalide",IF(AND(F525&lt;&gt;"",OR(NOT(ISNUMBER(F525)),N(F525)&lt;0)),"Temps par pièce invalide",IF(N(E525)+N(F525)=0,"Temps manquant",IF(AND(G525&lt;&gt;"",OR(NOT(ISNUMBER(G525)),N(G525)&lt;=0)),"Opérateurs invalide","OK"))))))))))</f>
        <v/>
      </c>
      <c r="N525" s="71" t="str">
        <f>IF(AND(fiche_sel&lt;&gt;"",A525=fiche_sel),COUNTIF(A$6:A525,fiche_sel),"")</f>
        <v/>
      </c>
    </row>
    <row r="526">
      <c r="A526" s="60" t="n"/>
      <c r="B526" s="73" t="n"/>
      <c r="C526" s="60" t="n"/>
      <c r="D526" s="61" t="n"/>
      <c r="E526" s="74" t="n"/>
      <c r="F526" s="74" t="n"/>
      <c r="G526" s="73" t="n"/>
      <c r="H526" s="66" t="str">
        <f>IF(M526&lt;&gt;"OK","",INDEX(po_mo,MATCH(D526,po_code,0)))</f>
        <v/>
      </c>
      <c r="I526" s="66" t="str">
        <f>IF(M526&lt;&gt;"OK","",INDEX(po_mac,MATCH(D526,po_code,0)))</f>
        <v/>
      </c>
      <c r="J526" s="66" t="str">
        <f>IF(M526&lt;&gt;"OK","",N(E526)*(H526*IF(G526="",1,G526)+I526))</f>
        <v/>
      </c>
      <c r="K526" s="66" t="str">
        <f>IF(M526&lt;&gt;"OK","",N(F526)/60*H526*IF(G526="",1,G526))</f>
        <v/>
      </c>
      <c r="L526" s="66" t="str">
        <f>IF(M526&lt;&gt;"OK","",N(F526)/60*I526)</f>
        <v/>
      </c>
      <c r="M526" s="69" t="str">
        <f>IF(AND(A526="",D526=""),"",IF(A526="","Produit manquant",IF(COUNTIF(prod_ref,A526)=0,"Produit inconnu",IF(D526="","Poste manquant",IF(ISNA(MATCH(D526,po_code,0)),"Poste inconnu",IF(INDEX(po_check,MATCH(D526,po_code,0))&lt;&gt;"OK","Poste à corriger",IF(AND(E526&lt;&gt;"",OR(NOT(ISNUMBER(E526)),N(E526)&lt;0)),"Réglage invalide",IF(AND(F526&lt;&gt;"",OR(NOT(ISNUMBER(F526)),N(F526)&lt;0)),"Temps par pièce invalide",IF(N(E526)+N(F526)=0,"Temps manquant",IF(AND(G526&lt;&gt;"",OR(NOT(ISNUMBER(G526)),N(G526)&lt;=0)),"Opérateurs invalide","OK"))))))))))</f>
        <v/>
      </c>
      <c r="N526" s="71" t="str">
        <f>IF(AND(fiche_sel&lt;&gt;"",A526=fiche_sel),COUNTIF(A$6:A526,fiche_sel),"")</f>
        <v/>
      </c>
    </row>
    <row r="527">
      <c r="A527" s="60" t="n"/>
      <c r="B527" s="73" t="n"/>
      <c r="C527" s="60" t="n"/>
      <c r="D527" s="61" t="n"/>
      <c r="E527" s="74" t="n"/>
      <c r="F527" s="74" t="n"/>
      <c r="G527" s="73" t="n"/>
      <c r="H527" s="66" t="str">
        <f>IF(M527&lt;&gt;"OK","",INDEX(po_mo,MATCH(D527,po_code,0)))</f>
        <v/>
      </c>
      <c r="I527" s="66" t="str">
        <f>IF(M527&lt;&gt;"OK","",INDEX(po_mac,MATCH(D527,po_code,0)))</f>
        <v/>
      </c>
      <c r="J527" s="66" t="str">
        <f>IF(M527&lt;&gt;"OK","",N(E527)*(H527*IF(G527="",1,G527)+I527))</f>
        <v/>
      </c>
      <c r="K527" s="66" t="str">
        <f>IF(M527&lt;&gt;"OK","",N(F527)/60*H527*IF(G527="",1,G527))</f>
        <v/>
      </c>
      <c r="L527" s="66" t="str">
        <f>IF(M527&lt;&gt;"OK","",N(F527)/60*I527)</f>
        <v/>
      </c>
      <c r="M527" s="69" t="str">
        <f>IF(AND(A527="",D527=""),"",IF(A527="","Produit manquant",IF(COUNTIF(prod_ref,A527)=0,"Produit inconnu",IF(D527="","Poste manquant",IF(ISNA(MATCH(D527,po_code,0)),"Poste inconnu",IF(INDEX(po_check,MATCH(D527,po_code,0))&lt;&gt;"OK","Poste à corriger",IF(AND(E527&lt;&gt;"",OR(NOT(ISNUMBER(E527)),N(E527)&lt;0)),"Réglage invalide",IF(AND(F527&lt;&gt;"",OR(NOT(ISNUMBER(F527)),N(F527)&lt;0)),"Temps par pièce invalide",IF(N(E527)+N(F527)=0,"Temps manquant",IF(AND(G527&lt;&gt;"",OR(NOT(ISNUMBER(G527)),N(G527)&lt;=0)),"Opérateurs invalide","OK"))))))))))</f>
        <v/>
      </c>
      <c r="N527" s="71" t="str">
        <f>IF(AND(fiche_sel&lt;&gt;"",A527=fiche_sel),COUNTIF(A$6:A527,fiche_sel),"")</f>
        <v/>
      </c>
    </row>
    <row r="528">
      <c r="A528" s="60" t="n"/>
      <c r="B528" s="73" t="n"/>
      <c r="C528" s="60" t="n"/>
      <c r="D528" s="61" t="n"/>
      <c r="E528" s="74" t="n"/>
      <c r="F528" s="74" t="n"/>
      <c r="G528" s="73" t="n"/>
      <c r="H528" s="66" t="str">
        <f>IF(M528&lt;&gt;"OK","",INDEX(po_mo,MATCH(D528,po_code,0)))</f>
        <v/>
      </c>
      <c r="I528" s="66" t="str">
        <f>IF(M528&lt;&gt;"OK","",INDEX(po_mac,MATCH(D528,po_code,0)))</f>
        <v/>
      </c>
      <c r="J528" s="66" t="str">
        <f>IF(M528&lt;&gt;"OK","",N(E528)*(H528*IF(G528="",1,G528)+I528))</f>
        <v/>
      </c>
      <c r="K528" s="66" t="str">
        <f>IF(M528&lt;&gt;"OK","",N(F528)/60*H528*IF(G528="",1,G528))</f>
        <v/>
      </c>
      <c r="L528" s="66" t="str">
        <f>IF(M528&lt;&gt;"OK","",N(F528)/60*I528)</f>
        <v/>
      </c>
      <c r="M528" s="69" t="str">
        <f>IF(AND(A528="",D528=""),"",IF(A528="","Produit manquant",IF(COUNTIF(prod_ref,A528)=0,"Produit inconnu",IF(D528="","Poste manquant",IF(ISNA(MATCH(D528,po_code,0)),"Poste inconnu",IF(INDEX(po_check,MATCH(D528,po_code,0))&lt;&gt;"OK","Poste à corriger",IF(AND(E528&lt;&gt;"",OR(NOT(ISNUMBER(E528)),N(E528)&lt;0)),"Réglage invalide",IF(AND(F528&lt;&gt;"",OR(NOT(ISNUMBER(F528)),N(F528)&lt;0)),"Temps par pièce invalide",IF(N(E528)+N(F528)=0,"Temps manquant",IF(AND(G528&lt;&gt;"",OR(NOT(ISNUMBER(G528)),N(G528)&lt;=0)),"Opérateurs invalide","OK"))))))))))</f>
        <v/>
      </c>
      <c r="N528" s="71" t="str">
        <f>IF(AND(fiche_sel&lt;&gt;"",A528=fiche_sel),COUNTIF(A$6:A528,fiche_sel),"")</f>
        <v/>
      </c>
    </row>
    <row r="529">
      <c r="A529" s="60" t="n"/>
      <c r="B529" s="73" t="n"/>
      <c r="C529" s="60" t="n"/>
      <c r="D529" s="61" t="n"/>
      <c r="E529" s="74" t="n"/>
      <c r="F529" s="74" t="n"/>
      <c r="G529" s="73" t="n"/>
      <c r="H529" s="66" t="str">
        <f>IF(M529&lt;&gt;"OK","",INDEX(po_mo,MATCH(D529,po_code,0)))</f>
        <v/>
      </c>
      <c r="I529" s="66" t="str">
        <f>IF(M529&lt;&gt;"OK","",INDEX(po_mac,MATCH(D529,po_code,0)))</f>
        <v/>
      </c>
      <c r="J529" s="66" t="str">
        <f>IF(M529&lt;&gt;"OK","",N(E529)*(H529*IF(G529="",1,G529)+I529))</f>
        <v/>
      </c>
      <c r="K529" s="66" t="str">
        <f>IF(M529&lt;&gt;"OK","",N(F529)/60*H529*IF(G529="",1,G529))</f>
        <v/>
      </c>
      <c r="L529" s="66" t="str">
        <f>IF(M529&lt;&gt;"OK","",N(F529)/60*I529)</f>
        <v/>
      </c>
      <c r="M529" s="69" t="str">
        <f>IF(AND(A529="",D529=""),"",IF(A529="","Produit manquant",IF(COUNTIF(prod_ref,A529)=0,"Produit inconnu",IF(D529="","Poste manquant",IF(ISNA(MATCH(D529,po_code,0)),"Poste inconnu",IF(INDEX(po_check,MATCH(D529,po_code,0))&lt;&gt;"OK","Poste à corriger",IF(AND(E529&lt;&gt;"",OR(NOT(ISNUMBER(E529)),N(E529)&lt;0)),"Réglage invalide",IF(AND(F529&lt;&gt;"",OR(NOT(ISNUMBER(F529)),N(F529)&lt;0)),"Temps par pièce invalide",IF(N(E529)+N(F529)=0,"Temps manquant",IF(AND(G529&lt;&gt;"",OR(NOT(ISNUMBER(G529)),N(G529)&lt;=0)),"Opérateurs invalide","OK"))))))))))</f>
        <v/>
      </c>
      <c r="N529" s="71" t="str">
        <f>IF(AND(fiche_sel&lt;&gt;"",A529=fiche_sel),COUNTIF(A$6:A529,fiche_sel),"")</f>
        <v/>
      </c>
    </row>
    <row r="530">
      <c r="A530" s="60" t="n"/>
      <c r="B530" s="73" t="n"/>
      <c r="C530" s="60" t="n"/>
      <c r="D530" s="61" t="n"/>
      <c r="E530" s="74" t="n"/>
      <c r="F530" s="74" t="n"/>
      <c r="G530" s="73" t="n"/>
      <c r="H530" s="66" t="str">
        <f>IF(M530&lt;&gt;"OK","",INDEX(po_mo,MATCH(D530,po_code,0)))</f>
        <v/>
      </c>
      <c r="I530" s="66" t="str">
        <f>IF(M530&lt;&gt;"OK","",INDEX(po_mac,MATCH(D530,po_code,0)))</f>
        <v/>
      </c>
      <c r="J530" s="66" t="str">
        <f>IF(M530&lt;&gt;"OK","",N(E530)*(H530*IF(G530="",1,G530)+I530))</f>
        <v/>
      </c>
      <c r="K530" s="66" t="str">
        <f>IF(M530&lt;&gt;"OK","",N(F530)/60*H530*IF(G530="",1,G530))</f>
        <v/>
      </c>
      <c r="L530" s="66" t="str">
        <f>IF(M530&lt;&gt;"OK","",N(F530)/60*I530)</f>
        <v/>
      </c>
      <c r="M530" s="69" t="str">
        <f>IF(AND(A530="",D530=""),"",IF(A530="","Produit manquant",IF(COUNTIF(prod_ref,A530)=0,"Produit inconnu",IF(D530="","Poste manquant",IF(ISNA(MATCH(D530,po_code,0)),"Poste inconnu",IF(INDEX(po_check,MATCH(D530,po_code,0))&lt;&gt;"OK","Poste à corriger",IF(AND(E530&lt;&gt;"",OR(NOT(ISNUMBER(E530)),N(E530)&lt;0)),"Réglage invalide",IF(AND(F530&lt;&gt;"",OR(NOT(ISNUMBER(F530)),N(F530)&lt;0)),"Temps par pièce invalide",IF(N(E530)+N(F530)=0,"Temps manquant",IF(AND(G530&lt;&gt;"",OR(NOT(ISNUMBER(G530)),N(G530)&lt;=0)),"Opérateurs invalide","OK"))))))))))</f>
        <v/>
      </c>
      <c r="N530" s="71" t="str">
        <f>IF(AND(fiche_sel&lt;&gt;"",A530=fiche_sel),COUNTIF(A$6:A530,fiche_sel),"")</f>
        <v/>
      </c>
    </row>
    <row r="531">
      <c r="A531" s="60" t="n"/>
      <c r="B531" s="73" t="n"/>
      <c r="C531" s="60" t="n"/>
      <c r="D531" s="61" t="n"/>
      <c r="E531" s="74" t="n"/>
      <c r="F531" s="74" t="n"/>
      <c r="G531" s="73" t="n"/>
      <c r="H531" s="66" t="str">
        <f>IF(M531&lt;&gt;"OK","",INDEX(po_mo,MATCH(D531,po_code,0)))</f>
        <v/>
      </c>
      <c r="I531" s="66" t="str">
        <f>IF(M531&lt;&gt;"OK","",INDEX(po_mac,MATCH(D531,po_code,0)))</f>
        <v/>
      </c>
      <c r="J531" s="66" t="str">
        <f>IF(M531&lt;&gt;"OK","",N(E531)*(H531*IF(G531="",1,G531)+I531))</f>
        <v/>
      </c>
      <c r="K531" s="66" t="str">
        <f>IF(M531&lt;&gt;"OK","",N(F531)/60*H531*IF(G531="",1,G531))</f>
        <v/>
      </c>
      <c r="L531" s="66" t="str">
        <f>IF(M531&lt;&gt;"OK","",N(F531)/60*I531)</f>
        <v/>
      </c>
      <c r="M531" s="69" t="str">
        <f>IF(AND(A531="",D531=""),"",IF(A531="","Produit manquant",IF(COUNTIF(prod_ref,A531)=0,"Produit inconnu",IF(D531="","Poste manquant",IF(ISNA(MATCH(D531,po_code,0)),"Poste inconnu",IF(INDEX(po_check,MATCH(D531,po_code,0))&lt;&gt;"OK","Poste à corriger",IF(AND(E531&lt;&gt;"",OR(NOT(ISNUMBER(E531)),N(E531)&lt;0)),"Réglage invalide",IF(AND(F531&lt;&gt;"",OR(NOT(ISNUMBER(F531)),N(F531)&lt;0)),"Temps par pièce invalide",IF(N(E531)+N(F531)=0,"Temps manquant",IF(AND(G531&lt;&gt;"",OR(NOT(ISNUMBER(G531)),N(G531)&lt;=0)),"Opérateurs invalide","OK"))))))))))</f>
        <v/>
      </c>
      <c r="N531" s="71" t="str">
        <f>IF(AND(fiche_sel&lt;&gt;"",A531=fiche_sel),COUNTIF(A$6:A531,fiche_sel),"")</f>
        <v/>
      </c>
    </row>
    <row r="532">
      <c r="A532" s="60" t="n"/>
      <c r="B532" s="73" t="n"/>
      <c r="C532" s="60" t="n"/>
      <c r="D532" s="61" t="n"/>
      <c r="E532" s="74" t="n"/>
      <c r="F532" s="74" t="n"/>
      <c r="G532" s="73" t="n"/>
      <c r="H532" s="66" t="str">
        <f>IF(M532&lt;&gt;"OK","",INDEX(po_mo,MATCH(D532,po_code,0)))</f>
        <v/>
      </c>
      <c r="I532" s="66" t="str">
        <f>IF(M532&lt;&gt;"OK","",INDEX(po_mac,MATCH(D532,po_code,0)))</f>
        <v/>
      </c>
      <c r="J532" s="66" t="str">
        <f>IF(M532&lt;&gt;"OK","",N(E532)*(H532*IF(G532="",1,G532)+I532))</f>
        <v/>
      </c>
      <c r="K532" s="66" t="str">
        <f>IF(M532&lt;&gt;"OK","",N(F532)/60*H532*IF(G532="",1,G532))</f>
        <v/>
      </c>
      <c r="L532" s="66" t="str">
        <f>IF(M532&lt;&gt;"OK","",N(F532)/60*I532)</f>
        <v/>
      </c>
      <c r="M532" s="69" t="str">
        <f>IF(AND(A532="",D532=""),"",IF(A532="","Produit manquant",IF(COUNTIF(prod_ref,A532)=0,"Produit inconnu",IF(D532="","Poste manquant",IF(ISNA(MATCH(D532,po_code,0)),"Poste inconnu",IF(INDEX(po_check,MATCH(D532,po_code,0))&lt;&gt;"OK","Poste à corriger",IF(AND(E532&lt;&gt;"",OR(NOT(ISNUMBER(E532)),N(E532)&lt;0)),"Réglage invalide",IF(AND(F532&lt;&gt;"",OR(NOT(ISNUMBER(F532)),N(F532)&lt;0)),"Temps par pièce invalide",IF(N(E532)+N(F532)=0,"Temps manquant",IF(AND(G532&lt;&gt;"",OR(NOT(ISNUMBER(G532)),N(G532)&lt;=0)),"Opérateurs invalide","OK"))))))))))</f>
        <v/>
      </c>
      <c r="N532" s="71" t="str">
        <f>IF(AND(fiche_sel&lt;&gt;"",A532=fiche_sel),COUNTIF(A$6:A532,fiche_sel),"")</f>
        <v/>
      </c>
    </row>
    <row r="533">
      <c r="A533" s="60" t="n"/>
      <c r="B533" s="73" t="n"/>
      <c r="C533" s="60" t="n"/>
      <c r="D533" s="61" t="n"/>
      <c r="E533" s="74" t="n"/>
      <c r="F533" s="74" t="n"/>
      <c r="G533" s="73" t="n"/>
      <c r="H533" s="66" t="str">
        <f>IF(M533&lt;&gt;"OK","",INDEX(po_mo,MATCH(D533,po_code,0)))</f>
        <v/>
      </c>
      <c r="I533" s="66" t="str">
        <f>IF(M533&lt;&gt;"OK","",INDEX(po_mac,MATCH(D533,po_code,0)))</f>
        <v/>
      </c>
      <c r="J533" s="66" t="str">
        <f>IF(M533&lt;&gt;"OK","",N(E533)*(H533*IF(G533="",1,G533)+I533))</f>
        <v/>
      </c>
      <c r="K533" s="66" t="str">
        <f>IF(M533&lt;&gt;"OK","",N(F533)/60*H533*IF(G533="",1,G533))</f>
        <v/>
      </c>
      <c r="L533" s="66" t="str">
        <f>IF(M533&lt;&gt;"OK","",N(F533)/60*I533)</f>
        <v/>
      </c>
      <c r="M533" s="69" t="str">
        <f>IF(AND(A533="",D533=""),"",IF(A533="","Produit manquant",IF(COUNTIF(prod_ref,A533)=0,"Produit inconnu",IF(D533="","Poste manquant",IF(ISNA(MATCH(D533,po_code,0)),"Poste inconnu",IF(INDEX(po_check,MATCH(D533,po_code,0))&lt;&gt;"OK","Poste à corriger",IF(AND(E533&lt;&gt;"",OR(NOT(ISNUMBER(E533)),N(E533)&lt;0)),"Réglage invalide",IF(AND(F533&lt;&gt;"",OR(NOT(ISNUMBER(F533)),N(F533)&lt;0)),"Temps par pièce invalide",IF(N(E533)+N(F533)=0,"Temps manquant",IF(AND(G533&lt;&gt;"",OR(NOT(ISNUMBER(G533)),N(G533)&lt;=0)),"Opérateurs invalide","OK"))))))))))</f>
        <v/>
      </c>
      <c r="N533" s="71" t="str">
        <f>IF(AND(fiche_sel&lt;&gt;"",A533=fiche_sel),COUNTIF(A$6:A533,fiche_sel),"")</f>
        <v/>
      </c>
    </row>
    <row r="534">
      <c r="A534" s="60" t="n"/>
      <c r="B534" s="73" t="n"/>
      <c r="C534" s="60" t="n"/>
      <c r="D534" s="61" t="n"/>
      <c r="E534" s="74" t="n"/>
      <c r="F534" s="74" t="n"/>
      <c r="G534" s="73" t="n"/>
      <c r="H534" s="66" t="str">
        <f>IF(M534&lt;&gt;"OK","",INDEX(po_mo,MATCH(D534,po_code,0)))</f>
        <v/>
      </c>
      <c r="I534" s="66" t="str">
        <f>IF(M534&lt;&gt;"OK","",INDEX(po_mac,MATCH(D534,po_code,0)))</f>
        <v/>
      </c>
      <c r="J534" s="66" t="str">
        <f>IF(M534&lt;&gt;"OK","",N(E534)*(H534*IF(G534="",1,G534)+I534))</f>
        <v/>
      </c>
      <c r="K534" s="66" t="str">
        <f>IF(M534&lt;&gt;"OK","",N(F534)/60*H534*IF(G534="",1,G534))</f>
        <v/>
      </c>
      <c r="L534" s="66" t="str">
        <f>IF(M534&lt;&gt;"OK","",N(F534)/60*I534)</f>
        <v/>
      </c>
      <c r="M534" s="69" t="str">
        <f>IF(AND(A534="",D534=""),"",IF(A534="","Produit manquant",IF(COUNTIF(prod_ref,A534)=0,"Produit inconnu",IF(D534="","Poste manquant",IF(ISNA(MATCH(D534,po_code,0)),"Poste inconnu",IF(INDEX(po_check,MATCH(D534,po_code,0))&lt;&gt;"OK","Poste à corriger",IF(AND(E534&lt;&gt;"",OR(NOT(ISNUMBER(E534)),N(E534)&lt;0)),"Réglage invalide",IF(AND(F534&lt;&gt;"",OR(NOT(ISNUMBER(F534)),N(F534)&lt;0)),"Temps par pièce invalide",IF(N(E534)+N(F534)=0,"Temps manquant",IF(AND(G534&lt;&gt;"",OR(NOT(ISNUMBER(G534)),N(G534)&lt;=0)),"Opérateurs invalide","OK"))))))))))</f>
        <v/>
      </c>
      <c r="N534" s="71" t="str">
        <f>IF(AND(fiche_sel&lt;&gt;"",A534=fiche_sel),COUNTIF(A$6:A534,fiche_sel),"")</f>
        <v/>
      </c>
    </row>
    <row r="535">
      <c r="A535" s="60" t="n"/>
      <c r="B535" s="73" t="n"/>
      <c r="C535" s="60" t="n"/>
      <c r="D535" s="61" t="n"/>
      <c r="E535" s="74" t="n"/>
      <c r="F535" s="74" t="n"/>
      <c r="G535" s="73" t="n"/>
      <c r="H535" s="66" t="str">
        <f>IF(M535&lt;&gt;"OK","",INDEX(po_mo,MATCH(D535,po_code,0)))</f>
        <v/>
      </c>
      <c r="I535" s="66" t="str">
        <f>IF(M535&lt;&gt;"OK","",INDEX(po_mac,MATCH(D535,po_code,0)))</f>
        <v/>
      </c>
      <c r="J535" s="66" t="str">
        <f>IF(M535&lt;&gt;"OK","",N(E535)*(H535*IF(G535="",1,G535)+I535))</f>
        <v/>
      </c>
      <c r="K535" s="66" t="str">
        <f>IF(M535&lt;&gt;"OK","",N(F535)/60*H535*IF(G535="",1,G535))</f>
        <v/>
      </c>
      <c r="L535" s="66" t="str">
        <f>IF(M535&lt;&gt;"OK","",N(F535)/60*I535)</f>
        <v/>
      </c>
      <c r="M535" s="69" t="str">
        <f>IF(AND(A535="",D535=""),"",IF(A535="","Produit manquant",IF(COUNTIF(prod_ref,A535)=0,"Produit inconnu",IF(D535="","Poste manquant",IF(ISNA(MATCH(D535,po_code,0)),"Poste inconnu",IF(INDEX(po_check,MATCH(D535,po_code,0))&lt;&gt;"OK","Poste à corriger",IF(AND(E535&lt;&gt;"",OR(NOT(ISNUMBER(E535)),N(E535)&lt;0)),"Réglage invalide",IF(AND(F535&lt;&gt;"",OR(NOT(ISNUMBER(F535)),N(F535)&lt;0)),"Temps par pièce invalide",IF(N(E535)+N(F535)=0,"Temps manquant",IF(AND(G535&lt;&gt;"",OR(NOT(ISNUMBER(G535)),N(G535)&lt;=0)),"Opérateurs invalide","OK"))))))))))</f>
        <v/>
      </c>
      <c r="N535" s="71" t="str">
        <f>IF(AND(fiche_sel&lt;&gt;"",A535=fiche_sel),COUNTIF(A$6:A535,fiche_sel),"")</f>
        <v/>
      </c>
    </row>
    <row r="536">
      <c r="A536" s="60" t="n"/>
      <c r="B536" s="73" t="n"/>
      <c r="C536" s="60" t="n"/>
      <c r="D536" s="61" t="n"/>
      <c r="E536" s="74" t="n"/>
      <c r="F536" s="74" t="n"/>
      <c r="G536" s="73" t="n"/>
      <c r="H536" s="66" t="str">
        <f>IF(M536&lt;&gt;"OK","",INDEX(po_mo,MATCH(D536,po_code,0)))</f>
        <v/>
      </c>
      <c r="I536" s="66" t="str">
        <f>IF(M536&lt;&gt;"OK","",INDEX(po_mac,MATCH(D536,po_code,0)))</f>
        <v/>
      </c>
      <c r="J536" s="66" t="str">
        <f>IF(M536&lt;&gt;"OK","",N(E536)*(H536*IF(G536="",1,G536)+I536))</f>
        <v/>
      </c>
      <c r="K536" s="66" t="str">
        <f>IF(M536&lt;&gt;"OK","",N(F536)/60*H536*IF(G536="",1,G536))</f>
        <v/>
      </c>
      <c r="L536" s="66" t="str">
        <f>IF(M536&lt;&gt;"OK","",N(F536)/60*I536)</f>
        <v/>
      </c>
      <c r="M536" s="69" t="str">
        <f>IF(AND(A536="",D536=""),"",IF(A536="","Produit manquant",IF(COUNTIF(prod_ref,A536)=0,"Produit inconnu",IF(D536="","Poste manquant",IF(ISNA(MATCH(D536,po_code,0)),"Poste inconnu",IF(INDEX(po_check,MATCH(D536,po_code,0))&lt;&gt;"OK","Poste à corriger",IF(AND(E536&lt;&gt;"",OR(NOT(ISNUMBER(E536)),N(E536)&lt;0)),"Réglage invalide",IF(AND(F536&lt;&gt;"",OR(NOT(ISNUMBER(F536)),N(F536)&lt;0)),"Temps par pièce invalide",IF(N(E536)+N(F536)=0,"Temps manquant",IF(AND(G536&lt;&gt;"",OR(NOT(ISNUMBER(G536)),N(G536)&lt;=0)),"Opérateurs invalide","OK"))))))))))</f>
        <v/>
      </c>
      <c r="N536" s="71" t="str">
        <f>IF(AND(fiche_sel&lt;&gt;"",A536=fiche_sel),COUNTIF(A$6:A536,fiche_sel),"")</f>
        <v/>
      </c>
    </row>
    <row r="537">
      <c r="A537" s="60" t="n"/>
      <c r="B537" s="73" t="n"/>
      <c r="C537" s="60" t="n"/>
      <c r="D537" s="61" t="n"/>
      <c r="E537" s="74" t="n"/>
      <c r="F537" s="74" t="n"/>
      <c r="G537" s="73" t="n"/>
      <c r="H537" s="66" t="str">
        <f>IF(M537&lt;&gt;"OK","",INDEX(po_mo,MATCH(D537,po_code,0)))</f>
        <v/>
      </c>
      <c r="I537" s="66" t="str">
        <f>IF(M537&lt;&gt;"OK","",INDEX(po_mac,MATCH(D537,po_code,0)))</f>
        <v/>
      </c>
      <c r="J537" s="66" t="str">
        <f>IF(M537&lt;&gt;"OK","",N(E537)*(H537*IF(G537="",1,G537)+I537))</f>
        <v/>
      </c>
      <c r="K537" s="66" t="str">
        <f>IF(M537&lt;&gt;"OK","",N(F537)/60*H537*IF(G537="",1,G537))</f>
        <v/>
      </c>
      <c r="L537" s="66" t="str">
        <f>IF(M537&lt;&gt;"OK","",N(F537)/60*I537)</f>
        <v/>
      </c>
      <c r="M537" s="69" t="str">
        <f>IF(AND(A537="",D537=""),"",IF(A537="","Produit manquant",IF(COUNTIF(prod_ref,A537)=0,"Produit inconnu",IF(D537="","Poste manquant",IF(ISNA(MATCH(D537,po_code,0)),"Poste inconnu",IF(INDEX(po_check,MATCH(D537,po_code,0))&lt;&gt;"OK","Poste à corriger",IF(AND(E537&lt;&gt;"",OR(NOT(ISNUMBER(E537)),N(E537)&lt;0)),"Réglage invalide",IF(AND(F537&lt;&gt;"",OR(NOT(ISNUMBER(F537)),N(F537)&lt;0)),"Temps par pièce invalide",IF(N(E537)+N(F537)=0,"Temps manquant",IF(AND(G537&lt;&gt;"",OR(NOT(ISNUMBER(G537)),N(G537)&lt;=0)),"Opérateurs invalide","OK"))))))))))</f>
        <v/>
      </c>
      <c r="N537" s="71" t="str">
        <f>IF(AND(fiche_sel&lt;&gt;"",A537=fiche_sel),COUNTIF(A$6:A537,fiche_sel),"")</f>
        <v/>
      </c>
    </row>
    <row r="538">
      <c r="A538" s="60" t="n"/>
      <c r="B538" s="73" t="n"/>
      <c r="C538" s="60" t="n"/>
      <c r="D538" s="61" t="n"/>
      <c r="E538" s="74" t="n"/>
      <c r="F538" s="74" t="n"/>
      <c r="G538" s="73" t="n"/>
      <c r="H538" s="66" t="str">
        <f>IF(M538&lt;&gt;"OK","",INDEX(po_mo,MATCH(D538,po_code,0)))</f>
        <v/>
      </c>
      <c r="I538" s="66" t="str">
        <f>IF(M538&lt;&gt;"OK","",INDEX(po_mac,MATCH(D538,po_code,0)))</f>
        <v/>
      </c>
      <c r="J538" s="66" t="str">
        <f>IF(M538&lt;&gt;"OK","",N(E538)*(H538*IF(G538="",1,G538)+I538))</f>
        <v/>
      </c>
      <c r="K538" s="66" t="str">
        <f>IF(M538&lt;&gt;"OK","",N(F538)/60*H538*IF(G538="",1,G538))</f>
        <v/>
      </c>
      <c r="L538" s="66" t="str">
        <f>IF(M538&lt;&gt;"OK","",N(F538)/60*I538)</f>
        <v/>
      </c>
      <c r="M538" s="69" t="str">
        <f>IF(AND(A538="",D538=""),"",IF(A538="","Produit manquant",IF(COUNTIF(prod_ref,A538)=0,"Produit inconnu",IF(D538="","Poste manquant",IF(ISNA(MATCH(D538,po_code,0)),"Poste inconnu",IF(INDEX(po_check,MATCH(D538,po_code,0))&lt;&gt;"OK","Poste à corriger",IF(AND(E538&lt;&gt;"",OR(NOT(ISNUMBER(E538)),N(E538)&lt;0)),"Réglage invalide",IF(AND(F538&lt;&gt;"",OR(NOT(ISNUMBER(F538)),N(F538)&lt;0)),"Temps par pièce invalide",IF(N(E538)+N(F538)=0,"Temps manquant",IF(AND(G538&lt;&gt;"",OR(NOT(ISNUMBER(G538)),N(G538)&lt;=0)),"Opérateurs invalide","OK"))))))))))</f>
        <v/>
      </c>
      <c r="N538" s="71" t="str">
        <f>IF(AND(fiche_sel&lt;&gt;"",A538=fiche_sel),COUNTIF(A$6:A538,fiche_sel),"")</f>
        <v/>
      </c>
    </row>
    <row r="539">
      <c r="A539" s="60" t="n"/>
      <c r="B539" s="73" t="n"/>
      <c r="C539" s="60" t="n"/>
      <c r="D539" s="61" t="n"/>
      <c r="E539" s="74" t="n"/>
      <c r="F539" s="74" t="n"/>
      <c r="G539" s="73" t="n"/>
      <c r="H539" s="66" t="str">
        <f>IF(M539&lt;&gt;"OK","",INDEX(po_mo,MATCH(D539,po_code,0)))</f>
        <v/>
      </c>
      <c r="I539" s="66" t="str">
        <f>IF(M539&lt;&gt;"OK","",INDEX(po_mac,MATCH(D539,po_code,0)))</f>
        <v/>
      </c>
      <c r="J539" s="66" t="str">
        <f>IF(M539&lt;&gt;"OK","",N(E539)*(H539*IF(G539="",1,G539)+I539))</f>
        <v/>
      </c>
      <c r="K539" s="66" t="str">
        <f>IF(M539&lt;&gt;"OK","",N(F539)/60*H539*IF(G539="",1,G539))</f>
        <v/>
      </c>
      <c r="L539" s="66" t="str">
        <f>IF(M539&lt;&gt;"OK","",N(F539)/60*I539)</f>
        <v/>
      </c>
      <c r="M539" s="69" t="str">
        <f>IF(AND(A539="",D539=""),"",IF(A539="","Produit manquant",IF(COUNTIF(prod_ref,A539)=0,"Produit inconnu",IF(D539="","Poste manquant",IF(ISNA(MATCH(D539,po_code,0)),"Poste inconnu",IF(INDEX(po_check,MATCH(D539,po_code,0))&lt;&gt;"OK","Poste à corriger",IF(AND(E539&lt;&gt;"",OR(NOT(ISNUMBER(E539)),N(E539)&lt;0)),"Réglage invalide",IF(AND(F539&lt;&gt;"",OR(NOT(ISNUMBER(F539)),N(F539)&lt;0)),"Temps par pièce invalide",IF(N(E539)+N(F539)=0,"Temps manquant",IF(AND(G539&lt;&gt;"",OR(NOT(ISNUMBER(G539)),N(G539)&lt;=0)),"Opérateurs invalide","OK"))))))))))</f>
        <v/>
      </c>
      <c r="N539" s="71" t="str">
        <f>IF(AND(fiche_sel&lt;&gt;"",A539=fiche_sel),COUNTIF(A$6:A539,fiche_sel),"")</f>
        <v/>
      </c>
    </row>
    <row r="540">
      <c r="A540" s="60" t="n"/>
      <c r="B540" s="73" t="n"/>
      <c r="C540" s="60" t="n"/>
      <c r="D540" s="61" t="n"/>
      <c r="E540" s="74" t="n"/>
      <c r="F540" s="74" t="n"/>
      <c r="G540" s="73" t="n"/>
      <c r="H540" s="66" t="str">
        <f>IF(M540&lt;&gt;"OK","",INDEX(po_mo,MATCH(D540,po_code,0)))</f>
        <v/>
      </c>
      <c r="I540" s="66" t="str">
        <f>IF(M540&lt;&gt;"OK","",INDEX(po_mac,MATCH(D540,po_code,0)))</f>
        <v/>
      </c>
      <c r="J540" s="66" t="str">
        <f>IF(M540&lt;&gt;"OK","",N(E540)*(H540*IF(G540="",1,G540)+I540))</f>
        <v/>
      </c>
      <c r="K540" s="66" t="str">
        <f>IF(M540&lt;&gt;"OK","",N(F540)/60*H540*IF(G540="",1,G540))</f>
        <v/>
      </c>
      <c r="L540" s="66" t="str">
        <f>IF(M540&lt;&gt;"OK","",N(F540)/60*I540)</f>
        <v/>
      </c>
      <c r="M540" s="69" t="str">
        <f>IF(AND(A540="",D540=""),"",IF(A540="","Produit manquant",IF(COUNTIF(prod_ref,A540)=0,"Produit inconnu",IF(D540="","Poste manquant",IF(ISNA(MATCH(D540,po_code,0)),"Poste inconnu",IF(INDEX(po_check,MATCH(D540,po_code,0))&lt;&gt;"OK","Poste à corriger",IF(AND(E540&lt;&gt;"",OR(NOT(ISNUMBER(E540)),N(E540)&lt;0)),"Réglage invalide",IF(AND(F540&lt;&gt;"",OR(NOT(ISNUMBER(F540)),N(F540)&lt;0)),"Temps par pièce invalide",IF(N(E540)+N(F540)=0,"Temps manquant",IF(AND(G540&lt;&gt;"",OR(NOT(ISNUMBER(G540)),N(G540)&lt;=0)),"Opérateurs invalide","OK"))))))))))</f>
        <v/>
      </c>
      <c r="N540" s="71" t="str">
        <f>IF(AND(fiche_sel&lt;&gt;"",A540=fiche_sel),COUNTIF(A$6:A540,fiche_sel),"")</f>
        <v/>
      </c>
    </row>
    <row r="541">
      <c r="A541" s="60" t="n"/>
      <c r="B541" s="73" t="n"/>
      <c r="C541" s="60" t="n"/>
      <c r="D541" s="61" t="n"/>
      <c r="E541" s="74" t="n"/>
      <c r="F541" s="74" t="n"/>
      <c r="G541" s="73" t="n"/>
      <c r="H541" s="66" t="str">
        <f>IF(M541&lt;&gt;"OK","",INDEX(po_mo,MATCH(D541,po_code,0)))</f>
        <v/>
      </c>
      <c r="I541" s="66" t="str">
        <f>IF(M541&lt;&gt;"OK","",INDEX(po_mac,MATCH(D541,po_code,0)))</f>
        <v/>
      </c>
      <c r="J541" s="66" t="str">
        <f>IF(M541&lt;&gt;"OK","",N(E541)*(H541*IF(G541="",1,G541)+I541))</f>
        <v/>
      </c>
      <c r="K541" s="66" t="str">
        <f>IF(M541&lt;&gt;"OK","",N(F541)/60*H541*IF(G541="",1,G541))</f>
        <v/>
      </c>
      <c r="L541" s="66" t="str">
        <f>IF(M541&lt;&gt;"OK","",N(F541)/60*I541)</f>
        <v/>
      </c>
      <c r="M541" s="69" t="str">
        <f>IF(AND(A541="",D541=""),"",IF(A541="","Produit manquant",IF(COUNTIF(prod_ref,A541)=0,"Produit inconnu",IF(D541="","Poste manquant",IF(ISNA(MATCH(D541,po_code,0)),"Poste inconnu",IF(INDEX(po_check,MATCH(D541,po_code,0))&lt;&gt;"OK","Poste à corriger",IF(AND(E541&lt;&gt;"",OR(NOT(ISNUMBER(E541)),N(E541)&lt;0)),"Réglage invalide",IF(AND(F541&lt;&gt;"",OR(NOT(ISNUMBER(F541)),N(F541)&lt;0)),"Temps par pièce invalide",IF(N(E541)+N(F541)=0,"Temps manquant",IF(AND(G541&lt;&gt;"",OR(NOT(ISNUMBER(G541)),N(G541)&lt;=0)),"Opérateurs invalide","OK"))))))))))</f>
        <v/>
      </c>
      <c r="N541" s="71" t="str">
        <f>IF(AND(fiche_sel&lt;&gt;"",A541=fiche_sel),COUNTIF(A$6:A541,fiche_sel),"")</f>
        <v/>
      </c>
    </row>
    <row r="542">
      <c r="A542" s="60" t="n"/>
      <c r="B542" s="73" t="n"/>
      <c r="C542" s="60" t="n"/>
      <c r="D542" s="61" t="n"/>
      <c r="E542" s="74" t="n"/>
      <c r="F542" s="74" t="n"/>
      <c r="G542" s="73" t="n"/>
      <c r="H542" s="66" t="str">
        <f>IF(M542&lt;&gt;"OK","",INDEX(po_mo,MATCH(D542,po_code,0)))</f>
        <v/>
      </c>
      <c r="I542" s="66" t="str">
        <f>IF(M542&lt;&gt;"OK","",INDEX(po_mac,MATCH(D542,po_code,0)))</f>
        <v/>
      </c>
      <c r="J542" s="66" t="str">
        <f>IF(M542&lt;&gt;"OK","",N(E542)*(H542*IF(G542="",1,G542)+I542))</f>
        <v/>
      </c>
      <c r="K542" s="66" t="str">
        <f>IF(M542&lt;&gt;"OK","",N(F542)/60*H542*IF(G542="",1,G542))</f>
        <v/>
      </c>
      <c r="L542" s="66" t="str">
        <f>IF(M542&lt;&gt;"OK","",N(F542)/60*I542)</f>
        <v/>
      </c>
      <c r="M542" s="69" t="str">
        <f>IF(AND(A542="",D542=""),"",IF(A542="","Produit manquant",IF(COUNTIF(prod_ref,A542)=0,"Produit inconnu",IF(D542="","Poste manquant",IF(ISNA(MATCH(D542,po_code,0)),"Poste inconnu",IF(INDEX(po_check,MATCH(D542,po_code,0))&lt;&gt;"OK","Poste à corriger",IF(AND(E542&lt;&gt;"",OR(NOT(ISNUMBER(E542)),N(E542)&lt;0)),"Réglage invalide",IF(AND(F542&lt;&gt;"",OR(NOT(ISNUMBER(F542)),N(F542)&lt;0)),"Temps par pièce invalide",IF(N(E542)+N(F542)=0,"Temps manquant",IF(AND(G542&lt;&gt;"",OR(NOT(ISNUMBER(G542)),N(G542)&lt;=0)),"Opérateurs invalide","OK"))))))))))</f>
        <v/>
      </c>
      <c r="N542" s="71" t="str">
        <f>IF(AND(fiche_sel&lt;&gt;"",A542=fiche_sel),COUNTIF(A$6:A542,fiche_sel),"")</f>
        <v/>
      </c>
    </row>
    <row r="543">
      <c r="A543" s="60" t="n"/>
      <c r="B543" s="73" t="n"/>
      <c r="C543" s="60" t="n"/>
      <c r="D543" s="61" t="n"/>
      <c r="E543" s="74" t="n"/>
      <c r="F543" s="74" t="n"/>
      <c r="G543" s="73" t="n"/>
      <c r="H543" s="66" t="str">
        <f>IF(M543&lt;&gt;"OK","",INDEX(po_mo,MATCH(D543,po_code,0)))</f>
        <v/>
      </c>
      <c r="I543" s="66" t="str">
        <f>IF(M543&lt;&gt;"OK","",INDEX(po_mac,MATCH(D543,po_code,0)))</f>
        <v/>
      </c>
      <c r="J543" s="66" t="str">
        <f>IF(M543&lt;&gt;"OK","",N(E543)*(H543*IF(G543="",1,G543)+I543))</f>
        <v/>
      </c>
      <c r="K543" s="66" t="str">
        <f>IF(M543&lt;&gt;"OK","",N(F543)/60*H543*IF(G543="",1,G543))</f>
        <v/>
      </c>
      <c r="L543" s="66" t="str">
        <f>IF(M543&lt;&gt;"OK","",N(F543)/60*I543)</f>
        <v/>
      </c>
      <c r="M543" s="69" t="str">
        <f>IF(AND(A543="",D543=""),"",IF(A543="","Produit manquant",IF(COUNTIF(prod_ref,A543)=0,"Produit inconnu",IF(D543="","Poste manquant",IF(ISNA(MATCH(D543,po_code,0)),"Poste inconnu",IF(INDEX(po_check,MATCH(D543,po_code,0))&lt;&gt;"OK","Poste à corriger",IF(AND(E543&lt;&gt;"",OR(NOT(ISNUMBER(E543)),N(E543)&lt;0)),"Réglage invalide",IF(AND(F543&lt;&gt;"",OR(NOT(ISNUMBER(F543)),N(F543)&lt;0)),"Temps par pièce invalide",IF(N(E543)+N(F543)=0,"Temps manquant",IF(AND(G543&lt;&gt;"",OR(NOT(ISNUMBER(G543)),N(G543)&lt;=0)),"Opérateurs invalide","OK"))))))))))</f>
        <v/>
      </c>
      <c r="N543" s="71" t="str">
        <f>IF(AND(fiche_sel&lt;&gt;"",A543=fiche_sel),COUNTIF(A$6:A543,fiche_sel),"")</f>
        <v/>
      </c>
    </row>
    <row r="544">
      <c r="A544" s="60" t="n"/>
      <c r="B544" s="73" t="n"/>
      <c r="C544" s="60" t="n"/>
      <c r="D544" s="61" t="n"/>
      <c r="E544" s="74" t="n"/>
      <c r="F544" s="74" t="n"/>
      <c r="G544" s="73" t="n"/>
      <c r="H544" s="66" t="str">
        <f>IF(M544&lt;&gt;"OK","",INDEX(po_mo,MATCH(D544,po_code,0)))</f>
        <v/>
      </c>
      <c r="I544" s="66" t="str">
        <f>IF(M544&lt;&gt;"OK","",INDEX(po_mac,MATCH(D544,po_code,0)))</f>
        <v/>
      </c>
      <c r="J544" s="66" t="str">
        <f>IF(M544&lt;&gt;"OK","",N(E544)*(H544*IF(G544="",1,G544)+I544))</f>
        <v/>
      </c>
      <c r="K544" s="66" t="str">
        <f>IF(M544&lt;&gt;"OK","",N(F544)/60*H544*IF(G544="",1,G544))</f>
        <v/>
      </c>
      <c r="L544" s="66" t="str">
        <f>IF(M544&lt;&gt;"OK","",N(F544)/60*I544)</f>
        <v/>
      </c>
      <c r="M544" s="69" t="str">
        <f>IF(AND(A544="",D544=""),"",IF(A544="","Produit manquant",IF(COUNTIF(prod_ref,A544)=0,"Produit inconnu",IF(D544="","Poste manquant",IF(ISNA(MATCH(D544,po_code,0)),"Poste inconnu",IF(INDEX(po_check,MATCH(D544,po_code,0))&lt;&gt;"OK","Poste à corriger",IF(AND(E544&lt;&gt;"",OR(NOT(ISNUMBER(E544)),N(E544)&lt;0)),"Réglage invalide",IF(AND(F544&lt;&gt;"",OR(NOT(ISNUMBER(F544)),N(F544)&lt;0)),"Temps par pièce invalide",IF(N(E544)+N(F544)=0,"Temps manquant",IF(AND(G544&lt;&gt;"",OR(NOT(ISNUMBER(G544)),N(G544)&lt;=0)),"Opérateurs invalide","OK"))))))))))</f>
        <v/>
      </c>
      <c r="N544" s="71" t="str">
        <f>IF(AND(fiche_sel&lt;&gt;"",A544=fiche_sel),COUNTIF(A$6:A544,fiche_sel),"")</f>
        <v/>
      </c>
    </row>
    <row r="545">
      <c r="A545" s="60" t="n"/>
      <c r="B545" s="73" t="n"/>
      <c r="C545" s="60" t="n"/>
      <c r="D545" s="61" t="n"/>
      <c r="E545" s="74" t="n"/>
      <c r="F545" s="74" t="n"/>
      <c r="G545" s="73" t="n"/>
      <c r="H545" s="66" t="str">
        <f>IF(M545&lt;&gt;"OK","",INDEX(po_mo,MATCH(D545,po_code,0)))</f>
        <v/>
      </c>
      <c r="I545" s="66" t="str">
        <f>IF(M545&lt;&gt;"OK","",INDEX(po_mac,MATCH(D545,po_code,0)))</f>
        <v/>
      </c>
      <c r="J545" s="66" t="str">
        <f>IF(M545&lt;&gt;"OK","",N(E545)*(H545*IF(G545="",1,G545)+I545))</f>
        <v/>
      </c>
      <c r="K545" s="66" t="str">
        <f>IF(M545&lt;&gt;"OK","",N(F545)/60*H545*IF(G545="",1,G545))</f>
        <v/>
      </c>
      <c r="L545" s="66" t="str">
        <f>IF(M545&lt;&gt;"OK","",N(F545)/60*I545)</f>
        <v/>
      </c>
      <c r="M545" s="69" t="str">
        <f>IF(AND(A545="",D545=""),"",IF(A545="","Produit manquant",IF(COUNTIF(prod_ref,A545)=0,"Produit inconnu",IF(D545="","Poste manquant",IF(ISNA(MATCH(D545,po_code,0)),"Poste inconnu",IF(INDEX(po_check,MATCH(D545,po_code,0))&lt;&gt;"OK","Poste à corriger",IF(AND(E545&lt;&gt;"",OR(NOT(ISNUMBER(E545)),N(E545)&lt;0)),"Réglage invalide",IF(AND(F545&lt;&gt;"",OR(NOT(ISNUMBER(F545)),N(F545)&lt;0)),"Temps par pièce invalide",IF(N(E545)+N(F545)=0,"Temps manquant",IF(AND(G545&lt;&gt;"",OR(NOT(ISNUMBER(G545)),N(G545)&lt;=0)),"Opérateurs invalide","OK"))))))))))</f>
        <v/>
      </c>
      <c r="N545" s="71" t="str">
        <f>IF(AND(fiche_sel&lt;&gt;"",A545=fiche_sel),COUNTIF(A$6:A545,fiche_sel),"")</f>
        <v/>
      </c>
    </row>
    <row r="546">
      <c r="A546" s="60" t="n"/>
      <c r="B546" s="73" t="n"/>
      <c r="C546" s="60" t="n"/>
      <c r="D546" s="61" t="n"/>
      <c r="E546" s="74" t="n"/>
      <c r="F546" s="74" t="n"/>
      <c r="G546" s="73" t="n"/>
      <c r="H546" s="66" t="str">
        <f>IF(M546&lt;&gt;"OK","",INDEX(po_mo,MATCH(D546,po_code,0)))</f>
        <v/>
      </c>
      <c r="I546" s="66" t="str">
        <f>IF(M546&lt;&gt;"OK","",INDEX(po_mac,MATCH(D546,po_code,0)))</f>
        <v/>
      </c>
      <c r="J546" s="66" t="str">
        <f>IF(M546&lt;&gt;"OK","",N(E546)*(H546*IF(G546="",1,G546)+I546))</f>
        <v/>
      </c>
      <c r="K546" s="66" t="str">
        <f>IF(M546&lt;&gt;"OK","",N(F546)/60*H546*IF(G546="",1,G546))</f>
        <v/>
      </c>
      <c r="L546" s="66" t="str">
        <f>IF(M546&lt;&gt;"OK","",N(F546)/60*I546)</f>
        <v/>
      </c>
      <c r="M546" s="69" t="str">
        <f>IF(AND(A546="",D546=""),"",IF(A546="","Produit manquant",IF(COUNTIF(prod_ref,A546)=0,"Produit inconnu",IF(D546="","Poste manquant",IF(ISNA(MATCH(D546,po_code,0)),"Poste inconnu",IF(INDEX(po_check,MATCH(D546,po_code,0))&lt;&gt;"OK","Poste à corriger",IF(AND(E546&lt;&gt;"",OR(NOT(ISNUMBER(E546)),N(E546)&lt;0)),"Réglage invalide",IF(AND(F546&lt;&gt;"",OR(NOT(ISNUMBER(F546)),N(F546)&lt;0)),"Temps par pièce invalide",IF(N(E546)+N(F546)=0,"Temps manquant",IF(AND(G546&lt;&gt;"",OR(NOT(ISNUMBER(G546)),N(G546)&lt;=0)),"Opérateurs invalide","OK"))))))))))</f>
        <v/>
      </c>
      <c r="N546" s="71" t="str">
        <f>IF(AND(fiche_sel&lt;&gt;"",A546=fiche_sel),COUNTIF(A$6:A546,fiche_sel),"")</f>
        <v/>
      </c>
    </row>
    <row r="547">
      <c r="A547" s="60" t="n"/>
      <c r="B547" s="73" t="n"/>
      <c r="C547" s="60" t="n"/>
      <c r="D547" s="61" t="n"/>
      <c r="E547" s="74" t="n"/>
      <c r="F547" s="74" t="n"/>
      <c r="G547" s="73" t="n"/>
      <c r="H547" s="66" t="str">
        <f>IF(M547&lt;&gt;"OK","",INDEX(po_mo,MATCH(D547,po_code,0)))</f>
        <v/>
      </c>
      <c r="I547" s="66" t="str">
        <f>IF(M547&lt;&gt;"OK","",INDEX(po_mac,MATCH(D547,po_code,0)))</f>
        <v/>
      </c>
      <c r="J547" s="66" t="str">
        <f>IF(M547&lt;&gt;"OK","",N(E547)*(H547*IF(G547="",1,G547)+I547))</f>
        <v/>
      </c>
      <c r="K547" s="66" t="str">
        <f>IF(M547&lt;&gt;"OK","",N(F547)/60*H547*IF(G547="",1,G547))</f>
        <v/>
      </c>
      <c r="L547" s="66" t="str">
        <f>IF(M547&lt;&gt;"OK","",N(F547)/60*I547)</f>
        <v/>
      </c>
      <c r="M547" s="69" t="str">
        <f>IF(AND(A547="",D547=""),"",IF(A547="","Produit manquant",IF(COUNTIF(prod_ref,A547)=0,"Produit inconnu",IF(D547="","Poste manquant",IF(ISNA(MATCH(D547,po_code,0)),"Poste inconnu",IF(INDEX(po_check,MATCH(D547,po_code,0))&lt;&gt;"OK","Poste à corriger",IF(AND(E547&lt;&gt;"",OR(NOT(ISNUMBER(E547)),N(E547)&lt;0)),"Réglage invalide",IF(AND(F547&lt;&gt;"",OR(NOT(ISNUMBER(F547)),N(F547)&lt;0)),"Temps par pièce invalide",IF(N(E547)+N(F547)=0,"Temps manquant",IF(AND(G547&lt;&gt;"",OR(NOT(ISNUMBER(G547)),N(G547)&lt;=0)),"Opérateurs invalide","OK"))))))))))</f>
        <v/>
      </c>
      <c r="N547" s="71" t="str">
        <f>IF(AND(fiche_sel&lt;&gt;"",A547=fiche_sel),COUNTIF(A$6:A547,fiche_sel),"")</f>
        <v/>
      </c>
    </row>
    <row r="548">
      <c r="A548" s="60" t="n"/>
      <c r="B548" s="73" t="n"/>
      <c r="C548" s="60" t="n"/>
      <c r="D548" s="61" t="n"/>
      <c r="E548" s="74" t="n"/>
      <c r="F548" s="74" t="n"/>
      <c r="G548" s="73" t="n"/>
      <c r="H548" s="66" t="str">
        <f>IF(M548&lt;&gt;"OK","",INDEX(po_mo,MATCH(D548,po_code,0)))</f>
        <v/>
      </c>
      <c r="I548" s="66" t="str">
        <f>IF(M548&lt;&gt;"OK","",INDEX(po_mac,MATCH(D548,po_code,0)))</f>
        <v/>
      </c>
      <c r="J548" s="66" t="str">
        <f>IF(M548&lt;&gt;"OK","",N(E548)*(H548*IF(G548="",1,G548)+I548))</f>
        <v/>
      </c>
      <c r="K548" s="66" t="str">
        <f>IF(M548&lt;&gt;"OK","",N(F548)/60*H548*IF(G548="",1,G548))</f>
        <v/>
      </c>
      <c r="L548" s="66" t="str">
        <f>IF(M548&lt;&gt;"OK","",N(F548)/60*I548)</f>
        <v/>
      </c>
      <c r="M548" s="69" t="str">
        <f>IF(AND(A548="",D548=""),"",IF(A548="","Produit manquant",IF(COUNTIF(prod_ref,A548)=0,"Produit inconnu",IF(D548="","Poste manquant",IF(ISNA(MATCH(D548,po_code,0)),"Poste inconnu",IF(INDEX(po_check,MATCH(D548,po_code,0))&lt;&gt;"OK","Poste à corriger",IF(AND(E548&lt;&gt;"",OR(NOT(ISNUMBER(E548)),N(E548)&lt;0)),"Réglage invalide",IF(AND(F548&lt;&gt;"",OR(NOT(ISNUMBER(F548)),N(F548)&lt;0)),"Temps par pièce invalide",IF(N(E548)+N(F548)=0,"Temps manquant",IF(AND(G548&lt;&gt;"",OR(NOT(ISNUMBER(G548)),N(G548)&lt;=0)),"Opérateurs invalide","OK"))))))))))</f>
        <v/>
      </c>
      <c r="N548" s="71" t="str">
        <f>IF(AND(fiche_sel&lt;&gt;"",A548=fiche_sel),COUNTIF(A$6:A548,fiche_sel),"")</f>
        <v/>
      </c>
    </row>
    <row r="549">
      <c r="A549" s="60" t="n"/>
      <c r="B549" s="73" t="n"/>
      <c r="C549" s="60" t="n"/>
      <c r="D549" s="61" t="n"/>
      <c r="E549" s="74" t="n"/>
      <c r="F549" s="74" t="n"/>
      <c r="G549" s="73" t="n"/>
      <c r="H549" s="66" t="str">
        <f>IF(M549&lt;&gt;"OK","",INDEX(po_mo,MATCH(D549,po_code,0)))</f>
        <v/>
      </c>
      <c r="I549" s="66" t="str">
        <f>IF(M549&lt;&gt;"OK","",INDEX(po_mac,MATCH(D549,po_code,0)))</f>
        <v/>
      </c>
      <c r="J549" s="66" t="str">
        <f>IF(M549&lt;&gt;"OK","",N(E549)*(H549*IF(G549="",1,G549)+I549))</f>
        <v/>
      </c>
      <c r="K549" s="66" t="str">
        <f>IF(M549&lt;&gt;"OK","",N(F549)/60*H549*IF(G549="",1,G549))</f>
        <v/>
      </c>
      <c r="L549" s="66" t="str">
        <f>IF(M549&lt;&gt;"OK","",N(F549)/60*I549)</f>
        <v/>
      </c>
      <c r="M549" s="69" t="str">
        <f>IF(AND(A549="",D549=""),"",IF(A549="","Produit manquant",IF(COUNTIF(prod_ref,A549)=0,"Produit inconnu",IF(D549="","Poste manquant",IF(ISNA(MATCH(D549,po_code,0)),"Poste inconnu",IF(INDEX(po_check,MATCH(D549,po_code,0))&lt;&gt;"OK","Poste à corriger",IF(AND(E549&lt;&gt;"",OR(NOT(ISNUMBER(E549)),N(E549)&lt;0)),"Réglage invalide",IF(AND(F549&lt;&gt;"",OR(NOT(ISNUMBER(F549)),N(F549)&lt;0)),"Temps par pièce invalide",IF(N(E549)+N(F549)=0,"Temps manquant",IF(AND(G549&lt;&gt;"",OR(NOT(ISNUMBER(G549)),N(G549)&lt;=0)),"Opérateurs invalide","OK"))))))))))</f>
        <v/>
      </c>
      <c r="N549" s="71" t="str">
        <f>IF(AND(fiche_sel&lt;&gt;"",A549=fiche_sel),COUNTIF(A$6:A549,fiche_sel),"")</f>
        <v/>
      </c>
    </row>
    <row r="550">
      <c r="A550" s="60" t="n"/>
      <c r="B550" s="73" t="n"/>
      <c r="C550" s="60" t="n"/>
      <c r="D550" s="61" t="n"/>
      <c r="E550" s="74" t="n"/>
      <c r="F550" s="74" t="n"/>
      <c r="G550" s="73" t="n"/>
      <c r="H550" s="66" t="str">
        <f>IF(M550&lt;&gt;"OK","",INDEX(po_mo,MATCH(D550,po_code,0)))</f>
        <v/>
      </c>
      <c r="I550" s="66" t="str">
        <f>IF(M550&lt;&gt;"OK","",INDEX(po_mac,MATCH(D550,po_code,0)))</f>
        <v/>
      </c>
      <c r="J550" s="66" t="str">
        <f>IF(M550&lt;&gt;"OK","",N(E550)*(H550*IF(G550="",1,G550)+I550))</f>
        <v/>
      </c>
      <c r="K550" s="66" t="str">
        <f>IF(M550&lt;&gt;"OK","",N(F550)/60*H550*IF(G550="",1,G550))</f>
        <v/>
      </c>
      <c r="L550" s="66" t="str">
        <f>IF(M550&lt;&gt;"OK","",N(F550)/60*I550)</f>
        <v/>
      </c>
      <c r="M550" s="69" t="str">
        <f>IF(AND(A550="",D550=""),"",IF(A550="","Produit manquant",IF(COUNTIF(prod_ref,A550)=0,"Produit inconnu",IF(D550="","Poste manquant",IF(ISNA(MATCH(D550,po_code,0)),"Poste inconnu",IF(INDEX(po_check,MATCH(D550,po_code,0))&lt;&gt;"OK","Poste à corriger",IF(AND(E550&lt;&gt;"",OR(NOT(ISNUMBER(E550)),N(E550)&lt;0)),"Réglage invalide",IF(AND(F550&lt;&gt;"",OR(NOT(ISNUMBER(F550)),N(F550)&lt;0)),"Temps par pièce invalide",IF(N(E550)+N(F550)=0,"Temps manquant",IF(AND(G550&lt;&gt;"",OR(NOT(ISNUMBER(G550)),N(G550)&lt;=0)),"Opérateurs invalide","OK"))))))))))</f>
        <v/>
      </c>
      <c r="N550" s="71" t="str">
        <f>IF(AND(fiche_sel&lt;&gt;"",A550=fiche_sel),COUNTIF(A$6:A550,fiche_sel),"")</f>
        <v/>
      </c>
    </row>
    <row r="551">
      <c r="A551" s="60" t="n"/>
      <c r="B551" s="73" t="n"/>
      <c r="C551" s="60" t="n"/>
      <c r="D551" s="61" t="n"/>
      <c r="E551" s="74" t="n"/>
      <c r="F551" s="74" t="n"/>
      <c r="G551" s="73" t="n"/>
      <c r="H551" s="66" t="str">
        <f>IF(M551&lt;&gt;"OK","",INDEX(po_mo,MATCH(D551,po_code,0)))</f>
        <v/>
      </c>
      <c r="I551" s="66" t="str">
        <f>IF(M551&lt;&gt;"OK","",INDEX(po_mac,MATCH(D551,po_code,0)))</f>
        <v/>
      </c>
      <c r="J551" s="66" t="str">
        <f>IF(M551&lt;&gt;"OK","",N(E551)*(H551*IF(G551="",1,G551)+I551))</f>
        <v/>
      </c>
      <c r="K551" s="66" t="str">
        <f>IF(M551&lt;&gt;"OK","",N(F551)/60*H551*IF(G551="",1,G551))</f>
        <v/>
      </c>
      <c r="L551" s="66" t="str">
        <f>IF(M551&lt;&gt;"OK","",N(F551)/60*I551)</f>
        <v/>
      </c>
      <c r="M551" s="69" t="str">
        <f>IF(AND(A551="",D551=""),"",IF(A551="","Produit manquant",IF(COUNTIF(prod_ref,A551)=0,"Produit inconnu",IF(D551="","Poste manquant",IF(ISNA(MATCH(D551,po_code,0)),"Poste inconnu",IF(INDEX(po_check,MATCH(D551,po_code,0))&lt;&gt;"OK","Poste à corriger",IF(AND(E551&lt;&gt;"",OR(NOT(ISNUMBER(E551)),N(E551)&lt;0)),"Réglage invalide",IF(AND(F551&lt;&gt;"",OR(NOT(ISNUMBER(F551)),N(F551)&lt;0)),"Temps par pièce invalide",IF(N(E551)+N(F551)=0,"Temps manquant",IF(AND(G551&lt;&gt;"",OR(NOT(ISNUMBER(G551)),N(G551)&lt;=0)),"Opérateurs invalide","OK"))))))))))</f>
        <v/>
      </c>
      <c r="N551" s="71" t="str">
        <f>IF(AND(fiche_sel&lt;&gt;"",A551=fiche_sel),COUNTIF(A$6:A551,fiche_sel),"")</f>
        <v/>
      </c>
    </row>
    <row r="552">
      <c r="A552" s="60" t="n"/>
      <c r="B552" s="73" t="n"/>
      <c r="C552" s="60" t="n"/>
      <c r="D552" s="61" t="n"/>
      <c r="E552" s="74" t="n"/>
      <c r="F552" s="74" t="n"/>
      <c r="G552" s="73" t="n"/>
      <c r="H552" s="66" t="str">
        <f>IF(M552&lt;&gt;"OK","",INDEX(po_mo,MATCH(D552,po_code,0)))</f>
        <v/>
      </c>
      <c r="I552" s="66" t="str">
        <f>IF(M552&lt;&gt;"OK","",INDEX(po_mac,MATCH(D552,po_code,0)))</f>
        <v/>
      </c>
      <c r="J552" s="66" t="str">
        <f>IF(M552&lt;&gt;"OK","",N(E552)*(H552*IF(G552="",1,G552)+I552))</f>
        <v/>
      </c>
      <c r="K552" s="66" t="str">
        <f>IF(M552&lt;&gt;"OK","",N(F552)/60*H552*IF(G552="",1,G552))</f>
        <v/>
      </c>
      <c r="L552" s="66" t="str">
        <f>IF(M552&lt;&gt;"OK","",N(F552)/60*I552)</f>
        <v/>
      </c>
      <c r="M552" s="69" t="str">
        <f>IF(AND(A552="",D552=""),"",IF(A552="","Produit manquant",IF(COUNTIF(prod_ref,A552)=0,"Produit inconnu",IF(D552="","Poste manquant",IF(ISNA(MATCH(D552,po_code,0)),"Poste inconnu",IF(INDEX(po_check,MATCH(D552,po_code,0))&lt;&gt;"OK","Poste à corriger",IF(AND(E552&lt;&gt;"",OR(NOT(ISNUMBER(E552)),N(E552)&lt;0)),"Réglage invalide",IF(AND(F552&lt;&gt;"",OR(NOT(ISNUMBER(F552)),N(F552)&lt;0)),"Temps par pièce invalide",IF(N(E552)+N(F552)=0,"Temps manquant",IF(AND(G552&lt;&gt;"",OR(NOT(ISNUMBER(G552)),N(G552)&lt;=0)),"Opérateurs invalide","OK"))))))))))</f>
        <v/>
      </c>
      <c r="N552" s="71" t="str">
        <f>IF(AND(fiche_sel&lt;&gt;"",A552=fiche_sel),COUNTIF(A$6:A552,fiche_sel),"")</f>
        <v/>
      </c>
    </row>
    <row r="553">
      <c r="A553" s="60" t="n"/>
      <c r="B553" s="73" t="n"/>
      <c r="C553" s="60" t="n"/>
      <c r="D553" s="61" t="n"/>
      <c r="E553" s="74" t="n"/>
      <c r="F553" s="74" t="n"/>
      <c r="G553" s="73" t="n"/>
      <c r="H553" s="66" t="str">
        <f>IF(M553&lt;&gt;"OK","",INDEX(po_mo,MATCH(D553,po_code,0)))</f>
        <v/>
      </c>
      <c r="I553" s="66" t="str">
        <f>IF(M553&lt;&gt;"OK","",INDEX(po_mac,MATCH(D553,po_code,0)))</f>
        <v/>
      </c>
      <c r="J553" s="66" t="str">
        <f>IF(M553&lt;&gt;"OK","",N(E553)*(H553*IF(G553="",1,G553)+I553))</f>
        <v/>
      </c>
      <c r="K553" s="66" t="str">
        <f>IF(M553&lt;&gt;"OK","",N(F553)/60*H553*IF(G553="",1,G553))</f>
        <v/>
      </c>
      <c r="L553" s="66" t="str">
        <f>IF(M553&lt;&gt;"OK","",N(F553)/60*I553)</f>
        <v/>
      </c>
      <c r="M553" s="69" t="str">
        <f>IF(AND(A553="",D553=""),"",IF(A553="","Produit manquant",IF(COUNTIF(prod_ref,A553)=0,"Produit inconnu",IF(D553="","Poste manquant",IF(ISNA(MATCH(D553,po_code,0)),"Poste inconnu",IF(INDEX(po_check,MATCH(D553,po_code,0))&lt;&gt;"OK","Poste à corriger",IF(AND(E553&lt;&gt;"",OR(NOT(ISNUMBER(E553)),N(E553)&lt;0)),"Réglage invalide",IF(AND(F553&lt;&gt;"",OR(NOT(ISNUMBER(F553)),N(F553)&lt;0)),"Temps par pièce invalide",IF(N(E553)+N(F553)=0,"Temps manquant",IF(AND(G553&lt;&gt;"",OR(NOT(ISNUMBER(G553)),N(G553)&lt;=0)),"Opérateurs invalide","OK"))))))))))</f>
        <v/>
      </c>
      <c r="N553" s="71" t="str">
        <f>IF(AND(fiche_sel&lt;&gt;"",A553=fiche_sel),COUNTIF(A$6:A553,fiche_sel),"")</f>
        <v/>
      </c>
    </row>
    <row r="554">
      <c r="A554" s="60" t="n"/>
      <c r="B554" s="73" t="n"/>
      <c r="C554" s="60" t="n"/>
      <c r="D554" s="61" t="n"/>
      <c r="E554" s="74" t="n"/>
      <c r="F554" s="74" t="n"/>
      <c r="G554" s="73" t="n"/>
      <c r="H554" s="66" t="str">
        <f>IF(M554&lt;&gt;"OK","",INDEX(po_mo,MATCH(D554,po_code,0)))</f>
        <v/>
      </c>
      <c r="I554" s="66" t="str">
        <f>IF(M554&lt;&gt;"OK","",INDEX(po_mac,MATCH(D554,po_code,0)))</f>
        <v/>
      </c>
      <c r="J554" s="66" t="str">
        <f>IF(M554&lt;&gt;"OK","",N(E554)*(H554*IF(G554="",1,G554)+I554))</f>
        <v/>
      </c>
      <c r="K554" s="66" t="str">
        <f>IF(M554&lt;&gt;"OK","",N(F554)/60*H554*IF(G554="",1,G554))</f>
        <v/>
      </c>
      <c r="L554" s="66" t="str">
        <f>IF(M554&lt;&gt;"OK","",N(F554)/60*I554)</f>
        <v/>
      </c>
      <c r="M554" s="69" t="str">
        <f>IF(AND(A554="",D554=""),"",IF(A554="","Produit manquant",IF(COUNTIF(prod_ref,A554)=0,"Produit inconnu",IF(D554="","Poste manquant",IF(ISNA(MATCH(D554,po_code,0)),"Poste inconnu",IF(INDEX(po_check,MATCH(D554,po_code,0))&lt;&gt;"OK","Poste à corriger",IF(AND(E554&lt;&gt;"",OR(NOT(ISNUMBER(E554)),N(E554)&lt;0)),"Réglage invalide",IF(AND(F554&lt;&gt;"",OR(NOT(ISNUMBER(F554)),N(F554)&lt;0)),"Temps par pièce invalide",IF(N(E554)+N(F554)=0,"Temps manquant",IF(AND(G554&lt;&gt;"",OR(NOT(ISNUMBER(G554)),N(G554)&lt;=0)),"Opérateurs invalide","OK"))))))))))</f>
        <v/>
      </c>
      <c r="N554" s="71" t="str">
        <f>IF(AND(fiche_sel&lt;&gt;"",A554=fiche_sel),COUNTIF(A$6:A554,fiche_sel),"")</f>
        <v/>
      </c>
    </row>
    <row r="555">
      <c r="A555" s="60" t="n"/>
      <c r="B555" s="73" t="n"/>
      <c r="C555" s="60" t="n"/>
      <c r="D555" s="61" t="n"/>
      <c r="E555" s="74" t="n"/>
      <c r="F555" s="74" t="n"/>
      <c r="G555" s="73" t="n"/>
      <c r="H555" s="66" t="str">
        <f>IF(M555&lt;&gt;"OK","",INDEX(po_mo,MATCH(D555,po_code,0)))</f>
        <v/>
      </c>
      <c r="I555" s="66" t="str">
        <f>IF(M555&lt;&gt;"OK","",INDEX(po_mac,MATCH(D555,po_code,0)))</f>
        <v/>
      </c>
      <c r="J555" s="66" t="str">
        <f>IF(M555&lt;&gt;"OK","",N(E555)*(H555*IF(G555="",1,G555)+I555))</f>
        <v/>
      </c>
      <c r="K555" s="66" t="str">
        <f>IF(M555&lt;&gt;"OK","",N(F555)/60*H555*IF(G555="",1,G555))</f>
        <v/>
      </c>
      <c r="L555" s="66" t="str">
        <f>IF(M555&lt;&gt;"OK","",N(F555)/60*I555)</f>
        <v/>
      </c>
      <c r="M555" s="69" t="str">
        <f>IF(AND(A555="",D555=""),"",IF(A555="","Produit manquant",IF(COUNTIF(prod_ref,A555)=0,"Produit inconnu",IF(D555="","Poste manquant",IF(ISNA(MATCH(D555,po_code,0)),"Poste inconnu",IF(INDEX(po_check,MATCH(D555,po_code,0))&lt;&gt;"OK","Poste à corriger",IF(AND(E555&lt;&gt;"",OR(NOT(ISNUMBER(E555)),N(E555)&lt;0)),"Réglage invalide",IF(AND(F555&lt;&gt;"",OR(NOT(ISNUMBER(F555)),N(F555)&lt;0)),"Temps par pièce invalide",IF(N(E555)+N(F555)=0,"Temps manquant",IF(AND(G555&lt;&gt;"",OR(NOT(ISNUMBER(G555)),N(G555)&lt;=0)),"Opérateurs invalide","OK"))))))))))</f>
        <v/>
      </c>
      <c r="N555" s="71" t="str">
        <f>IF(AND(fiche_sel&lt;&gt;"",A555=fiche_sel),COUNTIF(A$6:A555,fiche_sel),"")</f>
        <v/>
      </c>
    </row>
    <row r="556">
      <c r="A556" s="60" t="n"/>
      <c r="B556" s="73" t="n"/>
      <c r="C556" s="60" t="n"/>
      <c r="D556" s="61" t="n"/>
      <c r="E556" s="74" t="n"/>
      <c r="F556" s="74" t="n"/>
      <c r="G556" s="73" t="n"/>
      <c r="H556" s="66" t="str">
        <f>IF(M556&lt;&gt;"OK","",INDEX(po_mo,MATCH(D556,po_code,0)))</f>
        <v/>
      </c>
      <c r="I556" s="66" t="str">
        <f>IF(M556&lt;&gt;"OK","",INDEX(po_mac,MATCH(D556,po_code,0)))</f>
        <v/>
      </c>
      <c r="J556" s="66" t="str">
        <f>IF(M556&lt;&gt;"OK","",N(E556)*(H556*IF(G556="",1,G556)+I556))</f>
        <v/>
      </c>
      <c r="K556" s="66" t="str">
        <f>IF(M556&lt;&gt;"OK","",N(F556)/60*H556*IF(G556="",1,G556))</f>
        <v/>
      </c>
      <c r="L556" s="66" t="str">
        <f>IF(M556&lt;&gt;"OK","",N(F556)/60*I556)</f>
        <v/>
      </c>
      <c r="M556" s="69" t="str">
        <f>IF(AND(A556="",D556=""),"",IF(A556="","Produit manquant",IF(COUNTIF(prod_ref,A556)=0,"Produit inconnu",IF(D556="","Poste manquant",IF(ISNA(MATCH(D556,po_code,0)),"Poste inconnu",IF(INDEX(po_check,MATCH(D556,po_code,0))&lt;&gt;"OK","Poste à corriger",IF(AND(E556&lt;&gt;"",OR(NOT(ISNUMBER(E556)),N(E556)&lt;0)),"Réglage invalide",IF(AND(F556&lt;&gt;"",OR(NOT(ISNUMBER(F556)),N(F556)&lt;0)),"Temps par pièce invalide",IF(N(E556)+N(F556)=0,"Temps manquant",IF(AND(G556&lt;&gt;"",OR(NOT(ISNUMBER(G556)),N(G556)&lt;=0)),"Opérateurs invalide","OK"))))))))))</f>
        <v/>
      </c>
      <c r="N556" s="71" t="str">
        <f>IF(AND(fiche_sel&lt;&gt;"",A556=fiche_sel),COUNTIF(A$6:A556,fiche_sel),"")</f>
        <v/>
      </c>
    </row>
    <row r="557">
      <c r="A557" s="60" t="n"/>
      <c r="B557" s="73" t="n"/>
      <c r="C557" s="60" t="n"/>
      <c r="D557" s="61" t="n"/>
      <c r="E557" s="74" t="n"/>
      <c r="F557" s="74" t="n"/>
      <c r="G557" s="73" t="n"/>
      <c r="H557" s="66" t="str">
        <f>IF(M557&lt;&gt;"OK","",INDEX(po_mo,MATCH(D557,po_code,0)))</f>
        <v/>
      </c>
      <c r="I557" s="66" t="str">
        <f>IF(M557&lt;&gt;"OK","",INDEX(po_mac,MATCH(D557,po_code,0)))</f>
        <v/>
      </c>
      <c r="J557" s="66" t="str">
        <f>IF(M557&lt;&gt;"OK","",N(E557)*(H557*IF(G557="",1,G557)+I557))</f>
        <v/>
      </c>
      <c r="K557" s="66" t="str">
        <f>IF(M557&lt;&gt;"OK","",N(F557)/60*H557*IF(G557="",1,G557))</f>
        <v/>
      </c>
      <c r="L557" s="66" t="str">
        <f>IF(M557&lt;&gt;"OK","",N(F557)/60*I557)</f>
        <v/>
      </c>
      <c r="M557" s="69" t="str">
        <f>IF(AND(A557="",D557=""),"",IF(A557="","Produit manquant",IF(COUNTIF(prod_ref,A557)=0,"Produit inconnu",IF(D557="","Poste manquant",IF(ISNA(MATCH(D557,po_code,0)),"Poste inconnu",IF(INDEX(po_check,MATCH(D557,po_code,0))&lt;&gt;"OK","Poste à corriger",IF(AND(E557&lt;&gt;"",OR(NOT(ISNUMBER(E557)),N(E557)&lt;0)),"Réglage invalide",IF(AND(F557&lt;&gt;"",OR(NOT(ISNUMBER(F557)),N(F557)&lt;0)),"Temps par pièce invalide",IF(N(E557)+N(F557)=0,"Temps manquant",IF(AND(G557&lt;&gt;"",OR(NOT(ISNUMBER(G557)),N(G557)&lt;=0)),"Opérateurs invalide","OK"))))))))))</f>
        <v/>
      </c>
      <c r="N557" s="71" t="str">
        <f>IF(AND(fiche_sel&lt;&gt;"",A557=fiche_sel),COUNTIF(A$6:A557,fiche_sel),"")</f>
        <v/>
      </c>
    </row>
    <row r="558">
      <c r="A558" s="60" t="n"/>
      <c r="B558" s="73" t="n"/>
      <c r="C558" s="60" t="n"/>
      <c r="D558" s="61" t="n"/>
      <c r="E558" s="74" t="n"/>
      <c r="F558" s="74" t="n"/>
      <c r="G558" s="73" t="n"/>
      <c r="H558" s="66" t="str">
        <f>IF(M558&lt;&gt;"OK","",INDEX(po_mo,MATCH(D558,po_code,0)))</f>
        <v/>
      </c>
      <c r="I558" s="66" t="str">
        <f>IF(M558&lt;&gt;"OK","",INDEX(po_mac,MATCH(D558,po_code,0)))</f>
        <v/>
      </c>
      <c r="J558" s="66" t="str">
        <f>IF(M558&lt;&gt;"OK","",N(E558)*(H558*IF(G558="",1,G558)+I558))</f>
        <v/>
      </c>
      <c r="K558" s="66" t="str">
        <f>IF(M558&lt;&gt;"OK","",N(F558)/60*H558*IF(G558="",1,G558))</f>
        <v/>
      </c>
      <c r="L558" s="66" t="str">
        <f>IF(M558&lt;&gt;"OK","",N(F558)/60*I558)</f>
        <v/>
      </c>
      <c r="M558" s="69" t="str">
        <f>IF(AND(A558="",D558=""),"",IF(A558="","Produit manquant",IF(COUNTIF(prod_ref,A558)=0,"Produit inconnu",IF(D558="","Poste manquant",IF(ISNA(MATCH(D558,po_code,0)),"Poste inconnu",IF(INDEX(po_check,MATCH(D558,po_code,0))&lt;&gt;"OK","Poste à corriger",IF(AND(E558&lt;&gt;"",OR(NOT(ISNUMBER(E558)),N(E558)&lt;0)),"Réglage invalide",IF(AND(F558&lt;&gt;"",OR(NOT(ISNUMBER(F558)),N(F558)&lt;0)),"Temps par pièce invalide",IF(N(E558)+N(F558)=0,"Temps manquant",IF(AND(G558&lt;&gt;"",OR(NOT(ISNUMBER(G558)),N(G558)&lt;=0)),"Opérateurs invalide","OK"))))))))))</f>
        <v/>
      </c>
      <c r="N558" s="71" t="str">
        <f>IF(AND(fiche_sel&lt;&gt;"",A558=fiche_sel),COUNTIF(A$6:A558,fiche_sel),"")</f>
        <v/>
      </c>
    </row>
    <row r="559">
      <c r="A559" s="60" t="n"/>
      <c r="B559" s="73" t="n"/>
      <c r="C559" s="60" t="n"/>
      <c r="D559" s="61" t="n"/>
      <c r="E559" s="74" t="n"/>
      <c r="F559" s="74" t="n"/>
      <c r="G559" s="73" t="n"/>
      <c r="H559" s="66" t="str">
        <f>IF(M559&lt;&gt;"OK","",INDEX(po_mo,MATCH(D559,po_code,0)))</f>
        <v/>
      </c>
      <c r="I559" s="66" t="str">
        <f>IF(M559&lt;&gt;"OK","",INDEX(po_mac,MATCH(D559,po_code,0)))</f>
        <v/>
      </c>
      <c r="J559" s="66" t="str">
        <f>IF(M559&lt;&gt;"OK","",N(E559)*(H559*IF(G559="",1,G559)+I559))</f>
        <v/>
      </c>
      <c r="K559" s="66" t="str">
        <f>IF(M559&lt;&gt;"OK","",N(F559)/60*H559*IF(G559="",1,G559))</f>
        <v/>
      </c>
      <c r="L559" s="66" t="str">
        <f>IF(M559&lt;&gt;"OK","",N(F559)/60*I559)</f>
        <v/>
      </c>
      <c r="M559" s="69" t="str">
        <f>IF(AND(A559="",D559=""),"",IF(A559="","Produit manquant",IF(COUNTIF(prod_ref,A559)=0,"Produit inconnu",IF(D559="","Poste manquant",IF(ISNA(MATCH(D559,po_code,0)),"Poste inconnu",IF(INDEX(po_check,MATCH(D559,po_code,0))&lt;&gt;"OK","Poste à corriger",IF(AND(E559&lt;&gt;"",OR(NOT(ISNUMBER(E559)),N(E559)&lt;0)),"Réglage invalide",IF(AND(F559&lt;&gt;"",OR(NOT(ISNUMBER(F559)),N(F559)&lt;0)),"Temps par pièce invalide",IF(N(E559)+N(F559)=0,"Temps manquant",IF(AND(G559&lt;&gt;"",OR(NOT(ISNUMBER(G559)),N(G559)&lt;=0)),"Opérateurs invalide","OK"))))))))))</f>
        <v/>
      </c>
      <c r="N559" s="71" t="str">
        <f>IF(AND(fiche_sel&lt;&gt;"",A559=fiche_sel),COUNTIF(A$6:A559,fiche_sel),"")</f>
        <v/>
      </c>
    </row>
    <row r="560">
      <c r="A560" s="60" t="n"/>
      <c r="B560" s="73" t="n"/>
      <c r="C560" s="60" t="n"/>
      <c r="D560" s="61" t="n"/>
      <c r="E560" s="74" t="n"/>
      <c r="F560" s="74" t="n"/>
      <c r="G560" s="73" t="n"/>
      <c r="H560" s="66" t="str">
        <f>IF(M560&lt;&gt;"OK","",INDEX(po_mo,MATCH(D560,po_code,0)))</f>
        <v/>
      </c>
      <c r="I560" s="66" t="str">
        <f>IF(M560&lt;&gt;"OK","",INDEX(po_mac,MATCH(D560,po_code,0)))</f>
        <v/>
      </c>
      <c r="J560" s="66" t="str">
        <f>IF(M560&lt;&gt;"OK","",N(E560)*(H560*IF(G560="",1,G560)+I560))</f>
        <v/>
      </c>
      <c r="K560" s="66" t="str">
        <f>IF(M560&lt;&gt;"OK","",N(F560)/60*H560*IF(G560="",1,G560))</f>
        <v/>
      </c>
      <c r="L560" s="66" t="str">
        <f>IF(M560&lt;&gt;"OK","",N(F560)/60*I560)</f>
        <v/>
      </c>
      <c r="M560" s="69" t="str">
        <f>IF(AND(A560="",D560=""),"",IF(A560="","Produit manquant",IF(COUNTIF(prod_ref,A560)=0,"Produit inconnu",IF(D560="","Poste manquant",IF(ISNA(MATCH(D560,po_code,0)),"Poste inconnu",IF(INDEX(po_check,MATCH(D560,po_code,0))&lt;&gt;"OK","Poste à corriger",IF(AND(E560&lt;&gt;"",OR(NOT(ISNUMBER(E560)),N(E560)&lt;0)),"Réglage invalide",IF(AND(F560&lt;&gt;"",OR(NOT(ISNUMBER(F560)),N(F560)&lt;0)),"Temps par pièce invalide",IF(N(E560)+N(F560)=0,"Temps manquant",IF(AND(G560&lt;&gt;"",OR(NOT(ISNUMBER(G560)),N(G560)&lt;=0)),"Opérateurs invalide","OK"))))))))))</f>
        <v/>
      </c>
      <c r="N560" s="71" t="str">
        <f>IF(AND(fiche_sel&lt;&gt;"",A560=fiche_sel),COUNTIF(A$6:A560,fiche_sel),"")</f>
        <v/>
      </c>
    </row>
    <row r="561">
      <c r="A561" s="60" t="n"/>
      <c r="B561" s="73" t="n"/>
      <c r="C561" s="60" t="n"/>
      <c r="D561" s="61" t="n"/>
      <c r="E561" s="74" t="n"/>
      <c r="F561" s="74" t="n"/>
      <c r="G561" s="73" t="n"/>
      <c r="H561" s="66" t="str">
        <f>IF(M561&lt;&gt;"OK","",INDEX(po_mo,MATCH(D561,po_code,0)))</f>
        <v/>
      </c>
      <c r="I561" s="66" t="str">
        <f>IF(M561&lt;&gt;"OK","",INDEX(po_mac,MATCH(D561,po_code,0)))</f>
        <v/>
      </c>
      <c r="J561" s="66" t="str">
        <f>IF(M561&lt;&gt;"OK","",N(E561)*(H561*IF(G561="",1,G561)+I561))</f>
        <v/>
      </c>
      <c r="K561" s="66" t="str">
        <f>IF(M561&lt;&gt;"OK","",N(F561)/60*H561*IF(G561="",1,G561))</f>
        <v/>
      </c>
      <c r="L561" s="66" t="str">
        <f>IF(M561&lt;&gt;"OK","",N(F561)/60*I561)</f>
        <v/>
      </c>
      <c r="M561" s="69" t="str">
        <f>IF(AND(A561="",D561=""),"",IF(A561="","Produit manquant",IF(COUNTIF(prod_ref,A561)=0,"Produit inconnu",IF(D561="","Poste manquant",IF(ISNA(MATCH(D561,po_code,0)),"Poste inconnu",IF(INDEX(po_check,MATCH(D561,po_code,0))&lt;&gt;"OK","Poste à corriger",IF(AND(E561&lt;&gt;"",OR(NOT(ISNUMBER(E561)),N(E561)&lt;0)),"Réglage invalide",IF(AND(F561&lt;&gt;"",OR(NOT(ISNUMBER(F561)),N(F561)&lt;0)),"Temps par pièce invalide",IF(N(E561)+N(F561)=0,"Temps manquant",IF(AND(G561&lt;&gt;"",OR(NOT(ISNUMBER(G561)),N(G561)&lt;=0)),"Opérateurs invalide","OK"))))))))))</f>
        <v/>
      </c>
      <c r="N561" s="71" t="str">
        <f>IF(AND(fiche_sel&lt;&gt;"",A561=fiche_sel),COUNTIF(A$6:A561,fiche_sel),"")</f>
        <v/>
      </c>
    </row>
    <row r="562">
      <c r="A562" s="60" t="n"/>
      <c r="B562" s="73" t="n"/>
      <c r="C562" s="60" t="n"/>
      <c r="D562" s="61" t="n"/>
      <c r="E562" s="74" t="n"/>
      <c r="F562" s="74" t="n"/>
      <c r="G562" s="73" t="n"/>
      <c r="H562" s="66" t="str">
        <f>IF(M562&lt;&gt;"OK","",INDEX(po_mo,MATCH(D562,po_code,0)))</f>
        <v/>
      </c>
      <c r="I562" s="66" t="str">
        <f>IF(M562&lt;&gt;"OK","",INDEX(po_mac,MATCH(D562,po_code,0)))</f>
        <v/>
      </c>
      <c r="J562" s="66" t="str">
        <f>IF(M562&lt;&gt;"OK","",N(E562)*(H562*IF(G562="",1,G562)+I562))</f>
        <v/>
      </c>
      <c r="K562" s="66" t="str">
        <f>IF(M562&lt;&gt;"OK","",N(F562)/60*H562*IF(G562="",1,G562))</f>
        <v/>
      </c>
      <c r="L562" s="66" t="str">
        <f>IF(M562&lt;&gt;"OK","",N(F562)/60*I562)</f>
        <v/>
      </c>
      <c r="M562" s="69" t="str">
        <f>IF(AND(A562="",D562=""),"",IF(A562="","Produit manquant",IF(COUNTIF(prod_ref,A562)=0,"Produit inconnu",IF(D562="","Poste manquant",IF(ISNA(MATCH(D562,po_code,0)),"Poste inconnu",IF(INDEX(po_check,MATCH(D562,po_code,0))&lt;&gt;"OK","Poste à corriger",IF(AND(E562&lt;&gt;"",OR(NOT(ISNUMBER(E562)),N(E562)&lt;0)),"Réglage invalide",IF(AND(F562&lt;&gt;"",OR(NOT(ISNUMBER(F562)),N(F562)&lt;0)),"Temps par pièce invalide",IF(N(E562)+N(F562)=0,"Temps manquant",IF(AND(G562&lt;&gt;"",OR(NOT(ISNUMBER(G562)),N(G562)&lt;=0)),"Opérateurs invalide","OK"))))))))))</f>
        <v/>
      </c>
      <c r="N562" s="71" t="str">
        <f>IF(AND(fiche_sel&lt;&gt;"",A562=fiche_sel),COUNTIF(A$6:A562,fiche_sel),"")</f>
        <v/>
      </c>
    </row>
    <row r="563">
      <c r="A563" s="60" t="n"/>
      <c r="B563" s="73" t="n"/>
      <c r="C563" s="60" t="n"/>
      <c r="D563" s="61" t="n"/>
      <c r="E563" s="74" t="n"/>
      <c r="F563" s="74" t="n"/>
      <c r="G563" s="73" t="n"/>
      <c r="H563" s="66" t="str">
        <f>IF(M563&lt;&gt;"OK","",INDEX(po_mo,MATCH(D563,po_code,0)))</f>
        <v/>
      </c>
      <c r="I563" s="66" t="str">
        <f>IF(M563&lt;&gt;"OK","",INDEX(po_mac,MATCH(D563,po_code,0)))</f>
        <v/>
      </c>
      <c r="J563" s="66" t="str">
        <f>IF(M563&lt;&gt;"OK","",N(E563)*(H563*IF(G563="",1,G563)+I563))</f>
        <v/>
      </c>
      <c r="K563" s="66" t="str">
        <f>IF(M563&lt;&gt;"OK","",N(F563)/60*H563*IF(G563="",1,G563))</f>
        <v/>
      </c>
      <c r="L563" s="66" t="str">
        <f>IF(M563&lt;&gt;"OK","",N(F563)/60*I563)</f>
        <v/>
      </c>
      <c r="M563" s="69" t="str">
        <f>IF(AND(A563="",D563=""),"",IF(A563="","Produit manquant",IF(COUNTIF(prod_ref,A563)=0,"Produit inconnu",IF(D563="","Poste manquant",IF(ISNA(MATCH(D563,po_code,0)),"Poste inconnu",IF(INDEX(po_check,MATCH(D563,po_code,0))&lt;&gt;"OK","Poste à corriger",IF(AND(E563&lt;&gt;"",OR(NOT(ISNUMBER(E563)),N(E563)&lt;0)),"Réglage invalide",IF(AND(F563&lt;&gt;"",OR(NOT(ISNUMBER(F563)),N(F563)&lt;0)),"Temps par pièce invalide",IF(N(E563)+N(F563)=0,"Temps manquant",IF(AND(G563&lt;&gt;"",OR(NOT(ISNUMBER(G563)),N(G563)&lt;=0)),"Opérateurs invalide","OK"))))))))))</f>
        <v/>
      </c>
      <c r="N563" s="71" t="str">
        <f>IF(AND(fiche_sel&lt;&gt;"",A563=fiche_sel),COUNTIF(A$6:A563,fiche_sel),"")</f>
        <v/>
      </c>
    </row>
    <row r="564">
      <c r="A564" s="60" t="n"/>
      <c r="B564" s="73" t="n"/>
      <c r="C564" s="60" t="n"/>
      <c r="D564" s="61" t="n"/>
      <c r="E564" s="74" t="n"/>
      <c r="F564" s="74" t="n"/>
      <c r="G564" s="73" t="n"/>
      <c r="H564" s="66" t="str">
        <f>IF(M564&lt;&gt;"OK","",INDEX(po_mo,MATCH(D564,po_code,0)))</f>
        <v/>
      </c>
      <c r="I564" s="66" t="str">
        <f>IF(M564&lt;&gt;"OK","",INDEX(po_mac,MATCH(D564,po_code,0)))</f>
        <v/>
      </c>
      <c r="J564" s="66" t="str">
        <f>IF(M564&lt;&gt;"OK","",N(E564)*(H564*IF(G564="",1,G564)+I564))</f>
        <v/>
      </c>
      <c r="K564" s="66" t="str">
        <f>IF(M564&lt;&gt;"OK","",N(F564)/60*H564*IF(G564="",1,G564))</f>
        <v/>
      </c>
      <c r="L564" s="66" t="str">
        <f>IF(M564&lt;&gt;"OK","",N(F564)/60*I564)</f>
        <v/>
      </c>
      <c r="M564" s="69" t="str">
        <f>IF(AND(A564="",D564=""),"",IF(A564="","Produit manquant",IF(COUNTIF(prod_ref,A564)=0,"Produit inconnu",IF(D564="","Poste manquant",IF(ISNA(MATCH(D564,po_code,0)),"Poste inconnu",IF(INDEX(po_check,MATCH(D564,po_code,0))&lt;&gt;"OK","Poste à corriger",IF(AND(E564&lt;&gt;"",OR(NOT(ISNUMBER(E564)),N(E564)&lt;0)),"Réglage invalide",IF(AND(F564&lt;&gt;"",OR(NOT(ISNUMBER(F564)),N(F564)&lt;0)),"Temps par pièce invalide",IF(N(E564)+N(F564)=0,"Temps manquant",IF(AND(G564&lt;&gt;"",OR(NOT(ISNUMBER(G564)),N(G564)&lt;=0)),"Opérateurs invalide","OK"))))))))))</f>
        <v/>
      </c>
      <c r="N564" s="71" t="str">
        <f>IF(AND(fiche_sel&lt;&gt;"",A564=fiche_sel),COUNTIF(A$6:A564,fiche_sel),"")</f>
        <v/>
      </c>
    </row>
    <row r="565">
      <c r="A565" s="60" t="n"/>
      <c r="B565" s="73" t="n"/>
      <c r="C565" s="60" t="n"/>
      <c r="D565" s="61" t="n"/>
      <c r="E565" s="74" t="n"/>
      <c r="F565" s="74" t="n"/>
      <c r="G565" s="73" t="n"/>
      <c r="H565" s="66" t="str">
        <f>IF(M565&lt;&gt;"OK","",INDEX(po_mo,MATCH(D565,po_code,0)))</f>
        <v/>
      </c>
      <c r="I565" s="66" t="str">
        <f>IF(M565&lt;&gt;"OK","",INDEX(po_mac,MATCH(D565,po_code,0)))</f>
        <v/>
      </c>
      <c r="J565" s="66" t="str">
        <f>IF(M565&lt;&gt;"OK","",N(E565)*(H565*IF(G565="",1,G565)+I565))</f>
        <v/>
      </c>
      <c r="K565" s="66" t="str">
        <f>IF(M565&lt;&gt;"OK","",N(F565)/60*H565*IF(G565="",1,G565))</f>
        <v/>
      </c>
      <c r="L565" s="66" t="str">
        <f>IF(M565&lt;&gt;"OK","",N(F565)/60*I565)</f>
        <v/>
      </c>
      <c r="M565" s="69" t="str">
        <f>IF(AND(A565="",D565=""),"",IF(A565="","Produit manquant",IF(COUNTIF(prod_ref,A565)=0,"Produit inconnu",IF(D565="","Poste manquant",IF(ISNA(MATCH(D565,po_code,0)),"Poste inconnu",IF(INDEX(po_check,MATCH(D565,po_code,0))&lt;&gt;"OK","Poste à corriger",IF(AND(E565&lt;&gt;"",OR(NOT(ISNUMBER(E565)),N(E565)&lt;0)),"Réglage invalide",IF(AND(F565&lt;&gt;"",OR(NOT(ISNUMBER(F565)),N(F565)&lt;0)),"Temps par pièce invalide",IF(N(E565)+N(F565)=0,"Temps manquant",IF(AND(G565&lt;&gt;"",OR(NOT(ISNUMBER(G565)),N(G565)&lt;=0)),"Opérateurs invalide","OK"))))))))))</f>
        <v/>
      </c>
      <c r="N565" s="71" t="str">
        <f>IF(AND(fiche_sel&lt;&gt;"",A565=fiche_sel),COUNTIF(A$6:A565,fiche_sel),"")</f>
        <v/>
      </c>
    </row>
    <row r="566">
      <c r="A566" s="60" t="n"/>
      <c r="B566" s="73" t="n"/>
      <c r="C566" s="60" t="n"/>
      <c r="D566" s="61" t="n"/>
      <c r="E566" s="74" t="n"/>
      <c r="F566" s="74" t="n"/>
      <c r="G566" s="73" t="n"/>
      <c r="H566" s="66" t="str">
        <f>IF(M566&lt;&gt;"OK","",INDEX(po_mo,MATCH(D566,po_code,0)))</f>
        <v/>
      </c>
      <c r="I566" s="66" t="str">
        <f>IF(M566&lt;&gt;"OK","",INDEX(po_mac,MATCH(D566,po_code,0)))</f>
        <v/>
      </c>
      <c r="J566" s="66" t="str">
        <f>IF(M566&lt;&gt;"OK","",N(E566)*(H566*IF(G566="",1,G566)+I566))</f>
        <v/>
      </c>
      <c r="K566" s="66" t="str">
        <f>IF(M566&lt;&gt;"OK","",N(F566)/60*H566*IF(G566="",1,G566))</f>
        <v/>
      </c>
      <c r="L566" s="66" t="str">
        <f>IF(M566&lt;&gt;"OK","",N(F566)/60*I566)</f>
        <v/>
      </c>
      <c r="M566" s="69" t="str">
        <f>IF(AND(A566="",D566=""),"",IF(A566="","Produit manquant",IF(COUNTIF(prod_ref,A566)=0,"Produit inconnu",IF(D566="","Poste manquant",IF(ISNA(MATCH(D566,po_code,0)),"Poste inconnu",IF(INDEX(po_check,MATCH(D566,po_code,0))&lt;&gt;"OK","Poste à corriger",IF(AND(E566&lt;&gt;"",OR(NOT(ISNUMBER(E566)),N(E566)&lt;0)),"Réglage invalide",IF(AND(F566&lt;&gt;"",OR(NOT(ISNUMBER(F566)),N(F566)&lt;0)),"Temps par pièce invalide",IF(N(E566)+N(F566)=0,"Temps manquant",IF(AND(G566&lt;&gt;"",OR(NOT(ISNUMBER(G566)),N(G566)&lt;=0)),"Opérateurs invalide","OK"))))))))))</f>
        <v/>
      </c>
      <c r="N566" s="71" t="str">
        <f>IF(AND(fiche_sel&lt;&gt;"",A566=fiche_sel),COUNTIF(A$6:A566,fiche_sel),"")</f>
        <v/>
      </c>
    </row>
    <row r="567">
      <c r="A567" s="60" t="n"/>
      <c r="B567" s="73" t="n"/>
      <c r="C567" s="60" t="n"/>
      <c r="D567" s="61" t="n"/>
      <c r="E567" s="74" t="n"/>
      <c r="F567" s="74" t="n"/>
      <c r="G567" s="73" t="n"/>
      <c r="H567" s="66" t="str">
        <f>IF(M567&lt;&gt;"OK","",INDEX(po_mo,MATCH(D567,po_code,0)))</f>
        <v/>
      </c>
      <c r="I567" s="66" t="str">
        <f>IF(M567&lt;&gt;"OK","",INDEX(po_mac,MATCH(D567,po_code,0)))</f>
        <v/>
      </c>
      <c r="J567" s="66" t="str">
        <f>IF(M567&lt;&gt;"OK","",N(E567)*(H567*IF(G567="",1,G567)+I567))</f>
        <v/>
      </c>
      <c r="K567" s="66" t="str">
        <f>IF(M567&lt;&gt;"OK","",N(F567)/60*H567*IF(G567="",1,G567))</f>
        <v/>
      </c>
      <c r="L567" s="66" t="str">
        <f>IF(M567&lt;&gt;"OK","",N(F567)/60*I567)</f>
        <v/>
      </c>
      <c r="M567" s="69" t="str">
        <f>IF(AND(A567="",D567=""),"",IF(A567="","Produit manquant",IF(COUNTIF(prod_ref,A567)=0,"Produit inconnu",IF(D567="","Poste manquant",IF(ISNA(MATCH(D567,po_code,0)),"Poste inconnu",IF(INDEX(po_check,MATCH(D567,po_code,0))&lt;&gt;"OK","Poste à corriger",IF(AND(E567&lt;&gt;"",OR(NOT(ISNUMBER(E567)),N(E567)&lt;0)),"Réglage invalide",IF(AND(F567&lt;&gt;"",OR(NOT(ISNUMBER(F567)),N(F567)&lt;0)),"Temps par pièce invalide",IF(N(E567)+N(F567)=0,"Temps manquant",IF(AND(G567&lt;&gt;"",OR(NOT(ISNUMBER(G567)),N(G567)&lt;=0)),"Opérateurs invalide","OK"))))))))))</f>
        <v/>
      </c>
      <c r="N567" s="71" t="str">
        <f>IF(AND(fiche_sel&lt;&gt;"",A567=fiche_sel),COUNTIF(A$6:A567,fiche_sel),"")</f>
        <v/>
      </c>
    </row>
    <row r="568">
      <c r="A568" s="60" t="n"/>
      <c r="B568" s="73" t="n"/>
      <c r="C568" s="60" t="n"/>
      <c r="D568" s="61" t="n"/>
      <c r="E568" s="74" t="n"/>
      <c r="F568" s="74" t="n"/>
      <c r="G568" s="73" t="n"/>
      <c r="H568" s="66" t="str">
        <f>IF(M568&lt;&gt;"OK","",INDEX(po_mo,MATCH(D568,po_code,0)))</f>
        <v/>
      </c>
      <c r="I568" s="66" t="str">
        <f>IF(M568&lt;&gt;"OK","",INDEX(po_mac,MATCH(D568,po_code,0)))</f>
        <v/>
      </c>
      <c r="J568" s="66" t="str">
        <f>IF(M568&lt;&gt;"OK","",N(E568)*(H568*IF(G568="",1,G568)+I568))</f>
        <v/>
      </c>
      <c r="K568" s="66" t="str">
        <f>IF(M568&lt;&gt;"OK","",N(F568)/60*H568*IF(G568="",1,G568))</f>
        <v/>
      </c>
      <c r="L568" s="66" t="str">
        <f>IF(M568&lt;&gt;"OK","",N(F568)/60*I568)</f>
        <v/>
      </c>
      <c r="M568" s="69" t="str">
        <f>IF(AND(A568="",D568=""),"",IF(A568="","Produit manquant",IF(COUNTIF(prod_ref,A568)=0,"Produit inconnu",IF(D568="","Poste manquant",IF(ISNA(MATCH(D568,po_code,0)),"Poste inconnu",IF(INDEX(po_check,MATCH(D568,po_code,0))&lt;&gt;"OK","Poste à corriger",IF(AND(E568&lt;&gt;"",OR(NOT(ISNUMBER(E568)),N(E568)&lt;0)),"Réglage invalide",IF(AND(F568&lt;&gt;"",OR(NOT(ISNUMBER(F568)),N(F568)&lt;0)),"Temps par pièce invalide",IF(N(E568)+N(F568)=0,"Temps manquant",IF(AND(G568&lt;&gt;"",OR(NOT(ISNUMBER(G568)),N(G568)&lt;=0)),"Opérateurs invalide","OK"))))))))))</f>
        <v/>
      </c>
      <c r="N568" s="71" t="str">
        <f>IF(AND(fiche_sel&lt;&gt;"",A568=fiche_sel),COUNTIF(A$6:A568,fiche_sel),"")</f>
        <v/>
      </c>
    </row>
    <row r="569">
      <c r="A569" s="60" t="n"/>
      <c r="B569" s="73" t="n"/>
      <c r="C569" s="60" t="n"/>
      <c r="D569" s="61" t="n"/>
      <c r="E569" s="74" t="n"/>
      <c r="F569" s="74" t="n"/>
      <c r="G569" s="73" t="n"/>
      <c r="H569" s="66" t="str">
        <f>IF(M569&lt;&gt;"OK","",INDEX(po_mo,MATCH(D569,po_code,0)))</f>
        <v/>
      </c>
      <c r="I569" s="66" t="str">
        <f>IF(M569&lt;&gt;"OK","",INDEX(po_mac,MATCH(D569,po_code,0)))</f>
        <v/>
      </c>
      <c r="J569" s="66" t="str">
        <f>IF(M569&lt;&gt;"OK","",N(E569)*(H569*IF(G569="",1,G569)+I569))</f>
        <v/>
      </c>
      <c r="K569" s="66" t="str">
        <f>IF(M569&lt;&gt;"OK","",N(F569)/60*H569*IF(G569="",1,G569))</f>
        <v/>
      </c>
      <c r="L569" s="66" t="str">
        <f>IF(M569&lt;&gt;"OK","",N(F569)/60*I569)</f>
        <v/>
      </c>
      <c r="M569" s="69" t="str">
        <f>IF(AND(A569="",D569=""),"",IF(A569="","Produit manquant",IF(COUNTIF(prod_ref,A569)=0,"Produit inconnu",IF(D569="","Poste manquant",IF(ISNA(MATCH(D569,po_code,0)),"Poste inconnu",IF(INDEX(po_check,MATCH(D569,po_code,0))&lt;&gt;"OK","Poste à corriger",IF(AND(E569&lt;&gt;"",OR(NOT(ISNUMBER(E569)),N(E569)&lt;0)),"Réglage invalide",IF(AND(F569&lt;&gt;"",OR(NOT(ISNUMBER(F569)),N(F569)&lt;0)),"Temps par pièce invalide",IF(N(E569)+N(F569)=0,"Temps manquant",IF(AND(G569&lt;&gt;"",OR(NOT(ISNUMBER(G569)),N(G569)&lt;=0)),"Opérateurs invalide","OK"))))))))))</f>
        <v/>
      </c>
      <c r="N569" s="71" t="str">
        <f>IF(AND(fiche_sel&lt;&gt;"",A569=fiche_sel),COUNTIF(A$6:A569,fiche_sel),"")</f>
        <v/>
      </c>
    </row>
    <row r="570">
      <c r="A570" s="60" t="n"/>
      <c r="B570" s="73" t="n"/>
      <c r="C570" s="60" t="n"/>
      <c r="D570" s="61" t="n"/>
      <c r="E570" s="74" t="n"/>
      <c r="F570" s="74" t="n"/>
      <c r="G570" s="73" t="n"/>
      <c r="H570" s="66" t="str">
        <f>IF(M570&lt;&gt;"OK","",INDEX(po_mo,MATCH(D570,po_code,0)))</f>
        <v/>
      </c>
      <c r="I570" s="66" t="str">
        <f>IF(M570&lt;&gt;"OK","",INDEX(po_mac,MATCH(D570,po_code,0)))</f>
        <v/>
      </c>
      <c r="J570" s="66" t="str">
        <f>IF(M570&lt;&gt;"OK","",N(E570)*(H570*IF(G570="",1,G570)+I570))</f>
        <v/>
      </c>
      <c r="K570" s="66" t="str">
        <f>IF(M570&lt;&gt;"OK","",N(F570)/60*H570*IF(G570="",1,G570))</f>
        <v/>
      </c>
      <c r="L570" s="66" t="str">
        <f>IF(M570&lt;&gt;"OK","",N(F570)/60*I570)</f>
        <v/>
      </c>
      <c r="M570" s="69" t="str">
        <f>IF(AND(A570="",D570=""),"",IF(A570="","Produit manquant",IF(COUNTIF(prod_ref,A570)=0,"Produit inconnu",IF(D570="","Poste manquant",IF(ISNA(MATCH(D570,po_code,0)),"Poste inconnu",IF(INDEX(po_check,MATCH(D570,po_code,0))&lt;&gt;"OK","Poste à corriger",IF(AND(E570&lt;&gt;"",OR(NOT(ISNUMBER(E570)),N(E570)&lt;0)),"Réglage invalide",IF(AND(F570&lt;&gt;"",OR(NOT(ISNUMBER(F570)),N(F570)&lt;0)),"Temps par pièce invalide",IF(N(E570)+N(F570)=0,"Temps manquant",IF(AND(G570&lt;&gt;"",OR(NOT(ISNUMBER(G570)),N(G570)&lt;=0)),"Opérateurs invalide","OK"))))))))))</f>
        <v/>
      </c>
      <c r="N570" s="71" t="str">
        <f>IF(AND(fiche_sel&lt;&gt;"",A570=fiche_sel),COUNTIF(A$6:A570,fiche_sel),"")</f>
        <v/>
      </c>
    </row>
    <row r="571">
      <c r="A571" s="60" t="n"/>
      <c r="B571" s="73" t="n"/>
      <c r="C571" s="60" t="n"/>
      <c r="D571" s="61" t="n"/>
      <c r="E571" s="74" t="n"/>
      <c r="F571" s="74" t="n"/>
      <c r="G571" s="73" t="n"/>
      <c r="H571" s="66" t="str">
        <f>IF(M571&lt;&gt;"OK","",INDEX(po_mo,MATCH(D571,po_code,0)))</f>
        <v/>
      </c>
      <c r="I571" s="66" t="str">
        <f>IF(M571&lt;&gt;"OK","",INDEX(po_mac,MATCH(D571,po_code,0)))</f>
        <v/>
      </c>
      <c r="J571" s="66" t="str">
        <f>IF(M571&lt;&gt;"OK","",N(E571)*(H571*IF(G571="",1,G571)+I571))</f>
        <v/>
      </c>
      <c r="K571" s="66" t="str">
        <f>IF(M571&lt;&gt;"OK","",N(F571)/60*H571*IF(G571="",1,G571))</f>
        <v/>
      </c>
      <c r="L571" s="66" t="str">
        <f>IF(M571&lt;&gt;"OK","",N(F571)/60*I571)</f>
        <v/>
      </c>
      <c r="M571" s="69" t="str">
        <f>IF(AND(A571="",D571=""),"",IF(A571="","Produit manquant",IF(COUNTIF(prod_ref,A571)=0,"Produit inconnu",IF(D571="","Poste manquant",IF(ISNA(MATCH(D571,po_code,0)),"Poste inconnu",IF(INDEX(po_check,MATCH(D571,po_code,0))&lt;&gt;"OK","Poste à corriger",IF(AND(E571&lt;&gt;"",OR(NOT(ISNUMBER(E571)),N(E571)&lt;0)),"Réglage invalide",IF(AND(F571&lt;&gt;"",OR(NOT(ISNUMBER(F571)),N(F571)&lt;0)),"Temps par pièce invalide",IF(N(E571)+N(F571)=0,"Temps manquant",IF(AND(G571&lt;&gt;"",OR(NOT(ISNUMBER(G571)),N(G571)&lt;=0)),"Opérateurs invalide","OK"))))))))))</f>
        <v/>
      </c>
      <c r="N571" s="71" t="str">
        <f>IF(AND(fiche_sel&lt;&gt;"",A571=fiche_sel),COUNTIF(A$6:A571,fiche_sel),"")</f>
        <v/>
      </c>
    </row>
    <row r="572">
      <c r="A572" s="60" t="n"/>
      <c r="B572" s="73" t="n"/>
      <c r="C572" s="60" t="n"/>
      <c r="D572" s="61" t="n"/>
      <c r="E572" s="74" t="n"/>
      <c r="F572" s="74" t="n"/>
      <c r="G572" s="73" t="n"/>
      <c r="H572" s="66" t="str">
        <f>IF(M572&lt;&gt;"OK","",INDEX(po_mo,MATCH(D572,po_code,0)))</f>
        <v/>
      </c>
      <c r="I572" s="66" t="str">
        <f>IF(M572&lt;&gt;"OK","",INDEX(po_mac,MATCH(D572,po_code,0)))</f>
        <v/>
      </c>
      <c r="J572" s="66" t="str">
        <f>IF(M572&lt;&gt;"OK","",N(E572)*(H572*IF(G572="",1,G572)+I572))</f>
        <v/>
      </c>
      <c r="K572" s="66" t="str">
        <f>IF(M572&lt;&gt;"OK","",N(F572)/60*H572*IF(G572="",1,G572))</f>
        <v/>
      </c>
      <c r="L572" s="66" t="str">
        <f>IF(M572&lt;&gt;"OK","",N(F572)/60*I572)</f>
        <v/>
      </c>
      <c r="M572" s="69" t="str">
        <f>IF(AND(A572="",D572=""),"",IF(A572="","Produit manquant",IF(COUNTIF(prod_ref,A572)=0,"Produit inconnu",IF(D572="","Poste manquant",IF(ISNA(MATCH(D572,po_code,0)),"Poste inconnu",IF(INDEX(po_check,MATCH(D572,po_code,0))&lt;&gt;"OK","Poste à corriger",IF(AND(E572&lt;&gt;"",OR(NOT(ISNUMBER(E572)),N(E572)&lt;0)),"Réglage invalide",IF(AND(F572&lt;&gt;"",OR(NOT(ISNUMBER(F572)),N(F572)&lt;0)),"Temps par pièce invalide",IF(N(E572)+N(F572)=0,"Temps manquant",IF(AND(G572&lt;&gt;"",OR(NOT(ISNUMBER(G572)),N(G572)&lt;=0)),"Opérateurs invalide","OK"))))))))))</f>
        <v/>
      </c>
      <c r="N572" s="71" t="str">
        <f>IF(AND(fiche_sel&lt;&gt;"",A572=fiche_sel),COUNTIF(A$6:A572,fiche_sel),"")</f>
        <v/>
      </c>
    </row>
    <row r="573">
      <c r="A573" s="60" t="n"/>
      <c r="B573" s="73" t="n"/>
      <c r="C573" s="60" t="n"/>
      <c r="D573" s="61" t="n"/>
      <c r="E573" s="74" t="n"/>
      <c r="F573" s="74" t="n"/>
      <c r="G573" s="73" t="n"/>
      <c r="H573" s="66" t="str">
        <f>IF(M573&lt;&gt;"OK","",INDEX(po_mo,MATCH(D573,po_code,0)))</f>
        <v/>
      </c>
      <c r="I573" s="66" t="str">
        <f>IF(M573&lt;&gt;"OK","",INDEX(po_mac,MATCH(D573,po_code,0)))</f>
        <v/>
      </c>
      <c r="J573" s="66" t="str">
        <f>IF(M573&lt;&gt;"OK","",N(E573)*(H573*IF(G573="",1,G573)+I573))</f>
        <v/>
      </c>
      <c r="K573" s="66" t="str">
        <f>IF(M573&lt;&gt;"OK","",N(F573)/60*H573*IF(G573="",1,G573))</f>
        <v/>
      </c>
      <c r="L573" s="66" t="str">
        <f>IF(M573&lt;&gt;"OK","",N(F573)/60*I573)</f>
        <v/>
      </c>
      <c r="M573" s="69" t="str">
        <f>IF(AND(A573="",D573=""),"",IF(A573="","Produit manquant",IF(COUNTIF(prod_ref,A573)=0,"Produit inconnu",IF(D573="","Poste manquant",IF(ISNA(MATCH(D573,po_code,0)),"Poste inconnu",IF(INDEX(po_check,MATCH(D573,po_code,0))&lt;&gt;"OK","Poste à corriger",IF(AND(E573&lt;&gt;"",OR(NOT(ISNUMBER(E573)),N(E573)&lt;0)),"Réglage invalide",IF(AND(F573&lt;&gt;"",OR(NOT(ISNUMBER(F573)),N(F573)&lt;0)),"Temps par pièce invalide",IF(N(E573)+N(F573)=0,"Temps manquant",IF(AND(G573&lt;&gt;"",OR(NOT(ISNUMBER(G573)),N(G573)&lt;=0)),"Opérateurs invalide","OK"))))))))))</f>
        <v/>
      </c>
      <c r="N573" s="71" t="str">
        <f>IF(AND(fiche_sel&lt;&gt;"",A573=fiche_sel),COUNTIF(A$6:A573,fiche_sel),"")</f>
        <v/>
      </c>
    </row>
    <row r="574">
      <c r="A574" s="60" t="n"/>
      <c r="B574" s="73" t="n"/>
      <c r="C574" s="60" t="n"/>
      <c r="D574" s="61" t="n"/>
      <c r="E574" s="74" t="n"/>
      <c r="F574" s="74" t="n"/>
      <c r="G574" s="73" t="n"/>
      <c r="H574" s="66" t="str">
        <f>IF(M574&lt;&gt;"OK","",INDEX(po_mo,MATCH(D574,po_code,0)))</f>
        <v/>
      </c>
      <c r="I574" s="66" t="str">
        <f>IF(M574&lt;&gt;"OK","",INDEX(po_mac,MATCH(D574,po_code,0)))</f>
        <v/>
      </c>
      <c r="J574" s="66" t="str">
        <f>IF(M574&lt;&gt;"OK","",N(E574)*(H574*IF(G574="",1,G574)+I574))</f>
        <v/>
      </c>
      <c r="K574" s="66" t="str">
        <f>IF(M574&lt;&gt;"OK","",N(F574)/60*H574*IF(G574="",1,G574))</f>
        <v/>
      </c>
      <c r="L574" s="66" t="str">
        <f>IF(M574&lt;&gt;"OK","",N(F574)/60*I574)</f>
        <v/>
      </c>
      <c r="M574" s="69" t="str">
        <f>IF(AND(A574="",D574=""),"",IF(A574="","Produit manquant",IF(COUNTIF(prod_ref,A574)=0,"Produit inconnu",IF(D574="","Poste manquant",IF(ISNA(MATCH(D574,po_code,0)),"Poste inconnu",IF(INDEX(po_check,MATCH(D574,po_code,0))&lt;&gt;"OK","Poste à corriger",IF(AND(E574&lt;&gt;"",OR(NOT(ISNUMBER(E574)),N(E574)&lt;0)),"Réglage invalide",IF(AND(F574&lt;&gt;"",OR(NOT(ISNUMBER(F574)),N(F574)&lt;0)),"Temps par pièce invalide",IF(N(E574)+N(F574)=0,"Temps manquant",IF(AND(G574&lt;&gt;"",OR(NOT(ISNUMBER(G574)),N(G574)&lt;=0)),"Opérateurs invalide","OK"))))))))))</f>
        <v/>
      </c>
      <c r="N574" s="71" t="str">
        <f>IF(AND(fiche_sel&lt;&gt;"",A574=fiche_sel),COUNTIF(A$6:A574,fiche_sel),"")</f>
        <v/>
      </c>
    </row>
    <row r="575">
      <c r="A575" s="60" t="n"/>
      <c r="B575" s="73" t="n"/>
      <c r="C575" s="60" t="n"/>
      <c r="D575" s="61" t="n"/>
      <c r="E575" s="74" t="n"/>
      <c r="F575" s="74" t="n"/>
      <c r="G575" s="73" t="n"/>
      <c r="H575" s="66" t="str">
        <f>IF(M575&lt;&gt;"OK","",INDEX(po_mo,MATCH(D575,po_code,0)))</f>
        <v/>
      </c>
      <c r="I575" s="66" t="str">
        <f>IF(M575&lt;&gt;"OK","",INDEX(po_mac,MATCH(D575,po_code,0)))</f>
        <v/>
      </c>
      <c r="J575" s="66" t="str">
        <f>IF(M575&lt;&gt;"OK","",N(E575)*(H575*IF(G575="",1,G575)+I575))</f>
        <v/>
      </c>
      <c r="K575" s="66" t="str">
        <f>IF(M575&lt;&gt;"OK","",N(F575)/60*H575*IF(G575="",1,G575))</f>
        <v/>
      </c>
      <c r="L575" s="66" t="str">
        <f>IF(M575&lt;&gt;"OK","",N(F575)/60*I575)</f>
        <v/>
      </c>
      <c r="M575" s="69" t="str">
        <f>IF(AND(A575="",D575=""),"",IF(A575="","Produit manquant",IF(COUNTIF(prod_ref,A575)=0,"Produit inconnu",IF(D575="","Poste manquant",IF(ISNA(MATCH(D575,po_code,0)),"Poste inconnu",IF(INDEX(po_check,MATCH(D575,po_code,0))&lt;&gt;"OK","Poste à corriger",IF(AND(E575&lt;&gt;"",OR(NOT(ISNUMBER(E575)),N(E575)&lt;0)),"Réglage invalide",IF(AND(F575&lt;&gt;"",OR(NOT(ISNUMBER(F575)),N(F575)&lt;0)),"Temps par pièce invalide",IF(N(E575)+N(F575)=0,"Temps manquant",IF(AND(G575&lt;&gt;"",OR(NOT(ISNUMBER(G575)),N(G575)&lt;=0)),"Opérateurs invalide","OK"))))))))))</f>
        <v/>
      </c>
      <c r="N575" s="71" t="str">
        <f>IF(AND(fiche_sel&lt;&gt;"",A575=fiche_sel),COUNTIF(A$6:A575,fiche_sel),"")</f>
        <v/>
      </c>
    </row>
    <row r="576">
      <c r="A576" s="60" t="n"/>
      <c r="B576" s="73" t="n"/>
      <c r="C576" s="60" t="n"/>
      <c r="D576" s="61" t="n"/>
      <c r="E576" s="74" t="n"/>
      <c r="F576" s="74" t="n"/>
      <c r="G576" s="73" t="n"/>
      <c r="H576" s="66" t="str">
        <f>IF(M576&lt;&gt;"OK","",INDEX(po_mo,MATCH(D576,po_code,0)))</f>
        <v/>
      </c>
      <c r="I576" s="66" t="str">
        <f>IF(M576&lt;&gt;"OK","",INDEX(po_mac,MATCH(D576,po_code,0)))</f>
        <v/>
      </c>
      <c r="J576" s="66" t="str">
        <f>IF(M576&lt;&gt;"OK","",N(E576)*(H576*IF(G576="",1,G576)+I576))</f>
        <v/>
      </c>
      <c r="K576" s="66" t="str">
        <f>IF(M576&lt;&gt;"OK","",N(F576)/60*H576*IF(G576="",1,G576))</f>
        <v/>
      </c>
      <c r="L576" s="66" t="str">
        <f>IF(M576&lt;&gt;"OK","",N(F576)/60*I576)</f>
        <v/>
      </c>
      <c r="M576" s="69" t="str">
        <f>IF(AND(A576="",D576=""),"",IF(A576="","Produit manquant",IF(COUNTIF(prod_ref,A576)=0,"Produit inconnu",IF(D576="","Poste manquant",IF(ISNA(MATCH(D576,po_code,0)),"Poste inconnu",IF(INDEX(po_check,MATCH(D576,po_code,0))&lt;&gt;"OK","Poste à corriger",IF(AND(E576&lt;&gt;"",OR(NOT(ISNUMBER(E576)),N(E576)&lt;0)),"Réglage invalide",IF(AND(F576&lt;&gt;"",OR(NOT(ISNUMBER(F576)),N(F576)&lt;0)),"Temps par pièce invalide",IF(N(E576)+N(F576)=0,"Temps manquant",IF(AND(G576&lt;&gt;"",OR(NOT(ISNUMBER(G576)),N(G576)&lt;=0)),"Opérateurs invalide","OK"))))))))))</f>
        <v/>
      </c>
      <c r="N576" s="71" t="str">
        <f>IF(AND(fiche_sel&lt;&gt;"",A576=fiche_sel),COUNTIF(A$6:A576,fiche_sel),"")</f>
        <v/>
      </c>
    </row>
    <row r="577">
      <c r="A577" s="60" t="n"/>
      <c r="B577" s="73" t="n"/>
      <c r="C577" s="60" t="n"/>
      <c r="D577" s="61" t="n"/>
      <c r="E577" s="74" t="n"/>
      <c r="F577" s="74" t="n"/>
      <c r="G577" s="73" t="n"/>
      <c r="H577" s="66" t="str">
        <f>IF(M577&lt;&gt;"OK","",INDEX(po_mo,MATCH(D577,po_code,0)))</f>
        <v/>
      </c>
      <c r="I577" s="66" t="str">
        <f>IF(M577&lt;&gt;"OK","",INDEX(po_mac,MATCH(D577,po_code,0)))</f>
        <v/>
      </c>
      <c r="J577" s="66" t="str">
        <f>IF(M577&lt;&gt;"OK","",N(E577)*(H577*IF(G577="",1,G577)+I577))</f>
        <v/>
      </c>
      <c r="K577" s="66" t="str">
        <f>IF(M577&lt;&gt;"OK","",N(F577)/60*H577*IF(G577="",1,G577))</f>
        <v/>
      </c>
      <c r="L577" s="66" t="str">
        <f>IF(M577&lt;&gt;"OK","",N(F577)/60*I577)</f>
        <v/>
      </c>
      <c r="M577" s="69" t="str">
        <f>IF(AND(A577="",D577=""),"",IF(A577="","Produit manquant",IF(COUNTIF(prod_ref,A577)=0,"Produit inconnu",IF(D577="","Poste manquant",IF(ISNA(MATCH(D577,po_code,0)),"Poste inconnu",IF(INDEX(po_check,MATCH(D577,po_code,0))&lt;&gt;"OK","Poste à corriger",IF(AND(E577&lt;&gt;"",OR(NOT(ISNUMBER(E577)),N(E577)&lt;0)),"Réglage invalide",IF(AND(F577&lt;&gt;"",OR(NOT(ISNUMBER(F577)),N(F577)&lt;0)),"Temps par pièce invalide",IF(N(E577)+N(F577)=0,"Temps manquant",IF(AND(G577&lt;&gt;"",OR(NOT(ISNUMBER(G577)),N(G577)&lt;=0)),"Opérateurs invalide","OK"))))))))))</f>
        <v/>
      </c>
      <c r="N577" s="71" t="str">
        <f>IF(AND(fiche_sel&lt;&gt;"",A577=fiche_sel),COUNTIF(A$6:A577,fiche_sel),"")</f>
        <v/>
      </c>
    </row>
    <row r="578">
      <c r="A578" s="60" t="n"/>
      <c r="B578" s="73" t="n"/>
      <c r="C578" s="60" t="n"/>
      <c r="D578" s="61" t="n"/>
      <c r="E578" s="74" t="n"/>
      <c r="F578" s="74" t="n"/>
      <c r="G578" s="73" t="n"/>
      <c r="H578" s="66" t="str">
        <f>IF(M578&lt;&gt;"OK","",INDEX(po_mo,MATCH(D578,po_code,0)))</f>
        <v/>
      </c>
      <c r="I578" s="66" t="str">
        <f>IF(M578&lt;&gt;"OK","",INDEX(po_mac,MATCH(D578,po_code,0)))</f>
        <v/>
      </c>
      <c r="J578" s="66" t="str">
        <f>IF(M578&lt;&gt;"OK","",N(E578)*(H578*IF(G578="",1,G578)+I578))</f>
        <v/>
      </c>
      <c r="K578" s="66" t="str">
        <f>IF(M578&lt;&gt;"OK","",N(F578)/60*H578*IF(G578="",1,G578))</f>
        <v/>
      </c>
      <c r="L578" s="66" t="str">
        <f>IF(M578&lt;&gt;"OK","",N(F578)/60*I578)</f>
        <v/>
      </c>
      <c r="M578" s="69" t="str">
        <f>IF(AND(A578="",D578=""),"",IF(A578="","Produit manquant",IF(COUNTIF(prod_ref,A578)=0,"Produit inconnu",IF(D578="","Poste manquant",IF(ISNA(MATCH(D578,po_code,0)),"Poste inconnu",IF(INDEX(po_check,MATCH(D578,po_code,0))&lt;&gt;"OK","Poste à corriger",IF(AND(E578&lt;&gt;"",OR(NOT(ISNUMBER(E578)),N(E578)&lt;0)),"Réglage invalide",IF(AND(F578&lt;&gt;"",OR(NOT(ISNUMBER(F578)),N(F578)&lt;0)),"Temps par pièce invalide",IF(N(E578)+N(F578)=0,"Temps manquant",IF(AND(G578&lt;&gt;"",OR(NOT(ISNUMBER(G578)),N(G578)&lt;=0)),"Opérateurs invalide","OK"))))))))))</f>
        <v/>
      </c>
      <c r="N578" s="71" t="str">
        <f>IF(AND(fiche_sel&lt;&gt;"",A578=fiche_sel),COUNTIF(A$6:A578,fiche_sel),"")</f>
        <v/>
      </c>
    </row>
    <row r="579">
      <c r="A579" s="60" t="n"/>
      <c r="B579" s="73" t="n"/>
      <c r="C579" s="60" t="n"/>
      <c r="D579" s="61" t="n"/>
      <c r="E579" s="74" t="n"/>
      <c r="F579" s="74" t="n"/>
      <c r="G579" s="73" t="n"/>
      <c r="H579" s="66" t="str">
        <f>IF(M579&lt;&gt;"OK","",INDEX(po_mo,MATCH(D579,po_code,0)))</f>
        <v/>
      </c>
      <c r="I579" s="66" t="str">
        <f>IF(M579&lt;&gt;"OK","",INDEX(po_mac,MATCH(D579,po_code,0)))</f>
        <v/>
      </c>
      <c r="J579" s="66" t="str">
        <f>IF(M579&lt;&gt;"OK","",N(E579)*(H579*IF(G579="",1,G579)+I579))</f>
        <v/>
      </c>
      <c r="K579" s="66" t="str">
        <f>IF(M579&lt;&gt;"OK","",N(F579)/60*H579*IF(G579="",1,G579))</f>
        <v/>
      </c>
      <c r="L579" s="66" t="str">
        <f>IF(M579&lt;&gt;"OK","",N(F579)/60*I579)</f>
        <v/>
      </c>
      <c r="M579" s="69" t="str">
        <f>IF(AND(A579="",D579=""),"",IF(A579="","Produit manquant",IF(COUNTIF(prod_ref,A579)=0,"Produit inconnu",IF(D579="","Poste manquant",IF(ISNA(MATCH(D579,po_code,0)),"Poste inconnu",IF(INDEX(po_check,MATCH(D579,po_code,0))&lt;&gt;"OK","Poste à corriger",IF(AND(E579&lt;&gt;"",OR(NOT(ISNUMBER(E579)),N(E579)&lt;0)),"Réglage invalide",IF(AND(F579&lt;&gt;"",OR(NOT(ISNUMBER(F579)),N(F579)&lt;0)),"Temps par pièce invalide",IF(N(E579)+N(F579)=0,"Temps manquant",IF(AND(G579&lt;&gt;"",OR(NOT(ISNUMBER(G579)),N(G579)&lt;=0)),"Opérateurs invalide","OK"))))))))))</f>
        <v/>
      </c>
      <c r="N579" s="71" t="str">
        <f>IF(AND(fiche_sel&lt;&gt;"",A579=fiche_sel),COUNTIF(A$6:A579,fiche_sel),"")</f>
        <v/>
      </c>
    </row>
    <row r="580">
      <c r="A580" s="60" t="n"/>
      <c r="B580" s="73" t="n"/>
      <c r="C580" s="60" t="n"/>
      <c r="D580" s="61" t="n"/>
      <c r="E580" s="74" t="n"/>
      <c r="F580" s="74" t="n"/>
      <c r="G580" s="73" t="n"/>
      <c r="H580" s="66" t="str">
        <f>IF(M580&lt;&gt;"OK","",INDEX(po_mo,MATCH(D580,po_code,0)))</f>
        <v/>
      </c>
      <c r="I580" s="66" t="str">
        <f>IF(M580&lt;&gt;"OK","",INDEX(po_mac,MATCH(D580,po_code,0)))</f>
        <v/>
      </c>
      <c r="J580" s="66" t="str">
        <f>IF(M580&lt;&gt;"OK","",N(E580)*(H580*IF(G580="",1,G580)+I580))</f>
        <v/>
      </c>
      <c r="K580" s="66" t="str">
        <f>IF(M580&lt;&gt;"OK","",N(F580)/60*H580*IF(G580="",1,G580))</f>
        <v/>
      </c>
      <c r="L580" s="66" t="str">
        <f>IF(M580&lt;&gt;"OK","",N(F580)/60*I580)</f>
        <v/>
      </c>
      <c r="M580" s="69" t="str">
        <f>IF(AND(A580="",D580=""),"",IF(A580="","Produit manquant",IF(COUNTIF(prod_ref,A580)=0,"Produit inconnu",IF(D580="","Poste manquant",IF(ISNA(MATCH(D580,po_code,0)),"Poste inconnu",IF(INDEX(po_check,MATCH(D580,po_code,0))&lt;&gt;"OK","Poste à corriger",IF(AND(E580&lt;&gt;"",OR(NOT(ISNUMBER(E580)),N(E580)&lt;0)),"Réglage invalide",IF(AND(F580&lt;&gt;"",OR(NOT(ISNUMBER(F580)),N(F580)&lt;0)),"Temps par pièce invalide",IF(N(E580)+N(F580)=0,"Temps manquant",IF(AND(G580&lt;&gt;"",OR(NOT(ISNUMBER(G580)),N(G580)&lt;=0)),"Opérateurs invalide","OK"))))))))))</f>
        <v/>
      </c>
      <c r="N580" s="71" t="str">
        <f>IF(AND(fiche_sel&lt;&gt;"",A580=fiche_sel),COUNTIF(A$6:A580,fiche_sel),"")</f>
        <v/>
      </c>
    </row>
    <row r="581">
      <c r="A581" s="60" t="n"/>
      <c r="B581" s="73" t="n"/>
      <c r="C581" s="60" t="n"/>
      <c r="D581" s="61" t="n"/>
      <c r="E581" s="74" t="n"/>
      <c r="F581" s="74" t="n"/>
      <c r="G581" s="73" t="n"/>
      <c r="H581" s="66" t="str">
        <f>IF(M581&lt;&gt;"OK","",INDEX(po_mo,MATCH(D581,po_code,0)))</f>
        <v/>
      </c>
      <c r="I581" s="66" t="str">
        <f>IF(M581&lt;&gt;"OK","",INDEX(po_mac,MATCH(D581,po_code,0)))</f>
        <v/>
      </c>
      <c r="J581" s="66" t="str">
        <f>IF(M581&lt;&gt;"OK","",N(E581)*(H581*IF(G581="",1,G581)+I581))</f>
        <v/>
      </c>
      <c r="K581" s="66" t="str">
        <f>IF(M581&lt;&gt;"OK","",N(F581)/60*H581*IF(G581="",1,G581))</f>
        <v/>
      </c>
      <c r="L581" s="66" t="str">
        <f>IF(M581&lt;&gt;"OK","",N(F581)/60*I581)</f>
        <v/>
      </c>
      <c r="M581" s="69" t="str">
        <f>IF(AND(A581="",D581=""),"",IF(A581="","Produit manquant",IF(COUNTIF(prod_ref,A581)=0,"Produit inconnu",IF(D581="","Poste manquant",IF(ISNA(MATCH(D581,po_code,0)),"Poste inconnu",IF(INDEX(po_check,MATCH(D581,po_code,0))&lt;&gt;"OK","Poste à corriger",IF(AND(E581&lt;&gt;"",OR(NOT(ISNUMBER(E581)),N(E581)&lt;0)),"Réglage invalide",IF(AND(F581&lt;&gt;"",OR(NOT(ISNUMBER(F581)),N(F581)&lt;0)),"Temps par pièce invalide",IF(N(E581)+N(F581)=0,"Temps manquant",IF(AND(G581&lt;&gt;"",OR(NOT(ISNUMBER(G581)),N(G581)&lt;=0)),"Opérateurs invalide","OK"))))))))))</f>
        <v/>
      </c>
      <c r="N581" s="71" t="str">
        <f>IF(AND(fiche_sel&lt;&gt;"",A581=fiche_sel),COUNTIF(A$6:A581,fiche_sel),"")</f>
        <v/>
      </c>
    </row>
    <row r="582">
      <c r="A582" s="60" t="n"/>
      <c r="B582" s="73" t="n"/>
      <c r="C582" s="60" t="n"/>
      <c r="D582" s="61" t="n"/>
      <c r="E582" s="74" t="n"/>
      <c r="F582" s="74" t="n"/>
      <c r="G582" s="73" t="n"/>
      <c r="H582" s="66" t="str">
        <f>IF(M582&lt;&gt;"OK","",INDEX(po_mo,MATCH(D582,po_code,0)))</f>
        <v/>
      </c>
      <c r="I582" s="66" t="str">
        <f>IF(M582&lt;&gt;"OK","",INDEX(po_mac,MATCH(D582,po_code,0)))</f>
        <v/>
      </c>
      <c r="J582" s="66" t="str">
        <f>IF(M582&lt;&gt;"OK","",N(E582)*(H582*IF(G582="",1,G582)+I582))</f>
        <v/>
      </c>
      <c r="K582" s="66" t="str">
        <f>IF(M582&lt;&gt;"OK","",N(F582)/60*H582*IF(G582="",1,G582))</f>
        <v/>
      </c>
      <c r="L582" s="66" t="str">
        <f>IF(M582&lt;&gt;"OK","",N(F582)/60*I582)</f>
        <v/>
      </c>
      <c r="M582" s="69" t="str">
        <f>IF(AND(A582="",D582=""),"",IF(A582="","Produit manquant",IF(COUNTIF(prod_ref,A582)=0,"Produit inconnu",IF(D582="","Poste manquant",IF(ISNA(MATCH(D582,po_code,0)),"Poste inconnu",IF(INDEX(po_check,MATCH(D582,po_code,0))&lt;&gt;"OK","Poste à corriger",IF(AND(E582&lt;&gt;"",OR(NOT(ISNUMBER(E582)),N(E582)&lt;0)),"Réglage invalide",IF(AND(F582&lt;&gt;"",OR(NOT(ISNUMBER(F582)),N(F582)&lt;0)),"Temps par pièce invalide",IF(N(E582)+N(F582)=0,"Temps manquant",IF(AND(G582&lt;&gt;"",OR(NOT(ISNUMBER(G582)),N(G582)&lt;=0)),"Opérateurs invalide","OK"))))))))))</f>
        <v/>
      </c>
      <c r="N582" s="71" t="str">
        <f>IF(AND(fiche_sel&lt;&gt;"",A582=fiche_sel),COUNTIF(A$6:A582,fiche_sel),"")</f>
        <v/>
      </c>
    </row>
    <row r="583">
      <c r="A583" s="60" t="n"/>
      <c r="B583" s="73" t="n"/>
      <c r="C583" s="60" t="n"/>
      <c r="D583" s="61" t="n"/>
      <c r="E583" s="74" t="n"/>
      <c r="F583" s="74" t="n"/>
      <c r="G583" s="73" t="n"/>
      <c r="H583" s="66" t="str">
        <f>IF(M583&lt;&gt;"OK","",INDEX(po_mo,MATCH(D583,po_code,0)))</f>
        <v/>
      </c>
      <c r="I583" s="66" t="str">
        <f>IF(M583&lt;&gt;"OK","",INDEX(po_mac,MATCH(D583,po_code,0)))</f>
        <v/>
      </c>
      <c r="J583" s="66" t="str">
        <f>IF(M583&lt;&gt;"OK","",N(E583)*(H583*IF(G583="",1,G583)+I583))</f>
        <v/>
      </c>
      <c r="K583" s="66" t="str">
        <f>IF(M583&lt;&gt;"OK","",N(F583)/60*H583*IF(G583="",1,G583))</f>
        <v/>
      </c>
      <c r="L583" s="66" t="str">
        <f>IF(M583&lt;&gt;"OK","",N(F583)/60*I583)</f>
        <v/>
      </c>
      <c r="M583" s="69" t="str">
        <f>IF(AND(A583="",D583=""),"",IF(A583="","Produit manquant",IF(COUNTIF(prod_ref,A583)=0,"Produit inconnu",IF(D583="","Poste manquant",IF(ISNA(MATCH(D583,po_code,0)),"Poste inconnu",IF(INDEX(po_check,MATCH(D583,po_code,0))&lt;&gt;"OK","Poste à corriger",IF(AND(E583&lt;&gt;"",OR(NOT(ISNUMBER(E583)),N(E583)&lt;0)),"Réglage invalide",IF(AND(F583&lt;&gt;"",OR(NOT(ISNUMBER(F583)),N(F583)&lt;0)),"Temps par pièce invalide",IF(N(E583)+N(F583)=0,"Temps manquant",IF(AND(G583&lt;&gt;"",OR(NOT(ISNUMBER(G583)),N(G583)&lt;=0)),"Opérateurs invalide","OK"))))))))))</f>
        <v/>
      </c>
      <c r="N583" s="71" t="str">
        <f>IF(AND(fiche_sel&lt;&gt;"",A583=fiche_sel),COUNTIF(A$6:A583,fiche_sel),"")</f>
        <v/>
      </c>
    </row>
    <row r="584">
      <c r="A584" s="60" t="n"/>
      <c r="B584" s="73" t="n"/>
      <c r="C584" s="60" t="n"/>
      <c r="D584" s="61" t="n"/>
      <c r="E584" s="74" t="n"/>
      <c r="F584" s="74" t="n"/>
      <c r="G584" s="73" t="n"/>
      <c r="H584" s="66" t="str">
        <f>IF(M584&lt;&gt;"OK","",INDEX(po_mo,MATCH(D584,po_code,0)))</f>
        <v/>
      </c>
      <c r="I584" s="66" t="str">
        <f>IF(M584&lt;&gt;"OK","",INDEX(po_mac,MATCH(D584,po_code,0)))</f>
        <v/>
      </c>
      <c r="J584" s="66" t="str">
        <f>IF(M584&lt;&gt;"OK","",N(E584)*(H584*IF(G584="",1,G584)+I584))</f>
        <v/>
      </c>
      <c r="K584" s="66" t="str">
        <f>IF(M584&lt;&gt;"OK","",N(F584)/60*H584*IF(G584="",1,G584))</f>
        <v/>
      </c>
      <c r="L584" s="66" t="str">
        <f>IF(M584&lt;&gt;"OK","",N(F584)/60*I584)</f>
        <v/>
      </c>
      <c r="M584" s="69" t="str">
        <f>IF(AND(A584="",D584=""),"",IF(A584="","Produit manquant",IF(COUNTIF(prod_ref,A584)=0,"Produit inconnu",IF(D584="","Poste manquant",IF(ISNA(MATCH(D584,po_code,0)),"Poste inconnu",IF(INDEX(po_check,MATCH(D584,po_code,0))&lt;&gt;"OK","Poste à corriger",IF(AND(E584&lt;&gt;"",OR(NOT(ISNUMBER(E584)),N(E584)&lt;0)),"Réglage invalide",IF(AND(F584&lt;&gt;"",OR(NOT(ISNUMBER(F584)),N(F584)&lt;0)),"Temps par pièce invalide",IF(N(E584)+N(F584)=0,"Temps manquant",IF(AND(G584&lt;&gt;"",OR(NOT(ISNUMBER(G584)),N(G584)&lt;=0)),"Opérateurs invalide","OK"))))))))))</f>
        <v/>
      </c>
      <c r="N584" s="71" t="str">
        <f>IF(AND(fiche_sel&lt;&gt;"",A584=fiche_sel),COUNTIF(A$6:A584,fiche_sel),"")</f>
        <v/>
      </c>
    </row>
    <row r="585">
      <c r="A585" s="60" t="n"/>
      <c r="B585" s="73" t="n"/>
      <c r="C585" s="60" t="n"/>
      <c r="D585" s="61" t="n"/>
      <c r="E585" s="74" t="n"/>
      <c r="F585" s="74" t="n"/>
      <c r="G585" s="73" t="n"/>
      <c r="H585" s="66" t="str">
        <f>IF(M585&lt;&gt;"OK","",INDEX(po_mo,MATCH(D585,po_code,0)))</f>
        <v/>
      </c>
      <c r="I585" s="66" t="str">
        <f>IF(M585&lt;&gt;"OK","",INDEX(po_mac,MATCH(D585,po_code,0)))</f>
        <v/>
      </c>
      <c r="J585" s="66" t="str">
        <f>IF(M585&lt;&gt;"OK","",N(E585)*(H585*IF(G585="",1,G585)+I585))</f>
        <v/>
      </c>
      <c r="K585" s="66" t="str">
        <f>IF(M585&lt;&gt;"OK","",N(F585)/60*H585*IF(G585="",1,G585))</f>
        <v/>
      </c>
      <c r="L585" s="66" t="str">
        <f>IF(M585&lt;&gt;"OK","",N(F585)/60*I585)</f>
        <v/>
      </c>
      <c r="M585" s="69" t="str">
        <f>IF(AND(A585="",D585=""),"",IF(A585="","Produit manquant",IF(COUNTIF(prod_ref,A585)=0,"Produit inconnu",IF(D585="","Poste manquant",IF(ISNA(MATCH(D585,po_code,0)),"Poste inconnu",IF(INDEX(po_check,MATCH(D585,po_code,0))&lt;&gt;"OK","Poste à corriger",IF(AND(E585&lt;&gt;"",OR(NOT(ISNUMBER(E585)),N(E585)&lt;0)),"Réglage invalide",IF(AND(F585&lt;&gt;"",OR(NOT(ISNUMBER(F585)),N(F585)&lt;0)),"Temps par pièce invalide",IF(N(E585)+N(F585)=0,"Temps manquant",IF(AND(G585&lt;&gt;"",OR(NOT(ISNUMBER(G585)),N(G585)&lt;=0)),"Opérateurs invalide","OK"))))))))))</f>
        <v/>
      </c>
      <c r="N585" s="71" t="str">
        <f>IF(AND(fiche_sel&lt;&gt;"",A585=fiche_sel),COUNTIF(A$6:A585,fiche_sel),"")</f>
        <v/>
      </c>
    </row>
    <row r="586">
      <c r="A586" s="60" t="n"/>
      <c r="B586" s="73" t="n"/>
      <c r="C586" s="60" t="n"/>
      <c r="D586" s="61" t="n"/>
      <c r="E586" s="74" t="n"/>
      <c r="F586" s="74" t="n"/>
      <c r="G586" s="73" t="n"/>
      <c r="H586" s="66" t="str">
        <f>IF(M586&lt;&gt;"OK","",INDEX(po_mo,MATCH(D586,po_code,0)))</f>
        <v/>
      </c>
      <c r="I586" s="66" t="str">
        <f>IF(M586&lt;&gt;"OK","",INDEX(po_mac,MATCH(D586,po_code,0)))</f>
        <v/>
      </c>
      <c r="J586" s="66" t="str">
        <f>IF(M586&lt;&gt;"OK","",N(E586)*(H586*IF(G586="",1,G586)+I586))</f>
        <v/>
      </c>
      <c r="K586" s="66" t="str">
        <f>IF(M586&lt;&gt;"OK","",N(F586)/60*H586*IF(G586="",1,G586))</f>
        <v/>
      </c>
      <c r="L586" s="66" t="str">
        <f>IF(M586&lt;&gt;"OK","",N(F586)/60*I586)</f>
        <v/>
      </c>
      <c r="M586" s="69" t="str">
        <f>IF(AND(A586="",D586=""),"",IF(A586="","Produit manquant",IF(COUNTIF(prod_ref,A586)=0,"Produit inconnu",IF(D586="","Poste manquant",IF(ISNA(MATCH(D586,po_code,0)),"Poste inconnu",IF(INDEX(po_check,MATCH(D586,po_code,0))&lt;&gt;"OK","Poste à corriger",IF(AND(E586&lt;&gt;"",OR(NOT(ISNUMBER(E586)),N(E586)&lt;0)),"Réglage invalide",IF(AND(F586&lt;&gt;"",OR(NOT(ISNUMBER(F586)),N(F586)&lt;0)),"Temps par pièce invalide",IF(N(E586)+N(F586)=0,"Temps manquant",IF(AND(G586&lt;&gt;"",OR(NOT(ISNUMBER(G586)),N(G586)&lt;=0)),"Opérateurs invalide","OK"))))))))))</f>
        <v/>
      </c>
      <c r="N586" s="71" t="str">
        <f>IF(AND(fiche_sel&lt;&gt;"",A586=fiche_sel),COUNTIF(A$6:A586,fiche_sel),"")</f>
        <v/>
      </c>
    </row>
    <row r="587">
      <c r="A587" s="60" t="n"/>
      <c r="B587" s="73" t="n"/>
      <c r="C587" s="60" t="n"/>
      <c r="D587" s="61" t="n"/>
      <c r="E587" s="74" t="n"/>
      <c r="F587" s="74" t="n"/>
      <c r="G587" s="73" t="n"/>
      <c r="H587" s="66" t="str">
        <f>IF(M587&lt;&gt;"OK","",INDEX(po_mo,MATCH(D587,po_code,0)))</f>
        <v/>
      </c>
      <c r="I587" s="66" t="str">
        <f>IF(M587&lt;&gt;"OK","",INDEX(po_mac,MATCH(D587,po_code,0)))</f>
        <v/>
      </c>
      <c r="J587" s="66" t="str">
        <f>IF(M587&lt;&gt;"OK","",N(E587)*(H587*IF(G587="",1,G587)+I587))</f>
        <v/>
      </c>
      <c r="K587" s="66" t="str">
        <f>IF(M587&lt;&gt;"OK","",N(F587)/60*H587*IF(G587="",1,G587))</f>
        <v/>
      </c>
      <c r="L587" s="66" t="str">
        <f>IF(M587&lt;&gt;"OK","",N(F587)/60*I587)</f>
        <v/>
      </c>
      <c r="M587" s="69" t="str">
        <f>IF(AND(A587="",D587=""),"",IF(A587="","Produit manquant",IF(COUNTIF(prod_ref,A587)=0,"Produit inconnu",IF(D587="","Poste manquant",IF(ISNA(MATCH(D587,po_code,0)),"Poste inconnu",IF(INDEX(po_check,MATCH(D587,po_code,0))&lt;&gt;"OK","Poste à corriger",IF(AND(E587&lt;&gt;"",OR(NOT(ISNUMBER(E587)),N(E587)&lt;0)),"Réglage invalide",IF(AND(F587&lt;&gt;"",OR(NOT(ISNUMBER(F587)),N(F587)&lt;0)),"Temps par pièce invalide",IF(N(E587)+N(F587)=0,"Temps manquant",IF(AND(G587&lt;&gt;"",OR(NOT(ISNUMBER(G587)),N(G587)&lt;=0)),"Opérateurs invalide","OK"))))))))))</f>
        <v/>
      </c>
      <c r="N587" s="71" t="str">
        <f>IF(AND(fiche_sel&lt;&gt;"",A587=fiche_sel),COUNTIF(A$6:A587,fiche_sel),"")</f>
        <v/>
      </c>
    </row>
    <row r="588">
      <c r="A588" s="60" t="n"/>
      <c r="B588" s="73" t="n"/>
      <c r="C588" s="60" t="n"/>
      <c r="D588" s="61" t="n"/>
      <c r="E588" s="74" t="n"/>
      <c r="F588" s="74" t="n"/>
      <c r="G588" s="73" t="n"/>
      <c r="H588" s="66" t="str">
        <f>IF(M588&lt;&gt;"OK","",INDEX(po_mo,MATCH(D588,po_code,0)))</f>
        <v/>
      </c>
      <c r="I588" s="66" t="str">
        <f>IF(M588&lt;&gt;"OK","",INDEX(po_mac,MATCH(D588,po_code,0)))</f>
        <v/>
      </c>
      <c r="J588" s="66" t="str">
        <f>IF(M588&lt;&gt;"OK","",N(E588)*(H588*IF(G588="",1,G588)+I588))</f>
        <v/>
      </c>
      <c r="K588" s="66" t="str">
        <f>IF(M588&lt;&gt;"OK","",N(F588)/60*H588*IF(G588="",1,G588))</f>
        <v/>
      </c>
      <c r="L588" s="66" t="str">
        <f>IF(M588&lt;&gt;"OK","",N(F588)/60*I588)</f>
        <v/>
      </c>
      <c r="M588" s="69" t="str">
        <f>IF(AND(A588="",D588=""),"",IF(A588="","Produit manquant",IF(COUNTIF(prod_ref,A588)=0,"Produit inconnu",IF(D588="","Poste manquant",IF(ISNA(MATCH(D588,po_code,0)),"Poste inconnu",IF(INDEX(po_check,MATCH(D588,po_code,0))&lt;&gt;"OK","Poste à corriger",IF(AND(E588&lt;&gt;"",OR(NOT(ISNUMBER(E588)),N(E588)&lt;0)),"Réglage invalide",IF(AND(F588&lt;&gt;"",OR(NOT(ISNUMBER(F588)),N(F588)&lt;0)),"Temps par pièce invalide",IF(N(E588)+N(F588)=0,"Temps manquant",IF(AND(G588&lt;&gt;"",OR(NOT(ISNUMBER(G588)),N(G588)&lt;=0)),"Opérateurs invalide","OK"))))))))))</f>
        <v/>
      </c>
      <c r="N588" s="71" t="str">
        <f>IF(AND(fiche_sel&lt;&gt;"",A588=fiche_sel),COUNTIF(A$6:A588,fiche_sel),"")</f>
        <v/>
      </c>
    </row>
    <row r="589">
      <c r="A589" s="60" t="n"/>
      <c r="B589" s="73" t="n"/>
      <c r="C589" s="60" t="n"/>
      <c r="D589" s="61" t="n"/>
      <c r="E589" s="74" t="n"/>
      <c r="F589" s="74" t="n"/>
      <c r="G589" s="73" t="n"/>
      <c r="H589" s="66" t="str">
        <f>IF(M589&lt;&gt;"OK","",INDEX(po_mo,MATCH(D589,po_code,0)))</f>
        <v/>
      </c>
      <c r="I589" s="66" t="str">
        <f>IF(M589&lt;&gt;"OK","",INDEX(po_mac,MATCH(D589,po_code,0)))</f>
        <v/>
      </c>
      <c r="J589" s="66" t="str">
        <f>IF(M589&lt;&gt;"OK","",N(E589)*(H589*IF(G589="",1,G589)+I589))</f>
        <v/>
      </c>
      <c r="K589" s="66" t="str">
        <f>IF(M589&lt;&gt;"OK","",N(F589)/60*H589*IF(G589="",1,G589))</f>
        <v/>
      </c>
      <c r="L589" s="66" t="str">
        <f>IF(M589&lt;&gt;"OK","",N(F589)/60*I589)</f>
        <v/>
      </c>
      <c r="M589" s="69" t="str">
        <f>IF(AND(A589="",D589=""),"",IF(A589="","Produit manquant",IF(COUNTIF(prod_ref,A589)=0,"Produit inconnu",IF(D589="","Poste manquant",IF(ISNA(MATCH(D589,po_code,0)),"Poste inconnu",IF(INDEX(po_check,MATCH(D589,po_code,0))&lt;&gt;"OK","Poste à corriger",IF(AND(E589&lt;&gt;"",OR(NOT(ISNUMBER(E589)),N(E589)&lt;0)),"Réglage invalide",IF(AND(F589&lt;&gt;"",OR(NOT(ISNUMBER(F589)),N(F589)&lt;0)),"Temps par pièce invalide",IF(N(E589)+N(F589)=0,"Temps manquant",IF(AND(G589&lt;&gt;"",OR(NOT(ISNUMBER(G589)),N(G589)&lt;=0)),"Opérateurs invalide","OK"))))))))))</f>
        <v/>
      </c>
      <c r="N589" s="71" t="str">
        <f>IF(AND(fiche_sel&lt;&gt;"",A589=fiche_sel),COUNTIF(A$6:A589,fiche_sel),"")</f>
        <v/>
      </c>
    </row>
    <row r="590">
      <c r="A590" s="60" t="n"/>
      <c r="B590" s="73" t="n"/>
      <c r="C590" s="60" t="n"/>
      <c r="D590" s="61" t="n"/>
      <c r="E590" s="74" t="n"/>
      <c r="F590" s="74" t="n"/>
      <c r="G590" s="73" t="n"/>
      <c r="H590" s="66" t="str">
        <f>IF(M590&lt;&gt;"OK","",INDEX(po_mo,MATCH(D590,po_code,0)))</f>
        <v/>
      </c>
      <c r="I590" s="66" t="str">
        <f>IF(M590&lt;&gt;"OK","",INDEX(po_mac,MATCH(D590,po_code,0)))</f>
        <v/>
      </c>
      <c r="J590" s="66" t="str">
        <f>IF(M590&lt;&gt;"OK","",N(E590)*(H590*IF(G590="",1,G590)+I590))</f>
        <v/>
      </c>
      <c r="K590" s="66" t="str">
        <f>IF(M590&lt;&gt;"OK","",N(F590)/60*H590*IF(G590="",1,G590))</f>
        <v/>
      </c>
      <c r="L590" s="66" t="str">
        <f>IF(M590&lt;&gt;"OK","",N(F590)/60*I590)</f>
        <v/>
      </c>
      <c r="M590" s="69" t="str">
        <f>IF(AND(A590="",D590=""),"",IF(A590="","Produit manquant",IF(COUNTIF(prod_ref,A590)=0,"Produit inconnu",IF(D590="","Poste manquant",IF(ISNA(MATCH(D590,po_code,0)),"Poste inconnu",IF(INDEX(po_check,MATCH(D590,po_code,0))&lt;&gt;"OK","Poste à corriger",IF(AND(E590&lt;&gt;"",OR(NOT(ISNUMBER(E590)),N(E590)&lt;0)),"Réglage invalide",IF(AND(F590&lt;&gt;"",OR(NOT(ISNUMBER(F590)),N(F590)&lt;0)),"Temps par pièce invalide",IF(N(E590)+N(F590)=0,"Temps manquant",IF(AND(G590&lt;&gt;"",OR(NOT(ISNUMBER(G590)),N(G590)&lt;=0)),"Opérateurs invalide","OK"))))))))))</f>
        <v/>
      </c>
      <c r="N590" s="71" t="str">
        <f>IF(AND(fiche_sel&lt;&gt;"",A590=fiche_sel),COUNTIF(A$6:A590,fiche_sel),"")</f>
        <v/>
      </c>
    </row>
    <row r="591">
      <c r="A591" s="60" t="n"/>
      <c r="B591" s="73" t="n"/>
      <c r="C591" s="60" t="n"/>
      <c r="D591" s="61" t="n"/>
      <c r="E591" s="74" t="n"/>
      <c r="F591" s="74" t="n"/>
      <c r="G591" s="73" t="n"/>
      <c r="H591" s="66" t="str">
        <f>IF(M591&lt;&gt;"OK","",INDEX(po_mo,MATCH(D591,po_code,0)))</f>
        <v/>
      </c>
      <c r="I591" s="66" t="str">
        <f>IF(M591&lt;&gt;"OK","",INDEX(po_mac,MATCH(D591,po_code,0)))</f>
        <v/>
      </c>
      <c r="J591" s="66" t="str">
        <f>IF(M591&lt;&gt;"OK","",N(E591)*(H591*IF(G591="",1,G591)+I591))</f>
        <v/>
      </c>
      <c r="K591" s="66" t="str">
        <f>IF(M591&lt;&gt;"OK","",N(F591)/60*H591*IF(G591="",1,G591))</f>
        <v/>
      </c>
      <c r="L591" s="66" t="str">
        <f>IF(M591&lt;&gt;"OK","",N(F591)/60*I591)</f>
        <v/>
      </c>
      <c r="M591" s="69" t="str">
        <f>IF(AND(A591="",D591=""),"",IF(A591="","Produit manquant",IF(COUNTIF(prod_ref,A591)=0,"Produit inconnu",IF(D591="","Poste manquant",IF(ISNA(MATCH(D591,po_code,0)),"Poste inconnu",IF(INDEX(po_check,MATCH(D591,po_code,0))&lt;&gt;"OK","Poste à corriger",IF(AND(E591&lt;&gt;"",OR(NOT(ISNUMBER(E591)),N(E591)&lt;0)),"Réglage invalide",IF(AND(F591&lt;&gt;"",OR(NOT(ISNUMBER(F591)),N(F591)&lt;0)),"Temps par pièce invalide",IF(N(E591)+N(F591)=0,"Temps manquant",IF(AND(G591&lt;&gt;"",OR(NOT(ISNUMBER(G591)),N(G591)&lt;=0)),"Opérateurs invalide","OK"))))))))))</f>
        <v/>
      </c>
      <c r="N591" s="71" t="str">
        <f>IF(AND(fiche_sel&lt;&gt;"",A591=fiche_sel),COUNTIF(A$6:A591,fiche_sel),"")</f>
        <v/>
      </c>
    </row>
    <row r="592">
      <c r="A592" s="60" t="n"/>
      <c r="B592" s="73" t="n"/>
      <c r="C592" s="60" t="n"/>
      <c r="D592" s="61" t="n"/>
      <c r="E592" s="74" t="n"/>
      <c r="F592" s="74" t="n"/>
      <c r="G592" s="73" t="n"/>
      <c r="H592" s="66" t="str">
        <f>IF(M592&lt;&gt;"OK","",INDEX(po_mo,MATCH(D592,po_code,0)))</f>
        <v/>
      </c>
      <c r="I592" s="66" t="str">
        <f>IF(M592&lt;&gt;"OK","",INDEX(po_mac,MATCH(D592,po_code,0)))</f>
        <v/>
      </c>
      <c r="J592" s="66" t="str">
        <f>IF(M592&lt;&gt;"OK","",N(E592)*(H592*IF(G592="",1,G592)+I592))</f>
        <v/>
      </c>
      <c r="K592" s="66" t="str">
        <f>IF(M592&lt;&gt;"OK","",N(F592)/60*H592*IF(G592="",1,G592))</f>
        <v/>
      </c>
      <c r="L592" s="66" t="str">
        <f>IF(M592&lt;&gt;"OK","",N(F592)/60*I592)</f>
        <v/>
      </c>
      <c r="M592" s="69" t="str">
        <f>IF(AND(A592="",D592=""),"",IF(A592="","Produit manquant",IF(COUNTIF(prod_ref,A592)=0,"Produit inconnu",IF(D592="","Poste manquant",IF(ISNA(MATCH(D592,po_code,0)),"Poste inconnu",IF(INDEX(po_check,MATCH(D592,po_code,0))&lt;&gt;"OK","Poste à corriger",IF(AND(E592&lt;&gt;"",OR(NOT(ISNUMBER(E592)),N(E592)&lt;0)),"Réglage invalide",IF(AND(F592&lt;&gt;"",OR(NOT(ISNUMBER(F592)),N(F592)&lt;0)),"Temps par pièce invalide",IF(N(E592)+N(F592)=0,"Temps manquant",IF(AND(G592&lt;&gt;"",OR(NOT(ISNUMBER(G592)),N(G592)&lt;=0)),"Opérateurs invalide","OK"))))))))))</f>
        <v/>
      </c>
      <c r="N592" s="71" t="str">
        <f>IF(AND(fiche_sel&lt;&gt;"",A592=fiche_sel),COUNTIF(A$6:A592,fiche_sel),"")</f>
        <v/>
      </c>
    </row>
    <row r="593">
      <c r="A593" s="60" t="n"/>
      <c r="B593" s="73" t="n"/>
      <c r="C593" s="60" t="n"/>
      <c r="D593" s="61" t="n"/>
      <c r="E593" s="74" t="n"/>
      <c r="F593" s="74" t="n"/>
      <c r="G593" s="73" t="n"/>
      <c r="H593" s="66" t="str">
        <f>IF(M593&lt;&gt;"OK","",INDEX(po_mo,MATCH(D593,po_code,0)))</f>
        <v/>
      </c>
      <c r="I593" s="66" t="str">
        <f>IF(M593&lt;&gt;"OK","",INDEX(po_mac,MATCH(D593,po_code,0)))</f>
        <v/>
      </c>
      <c r="J593" s="66" t="str">
        <f>IF(M593&lt;&gt;"OK","",N(E593)*(H593*IF(G593="",1,G593)+I593))</f>
        <v/>
      </c>
      <c r="K593" s="66" t="str">
        <f>IF(M593&lt;&gt;"OK","",N(F593)/60*H593*IF(G593="",1,G593))</f>
        <v/>
      </c>
      <c r="L593" s="66" t="str">
        <f>IF(M593&lt;&gt;"OK","",N(F593)/60*I593)</f>
        <v/>
      </c>
      <c r="M593" s="69" t="str">
        <f>IF(AND(A593="",D593=""),"",IF(A593="","Produit manquant",IF(COUNTIF(prod_ref,A593)=0,"Produit inconnu",IF(D593="","Poste manquant",IF(ISNA(MATCH(D593,po_code,0)),"Poste inconnu",IF(INDEX(po_check,MATCH(D593,po_code,0))&lt;&gt;"OK","Poste à corriger",IF(AND(E593&lt;&gt;"",OR(NOT(ISNUMBER(E593)),N(E593)&lt;0)),"Réglage invalide",IF(AND(F593&lt;&gt;"",OR(NOT(ISNUMBER(F593)),N(F593)&lt;0)),"Temps par pièce invalide",IF(N(E593)+N(F593)=0,"Temps manquant",IF(AND(G593&lt;&gt;"",OR(NOT(ISNUMBER(G593)),N(G593)&lt;=0)),"Opérateurs invalide","OK"))))))))))</f>
        <v/>
      </c>
      <c r="N593" s="71" t="str">
        <f>IF(AND(fiche_sel&lt;&gt;"",A593=fiche_sel),COUNTIF(A$6:A593,fiche_sel),"")</f>
        <v/>
      </c>
    </row>
    <row r="594">
      <c r="A594" s="60" t="n"/>
      <c r="B594" s="73" t="n"/>
      <c r="C594" s="60" t="n"/>
      <c r="D594" s="61" t="n"/>
      <c r="E594" s="74" t="n"/>
      <c r="F594" s="74" t="n"/>
      <c r="G594" s="73" t="n"/>
      <c r="H594" s="66" t="str">
        <f>IF(M594&lt;&gt;"OK","",INDEX(po_mo,MATCH(D594,po_code,0)))</f>
        <v/>
      </c>
      <c r="I594" s="66" t="str">
        <f>IF(M594&lt;&gt;"OK","",INDEX(po_mac,MATCH(D594,po_code,0)))</f>
        <v/>
      </c>
      <c r="J594" s="66" t="str">
        <f>IF(M594&lt;&gt;"OK","",N(E594)*(H594*IF(G594="",1,G594)+I594))</f>
        <v/>
      </c>
      <c r="K594" s="66" t="str">
        <f>IF(M594&lt;&gt;"OK","",N(F594)/60*H594*IF(G594="",1,G594))</f>
        <v/>
      </c>
      <c r="L594" s="66" t="str">
        <f>IF(M594&lt;&gt;"OK","",N(F594)/60*I594)</f>
        <v/>
      </c>
      <c r="M594" s="69" t="str">
        <f>IF(AND(A594="",D594=""),"",IF(A594="","Produit manquant",IF(COUNTIF(prod_ref,A594)=0,"Produit inconnu",IF(D594="","Poste manquant",IF(ISNA(MATCH(D594,po_code,0)),"Poste inconnu",IF(INDEX(po_check,MATCH(D594,po_code,0))&lt;&gt;"OK","Poste à corriger",IF(AND(E594&lt;&gt;"",OR(NOT(ISNUMBER(E594)),N(E594)&lt;0)),"Réglage invalide",IF(AND(F594&lt;&gt;"",OR(NOT(ISNUMBER(F594)),N(F594)&lt;0)),"Temps par pièce invalide",IF(N(E594)+N(F594)=0,"Temps manquant",IF(AND(G594&lt;&gt;"",OR(NOT(ISNUMBER(G594)),N(G594)&lt;=0)),"Opérateurs invalide","OK"))))))))))</f>
        <v/>
      </c>
      <c r="N594" s="71" t="str">
        <f>IF(AND(fiche_sel&lt;&gt;"",A594=fiche_sel),COUNTIF(A$6:A594,fiche_sel),"")</f>
        <v/>
      </c>
    </row>
    <row r="595">
      <c r="A595" s="60" t="n"/>
      <c r="B595" s="73" t="n"/>
      <c r="C595" s="60" t="n"/>
      <c r="D595" s="61" t="n"/>
      <c r="E595" s="74" t="n"/>
      <c r="F595" s="74" t="n"/>
      <c r="G595" s="73" t="n"/>
      <c r="H595" s="66" t="str">
        <f>IF(M595&lt;&gt;"OK","",INDEX(po_mo,MATCH(D595,po_code,0)))</f>
        <v/>
      </c>
      <c r="I595" s="66" t="str">
        <f>IF(M595&lt;&gt;"OK","",INDEX(po_mac,MATCH(D595,po_code,0)))</f>
        <v/>
      </c>
      <c r="J595" s="66" t="str">
        <f>IF(M595&lt;&gt;"OK","",N(E595)*(H595*IF(G595="",1,G595)+I595))</f>
        <v/>
      </c>
      <c r="K595" s="66" t="str">
        <f>IF(M595&lt;&gt;"OK","",N(F595)/60*H595*IF(G595="",1,G595))</f>
        <v/>
      </c>
      <c r="L595" s="66" t="str">
        <f>IF(M595&lt;&gt;"OK","",N(F595)/60*I595)</f>
        <v/>
      </c>
      <c r="M595" s="69" t="str">
        <f>IF(AND(A595="",D595=""),"",IF(A595="","Produit manquant",IF(COUNTIF(prod_ref,A595)=0,"Produit inconnu",IF(D595="","Poste manquant",IF(ISNA(MATCH(D595,po_code,0)),"Poste inconnu",IF(INDEX(po_check,MATCH(D595,po_code,0))&lt;&gt;"OK","Poste à corriger",IF(AND(E595&lt;&gt;"",OR(NOT(ISNUMBER(E595)),N(E595)&lt;0)),"Réglage invalide",IF(AND(F595&lt;&gt;"",OR(NOT(ISNUMBER(F595)),N(F595)&lt;0)),"Temps par pièce invalide",IF(N(E595)+N(F595)=0,"Temps manquant",IF(AND(G595&lt;&gt;"",OR(NOT(ISNUMBER(G595)),N(G595)&lt;=0)),"Opérateurs invalide","OK"))))))))))</f>
        <v/>
      </c>
      <c r="N595" s="71" t="str">
        <f>IF(AND(fiche_sel&lt;&gt;"",A595=fiche_sel),COUNTIF(A$6:A595,fiche_sel),"")</f>
        <v/>
      </c>
    </row>
    <row r="596">
      <c r="A596" s="60" t="n"/>
      <c r="B596" s="73" t="n"/>
      <c r="C596" s="60" t="n"/>
      <c r="D596" s="61" t="n"/>
      <c r="E596" s="74" t="n"/>
      <c r="F596" s="74" t="n"/>
      <c r="G596" s="73" t="n"/>
      <c r="H596" s="66" t="str">
        <f>IF(M596&lt;&gt;"OK","",INDEX(po_mo,MATCH(D596,po_code,0)))</f>
        <v/>
      </c>
      <c r="I596" s="66" t="str">
        <f>IF(M596&lt;&gt;"OK","",INDEX(po_mac,MATCH(D596,po_code,0)))</f>
        <v/>
      </c>
      <c r="J596" s="66" t="str">
        <f>IF(M596&lt;&gt;"OK","",N(E596)*(H596*IF(G596="",1,G596)+I596))</f>
        <v/>
      </c>
      <c r="K596" s="66" t="str">
        <f>IF(M596&lt;&gt;"OK","",N(F596)/60*H596*IF(G596="",1,G596))</f>
        <v/>
      </c>
      <c r="L596" s="66" t="str">
        <f>IF(M596&lt;&gt;"OK","",N(F596)/60*I596)</f>
        <v/>
      </c>
      <c r="M596" s="69" t="str">
        <f>IF(AND(A596="",D596=""),"",IF(A596="","Produit manquant",IF(COUNTIF(prod_ref,A596)=0,"Produit inconnu",IF(D596="","Poste manquant",IF(ISNA(MATCH(D596,po_code,0)),"Poste inconnu",IF(INDEX(po_check,MATCH(D596,po_code,0))&lt;&gt;"OK","Poste à corriger",IF(AND(E596&lt;&gt;"",OR(NOT(ISNUMBER(E596)),N(E596)&lt;0)),"Réglage invalide",IF(AND(F596&lt;&gt;"",OR(NOT(ISNUMBER(F596)),N(F596)&lt;0)),"Temps par pièce invalide",IF(N(E596)+N(F596)=0,"Temps manquant",IF(AND(G596&lt;&gt;"",OR(NOT(ISNUMBER(G596)),N(G596)&lt;=0)),"Opérateurs invalide","OK"))))))))))</f>
        <v/>
      </c>
      <c r="N596" s="71" t="str">
        <f>IF(AND(fiche_sel&lt;&gt;"",A596=fiche_sel),COUNTIF(A$6:A596,fiche_sel),"")</f>
        <v/>
      </c>
    </row>
    <row r="597">
      <c r="A597" s="60" t="n"/>
      <c r="B597" s="73" t="n"/>
      <c r="C597" s="60" t="n"/>
      <c r="D597" s="61" t="n"/>
      <c r="E597" s="74" t="n"/>
      <c r="F597" s="74" t="n"/>
      <c r="G597" s="73" t="n"/>
      <c r="H597" s="66" t="str">
        <f>IF(M597&lt;&gt;"OK","",INDEX(po_mo,MATCH(D597,po_code,0)))</f>
        <v/>
      </c>
      <c r="I597" s="66" t="str">
        <f>IF(M597&lt;&gt;"OK","",INDEX(po_mac,MATCH(D597,po_code,0)))</f>
        <v/>
      </c>
      <c r="J597" s="66" t="str">
        <f>IF(M597&lt;&gt;"OK","",N(E597)*(H597*IF(G597="",1,G597)+I597))</f>
        <v/>
      </c>
      <c r="K597" s="66" t="str">
        <f>IF(M597&lt;&gt;"OK","",N(F597)/60*H597*IF(G597="",1,G597))</f>
        <v/>
      </c>
      <c r="L597" s="66" t="str">
        <f>IF(M597&lt;&gt;"OK","",N(F597)/60*I597)</f>
        <v/>
      </c>
      <c r="M597" s="69" t="str">
        <f>IF(AND(A597="",D597=""),"",IF(A597="","Produit manquant",IF(COUNTIF(prod_ref,A597)=0,"Produit inconnu",IF(D597="","Poste manquant",IF(ISNA(MATCH(D597,po_code,0)),"Poste inconnu",IF(INDEX(po_check,MATCH(D597,po_code,0))&lt;&gt;"OK","Poste à corriger",IF(AND(E597&lt;&gt;"",OR(NOT(ISNUMBER(E597)),N(E597)&lt;0)),"Réglage invalide",IF(AND(F597&lt;&gt;"",OR(NOT(ISNUMBER(F597)),N(F597)&lt;0)),"Temps par pièce invalide",IF(N(E597)+N(F597)=0,"Temps manquant",IF(AND(G597&lt;&gt;"",OR(NOT(ISNUMBER(G597)),N(G597)&lt;=0)),"Opérateurs invalide","OK"))))))))))</f>
        <v/>
      </c>
      <c r="N597" s="71" t="str">
        <f>IF(AND(fiche_sel&lt;&gt;"",A597=fiche_sel),COUNTIF(A$6:A597,fiche_sel),"")</f>
        <v/>
      </c>
    </row>
    <row r="598">
      <c r="A598" s="60" t="n"/>
      <c r="B598" s="73" t="n"/>
      <c r="C598" s="60" t="n"/>
      <c r="D598" s="61" t="n"/>
      <c r="E598" s="74" t="n"/>
      <c r="F598" s="74" t="n"/>
      <c r="G598" s="73" t="n"/>
      <c r="H598" s="66" t="str">
        <f>IF(M598&lt;&gt;"OK","",INDEX(po_mo,MATCH(D598,po_code,0)))</f>
        <v/>
      </c>
      <c r="I598" s="66" t="str">
        <f>IF(M598&lt;&gt;"OK","",INDEX(po_mac,MATCH(D598,po_code,0)))</f>
        <v/>
      </c>
      <c r="J598" s="66" t="str">
        <f>IF(M598&lt;&gt;"OK","",N(E598)*(H598*IF(G598="",1,G598)+I598))</f>
        <v/>
      </c>
      <c r="K598" s="66" t="str">
        <f>IF(M598&lt;&gt;"OK","",N(F598)/60*H598*IF(G598="",1,G598))</f>
        <v/>
      </c>
      <c r="L598" s="66" t="str">
        <f>IF(M598&lt;&gt;"OK","",N(F598)/60*I598)</f>
        <v/>
      </c>
      <c r="M598" s="69" t="str">
        <f>IF(AND(A598="",D598=""),"",IF(A598="","Produit manquant",IF(COUNTIF(prod_ref,A598)=0,"Produit inconnu",IF(D598="","Poste manquant",IF(ISNA(MATCH(D598,po_code,0)),"Poste inconnu",IF(INDEX(po_check,MATCH(D598,po_code,0))&lt;&gt;"OK","Poste à corriger",IF(AND(E598&lt;&gt;"",OR(NOT(ISNUMBER(E598)),N(E598)&lt;0)),"Réglage invalide",IF(AND(F598&lt;&gt;"",OR(NOT(ISNUMBER(F598)),N(F598)&lt;0)),"Temps par pièce invalide",IF(N(E598)+N(F598)=0,"Temps manquant",IF(AND(G598&lt;&gt;"",OR(NOT(ISNUMBER(G598)),N(G598)&lt;=0)),"Opérateurs invalide","OK"))))))))))</f>
        <v/>
      </c>
      <c r="N598" s="71" t="str">
        <f>IF(AND(fiche_sel&lt;&gt;"",A598=fiche_sel),COUNTIF(A$6:A598,fiche_sel),"")</f>
        <v/>
      </c>
    </row>
    <row r="599">
      <c r="A599" s="60" t="n"/>
      <c r="B599" s="73" t="n"/>
      <c r="C599" s="60" t="n"/>
      <c r="D599" s="61" t="n"/>
      <c r="E599" s="74" t="n"/>
      <c r="F599" s="74" t="n"/>
      <c r="G599" s="73" t="n"/>
      <c r="H599" s="66" t="str">
        <f>IF(M599&lt;&gt;"OK","",INDEX(po_mo,MATCH(D599,po_code,0)))</f>
        <v/>
      </c>
      <c r="I599" s="66" t="str">
        <f>IF(M599&lt;&gt;"OK","",INDEX(po_mac,MATCH(D599,po_code,0)))</f>
        <v/>
      </c>
      <c r="J599" s="66" t="str">
        <f>IF(M599&lt;&gt;"OK","",N(E599)*(H599*IF(G599="",1,G599)+I599))</f>
        <v/>
      </c>
      <c r="K599" s="66" t="str">
        <f>IF(M599&lt;&gt;"OK","",N(F599)/60*H599*IF(G599="",1,G599))</f>
        <v/>
      </c>
      <c r="L599" s="66" t="str">
        <f>IF(M599&lt;&gt;"OK","",N(F599)/60*I599)</f>
        <v/>
      </c>
      <c r="M599" s="69" t="str">
        <f>IF(AND(A599="",D599=""),"",IF(A599="","Produit manquant",IF(COUNTIF(prod_ref,A599)=0,"Produit inconnu",IF(D599="","Poste manquant",IF(ISNA(MATCH(D599,po_code,0)),"Poste inconnu",IF(INDEX(po_check,MATCH(D599,po_code,0))&lt;&gt;"OK","Poste à corriger",IF(AND(E599&lt;&gt;"",OR(NOT(ISNUMBER(E599)),N(E599)&lt;0)),"Réglage invalide",IF(AND(F599&lt;&gt;"",OR(NOT(ISNUMBER(F599)),N(F599)&lt;0)),"Temps par pièce invalide",IF(N(E599)+N(F599)=0,"Temps manquant",IF(AND(G599&lt;&gt;"",OR(NOT(ISNUMBER(G599)),N(G599)&lt;=0)),"Opérateurs invalide","OK"))))))))))</f>
        <v/>
      </c>
      <c r="N599" s="71" t="str">
        <f>IF(AND(fiche_sel&lt;&gt;"",A599=fiche_sel),COUNTIF(A$6:A599,fiche_sel),"")</f>
        <v/>
      </c>
    </row>
    <row r="600">
      <c r="A600" s="60" t="n"/>
      <c r="B600" s="73" t="n"/>
      <c r="C600" s="60" t="n"/>
      <c r="D600" s="61" t="n"/>
      <c r="E600" s="74" t="n"/>
      <c r="F600" s="74" t="n"/>
      <c r="G600" s="73" t="n"/>
      <c r="H600" s="66" t="str">
        <f>IF(M600&lt;&gt;"OK","",INDEX(po_mo,MATCH(D600,po_code,0)))</f>
        <v/>
      </c>
      <c r="I600" s="66" t="str">
        <f>IF(M600&lt;&gt;"OK","",INDEX(po_mac,MATCH(D600,po_code,0)))</f>
        <v/>
      </c>
      <c r="J600" s="66" t="str">
        <f>IF(M600&lt;&gt;"OK","",N(E600)*(H600*IF(G600="",1,G600)+I600))</f>
        <v/>
      </c>
      <c r="K600" s="66" t="str">
        <f>IF(M600&lt;&gt;"OK","",N(F600)/60*H600*IF(G600="",1,G600))</f>
        <v/>
      </c>
      <c r="L600" s="66" t="str">
        <f>IF(M600&lt;&gt;"OK","",N(F600)/60*I600)</f>
        <v/>
      </c>
      <c r="M600" s="69" t="str">
        <f>IF(AND(A600="",D600=""),"",IF(A600="","Produit manquant",IF(COUNTIF(prod_ref,A600)=0,"Produit inconnu",IF(D600="","Poste manquant",IF(ISNA(MATCH(D600,po_code,0)),"Poste inconnu",IF(INDEX(po_check,MATCH(D600,po_code,0))&lt;&gt;"OK","Poste à corriger",IF(AND(E600&lt;&gt;"",OR(NOT(ISNUMBER(E600)),N(E600)&lt;0)),"Réglage invalide",IF(AND(F600&lt;&gt;"",OR(NOT(ISNUMBER(F600)),N(F600)&lt;0)),"Temps par pièce invalide",IF(N(E600)+N(F600)=0,"Temps manquant",IF(AND(G600&lt;&gt;"",OR(NOT(ISNUMBER(G600)),N(G600)&lt;=0)),"Opérateurs invalide","OK"))))))))))</f>
        <v/>
      </c>
      <c r="N600" s="71" t="str">
        <f>IF(AND(fiche_sel&lt;&gt;"",A600=fiche_sel),COUNTIF(A$6:A600,fiche_sel),"")</f>
        <v/>
      </c>
    </row>
    <row r="601">
      <c r="A601" s="60" t="n"/>
      <c r="B601" s="73" t="n"/>
      <c r="C601" s="60" t="n"/>
      <c r="D601" s="61" t="n"/>
      <c r="E601" s="74" t="n"/>
      <c r="F601" s="74" t="n"/>
      <c r="G601" s="73" t="n"/>
      <c r="H601" s="66" t="str">
        <f>IF(M601&lt;&gt;"OK","",INDEX(po_mo,MATCH(D601,po_code,0)))</f>
        <v/>
      </c>
      <c r="I601" s="66" t="str">
        <f>IF(M601&lt;&gt;"OK","",INDEX(po_mac,MATCH(D601,po_code,0)))</f>
        <v/>
      </c>
      <c r="J601" s="66" t="str">
        <f>IF(M601&lt;&gt;"OK","",N(E601)*(H601*IF(G601="",1,G601)+I601))</f>
        <v/>
      </c>
      <c r="K601" s="66" t="str">
        <f>IF(M601&lt;&gt;"OK","",N(F601)/60*H601*IF(G601="",1,G601))</f>
        <v/>
      </c>
      <c r="L601" s="66" t="str">
        <f>IF(M601&lt;&gt;"OK","",N(F601)/60*I601)</f>
        <v/>
      </c>
      <c r="M601" s="69" t="str">
        <f>IF(AND(A601="",D601=""),"",IF(A601="","Produit manquant",IF(COUNTIF(prod_ref,A601)=0,"Produit inconnu",IF(D601="","Poste manquant",IF(ISNA(MATCH(D601,po_code,0)),"Poste inconnu",IF(INDEX(po_check,MATCH(D601,po_code,0))&lt;&gt;"OK","Poste à corriger",IF(AND(E601&lt;&gt;"",OR(NOT(ISNUMBER(E601)),N(E601)&lt;0)),"Réglage invalide",IF(AND(F601&lt;&gt;"",OR(NOT(ISNUMBER(F601)),N(F601)&lt;0)),"Temps par pièce invalide",IF(N(E601)+N(F601)=0,"Temps manquant",IF(AND(G601&lt;&gt;"",OR(NOT(ISNUMBER(G601)),N(G601)&lt;=0)),"Opérateurs invalide","OK"))))))))))</f>
        <v/>
      </c>
      <c r="N601" s="71" t="str">
        <f>IF(AND(fiche_sel&lt;&gt;"",A601=fiche_sel),COUNTIF(A$6:A601,fiche_sel),"")</f>
        <v/>
      </c>
    </row>
    <row r="602">
      <c r="A602" s="60" t="n"/>
      <c r="B602" s="73" t="n"/>
      <c r="C602" s="60" t="n"/>
      <c r="D602" s="61" t="n"/>
      <c r="E602" s="74" t="n"/>
      <c r="F602" s="74" t="n"/>
      <c r="G602" s="73" t="n"/>
      <c r="H602" s="66" t="str">
        <f>IF(M602&lt;&gt;"OK","",INDEX(po_mo,MATCH(D602,po_code,0)))</f>
        <v/>
      </c>
      <c r="I602" s="66" t="str">
        <f>IF(M602&lt;&gt;"OK","",INDEX(po_mac,MATCH(D602,po_code,0)))</f>
        <v/>
      </c>
      <c r="J602" s="66" t="str">
        <f>IF(M602&lt;&gt;"OK","",N(E602)*(H602*IF(G602="",1,G602)+I602))</f>
        <v/>
      </c>
      <c r="K602" s="66" t="str">
        <f>IF(M602&lt;&gt;"OK","",N(F602)/60*H602*IF(G602="",1,G602))</f>
        <v/>
      </c>
      <c r="L602" s="66" t="str">
        <f>IF(M602&lt;&gt;"OK","",N(F602)/60*I602)</f>
        <v/>
      </c>
      <c r="M602" s="69" t="str">
        <f>IF(AND(A602="",D602=""),"",IF(A602="","Produit manquant",IF(COUNTIF(prod_ref,A602)=0,"Produit inconnu",IF(D602="","Poste manquant",IF(ISNA(MATCH(D602,po_code,0)),"Poste inconnu",IF(INDEX(po_check,MATCH(D602,po_code,0))&lt;&gt;"OK","Poste à corriger",IF(AND(E602&lt;&gt;"",OR(NOT(ISNUMBER(E602)),N(E602)&lt;0)),"Réglage invalide",IF(AND(F602&lt;&gt;"",OR(NOT(ISNUMBER(F602)),N(F602)&lt;0)),"Temps par pièce invalide",IF(N(E602)+N(F602)=0,"Temps manquant",IF(AND(G602&lt;&gt;"",OR(NOT(ISNUMBER(G602)),N(G602)&lt;=0)),"Opérateurs invalide","OK"))))))))))</f>
        <v/>
      </c>
      <c r="N602" s="71" t="str">
        <f>IF(AND(fiche_sel&lt;&gt;"",A602=fiche_sel),COUNTIF(A$6:A602,fiche_sel),"")</f>
        <v/>
      </c>
    </row>
    <row r="603">
      <c r="A603" s="60" t="n"/>
      <c r="B603" s="73" t="n"/>
      <c r="C603" s="60" t="n"/>
      <c r="D603" s="61" t="n"/>
      <c r="E603" s="74" t="n"/>
      <c r="F603" s="74" t="n"/>
      <c r="G603" s="73" t="n"/>
      <c r="H603" s="66" t="str">
        <f>IF(M603&lt;&gt;"OK","",INDEX(po_mo,MATCH(D603,po_code,0)))</f>
        <v/>
      </c>
      <c r="I603" s="66" t="str">
        <f>IF(M603&lt;&gt;"OK","",INDEX(po_mac,MATCH(D603,po_code,0)))</f>
        <v/>
      </c>
      <c r="J603" s="66" t="str">
        <f>IF(M603&lt;&gt;"OK","",N(E603)*(H603*IF(G603="",1,G603)+I603))</f>
        <v/>
      </c>
      <c r="K603" s="66" t="str">
        <f>IF(M603&lt;&gt;"OK","",N(F603)/60*H603*IF(G603="",1,G603))</f>
        <v/>
      </c>
      <c r="L603" s="66" t="str">
        <f>IF(M603&lt;&gt;"OK","",N(F603)/60*I603)</f>
        <v/>
      </c>
      <c r="M603" s="69" t="str">
        <f>IF(AND(A603="",D603=""),"",IF(A603="","Produit manquant",IF(COUNTIF(prod_ref,A603)=0,"Produit inconnu",IF(D603="","Poste manquant",IF(ISNA(MATCH(D603,po_code,0)),"Poste inconnu",IF(INDEX(po_check,MATCH(D603,po_code,0))&lt;&gt;"OK","Poste à corriger",IF(AND(E603&lt;&gt;"",OR(NOT(ISNUMBER(E603)),N(E603)&lt;0)),"Réglage invalide",IF(AND(F603&lt;&gt;"",OR(NOT(ISNUMBER(F603)),N(F603)&lt;0)),"Temps par pièce invalide",IF(N(E603)+N(F603)=0,"Temps manquant",IF(AND(G603&lt;&gt;"",OR(NOT(ISNUMBER(G603)),N(G603)&lt;=0)),"Opérateurs invalide","OK"))))))))))</f>
        <v/>
      </c>
      <c r="N603" s="71" t="str">
        <f>IF(AND(fiche_sel&lt;&gt;"",A603=fiche_sel),COUNTIF(A$6:A603,fiche_sel),"")</f>
        <v/>
      </c>
    </row>
    <row r="604">
      <c r="A604" s="60" t="n"/>
      <c r="B604" s="73" t="n"/>
      <c r="C604" s="60" t="n"/>
      <c r="D604" s="61" t="n"/>
      <c r="E604" s="74" t="n"/>
      <c r="F604" s="74" t="n"/>
      <c r="G604" s="73" t="n"/>
      <c r="H604" s="66" t="str">
        <f>IF(M604&lt;&gt;"OK","",INDEX(po_mo,MATCH(D604,po_code,0)))</f>
        <v/>
      </c>
      <c r="I604" s="66" t="str">
        <f>IF(M604&lt;&gt;"OK","",INDEX(po_mac,MATCH(D604,po_code,0)))</f>
        <v/>
      </c>
      <c r="J604" s="66" t="str">
        <f>IF(M604&lt;&gt;"OK","",N(E604)*(H604*IF(G604="",1,G604)+I604))</f>
        <v/>
      </c>
      <c r="K604" s="66" t="str">
        <f>IF(M604&lt;&gt;"OK","",N(F604)/60*H604*IF(G604="",1,G604))</f>
        <v/>
      </c>
      <c r="L604" s="66" t="str">
        <f>IF(M604&lt;&gt;"OK","",N(F604)/60*I604)</f>
        <v/>
      </c>
      <c r="M604" s="69" t="str">
        <f>IF(AND(A604="",D604=""),"",IF(A604="","Produit manquant",IF(COUNTIF(prod_ref,A604)=0,"Produit inconnu",IF(D604="","Poste manquant",IF(ISNA(MATCH(D604,po_code,0)),"Poste inconnu",IF(INDEX(po_check,MATCH(D604,po_code,0))&lt;&gt;"OK","Poste à corriger",IF(AND(E604&lt;&gt;"",OR(NOT(ISNUMBER(E604)),N(E604)&lt;0)),"Réglage invalide",IF(AND(F604&lt;&gt;"",OR(NOT(ISNUMBER(F604)),N(F604)&lt;0)),"Temps par pièce invalide",IF(N(E604)+N(F604)=0,"Temps manquant",IF(AND(G604&lt;&gt;"",OR(NOT(ISNUMBER(G604)),N(G604)&lt;=0)),"Opérateurs invalide","OK"))))))))))</f>
        <v/>
      </c>
      <c r="N604" s="71" t="str">
        <f>IF(AND(fiche_sel&lt;&gt;"",A604=fiche_sel),COUNTIF(A$6:A604,fiche_sel),"")</f>
        <v/>
      </c>
    </row>
    <row r="605">
      <c r="A605" s="60" t="n"/>
      <c r="B605" s="73" t="n"/>
      <c r="C605" s="60" t="n"/>
      <c r="D605" s="61" t="n"/>
      <c r="E605" s="74" t="n"/>
      <c r="F605" s="74" t="n"/>
      <c r="G605" s="73" t="n"/>
      <c r="H605" s="66" t="str">
        <f>IF(M605&lt;&gt;"OK","",INDEX(po_mo,MATCH(D605,po_code,0)))</f>
        <v/>
      </c>
      <c r="I605" s="66" t="str">
        <f>IF(M605&lt;&gt;"OK","",INDEX(po_mac,MATCH(D605,po_code,0)))</f>
        <v/>
      </c>
      <c r="J605" s="66" t="str">
        <f>IF(M605&lt;&gt;"OK","",N(E605)*(H605*IF(G605="",1,G605)+I605))</f>
        <v/>
      </c>
      <c r="K605" s="66" t="str">
        <f>IF(M605&lt;&gt;"OK","",N(F605)/60*H605*IF(G605="",1,G605))</f>
        <v/>
      </c>
      <c r="L605" s="66" t="str">
        <f>IF(M605&lt;&gt;"OK","",N(F605)/60*I605)</f>
        <v/>
      </c>
      <c r="M605" s="69" t="str">
        <f>IF(AND(A605="",D605=""),"",IF(A605="","Produit manquant",IF(COUNTIF(prod_ref,A605)=0,"Produit inconnu",IF(D605="","Poste manquant",IF(ISNA(MATCH(D605,po_code,0)),"Poste inconnu",IF(INDEX(po_check,MATCH(D605,po_code,0))&lt;&gt;"OK","Poste à corriger",IF(AND(E605&lt;&gt;"",OR(NOT(ISNUMBER(E605)),N(E605)&lt;0)),"Réglage invalide",IF(AND(F605&lt;&gt;"",OR(NOT(ISNUMBER(F605)),N(F605)&lt;0)),"Temps par pièce invalide",IF(N(E605)+N(F605)=0,"Temps manquant",IF(AND(G605&lt;&gt;"",OR(NOT(ISNUMBER(G605)),N(G605)&lt;=0)),"Opérateurs invalide","OK"))))))))))</f>
        <v/>
      </c>
      <c r="N605" s="71" t="str">
        <f>IF(AND(fiche_sel&lt;&gt;"",A605=fiche_sel),COUNTIF(A$6:A605,fiche_sel),"")</f>
        <v/>
      </c>
    </row>
    <row r="606">
      <c r="A606" s="60" t="n"/>
      <c r="B606" s="73" t="n"/>
      <c r="C606" s="60" t="n"/>
      <c r="D606" s="61" t="n"/>
      <c r="E606" s="74" t="n"/>
      <c r="F606" s="74" t="n"/>
      <c r="G606" s="73" t="n"/>
      <c r="H606" s="66" t="str">
        <f>IF(M606&lt;&gt;"OK","",INDEX(po_mo,MATCH(D606,po_code,0)))</f>
        <v/>
      </c>
      <c r="I606" s="66" t="str">
        <f>IF(M606&lt;&gt;"OK","",INDEX(po_mac,MATCH(D606,po_code,0)))</f>
        <v/>
      </c>
      <c r="J606" s="66" t="str">
        <f>IF(M606&lt;&gt;"OK","",N(E606)*(H606*IF(G606="",1,G606)+I606))</f>
        <v/>
      </c>
      <c r="K606" s="66" t="str">
        <f>IF(M606&lt;&gt;"OK","",N(F606)/60*H606*IF(G606="",1,G606))</f>
        <v/>
      </c>
      <c r="L606" s="66" t="str">
        <f>IF(M606&lt;&gt;"OK","",N(F606)/60*I606)</f>
        <v/>
      </c>
      <c r="M606" s="69" t="str">
        <f>IF(AND(A606="",D606=""),"",IF(A606="","Produit manquant",IF(COUNTIF(prod_ref,A606)=0,"Produit inconnu",IF(D606="","Poste manquant",IF(ISNA(MATCH(D606,po_code,0)),"Poste inconnu",IF(INDEX(po_check,MATCH(D606,po_code,0))&lt;&gt;"OK","Poste à corriger",IF(AND(E606&lt;&gt;"",OR(NOT(ISNUMBER(E606)),N(E606)&lt;0)),"Réglage invalide",IF(AND(F606&lt;&gt;"",OR(NOT(ISNUMBER(F606)),N(F606)&lt;0)),"Temps par pièce invalide",IF(N(E606)+N(F606)=0,"Temps manquant",IF(AND(G606&lt;&gt;"",OR(NOT(ISNUMBER(G606)),N(G606)&lt;=0)),"Opérateurs invalide","OK"))))))))))</f>
        <v/>
      </c>
      <c r="N606" s="71" t="str">
        <f>IF(AND(fiche_sel&lt;&gt;"",A606=fiche_sel),COUNTIF(A$6:A606,fiche_sel),"")</f>
        <v/>
      </c>
    </row>
    <row r="607">
      <c r="A607" s="60" t="n"/>
      <c r="B607" s="73" t="n"/>
      <c r="C607" s="60" t="n"/>
      <c r="D607" s="61" t="n"/>
      <c r="E607" s="74" t="n"/>
      <c r="F607" s="74" t="n"/>
      <c r="G607" s="73" t="n"/>
      <c r="H607" s="66" t="str">
        <f>IF(M607&lt;&gt;"OK","",INDEX(po_mo,MATCH(D607,po_code,0)))</f>
        <v/>
      </c>
      <c r="I607" s="66" t="str">
        <f>IF(M607&lt;&gt;"OK","",INDEX(po_mac,MATCH(D607,po_code,0)))</f>
        <v/>
      </c>
      <c r="J607" s="66" t="str">
        <f>IF(M607&lt;&gt;"OK","",N(E607)*(H607*IF(G607="",1,G607)+I607))</f>
        <v/>
      </c>
      <c r="K607" s="66" t="str">
        <f>IF(M607&lt;&gt;"OK","",N(F607)/60*H607*IF(G607="",1,G607))</f>
        <v/>
      </c>
      <c r="L607" s="66" t="str">
        <f>IF(M607&lt;&gt;"OK","",N(F607)/60*I607)</f>
        <v/>
      </c>
      <c r="M607" s="69" t="str">
        <f>IF(AND(A607="",D607=""),"",IF(A607="","Produit manquant",IF(COUNTIF(prod_ref,A607)=0,"Produit inconnu",IF(D607="","Poste manquant",IF(ISNA(MATCH(D607,po_code,0)),"Poste inconnu",IF(INDEX(po_check,MATCH(D607,po_code,0))&lt;&gt;"OK","Poste à corriger",IF(AND(E607&lt;&gt;"",OR(NOT(ISNUMBER(E607)),N(E607)&lt;0)),"Réglage invalide",IF(AND(F607&lt;&gt;"",OR(NOT(ISNUMBER(F607)),N(F607)&lt;0)),"Temps par pièce invalide",IF(N(E607)+N(F607)=0,"Temps manquant",IF(AND(G607&lt;&gt;"",OR(NOT(ISNUMBER(G607)),N(G607)&lt;=0)),"Opérateurs invalide","OK"))))))))))</f>
        <v/>
      </c>
      <c r="N607" s="71" t="str">
        <f>IF(AND(fiche_sel&lt;&gt;"",A607=fiche_sel),COUNTIF(A$6:A607,fiche_sel),"")</f>
        <v/>
      </c>
    </row>
    <row r="608">
      <c r="A608" s="60" t="n"/>
      <c r="B608" s="73" t="n"/>
      <c r="C608" s="60" t="n"/>
      <c r="D608" s="61" t="n"/>
      <c r="E608" s="74" t="n"/>
      <c r="F608" s="74" t="n"/>
      <c r="G608" s="73" t="n"/>
      <c r="H608" s="66" t="str">
        <f>IF(M608&lt;&gt;"OK","",INDEX(po_mo,MATCH(D608,po_code,0)))</f>
        <v/>
      </c>
      <c r="I608" s="66" t="str">
        <f>IF(M608&lt;&gt;"OK","",INDEX(po_mac,MATCH(D608,po_code,0)))</f>
        <v/>
      </c>
      <c r="J608" s="66" t="str">
        <f>IF(M608&lt;&gt;"OK","",N(E608)*(H608*IF(G608="",1,G608)+I608))</f>
        <v/>
      </c>
      <c r="K608" s="66" t="str">
        <f>IF(M608&lt;&gt;"OK","",N(F608)/60*H608*IF(G608="",1,G608))</f>
        <v/>
      </c>
      <c r="L608" s="66" t="str">
        <f>IF(M608&lt;&gt;"OK","",N(F608)/60*I608)</f>
        <v/>
      </c>
      <c r="M608" s="69" t="str">
        <f>IF(AND(A608="",D608=""),"",IF(A608="","Produit manquant",IF(COUNTIF(prod_ref,A608)=0,"Produit inconnu",IF(D608="","Poste manquant",IF(ISNA(MATCH(D608,po_code,0)),"Poste inconnu",IF(INDEX(po_check,MATCH(D608,po_code,0))&lt;&gt;"OK","Poste à corriger",IF(AND(E608&lt;&gt;"",OR(NOT(ISNUMBER(E608)),N(E608)&lt;0)),"Réglage invalide",IF(AND(F608&lt;&gt;"",OR(NOT(ISNUMBER(F608)),N(F608)&lt;0)),"Temps par pièce invalide",IF(N(E608)+N(F608)=0,"Temps manquant",IF(AND(G608&lt;&gt;"",OR(NOT(ISNUMBER(G608)),N(G608)&lt;=0)),"Opérateurs invalide","OK"))))))))))</f>
        <v/>
      </c>
      <c r="N608" s="71" t="str">
        <f>IF(AND(fiche_sel&lt;&gt;"",A608=fiche_sel),COUNTIF(A$6:A608,fiche_sel),"")</f>
        <v/>
      </c>
    </row>
    <row r="609">
      <c r="A609" s="60" t="n"/>
      <c r="B609" s="73" t="n"/>
      <c r="C609" s="60" t="n"/>
      <c r="D609" s="61" t="n"/>
      <c r="E609" s="74" t="n"/>
      <c r="F609" s="74" t="n"/>
      <c r="G609" s="73" t="n"/>
      <c r="H609" s="66" t="str">
        <f>IF(M609&lt;&gt;"OK","",INDEX(po_mo,MATCH(D609,po_code,0)))</f>
        <v/>
      </c>
      <c r="I609" s="66" t="str">
        <f>IF(M609&lt;&gt;"OK","",INDEX(po_mac,MATCH(D609,po_code,0)))</f>
        <v/>
      </c>
      <c r="J609" s="66" t="str">
        <f>IF(M609&lt;&gt;"OK","",N(E609)*(H609*IF(G609="",1,G609)+I609))</f>
        <v/>
      </c>
      <c r="K609" s="66" t="str">
        <f>IF(M609&lt;&gt;"OK","",N(F609)/60*H609*IF(G609="",1,G609))</f>
        <v/>
      </c>
      <c r="L609" s="66" t="str">
        <f>IF(M609&lt;&gt;"OK","",N(F609)/60*I609)</f>
        <v/>
      </c>
      <c r="M609" s="69" t="str">
        <f>IF(AND(A609="",D609=""),"",IF(A609="","Produit manquant",IF(COUNTIF(prod_ref,A609)=0,"Produit inconnu",IF(D609="","Poste manquant",IF(ISNA(MATCH(D609,po_code,0)),"Poste inconnu",IF(INDEX(po_check,MATCH(D609,po_code,0))&lt;&gt;"OK","Poste à corriger",IF(AND(E609&lt;&gt;"",OR(NOT(ISNUMBER(E609)),N(E609)&lt;0)),"Réglage invalide",IF(AND(F609&lt;&gt;"",OR(NOT(ISNUMBER(F609)),N(F609)&lt;0)),"Temps par pièce invalide",IF(N(E609)+N(F609)=0,"Temps manquant",IF(AND(G609&lt;&gt;"",OR(NOT(ISNUMBER(G609)),N(G609)&lt;=0)),"Opérateurs invalide","OK"))))))))))</f>
        <v/>
      </c>
      <c r="N609" s="71" t="str">
        <f>IF(AND(fiche_sel&lt;&gt;"",A609=fiche_sel),COUNTIF(A$6:A609,fiche_sel),"")</f>
        <v/>
      </c>
    </row>
    <row r="610">
      <c r="A610" s="60" t="n"/>
      <c r="B610" s="73" t="n"/>
      <c r="C610" s="60" t="n"/>
      <c r="D610" s="61" t="n"/>
      <c r="E610" s="74" t="n"/>
      <c r="F610" s="74" t="n"/>
      <c r="G610" s="73" t="n"/>
      <c r="H610" s="66" t="str">
        <f>IF(M610&lt;&gt;"OK","",INDEX(po_mo,MATCH(D610,po_code,0)))</f>
        <v/>
      </c>
      <c r="I610" s="66" t="str">
        <f>IF(M610&lt;&gt;"OK","",INDEX(po_mac,MATCH(D610,po_code,0)))</f>
        <v/>
      </c>
      <c r="J610" s="66" t="str">
        <f>IF(M610&lt;&gt;"OK","",N(E610)*(H610*IF(G610="",1,G610)+I610))</f>
        <v/>
      </c>
      <c r="K610" s="66" t="str">
        <f>IF(M610&lt;&gt;"OK","",N(F610)/60*H610*IF(G610="",1,G610))</f>
        <v/>
      </c>
      <c r="L610" s="66" t="str">
        <f>IF(M610&lt;&gt;"OK","",N(F610)/60*I610)</f>
        <v/>
      </c>
      <c r="M610" s="69" t="str">
        <f>IF(AND(A610="",D610=""),"",IF(A610="","Produit manquant",IF(COUNTIF(prod_ref,A610)=0,"Produit inconnu",IF(D610="","Poste manquant",IF(ISNA(MATCH(D610,po_code,0)),"Poste inconnu",IF(INDEX(po_check,MATCH(D610,po_code,0))&lt;&gt;"OK","Poste à corriger",IF(AND(E610&lt;&gt;"",OR(NOT(ISNUMBER(E610)),N(E610)&lt;0)),"Réglage invalide",IF(AND(F610&lt;&gt;"",OR(NOT(ISNUMBER(F610)),N(F610)&lt;0)),"Temps par pièce invalide",IF(N(E610)+N(F610)=0,"Temps manquant",IF(AND(G610&lt;&gt;"",OR(NOT(ISNUMBER(G610)),N(G610)&lt;=0)),"Opérateurs invalide","OK"))))))))))</f>
        <v/>
      </c>
      <c r="N610" s="71" t="str">
        <f>IF(AND(fiche_sel&lt;&gt;"",A610=fiche_sel),COUNTIF(A$6:A610,fiche_sel),"")</f>
        <v/>
      </c>
    </row>
    <row r="611">
      <c r="A611" s="60" t="n"/>
      <c r="B611" s="73" t="n"/>
      <c r="C611" s="60" t="n"/>
      <c r="D611" s="61" t="n"/>
      <c r="E611" s="74" t="n"/>
      <c r="F611" s="74" t="n"/>
      <c r="G611" s="73" t="n"/>
      <c r="H611" s="66" t="str">
        <f>IF(M611&lt;&gt;"OK","",INDEX(po_mo,MATCH(D611,po_code,0)))</f>
        <v/>
      </c>
      <c r="I611" s="66" t="str">
        <f>IF(M611&lt;&gt;"OK","",INDEX(po_mac,MATCH(D611,po_code,0)))</f>
        <v/>
      </c>
      <c r="J611" s="66" t="str">
        <f>IF(M611&lt;&gt;"OK","",N(E611)*(H611*IF(G611="",1,G611)+I611))</f>
        <v/>
      </c>
      <c r="K611" s="66" t="str">
        <f>IF(M611&lt;&gt;"OK","",N(F611)/60*H611*IF(G611="",1,G611))</f>
        <v/>
      </c>
      <c r="L611" s="66" t="str">
        <f>IF(M611&lt;&gt;"OK","",N(F611)/60*I611)</f>
        <v/>
      </c>
      <c r="M611" s="69" t="str">
        <f>IF(AND(A611="",D611=""),"",IF(A611="","Produit manquant",IF(COUNTIF(prod_ref,A611)=0,"Produit inconnu",IF(D611="","Poste manquant",IF(ISNA(MATCH(D611,po_code,0)),"Poste inconnu",IF(INDEX(po_check,MATCH(D611,po_code,0))&lt;&gt;"OK","Poste à corriger",IF(AND(E611&lt;&gt;"",OR(NOT(ISNUMBER(E611)),N(E611)&lt;0)),"Réglage invalide",IF(AND(F611&lt;&gt;"",OR(NOT(ISNUMBER(F611)),N(F611)&lt;0)),"Temps par pièce invalide",IF(N(E611)+N(F611)=0,"Temps manquant",IF(AND(G611&lt;&gt;"",OR(NOT(ISNUMBER(G611)),N(G611)&lt;=0)),"Opérateurs invalide","OK"))))))))))</f>
        <v/>
      </c>
      <c r="N611" s="71" t="str">
        <f>IF(AND(fiche_sel&lt;&gt;"",A611=fiche_sel),COUNTIF(A$6:A611,fiche_sel),"")</f>
        <v/>
      </c>
    </row>
    <row r="612">
      <c r="A612" s="60" t="n"/>
      <c r="B612" s="73" t="n"/>
      <c r="C612" s="60" t="n"/>
      <c r="D612" s="61" t="n"/>
      <c r="E612" s="74" t="n"/>
      <c r="F612" s="74" t="n"/>
      <c r="G612" s="73" t="n"/>
      <c r="H612" s="66" t="str">
        <f>IF(M612&lt;&gt;"OK","",INDEX(po_mo,MATCH(D612,po_code,0)))</f>
        <v/>
      </c>
      <c r="I612" s="66" t="str">
        <f>IF(M612&lt;&gt;"OK","",INDEX(po_mac,MATCH(D612,po_code,0)))</f>
        <v/>
      </c>
      <c r="J612" s="66" t="str">
        <f>IF(M612&lt;&gt;"OK","",N(E612)*(H612*IF(G612="",1,G612)+I612))</f>
        <v/>
      </c>
      <c r="K612" s="66" t="str">
        <f>IF(M612&lt;&gt;"OK","",N(F612)/60*H612*IF(G612="",1,G612))</f>
        <v/>
      </c>
      <c r="L612" s="66" t="str">
        <f>IF(M612&lt;&gt;"OK","",N(F612)/60*I612)</f>
        <v/>
      </c>
      <c r="M612" s="69" t="str">
        <f>IF(AND(A612="",D612=""),"",IF(A612="","Produit manquant",IF(COUNTIF(prod_ref,A612)=0,"Produit inconnu",IF(D612="","Poste manquant",IF(ISNA(MATCH(D612,po_code,0)),"Poste inconnu",IF(INDEX(po_check,MATCH(D612,po_code,0))&lt;&gt;"OK","Poste à corriger",IF(AND(E612&lt;&gt;"",OR(NOT(ISNUMBER(E612)),N(E612)&lt;0)),"Réglage invalide",IF(AND(F612&lt;&gt;"",OR(NOT(ISNUMBER(F612)),N(F612)&lt;0)),"Temps par pièce invalide",IF(N(E612)+N(F612)=0,"Temps manquant",IF(AND(G612&lt;&gt;"",OR(NOT(ISNUMBER(G612)),N(G612)&lt;=0)),"Opérateurs invalide","OK"))))))))))</f>
        <v/>
      </c>
      <c r="N612" s="71" t="str">
        <f>IF(AND(fiche_sel&lt;&gt;"",A612=fiche_sel),COUNTIF(A$6:A612,fiche_sel),"")</f>
        <v/>
      </c>
    </row>
    <row r="613">
      <c r="A613" s="60" t="n"/>
      <c r="B613" s="73" t="n"/>
      <c r="C613" s="60" t="n"/>
      <c r="D613" s="61" t="n"/>
      <c r="E613" s="74" t="n"/>
      <c r="F613" s="74" t="n"/>
      <c r="G613" s="73" t="n"/>
      <c r="H613" s="66" t="str">
        <f>IF(M613&lt;&gt;"OK","",INDEX(po_mo,MATCH(D613,po_code,0)))</f>
        <v/>
      </c>
      <c r="I613" s="66" t="str">
        <f>IF(M613&lt;&gt;"OK","",INDEX(po_mac,MATCH(D613,po_code,0)))</f>
        <v/>
      </c>
      <c r="J613" s="66" t="str">
        <f>IF(M613&lt;&gt;"OK","",N(E613)*(H613*IF(G613="",1,G613)+I613))</f>
        <v/>
      </c>
      <c r="K613" s="66" t="str">
        <f>IF(M613&lt;&gt;"OK","",N(F613)/60*H613*IF(G613="",1,G613))</f>
        <v/>
      </c>
      <c r="L613" s="66" t="str">
        <f>IF(M613&lt;&gt;"OK","",N(F613)/60*I613)</f>
        <v/>
      </c>
      <c r="M613" s="69" t="str">
        <f>IF(AND(A613="",D613=""),"",IF(A613="","Produit manquant",IF(COUNTIF(prod_ref,A613)=0,"Produit inconnu",IF(D613="","Poste manquant",IF(ISNA(MATCH(D613,po_code,0)),"Poste inconnu",IF(INDEX(po_check,MATCH(D613,po_code,0))&lt;&gt;"OK","Poste à corriger",IF(AND(E613&lt;&gt;"",OR(NOT(ISNUMBER(E613)),N(E613)&lt;0)),"Réglage invalide",IF(AND(F613&lt;&gt;"",OR(NOT(ISNUMBER(F613)),N(F613)&lt;0)),"Temps par pièce invalide",IF(N(E613)+N(F613)=0,"Temps manquant",IF(AND(G613&lt;&gt;"",OR(NOT(ISNUMBER(G613)),N(G613)&lt;=0)),"Opérateurs invalide","OK"))))))))))</f>
        <v/>
      </c>
      <c r="N613" s="71" t="str">
        <f>IF(AND(fiche_sel&lt;&gt;"",A613=fiche_sel),COUNTIF(A$6:A613,fiche_sel),"")</f>
        <v/>
      </c>
    </row>
    <row r="614">
      <c r="A614" s="60" t="n"/>
      <c r="B614" s="73" t="n"/>
      <c r="C614" s="60" t="n"/>
      <c r="D614" s="61" t="n"/>
      <c r="E614" s="74" t="n"/>
      <c r="F614" s="74" t="n"/>
      <c r="G614" s="73" t="n"/>
      <c r="H614" s="66" t="str">
        <f>IF(M614&lt;&gt;"OK","",INDEX(po_mo,MATCH(D614,po_code,0)))</f>
        <v/>
      </c>
      <c r="I614" s="66" t="str">
        <f>IF(M614&lt;&gt;"OK","",INDEX(po_mac,MATCH(D614,po_code,0)))</f>
        <v/>
      </c>
      <c r="J614" s="66" t="str">
        <f>IF(M614&lt;&gt;"OK","",N(E614)*(H614*IF(G614="",1,G614)+I614))</f>
        <v/>
      </c>
      <c r="K614" s="66" t="str">
        <f>IF(M614&lt;&gt;"OK","",N(F614)/60*H614*IF(G614="",1,G614))</f>
        <v/>
      </c>
      <c r="L614" s="66" t="str">
        <f>IF(M614&lt;&gt;"OK","",N(F614)/60*I614)</f>
        <v/>
      </c>
      <c r="M614" s="69" t="str">
        <f>IF(AND(A614="",D614=""),"",IF(A614="","Produit manquant",IF(COUNTIF(prod_ref,A614)=0,"Produit inconnu",IF(D614="","Poste manquant",IF(ISNA(MATCH(D614,po_code,0)),"Poste inconnu",IF(INDEX(po_check,MATCH(D614,po_code,0))&lt;&gt;"OK","Poste à corriger",IF(AND(E614&lt;&gt;"",OR(NOT(ISNUMBER(E614)),N(E614)&lt;0)),"Réglage invalide",IF(AND(F614&lt;&gt;"",OR(NOT(ISNUMBER(F614)),N(F614)&lt;0)),"Temps par pièce invalide",IF(N(E614)+N(F614)=0,"Temps manquant",IF(AND(G614&lt;&gt;"",OR(NOT(ISNUMBER(G614)),N(G614)&lt;=0)),"Opérateurs invalide","OK"))))))))))</f>
        <v/>
      </c>
      <c r="N614" s="71" t="str">
        <f>IF(AND(fiche_sel&lt;&gt;"",A614=fiche_sel),COUNTIF(A$6:A614,fiche_sel),"")</f>
        <v/>
      </c>
    </row>
    <row r="615">
      <c r="A615" s="60" t="n"/>
      <c r="B615" s="73" t="n"/>
      <c r="C615" s="60" t="n"/>
      <c r="D615" s="61" t="n"/>
      <c r="E615" s="74" t="n"/>
      <c r="F615" s="74" t="n"/>
      <c r="G615" s="73" t="n"/>
      <c r="H615" s="66" t="str">
        <f>IF(M615&lt;&gt;"OK","",INDEX(po_mo,MATCH(D615,po_code,0)))</f>
        <v/>
      </c>
      <c r="I615" s="66" t="str">
        <f>IF(M615&lt;&gt;"OK","",INDEX(po_mac,MATCH(D615,po_code,0)))</f>
        <v/>
      </c>
      <c r="J615" s="66" t="str">
        <f>IF(M615&lt;&gt;"OK","",N(E615)*(H615*IF(G615="",1,G615)+I615))</f>
        <v/>
      </c>
      <c r="K615" s="66" t="str">
        <f>IF(M615&lt;&gt;"OK","",N(F615)/60*H615*IF(G615="",1,G615))</f>
        <v/>
      </c>
      <c r="L615" s="66" t="str">
        <f>IF(M615&lt;&gt;"OK","",N(F615)/60*I615)</f>
        <v/>
      </c>
      <c r="M615" s="69" t="str">
        <f>IF(AND(A615="",D615=""),"",IF(A615="","Produit manquant",IF(COUNTIF(prod_ref,A615)=0,"Produit inconnu",IF(D615="","Poste manquant",IF(ISNA(MATCH(D615,po_code,0)),"Poste inconnu",IF(INDEX(po_check,MATCH(D615,po_code,0))&lt;&gt;"OK","Poste à corriger",IF(AND(E615&lt;&gt;"",OR(NOT(ISNUMBER(E615)),N(E615)&lt;0)),"Réglage invalide",IF(AND(F615&lt;&gt;"",OR(NOT(ISNUMBER(F615)),N(F615)&lt;0)),"Temps par pièce invalide",IF(N(E615)+N(F615)=0,"Temps manquant",IF(AND(G615&lt;&gt;"",OR(NOT(ISNUMBER(G615)),N(G615)&lt;=0)),"Opérateurs invalide","OK"))))))))))</f>
        <v/>
      </c>
      <c r="N615" s="71" t="str">
        <f>IF(AND(fiche_sel&lt;&gt;"",A615=fiche_sel),COUNTIF(A$6:A615,fiche_sel),"")</f>
        <v/>
      </c>
    </row>
    <row r="616">
      <c r="A616" s="60" t="n"/>
      <c r="B616" s="73" t="n"/>
      <c r="C616" s="60" t="n"/>
      <c r="D616" s="61" t="n"/>
      <c r="E616" s="74" t="n"/>
      <c r="F616" s="74" t="n"/>
      <c r="G616" s="73" t="n"/>
      <c r="H616" s="66" t="str">
        <f>IF(M616&lt;&gt;"OK","",INDEX(po_mo,MATCH(D616,po_code,0)))</f>
        <v/>
      </c>
      <c r="I616" s="66" t="str">
        <f>IF(M616&lt;&gt;"OK","",INDEX(po_mac,MATCH(D616,po_code,0)))</f>
        <v/>
      </c>
      <c r="J616" s="66" t="str">
        <f>IF(M616&lt;&gt;"OK","",N(E616)*(H616*IF(G616="",1,G616)+I616))</f>
        <v/>
      </c>
      <c r="K616" s="66" t="str">
        <f>IF(M616&lt;&gt;"OK","",N(F616)/60*H616*IF(G616="",1,G616))</f>
        <v/>
      </c>
      <c r="L616" s="66" t="str">
        <f>IF(M616&lt;&gt;"OK","",N(F616)/60*I616)</f>
        <v/>
      </c>
      <c r="M616" s="69" t="str">
        <f>IF(AND(A616="",D616=""),"",IF(A616="","Produit manquant",IF(COUNTIF(prod_ref,A616)=0,"Produit inconnu",IF(D616="","Poste manquant",IF(ISNA(MATCH(D616,po_code,0)),"Poste inconnu",IF(INDEX(po_check,MATCH(D616,po_code,0))&lt;&gt;"OK","Poste à corriger",IF(AND(E616&lt;&gt;"",OR(NOT(ISNUMBER(E616)),N(E616)&lt;0)),"Réglage invalide",IF(AND(F616&lt;&gt;"",OR(NOT(ISNUMBER(F616)),N(F616)&lt;0)),"Temps par pièce invalide",IF(N(E616)+N(F616)=0,"Temps manquant",IF(AND(G616&lt;&gt;"",OR(NOT(ISNUMBER(G616)),N(G616)&lt;=0)),"Opérateurs invalide","OK"))))))))))</f>
        <v/>
      </c>
      <c r="N616" s="71" t="str">
        <f>IF(AND(fiche_sel&lt;&gt;"",A616=fiche_sel),COUNTIF(A$6:A616,fiche_sel),"")</f>
        <v/>
      </c>
    </row>
    <row r="617">
      <c r="A617" s="60" t="n"/>
      <c r="B617" s="73" t="n"/>
      <c r="C617" s="60" t="n"/>
      <c r="D617" s="61" t="n"/>
      <c r="E617" s="74" t="n"/>
      <c r="F617" s="74" t="n"/>
      <c r="G617" s="73" t="n"/>
      <c r="H617" s="66" t="str">
        <f>IF(M617&lt;&gt;"OK","",INDEX(po_mo,MATCH(D617,po_code,0)))</f>
        <v/>
      </c>
      <c r="I617" s="66" t="str">
        <f>IF(M617&lt;&gt;"OK","",INDEX(po_mac,MATCH(D617,po_code,0)))</f>
        <v/>
      </c>
      <c r="J617" s="66" t="str">
        <f>IF(M617&lt;&gt;"OK","",N(E617)*(H617*IF(G617="",1,G617)+I617))</f>
        <v/>
      </c>
      <c r="K617" s="66" t="str">
        <f>IF(M617&lt;&gt;"OK","",N(F617)/60*H617*IF(G617="",1,G617))</f>
        <v/>
      </c>
      <c r="L617" s="66" t="str">
        <f>IF(M617&lt;&gt;"OK","",N(F617)/60*I617)</f>
        <v/>
      </c>
      <c r="M617" s="69" t="str">
        <f>IF(AND(A617="",D617=""),"",IF(A617="","Produit manquant",IF(COUNTIF(prod_ref,A617)=0,"Produit inconnu",IF(D617="","Poste manquant",IF(ISNA(MATCH(D617,po_code,0)),"Poste inconnu",IF(INDEX(po_check,MATCH(D617,po_code,0))&lt;&gt;"OK","Poste à corriger",IF(AND(E617&lt;&gt;"",OR(NOT(ISNUMBER(E617)),N(E617)&lt;0)),"Réglage invalide",IF(AND(F617&lt;&gt;"",OR(NOT(ISNUMBER(F617)),N(F617)&lt;0)),"Temps par pièce invalide",IF(N(E617)+N(F617)=0,"Temps manquant",IF(AND(G617&lt;&gt;"",OR(NOT(ISNUMBER(G617)),N(G617)&lt;=0)),"Opérateurs invalide","OK"))))))))))</f>
        <v/>
      </c>
      <c r="N617" s="71" t="str">
        <f>IF(AND(fiche_sel&lt;&gt;"",A617=fiche_sel),COUNTIF(A$6:A617,fiche_sel),"")</f>
        <v/>
      </c>
    </row>
    <row r="618">
      <c r="A618" s="60" t="n"/>
      <c r="B618" s="73" t="n"/>
      <c r="C618" s="60" t="n"/>
      <c r="D618" s="61" t="n"/>
      <c r="E618" s="74" t="n"/>
      <c r="F618" s="74" t="n"/>
      <c r="G618" s="73" t="n"/>
      <c r="H618" s="66" t="str">
        <f>IF(M618&lt;&gt;"OK","",INDEX(po_mo,MATCH(D618,po_code,0)))</f>
        <v/>
      </c>
      <c r="I618" s="66" t="str">
        <f>IF(M618&lt;&gt;"OK","",INDEX(po_mac,MATCH(D618,po_code,0)))</f>
        <v/>
      </c>
      <c r="J618" s="66" t="str">
        <f>IF(M618&lt;&gt;"OK","",N(E618)*(H618*IF(G618="",1,G618)+I618))</f>
        <v/>
      </c>
      <c r="K618" s="66" t="str">
        <f>IF(M618&lt;&gt;"OK","",N(F618)/60*H618*IF(G618="",1,G618))</f>
        <v/>
      </c>
      <c r="L618" s="66" t="str">
        <f>IF(M618&lt;&gt;"OK","",N(F618)/60*I618)</f>
        <v/>
      </c>
      <c r="M618" s="69" t="str">
        <f>IF(AND(A618="",D618=""),"",IF(A618="","Produit manquant",IF(COUNTIF(prod_ref,A618)=0,"Produit inconnu",IF(D618="","Poste manquant",IF(ISNA(MATCH(D618,po_code,0)),"Poste inconnu",IF(INDEX(po_check,MATCH(D618,po_code,0))&lt;&gt;"OK","Poste à corriger",IF(AND(E618&lt;&gt;"",OR(NOT(ISNUMBER(E618)),N(E618)&lt;0)),"Réglage invalide",IF(AND(F618&lt;&gt;"",OR(NOT(ISNUMBER(F618)),N(F618)&lt;0)),"Temps par pièce invalide",IF(N(E618)+N(F618)=0,"Temps manquant",IF(AND(G618&lt;&gt;"",OR(NOT(ISNUMBER(G618)),N(G618)&lt;=0)),"Opérateurs invalide","OK"))))))))))</f>
        <v/>
      </c>
      <c r="N618" s="71" t="str">
        <f>IF(AND(fiche_sel&lt;&gt;"",A618=fiche_sel),COUNTIF(A$6:A618,fiche_sel),"")</f>
        <v/>
      </c>
    </row>
    <row r="619">
      <c r="A619" s="60" t="n"/>
      <c r="B619" s="73" t="n"/>
      <c r="C619" s="60" t="n"/>
      <c r="D619" s="61" t="n"/>
      <c r="E619" s="74" t="n"/>
      <c r="F619" s="74" t="n"/>
      <c r="G619" s="73" t="n"/>
      <c r="H619" s="66" t="str">
        <f>IF(M619&lt;&gt;"OK","",INDEX(po_mo,MATCH(D619,po_code,0)))</f>
        <v/>
      </c>
      <c r="I619" s="66" t="str">
        <f>IF(M619&lt;&gt;"OK","",INDEX(po_mac,MATCH(D619,po_code,0)))</f>
        <v/>
      </c>
      <c r="J619" s="66" t="str">
        <f>IF(M619&lt;&gt;"OK","",N(E619)*(H619*IF(G619="",1,G619)+I619))</f>
        <v/>
      </c>
      <c r="K619" s="66" t="str">
        <f>IF(M619&lt;&gt;"OK","",N(F619)/60*H619*IF(G619="",1,G619))</f>
        <v/>
      </c>
      <c r="L619" s="66" t="str">
        <f>IF(M619&lt;&gt;"OK","",N(F619)/60*I619)</f>
        <v/>
      </c>
      <c r="M619" s="69" t="str">
        <f>IF(AND(A619="",D619=""),"",IF(A619="","Produit manquant",IF(COUNTIF(prod_ref,A619)=0,"Produit inconnu",IF(D619="","Poste manquant",IF(ISNA(MATCH(D619,po_code,0)),"Poste inconnu",IF(INDEX(po_check,MATCH(D619,po_code,0))&lt;&gt;"OK","Poste à corriger",IF(AND(E619&lt;&gt;"",OR(NOT(ISNUMBER(E619)),N(E619)&lt;0)),"Réglage invalide",IF(AND(F619&lt;&gt;"",OR(NOT(ISNUMBER(F619)),N(F619)&lt;0)),"Temps par pièce invalide",IF(N(E619)+N(F619)=0,"Temps manquant",IF(AND(G619&lt;&gt;"",OR(NOT(ISNUMBER(G619)),N(G619)&lt;=0)),"Opérateurs invalide","OK"))))))))))</f>
        <v/>
      </c>
      <c r="N619" s="71" t="str">
        <f>IF(AND(fiche_sel&lt;&gt;"",A619=fiche_sel),COUNTIF(A$6:A619,fiche_sel),"")</f>
        <v/>
      </c>
    </row>
    <row r="620">
      <c r="A620" s="60" t="n"/>
      <c r="B620" s="73" t="n"/>
      <c r="C620" s="60" t="n"/>
      <c r="D620" s="61" t="n"/>
      <c r="E620" s="74" t="n"/>
      <c r="F620" s="74" t="n"/>
      <c r="G620" s="73" t="n"/>
      <c r="H620" s="66" t="str">
        <f>IF(M620&lt;&gt;"OK","",INDEX(po_mo,MATCH(D620,po_code,0)))</f>
        <v/>
      </c>
      <c r="I620" s="66" t="str">
        <f>IF(M620&lt;&gt;"OK","",INDEX(po_mac,MATCH(D620,po_code,0)))</f>
        <v/>
      </c>
      <c r="J620" s="66" t="str">
        <f>IF(M620&lt;&gt;"OK","",N(E620)*(H620*IF(G620="",1,G620)+I620))</f>
        <v/>
      </c>
      <c r="K620" s="66" t="str">
        <f>IF(M620&lt;&gt;"OK","",N(F620)/60*H620*IF(G620="",1,G620))</f>
        <v/>
      </c>
      <c r="L620" s="66" t="str">
        <f>IF(M620&lt;&gt;"OK","",N(F620)/60*I620)</f>
        <v/>
      </c>
      <c r="M620" s="69" t="str">
        <f>IF(AND(A620="",D620=""),"",IF(A620="","Produit manquant",IF(COUNTIF(prod_ref,A620)=0,"Produit inconnu",IF(D620="","Poste manquant",IF(ISNA(MATCH(D620,po_code,0)),"Poste inconnu",IF(INDEX(po_check,MATCH(D620,po_code,0))&lt;&gt;"OK","Poste à corriger",IF(AND(E620&lt;&gt;"",OR(NOT(ISNUMBER(E620)),N(E620)&lt;0)),"Réglage invalide",IF(AND(F620&lt;&gt;"",OR(NOT(ISNUMBER(F620)),N(F620)&lt;0)),"Temps par pièce invalide",IF(N(E620)+N(F620)=0,"Temps manquant",IF(AND(G620&lt;&gt;"",OR(NOT(ISNUMBER(G620)),N(G620)&lt;=0)),"Opérateurs invalide","OK"))))))))))</f>
        <v/>
      </c>
      <c r="N620" s="71" t="str">
        <f>IF(AND(fiche_sel&lt;&gt;"",A620=fiche_sel),COUNTIF(A$6:A620,fiche_sel),"")</f>
        <v/>
      </c>
    </row>
    <row r="621">
      <c r="A621" s="60" t="n"/>
      <c r="B621" s="73" t="n"/>
      <c r="C621" s="60" t="n"/>
      <c r="D621" s="61" t="n"/>
      <c r="E621" s="74" t="n"/>
      <c r="F621" s="74" t="n"/>
      <c r="G621" s="73" t="n"/>
      <c r="H621" s="66" t="str">
        <f>IF(M621&lt;&gt;"OK","",INDEX(po_mo,MATCH(D621,po_code,0)))</f>
        <v/>
      </c>
      <c r="I621" s="66" t="str">
        <f>IF(M621&lt;&gt;"OK","",INDEX(po_mac,MATCH(D621,po_code,0)))</f>
        <v/>
      </c>
      <c r="J621" s="66" t="str">
        <f>IF(M621&lt;&gt;"OK","",N(E621)*(H621*IF(G621="",1,G621)+I621))</f>
        <v/>
      </c>
      <c r="K621" s="66" t="str">
        <f>IF(M621&lt;&gt;"OK","",N(F621)/60*H621*IF(G621="",1,G621))</f>
        <v/>
      </c>
      <c r="L621" s="66" t="str">
        <f>IF(M621&lt;&gt;"OK","",N(F621)/60*I621)</f>
        <v/>
      </c>
      <c r="M621" s="69" t="str">
        <f>IF(AND(A621="",D621=""),"",IF(A621="","Produit manquant",IF(COUNTIF(prod_ref,A621)=0,"Produit inconnu",IF(D621="","Poste manquant",IF(ISNA(MATCH(D621,po_code,0)),"Poste inconnu",IF(INDEX(po_check,MATCH(D621,po_code,0))&lt;&gt;"OK","Poste à corriger",IF(AND(E621&lt;&gt;"",OR(NOT(ISNUMBER(E621)),N(E621)&lt;0)),"Réglage invalide",IF(AND(F621&lt;&gt;"",OR(NOT(ISNUMBER(F621)),N(F621)&lt;0)),"Temps par pièce invalide",IF(N(E621)+N(F621)=0,"Temps manquant",IF(AND(G621&lt;&gt;"",OR(NOT(ISNUMBER(G621)),N(G621)&lt;=0)),"Opérateurs invalide","OK"))))))))))</f>
        <v/>
      </c>
      <c r="N621" s="71" t="str">
        <f>IF(AND(fiche_sel&lt;&gt;"",A621=fiche_sel),COUNTIF(A$6:A621,fiche_sel),"")</f>
        <v/>
      </c>
    </row>
    <row r="622">
      <c r="A622" s="60" t="n"/>
      <c r="B622" s="73" t="n"/>
      <c r="C622" s="60" t="n"/>
      <c r="D622" s="61" t="n"/>
      <c r="E622" s="74" t="n"/>
      <c r="F622" s="74" t="n"/>
      <c r="G622" s="73" t="n"/>
      <c r="H622" s="66" t="str">
        <f>IF(M622&lt;&gt;"OK","",INDEX(po_mo,MATCH(D622,po_code,0)))</f>
        <v/>
      </c>
      <c r="I622" s="66" t="str">
        <f>IF(M622&lt;&gt;"OK","",INDEX(po_mac,MATCH(D622,po_code,0)))</f>
        <v/>
      </c>
      <c r="J622" s="66" t="str">
        <f>IF(M622&lt;&gt;"OK","",N(E622)*(H622*IF(G622="",1,G622)+I622))</f>
        <v/>
      </c>
      <c r="K622" s="66" t="str">
        <f>IF(M622&lt;&gt;"OK","",N(F622)/60*H622*IF(G622="",1,G622))</f>
        <v/>
      </c>
      <c r="L622" s="66" t="str">
        <f>IF(M622&lt;&gt;"OK","",N(F622)/60*I622)</f>
        <v/>
      </c>
      <c r="M622" s="69" t="str">
        <f>IF(AND(A622="",D622=""),"",IF(A622="","Produit manquant",IF(COUNTIF(prod_ref,A622)=0,"Produit inconnu",IF(D622="","Poste manquant",IF(ISNA(MATCH(D622,po_code,0)),"Poste inconnu",IF(INDEX(po_check,MATCH(D622,po_code,0))&lt;&gt;"OK","Poste à corriger",IF(AND(E622&lt;&gt;"",OR(NOT(ISNUMBER(E622)),N(E622)&lt;0)),"Réglage invalide",IF(AND(F622&lt;&gt;"",OR(NOT(ISNUMBER(F622)),N(F622)&lt;0)),"Temps par pièce invalide",IF(N(E622)+N(F622)=0,"Temps manquant",IF(AND(G622&lt;&gt;"",OR(NOT(ISNUMBER(G622)),N(G622)&lt;=0)),"Opérateurs invalide","OK"))))))))))</f>
        <v/>
      </c>
      <c r="N622" s="71" t="str">
        <f>IF(AND(fiche_sel&lt;&gt;"",A622=fiche_sel),COUNTIF(A$6:A622,fiche_sel),"")</f>
        <v/>
      </c>
    </row>
    <row r="623">
      <c r="A623" s="60" t="n"/>
      <c r="B623" s="73" t="n"/>
      <c r="C623" s="60" t="n"/>
      <c r="D623" s="61" t="n"/>
      <c r="E623" s="74" t="n"/>
      <c r="F623" s="74" t="n"/>
      <c r="G623" s="73" t="n"/>
      <c r="H623" s="66" t="str">
        <f>IF(M623&lt;&gt;"OK","",INDEX(po_mo,MATCH(D623,po_code,0)))</f>
        <v/>
      </c>
      <c r="I623" s="66" t="str">
        <f>IF(M623&lt;&gt;"OK","",INDEX(po_mac,MATCH(D623,po_code,0)))</f>
        <v/>
      </c>
      <c r="J623" s="66" t="str">
        <f>IF(M623&lt;&gt;"OK","",N(E623)*(H623*IF(G623="",1,G623)+I623))</f>
        <v/>
      </c>
      <c r="K623" s="66" t="str">
        <f>IF(M623&lt;&gt;"OK","",N(F623)/60*H623*IF(G623="",1,G623))</f>
        <v/>
      </c>
      <c r="L623" s="66" t="str">
        <f>IF(M623&lt;&gt;"OK","",N(F623)/60*I623)</f>
        <v/>
      </c>
      <c r="M623" s="69" t="str">
        <f>IF(AND(A623="",D623=""),"",IF(A623="","Produit manquant",IF(COUNTIF(prod_ref,A623)=0,"Produit inconnu",IF(D623="","Poste manquant",IF(ISNA(MATCH(D623,po_code,0)),"Poste inconnu",IF(INDEX(po_check,MATCH(D623,po_code,0))&lt;&gt;"OK","Poste à corriger",IF(AND(E623&lt;&gt;"",OR(NOT(ISNUMBER(E623)),N(E623)&lt;0)),"Réglage invalide",IF(AND(F623&lt;&gt;"",OR(NOT(ISNUMBER(F623)),N(F623)&lt;0)),"Temps par pièce invalide",IF(N(E623)+N(F623)=0,"Temps manquant",IF(AND(G623&lt;&gt;"",OR(NOT(ISNUMBER(G623)),N(G623)&lt;=0)),"Opérateurs invalide","OK"))))))))))</f>
        <v/>
      </c>
      <c r="N623" s="71" t="str">
        <f>IF(AND(fiche_sel&lt;&gt;"",A623=fiche_sel),COUNTIF(A$6:A623,fiche_sel),"")</f>
        <v/>
      </c>
    </row>
    <row r="624">
      <c r="A624" s="60" t="n"/>
      <c r="B624" s="73" t="n"/>
      <c r="C624" s="60" t="n"/>
      <c r="D624" s="61" t="n"/>
      <c r="E624" s="74" t="n"/>
      <c r="F624" s="74" t="n"/>
      <c r="G624" s="73" t="n"/>
      <c r="H624" s="66" t="str">
        <f>IF(M624&lt;&gt;"OK","",INDEX(po_mo,MATCH(D624,po_code,0)))</f>
        <v/>
      </c>
      <c r="I624" s="66" t="str">
        <f>IF(M624&lt;&gt;"OK","",INDEX(po_mac,MATCH(D624,po_code,0)))</f>
        <v/>
      </c>
      <c r="J624" s="66" t="str">
        <f>IF(M624&lt;&gt;"OK","",N(E624)*(H624*IF(G624="",1,G624)+I624))</f>
        <v/>
      </c>
      <c r="K624" s="66" t="str">
        <f>IF(M624&lt;&gt;"OK","",N(F624)/60*H624*IF(G624="",1,G624))</f>
        <v/>
      </c>
      <c r="L624" s="66" t="str">
        <f>IF(M624&lt;&gt;"OK","",N(F624)/60*I624)</f>
        <v/>
      </c>
      <c r="M624" s="69" t="str">
        <f>IF(AND(A624="",D624=""),"",IF(A624="","Produit manquant",IF(COUNTIF(prod_ref,A624)=0,"Produit inconnu",IF(D624="","Poste manquant",IF(ISNA(MATCH(D624,po_code,0)),"Poste inconnu",IF(INDEX(po_check,MATCH(D624,po_code,0))&lt;&gt;"OK","Poste à corriger",IF(AND(E624&lt;&gt;"",OR(NOT(ISNUMBER(E624)),N(E624)&lt;0)),"Réglage invalide",IF(AND(F624&lt;&gt;"",OR(NOT(ISNUMBER(F624)),N(F624)&lt;0)),"Temps par pièce invalide",IF(N(E624)+N(F624)=0,"Temps manquant",IF(AND(G624&lt;&gt;"",OR(NOT(ISNUMBER(G624)),N(G624)&lt;=0)),"Opérateurs invalide","OK"))))))))))</f>
        <v/>
      </c>
      <c r="N624" s="71" t="str">
        <f>IF(AND(fiche_sel&lt;&gt;"",A624=fiche_sel),COUNTIF(A$6:A624,fiche_sel),"")</f>
        <v/>
      </c>
    </row>
    <row r="625">
      <c r="A625" s="60" t="n"/>
      <c r="B625" s="73" t="n"/>
      <c r="C625" s="60" t="n"/>
      <c r="D625" s="61" t="n"/>
      <c r="E625" s="74" t="n"/>
      <c r="F625" s="74" t="n"/>
      <c r="G625" s="73" t="n"/>
      <c r="H625" s="66" t="str">
        <f>IF(M625&lt;&gt;"OK","",INDEX(po_mo,MATCH(D625,po_code,0)))</f>
        <v/>
      </c>
      <c r="I625" s="66" t="str">
        <f>IF(M625&lt;&gt;"OK","",INDEX(po_mac,MATCH(D625,po_code,0)))</f>
        <v/>
      </c>
      <c r="J625" s="66" t="str">
        <f>IF(M625&lt;&gt;"OK","",N(E625)*(H625*IF(G625="",1,G625)+I625))</f>
        <v/>
      </c>
      <c r="K625" s="66" t="str">
        <f>IF(M625&lt;&gt;"OK","",N(F625)/60*H625*IF(G625="",1,G625))</f>
        <v/>
      </c>
      <c r="L625" s="66" t="str">
        <f>IF(M625&lt;&gt;"OK","",N(F625)/60*I625)</f>
        <v/>
      </c>
      <c r="M625" s="69" t="str">
        <f>IF(AND(A625="",D625=""),"",IF(A625="","Produit manquant",IF(COUNTIF(prod_ref,A625)=0,"Produit inconnu",IF(D625="","Poste manquant",IF(ISNA(MATCH(D625,po_code,0)),"Poste inconnu",IF(INDEX(po_check,MATCH(D625,po_code,0))&lt;&gt;"OK","Poste à corriger",IF(AND(E625&lt;&gt;"",OR(NOT(ISNUMBER(E625)),N(E625)&lt;0)),"Réglage invalide",IF(AND(F625&lt;&gt;"",OR(NOT(ISNUMBER(F625)),N(F625)&lt;0)),"Temps par pièce invalide",IF(N(E625)+N(F625)=0,"Temps manquant",IF(AND(G625&lt;&gt;"",OR(NOT(ISNUMBER(G625)),N(G625)&lt;=0)),"Opérateurs invalide","OK"))))))))))</f>
        <v/>
      </c>
      <c r="N625" s="71" t="str">
        <f>IF(AND(fiche_sel&lt;&gt;"",A625=fiche_sel),COUNTIF(A$6:A625,fiche_sel),"")</f>
        <v/>
      </c>
    </row>
    <row r="626">
      <c r="A626" s="60" t="n"/>
      <c r="B626" s="73" t="n"/>
      <c r="C626" s="60" t="n"/>
      <c r="D626" s="61" t="n"/>
      <c r="E626" s="74" t="n"/>
      <c r="F626" s="74" t="n"/>
      <c r="G626" s="73" t="n"/>
      <c r="H626" s="66" t="str">
        <f>IF(M626&lt;&gt;"OK","",INDEX(po_mo,MATCH(D626,po_code,0)))</f>
        <v/>
      </c>
      <c r="I626" s="66" t="str">
        <f>IF(M626&lt;&gt;"OK","",INDEX(po_mac,MATCH(D626,po_code,0)))</f>
        <v/>
      </c>
      <c r="J626" s="66" t="str">
        <f>IF(M626&lt;&gt;"OK","",N(E626)*(H626*IF(G626="",1,G626)+I626))</f>
        <v/>
      </c>
      <c r="K626" s="66" t="str">
        <f>IF(M626&lt;&gt;"OK","",N(F626)/60*H626*IF(G626="",1,G626))</f>
        <v/>
      </c>
      <c r="L626" s="66" t="str">
        <f>IF(M626&lt;&gt;"OK","",N(F626)/60*I626)</f>
        <v/>
      </c>
      <c r="M626" s="69" t="str">
        <f>IF(AND(A626="",D626=""),"",IF(A626="","Produit manquant",IF(COUNTIF(prod_ref,A626)=0,"Produit inconnu",IF(D626="","Poste manquant",IF(ISNA(MATCH(D626,po_code,0)),"Poste inconnu",IF(INDEX(po_check,MATCH(D626,po_code,0))&lt;&gt;"OK","Poste à corriger",IF(AND(E626&lt;&gt;"",OR(NOT(ISNUMBER(E626)),N(E626)&lt;0)),"Réglage invalide",IF(AND(F626&lt;&gt;"",OR(NOT(ISNUMBER(F626)),N(F626)&lt;0)),"Temps par pièce invalide",IF(N(E626)+N(F626)=0,"Temps manquant",IF(AND(G626&lt;&gt;"",OR(NOT(ISNUMBER(G626)),N(G626)&lt;=0)),"Opérateurs invalide","OK"))))))))))</f>
        <v/>
      </c>
      <c r="N626" s="71" t="str">
        <f>IF(AND(fiche_sel&lt;&gt;"",A626=fiche_sel),COUNTIF(A$6:A626,fiche_sel),"")</f>
        <v/>
      </c>
    </row>
    <row r="627">
      <c r="A627" s="60" t="n"/>
      <c r="B627" s="73" t="n"/>
      <c r="C627" s="60" t="n"/>
      <c r="D627" s="61" t="n"/>
      <c r="E627" s="74" t="n"/>
      <c r="F627" s="74" t="n"/>
      <c r="G627" s="73" t="n"/>
      <c r="H627" s="66" t="str">
        <f>IF(M627&lt;&gt;"OK","",INDEX(po_mo,MATCH(D627,po_code,0)))</f>
        <v/>
      </c>
      <c r="I627" s="66" t="str">
        <f>IF(M627&lt;&gt;"OK","",INDEX(po_mac,MATCH(D627,po_code,0)))</f>
        <v/>
      </c>
      <c r="J627" s="66" t="str">
        <f>IF(M627&lt;&gt;"OK","",N(E627)*(H627*IF(G627="",1,G627)+I627))</f>
        <v/>
      </c>
      <c r="K627" s="66" t="str">
        <f>IF(M627&lt;&gt;"OK","",N(F627)/60*H627*IF(G627="",1,G627))</f>
        <v/>
      </c>
      <c r="L627" s="66" t="str">
        <f>IF(M627&lt;&gt;"OK","",N(F627)/60*I627)</f>
        <v/>
      </c>
      <c r="M627" s="69" t="str">
        <f>IF(AND(A627="",D627=""),"",IF(A627="","Produit manquant",IF(COUNTIF(prod_ref,A627)=0,"Produit inconnu",IF(D627="","Poste manquant",IF(ISNA(MATCH(D627,po_code,0)),"Poste inconnu",IF(INDEX(po_check,MATCH(D627,po_code,0))&lt;&gt;"OK","Poste à corriger",IF(AND(E627&lt;&gt;"",OR(NOT(ISNUMBER(E627)),N(E627)&lt;0)),"Réglage invalide",IF(AND(F627&lt;&gt;"",OR(NOT(ISNUMBER(F627)),N(F627)&lt;0)),"Temps par pièce invalide",IF(N(E627)+N(F627)=0,"Temps manquant",IF(AND(G627&lt;&gt;"",OR(NOT(ISNUMBER(G627)),N(G627)&lt;=0)),"Opérateurs invalide","OK"))))))))))</f>
        <v/>
      </c>
      <c r="N627" s="71" t="str">
        <f>IF(AND(fiche_sel&lt;&gt;"",A627=fiche_sel),COUNTIF(A$6:A627,fiche_sel),"")</f>
        <v/>
      </c>
    </row>
    <row r="628">
      <c r="A628" s="60" t="n"/>
      <c r="B628" s="73" t="n"/>
      <c r="C628" s="60" t="n"/>
      <c r="D628" s="61" t="n"/>
      <c r="E628" s="74" t="n"/>
      <c r="F628" s="74" t="n"/>
      <c r="G628" s="73" t="n"/>
      <c r="H628" s="66" t="str">
        <f>IF(M628&lt;&gt;"OK","",INDEX(po_mo,MATCH(D628,po_code,0)))</f>
        <v/>
      </c>
      <c r="I628" s="66" t="str">
        <f>IF(M628&lt;&gt;"OK","",INDEX(po_mac,MATCH(D628,po_code,0)))</f>
        <v/>
      </c>
      <c r="J628" s="66" t="str">
        <f>IF(M628&lt;&gt;"OK","",N(E628)*(H628*IF(G628="",1,G628)+I628))</f>
        <v/>
      </c>
      <c r="K628" s="66" t="str">
        <f>IF(M628&lt;&gt;"OK","",N(F628)/60*H628*IF(G628="",1,G628))</f>
        <v/>
      </c>
      <c r="L628" s="66" t="str">
        <f>IF(M628&lt;&gt;"OK","",N(F628)/60*I628)</f>
        <v/>
      </c>
      <c r="M628" s="69" t="str">
        <f>IF(AND(A628="",D628=""),"",IF(A628="","Produit manquant",IF(COUNTIF(prod_ref,A628)=0,"Produit inconnu",IF(D628="","Poste manquant",IF(ISNA(MATCH(D628,po_code,0)),"Poste inconnu",IF(INDEX(po_check,MATCH(D628,po_code,0))&lt;&gt;"OK","Poste à corriger",IF(AND(E628&lt;&gt;"",OR(NOT(ISNUMBER(E628)),N(E628)&lt;0)),"Réglage invalide",IF(AND(F628&lt;&gt;"",OR(NOT(ISNUMBER(F628)),N(F628)&lt;0)),"Temps par pièce invalide",IF(N(E628)+N(F628)=0,"Temps manquant",IF(AND(G628&lt;&gt;"",OR(NOT(ISNUMBER(G628)),N(G628)&lt;=0)),"Opérateurs invalide","OK"))))))))))</f>
        <v/>
      </c>
      <c r="N628" s="71" t="str">
        <f>IF(AND(fiche_sel&lt;&gt;"",A628=fiche_sel),COUNTIF(A$6:A628,fiche_sel),"")</f>
        <v/>
      </c>
    </row>
    <row r="629">
      <c r="A629" s="60" t="n"/>
      <c r="B629" s="73" t="n"/>
      <c r="C629" s="60" t="n"/>
      <c r="D629" s="61" t="n"/>
      <c r="E629" s="74" t="n"/>
      <c r="F629" s="74" t="n"/>
      <c r="G629" s="73" t="n"/>
      <c r="H629" s="66" t="str">
        <f>IF(M629&lt;&gt;"OK","",INDEX(po_mo,MATCH(D629,po_code,0)))</f>
        <v/>
      </c>
      <c r="I629" s="66" t="str">
        <f>IF(M629&lt;&gt;"OK","",INDEX(po_mac,MATCH(D629,po_code,0)))</f>
        <v/>
      </c>
      <c r="J629" s="66" t="str">
        <f>IF(M629&lt;&gt;"OK","",N(E629)*(H629*IF(G629="",1,G629)+I629))</f>
        <v/>
      </c>
      <c r="K629" s="66" t="str">
        <f>IF(M629&lt;&gt;"OK","",N(F629)/60*H629*IF(G629="",1,G629))</f>
        <v/>
      </c>
      <c r="L629" s="66" t="str">
        <f>IF(M629&lt;&gt;"OK","",N(F629)/60*I629)</f>
        <v/>
      </c>
      <c r="M629" s="69" t="str">
        <f>IF(AND(A629="",D629=""),"",IF(A629="","Produit manquant",IF(COUNTIF(prod_ref,A629)=0,"Produit inconnu",IF(D629="","Poste manquant",IF(ISNA(MATCH(D629,po_code,0)),"Poste inconnu",IF(INDEX(po_check,MATCH(D629,po_code,0))&lt;&gt;"OK","Poste à corriger",IF(AND(E629&lt;&gt;"",OR(NOT(ISNUMBER(E629)),N(E629)&lt;0)),"Réglage invalide",IF(AND(F629&lt;&gt;"",OR(NOT(ISNUMBER(F629)),N(F629)&lt;0)),"Temps par pièce invalide",IF(N(E629)+N(F629)=0,"Temps manquant",IF(AND(G629&lt;&gt;"",OR(NOT(ISNUMBER(G629)),N(G629)&lt;=0)),"Opérateurs invalide","OK"))))))))))</f>
        <v/>
      </c>
      <c r="N629" s="71" t="str">
        <f>IF(AND(fiche_sel&lt;&gt;"",A629=fiche_sel),COUNTIF(A$6:A629,fiche_sel),"")</f>
        <v/>
      </c>
    </row>
    <row r="630">
      <c r="A630" s="60" t="n"/>
      <c r="B630" s="73" t="n"/>
      <c r="C630" s="60" t="n"/>
      <c r="D630" s="61" t="n"/>
      <c r="E630" s="74" t="n"/>
      <c r="F630" s="74" t="n"/>
      <c r="G630" s="73" t="n"/>
      <c r="H630" s="66" t="str">
        <f>IF(M630&lt;&gt;"OK","",INDEX(po_mo,MATCH(D630,po_code,0)))</f>
        <v/>
      </c>
      <c r="I630" s="66" t="str">
        <f>IF(M630&lt;&gt;"OK","",INDEX(po_mac,MATCH(D630,po_code,0)))</f>
        <v/>
      </c>
      <c r="J630" s="66" t="str">
        <f>IF(M630&lt;&gt;"OK","",N(E630)*(H630*IF(G630="",1,G630)+I630))</f>
        <v/>
      </c>
      <c r="K630" s="66" t="str">
        <f>IF(M630&lt;&gt;"OK","",N(F630)/60*H630*IF(G630="",1,G630))</f>
        <v/>
      </c>
      <c r="L630" s="66" t="str">
        <f>IF(M630&lt;&gt;"OK","",N(F630)/60*I630)</f>
        <v/>
      </c>
      <c r="M630" s="69" t="str">
        <f>IF(AND(A630="",D630=""),"",IF(A630="","Produit manquant",IF(COUNTIF(prod_ref,A630)=0,"Produit inconnu",IF(D630="","Poste manquant",IF(ISNA(MATCH(D630,po_code,0)),"Poste inconnu",IF(INDEX(po_check,MATCH(D630,po_code,0))&lt;&gt;"OK","Poste à corriger",IF(AND(E630&lt;&gt;"",OR(NOT(ISNUMBER(E630)),N(E630)&lt;0)),"Réglage invalide",IF(AND(F630&lt;&gt;"",OR(NOT(ISNUMBER(F630)),N(F630)&lt;0)),"Temps par pièce invalide",IF(N(E630)+N(F630)=0,"Temps manquant",IF(AND(G630&lt;&gt;"",OR(NOT(ISNUMBER(G630)),N(G630)&lt;=0)),"Opérateurs invalide","OK"))))))))))</f>
        <v/>
      </c>
      <c r="N630" s="71" t="str">
        <f>IF(AND(fiche_sel&lt;&gt;"",A630=fiche_sel),COUNTIF(A$6:A630,fiche_sel),"")</f>
        <v/>
      </c>
    </row>
    <row r="631">
      <c r="A631" s="60" t="n"/>
      <c r="B631" s="73" t="n"/>
      <c r="C631" s="60" t="n"/>
      <c r="D631" s="61" t="n"/>
      <c r="E631" s="74" t="n"/>
      <c r="F631" s="74" t="n"/>
      <c r="G631" s="73" t="n"/>
      <c r="H631" s="66" t="str">
        <f>IF(M631&lt;&gt;"OK","",INDEX(po_mo,MATCH(D631,po_code,0)))</f>
        <v/>
      </c>
      <c r="I631" s="66" t="str">
        <f>IF(M631&lt;&gt;"OK","",INDEX(po_mac,MATCH(D631,po_code,0)))</f>
        <v/>
      </c>
      <c r="J631" s="66" t="str">
        <f>IF(M631&lt;&gt;"OK","",N(E631)*(H631*IF(G631="",1,G631)+I631))</f>
        <v/>
      </c>
      <c r="K631" s="66" t="str">
        <f>IF(M631&lt;&gt;"OK","",N(F631)/60*H631*IF(G631="",1,G631))</f>
        <v/>
      </c>
      <c r="L631" s="66" t="str">
        <f>IF(M631&lt;&gt;"OK","",N(F631)/60*I631)</f>
        <v/>
      </c>
      <c r="M631" s="69" t="str">
        <f>IF(AND(A631="",D631=""),"",IF(A631="","Produit manquant",IF(COUNTIF(prod_ref,A631)=0,"Produit inconnu",IF(D631="","Poste manquant",IF(ISNA(MATCH(D631,po_code,0)),"Poste inconnu",IF(INDEX(po_check,MATCH(D631,po_code,0))&lt;&gt;"OK","Poste à corriger",IF(AND(E631&lt;&gt;"",OR(NOT(ISNUMBER(E631)),N(E631)&lt;0)),"Réglage invalide",IF(AND(F631&lt;&gt;"",OR(NOT(ISNUMBER(F631)),N(F631)&lt;0)),"Temps par pièce invalide",IF(N(E631)+N(F631)=0,"Temps manquant",IF(AND(G631&lt;&gt;"",OR(NOT(ISNUMBER(G631)),N(G631)&lt;=0)),"Opérateurs invalide","OK"))))))))))</f>
        <v/>
      </c>
      <c r="N631" s="71" t="str">
        <f>IF(AND(fiche_sel&lt;&gt;"",A631=fiche_sel),COUNTIF(A$6:A631,fiche_sel),"")</f>
        <v/>
      </c>
    </row>
    <row r="632">
      <c r="A632" s="60" t="n"/>
      <c r="B632" s="73" t="n"/>
      <c r="C632" s="60" t="n"/>
      <c r="D632" s="61" t="n"/>
      <c r="E632" s="74" t="n"/>
      <c r="F632" s="74" t="n"/>
      <c r="G632" s="73" t="n"/>
      <c r="H632" s="66" t="str">
        <f>IF(M632&lt;&gt;"OK","",INDEX(po_mo,MATCH(D632,po_code,0)))</f>
        <v/>
      </c>
      <c r="I632" s="66" t="str">
        <f>IF(M632&lt;&gt;"OK","",INDEX(po_mac,MATCH(D632,po_code,0)))</f>
        <v/>
      </c>
      <c r="J632" s="66" t="str">
        <f>IF(M632&lt;&gt;"OK","",N(E632)*(H632*IF(G632="",1,G632)+I632))</f>
        <v/>
      </c>
      <c r="K632" s="66" t="str">
        <f>IF(M632&lt;&gt;"OK","",N(F632)/60*H632*IF(G632="",1,G632))</f>
        <v/>
      </c>
      <c r="L632" s="66" t="str">
        <f>IF(M632&lt;&gt;"OK","",N(F632)/60*I632)</f>
        <v/>
      </c>
      <c r="M632" s="69" t="str">
        <f>IF(AND(A632="",D632=""),"",IF(A632="","Produit manquant",IF(COUNTIF(prod_ref,A632)=0,"Produit inconnu",IF(D632="","Poste manquant",IF(ISNA(MATCH(D632,po_code,0)),"Poste inconnu",IF(INDEX(po_check,MATCH(D632,po_code,0))&lt;&gt;"OK","Poste à corriger",IF(AND(E632&lt;&gt;"",OR(NOT(ISNUMBER(E632)),N(E632)&lt;0)),"Réglage invalide",IF(AND(F632&lt;&gt;"",OR(NOT(ISNUMBER(F632)),N(F632)&lt;0)),"Temps par pièce invalide",IF(N(E632)+N(F632)=0,"Temps manquant",IF(AND(G632&lt;&gt;"",OR(NOT(ISNUMBER(G632)),N(G632)&lt;=0)),"Opérateurs invalide","OK"))))))))))</f>
        <v/>
      </c>
      <c r="N632" s="71" t="str">
        <f>IF(AND(fiche_sel&lt;&gt;"",A632=fiche_sel),COUNTIF(A$6:A632,fiche_sel),"")</f>
        <v/>
      </c>
    </row>
    <row r="633">
      <c r="A633" s="60" t="n"/>
      <c r="B633" s="73" t="n"/>
      <c r="C633" s="60" t="n"/>
      <c r="D633" s="61" t="n"/>
      <c r="E633" s="74" t="n"/>
      <c r="F633" s="74" t="n"/>
      <c r="G633" s="73" t="n"/>
      <c r="H633" s="66" t="str">
        <f>IF(M633&lt;&gt;"OK","",INDEX(po_mo,MATCH(D633,po_code,0)))</f>
        <v/>
      </c>
      <c r="I633" s="66" t="str">
        <f>IF(M633&lt;&gt;"OK","",INDEX(po_mac,MATCH(D633,po_code,0)))</f>
        <v/>
      </c>
      <c r="J633" s="66" t="str">
        <f>IF(M633&lt;&gt;"OK","",N(E633)*(H633*IF(G633="",1,G633)+I633))</f>
        <v/>
      </c>
      <c r="K633" s="66" t="str">
        <f>IF(M633&lt;&gt;"OK","",N(F633)/60*H633*IF(G633="",1,G633))</f>
        <v/>
      </c>
      <c r="L633" s="66" t="str">
        <f>IF(M633&lt;&gt;"OK","",N(F633)/60*I633)</f>
        <v/>
      </c>
      <c r="M633" s="69" t="str">
        <f>IF(AND(A633="",D633=""),"",IF(A633="","Produit manquant",IF(COUNTIF(prod_ref,A633)=0,"Produit inconnu",IF(D633="","Poste manquant",IF(ISNA(MATCH(D633,po_code,0)),"Poste inconnu",IF(INDEX(po_check,MATCH(D633,po_code,0))&lt;&gt;"OK","Poste à corriger",IF(AND(E633&lt;&gt;"",OR(NOT(ISNUMBER(E633)),N(E633)&lt;0)),"Réglage invalide",IF(AND(F633&lt;&gt;"",OR(NOT(ISNUMBER(F633)),N(F633)&lt;0)),"Temps par pièce invalide",IF(N(E633)+N(F633)=0,"Temps manquant",IF(AND(G633&lt;&gt;"",OR(NOT(ISNUMBER(G633)),N(G633)&lt;=0)),"Opérateurs invalide","OK"))))))))))</f>
        <v/>
      </c>
      <c r="N633" s="71" t="str">
        <f>IF(AND(fiche_sel&lt;&gt;"",A633=fiche_sel),COUNTIF(A$6:A633,fiche_sel),"")</f>
        <v/>
      </c>
    </row>
    <row r="634">
      <c r="A634" s="60" t="n"/>
      <c r="B634" s="73" t="n"/>
      <c r="C634" s="60" t="n"/>
      <c r="D634" s="61" t="n"/>
      <c r="E634" s="74" t="n"/>
      <c r="F634" s="74" t="n"/>
      <c r="G634" s="73" t="n"/>
      <c r="H634" s="66" t="str">
        <f>IF(M634&lt;&gt;"OK","",INDEX(po_mo,MATCH(D634,po_code,0)))</f>
        <v/>
      </c>
      <c r="I634" s="66" t="str">
        <f>IF(M634&lt;&gt;"OK","",INDEX(po_mac,MATCH(D634,po_code,0)))</f>
        <v/>
      </c>
      <c r="J634" s="66" t="str">
        <f>IF(M634&lt;&gt;"OK","",N(E634)*(H634*IF(G634="",1,G634)+I634))</f>
        <v/>
      </c>
      <c r="K634" s="66" t="str">
        <f>IF(M634&lt;&gt;"OK","",N(F634)/60*H634*IF(G634="",1,G634))</f>
        <v/>
      </c>
      <c r="L634" s="66" t="str">
        <f>IF(M634&lt;&gt;"OK","",N(F634)/60*I634)</f>
        <v/>
      </c>
      <c r="M634" s="69" t="str">
        <f>IF(AND(A634="",D634=""),"",IF(A634="","Produit manquant",IF(COUNTIF(prod_ref,A634)=0,"Produit inconnu",IF(D634="","Poste manquant",IF(ISNA(MATCH(D634,po_code,0)),"Poste inconnu",IF(INDEX(po_check,MATCH(D634,po_code,0))&lt;&gt;"OK","Poste à corriger",IF(AND(E634&lt;&gt;"",OR(NOT(ISNUMBER(E634)),N(E634)&lt;0)),"Réglage invalide",IF(AND(F634&lt;&gt;"",OR(NOT(ISNUMBER(F634)),N(F634)&lt;0)),"Temps par pièce invalide",IF(N(E634)+N(F634)=0,"Temps manquant",IF(AND(G634&lt;&gt;"",OR(NOT(ISNUMBER(G634)),N(G634)&lt;=0)),"Opérateurs invalide","OK"))))))))))</f>
        <v/>
      </c>
      <c r="N634" s="71" t="str">
        <f>IF(AND(fiche_sel&lt;&gt;"",A634=fiche_sel),COUNTIF(A$6:A634,fiche_sel),"")</f>
        <v/>
      </c>
    </row>
    <row r="635">
      <c r="A635" s="60" t="n"/>
      <c r="B635" s="73" t="n"/>
      <c r="C635" s="60" t="n"/>
      <c r="D635" s="61" t="n"/>
      <c r="E635" s="74" t="n"/>
      <c r="F635" s="74" t="n"/>
      <c r="G635" s="73" t="n"/>
      <c r="H635" s="66" t="str">
        <f>IF(M635&lt;&gt;"OK","",INDEX(po_mo,MATCH(D635,po_code,0)))</f>
        <v/>
      </c>
      <c r="I635" s="66" t="str">
        <f>IF(M635&lt;&gt;"OK","",INDEX(po_mac,MATCH(D635,po_code,0)))</f>
        <v/>
      </c>
      <c r="J635" s="66" t="str">
        <f>IF(M635&lt;&gt;"OK","",N(E635)*(H635*IF(G635="",1,G635)+I635))</f>
        <v/>
      </c>
      <c r="K635" s="66" t="str">
        <f>IF(M635&lt;&gt;"OK","",N(F635)/60*H635*IF(G635="",1,G635))</f>
        <v/>
      </c>
      <c r="L635" s="66" t="str">
        <f>IF(M635&lt;&gt;"OK","",N(F635)/60*I635)</f>
        <v/>
      </c>
      <c r="M635" s="69" t="str">
        <f>IF(AND(A635="",D635=""),"",IF(A635="","Produit manquant",IF(COUNTIF(prod_ref,A635)=0,"Produit inconnu",IF(D635="","Poste manquant",IF(ISNA(MATCH(D635,po_code,0)),"Poste inconnu",IF(INDEX(po_check,MATCH(D635,po_code,0))&lt;&gt;"OK","Poste à corriger",IF(AND(E635&lt;&gt;"",OR(NOT(ISNUMBER(E635)),N(E635)&lt;0)),"Réglage invalide",IF(AND(F635&lt;&gt;"",OR(NOT(ISNUMBER(F635)),N(F635)&lt;0)),"Temps par pièce invalide",IF(N(E635)+N(F635)=0,"Temps manquant",IF(AND(G635&lt;&gt;"",OR(NOT(ISNUMBER(G635)),N(G635)&lt;=0)),"Opérateurs invalide","OK"))))))))))</f>
        <v/>
      </c>
      <c r="N635" s="71" t="str">
        <f>IF(AND(fiche_sel&lt;&gt;"",A635=fiche_sel),COUNTIF(A$6:A635,fiche_sel),"")</f>
        <v/>
      </c>
    </row>
    <row r="636">
      <c r="A636" s="60" t="n"/>
      <c r="B636" s="73" t="n"/>
      <c r="C636" s="60" t="n"/>
      <c r="D636" s="61" t="n"/>
      <c r="E636" s="74" t="n"/>
      <c r="F636" s="74" t="n"/>
      <c r="G636" s="73" t="n"/>
      <c r="H636" s="66" t="str">
        <f>IF(M636&lt;&gt;"OK","",INDEX(po_mo,MATCH(D636,po_code,0)))</f>
        <v/>
      </c>
      <c r="I636" s="66" t="str">
        <f>IF(M636&lt;&gt;"OK","",INDEX(po_mac,MATCH(D636,po_code,0)))</f>
        <v/>
      </c>
      <c r="J636" s="66" t="str">
        <f>IF(M636&lt;&gt;"OK","",N(E636)*(H636*IF(G636="",1,G636)+I636))</f>
        <v/>
      </c>
      <c r="K636" s="66" t="str">
        <f>IF(M636&lt;&gt;"OK","",N(F636)/60*H636*IF(G636="",1,G636))</f>
        <v/>
      </c>
      <c r="L636" s="66" t="str">
        <f>IF(M636&lt;&gt;"OK","",N(F636)/60*I636)</f>
        <v/>
      </c>
      <c r="M636" s="69" t="str">
        <f>IF(AND(A636="",D636=""),"",IF(A636="","Produit manquant",IF(COUNTIF(prod_ref,A636)=0,"Produit inconnu",IF(D636="","Poste manquant",IF(ISNA(MATCH(D636,po_code,0)),"Poste inconnu",IF(INDEX(po_check,MATCH(D636,po_code,0))&lt;&gt;"OK","Poste à corriger",IF(AND(E636&lt;&gt;"",OR(NOT(ISNUMBER(E636)),N(E636)&lt;0)),"Réglage invalide",IF(AND(F636&lt;&gt;"",OR(NOT(ISNUMBER(F636)),N(F636)&lt;0)),"Temps par pièce invalide",IF(N(E636)+N(F636)=0,"Temps manquant",IF(AND(G636&lt;&gt;"",OR(NOT(ISNUMBER(G636)),N(G636)&lt;=0)),"Opérateurs invalide","OK"))))))))))</f>
        <v/>
      </c>
      <c r="N636" s="71" t="str">
        <f>IF(AND(fiche_sel&lt;&gt;"",A636=fiche_sel),COUNTIF(A$6:A636,fiche_sel),"")</f>
        <v/>
      </c>
    </row>
    <row r="637">
      <c r="A637" s="60" t="n"/>
      <c r="B637" s="73" t="n"/>
      <c r="C637" s="60" t="n"/>
      <c r="D637" s="61" t="n"/>
      <c r="E637" s="74" t="n"/>
      <c r="F637" s="74" t="n"/>
      <c r="G637" s="73" t="n"/>
      <c r="H637" s="66" t="str">
        <f>IF(M637&lt;&gt;"OK","",INDEX(po_mo,MATCH(D637,po_code,0)))</f>
        <v/>
      </c>
      <c r="I637" s="66" t="str">
        <f>IF(M637&lt;&gt;"OK","",INDEX(po_mac,MATCH(D637,po_code,0)))</f>
        <v/>
      </c>
      <c r="J637" s="66" t="str">
        <f>IF(M637&lt;&gt;"OK","",N(E637)*(H637*IF(G637="",1,G637)+I637))</f>
        <v/>
      </c>
      <c r="K637" s="66" t="str">
        <f>IF(M637&lt;&gt;"OK","",N(F637)/60*H637*IF(G637="",1,G637))</f>
        <v/>
      </c>
      <c r="L637" s="66" t="str">
        <f>IF(M637&lt;&gt;"OK","",N(F637)/60*I637)</f>
        <v/>
      </c>
      <c r="M637" s="69" t="str">
        <f>IF(AND(A637="",D637=""),"",IF(A637="","Produit manquant",IF(COUNTIF(prod_ref,A637)=0,"Produit inconnu",IF(D637="","Poste manquant",IF(ISNA(MATCH(D637,po_code,0)),"Poste inconnu",IF(INDEX(po_check,MATCH(D637,po_code,0))&lt;&gt;"OK","Poste à corriger",IF(AND(E637&lt;&gt;"",OR(NOT(ISNUMBER(E637)),N(E637)&lt;0)),"Réglage invalide",IF(AND(F637&lt;&gt;"",OR(NOT(ISNUMBER(F637)),N(F637)&lt;0)),"Temps par pièce invalide",IF(N(E637)+N(F637)=0,"Temps manquant",IF(AND(G637&lt;&gt;"",OR(NOT(ISNUMBER(G637)),N(G637)&lt;=0)),"Opérateurs invalide","OK"))))))))))</f>
        <v/>
      </c>
      <c r="N637" s="71" t="str">
        <f>IF(AND(fiche_sel&lt;&gt;"",A637=fiche_sel),COUNTIF(A$6:A637,fiche_sel),"")</f>
        <v/>
      </c>
    </row>
    <row r="638">
      <c r="A638" s="60" t="n"/>
      <c r="B638" s="73" t="n"/>
      <c r="C638" s="60" t="n"/>
      <c r="D638" s="61" t="n"/>
      <c r="E638" s="74" t="n"/>
      <c r="F638" s="74" t="n"/>
      <c r="G638" s="73" t="n"/>
      <c r="H638" s="66" t="str">
        <f>IF(M638&lt;&gt;"OK","",INDEX(po_mo,MATCH(D638,po_code,0)))</f>
        <v/>
      </c>
      <c r="I638" s="66" t="str">
        <f>IF(M638&lt;&gt;"OK","",INDEX(po_mac,MATCH(D638,po_code,0)))</f>
        <v/>
      </c>
      <c r="J638" s="66" t="str">
        <f>IF(M638&lt;&gt;"OK","",N(E638)*(H638*IF(G638="",1,G638)+I638))</f>
        <v/>
      </c>
      <c r="K638" s="66" t="str">
        <f>IF(M638&lt;&gt;"OK","",N(F638)/60*H638*IF(G638="",1,G638))</f>
        <v/>
      </c>
      <c r="L638" s="66" t="str">
        <f>IF(M638&lt;&gt;"OK","",N(F638)/60*I638)</f>
        <v/>
      </c>
      <c r="M638" s="69" t="str">
        <f>IF(AND(A638="",D638=""),"",IF(A638="","Produit manquant",IF(COUNTIF(prod_ref,A638)=0,"Produit inconnu",IF(D638="","Poste manquant",IF(ISNA(MATCH(D638,po_code,0)),"Poste inconnu",IF(INDEX(po_check,MATCH(D638,po_code,0))&lt;&gt;"OK","Poste à corriger",IF(AND(E638&lt;&gt;"",OR(NOT(ISNUMBER(E638)),N(E638)&lt;0)),"Réglage invalide",IF(AND(F638&lt;&gt;"",OR(NOT(ISNUMBER(F638)),N(F638)&lt;0)),"Temps par pièce invalide",IF(N(E638)+N(F638)=0,"Temps manquant",IF(AND(G638&lt;&gt;"",OR(NOT(ISNUMBER(G638)),N(G638)&lt;=0)),"Opérateurs invalide","OK"))))))))))</f>
        <v/>
      </c>
      <c r="N638" s="71" t="str">
        <f>IF(AND(fiche_sel&lt;&gt;"",A638=fiche_sel),COUNTIF(A$6:A638,fiche_sel),"")</f>
        <v/>
      </c>
    </row>
    <row r="639">
      <c r="A639" s="60" t="n"/>
      <c r="B639" s="73" t="n"/>
      <c r="C639" s="60" t="n"/>
      <c r="D639" s="61" t="n"/>
      <c r="E639" s="74" t="n"/>
      <c r="F639" s="74" t="n"/>
      <c r="G639" s="73" t="n"/>
      <c r="H639" s="66" t="str">
        <f>IF(M639&lt;&gt;"OK","",INDEX(po_mo,MATCH(D639,po_code,0)))</f>
        <v/>
      </c>
      <c r="I639" s="66" t="str">
        <f>IF(M639&lt;&gt;"OK","",INDEX(po_mac,MATCH(D639,po_code,0)))</f>
        <v/>
      </c>
      <c r="J639" s="66" t="str">
        <f>IF(M639&lt;&gt;"OK","",N(E639)*(H639*IF(G639="",1,G639)+I639))</f>
        <v/>
      </c>
      <c r="K639" s="66" t="str">
        <f>IF(M639&lt;&gt;"OK","",N(F639)/60*H639*IF(G639="",1,G639))</f>
        <v/>
      </c>
      <c r="L639" s="66" t="str">
        <f>IF(M639&lt;&gt;"OK","",N(F639)/60*I639)</f>
        <v/>
      </c>
      <c r="M639" s="69" t="str">
        <f>IF(AND(A639="",D639=""),"",IF(A639="","Produit manquant",IF(COUNTIF(prod_ref,A639)=0,"Produit inconnu",IF(D639="","Poste manquant",IF(ISNA(MATCH(D639,po_code,0)),"Poste inconnu",IF(INDEX(po_check,MATCH(D639,po_code,0))&lt;&gt;"OK","Poste à corriger",IF(AND(E639&lt;&gt;"",OR(NOT(ISNUMBER(E639)),N(E639)&lt;0)),"Réglage invalide",IF(AND(F639&lt;&gt;"",OR(NOT(ISNUMBER(F639)),N(F639)&lt;0)),"Temps par pièce invalide",IF(N(E639)+N(F639)=0,"Temps manquant",IF(AND(G639&lt;&gt;"",OR(NOT(ISNUMBER(G639)),N(G639)&lt;=0)),"Opérateurs invalide","OK"))))))))))</f>
        <v/>
      </c>
      <c r="N639" s="71" t="str">
        <f>IF(AND(fiche_sel&lt;&gt;"",A639=fiche_sel),COUNTIF(A$6:A639,fiche_sel),"")</f>
        <v/>
      </c>
    </row>
    <row r="640">
      <c r="A640" s="60" t="n"/>
      <c r="B640" s="73" t="n"/>
      <c r="C640" s="60" t="n"/>
      <c r="D640" s="61" t="n"/>
      <c r="E640" s="74" t="n"/>
      <c r="F640" s="74" t="n"/>
      <c r="G640" s="73" t="n"/>
      <c r="H640" s="66" t="str">
        <f>IF(M640&lt;&gt;"OK","",INDEX(po_mo,MATCH(D640,po_code,0)))</f>
        <v/>
      </c>
      <c r="I640" s="66" t="str">
        <f>IF(M640&lt;&gt;"OK","",INDEX(po_mac,MATCH(D640,po_code,0)))</f>
        <v/>
      </c>
      <c r="J640" s="66" t="str">
        <f>IF(M640&lt;&gt;"OK","",N(E640)*(H640*IF(G640="",1,G640)+I640))</f>
        <v/>
      </c>
      <c r="K640" s="66" t="str">
        <f>IF(M640&lt;&gt;"OK","",N(F640)/60*H640*IF(G640="",1,G640))</f>
        <v/>
      </c>
      <c r="L640" s="66" t="str">
        <f>IF(M640&lt;&gt;"OK","",N(F640)/60*I640)</f>
        <v/>
      </c>
      <c r="M640" s="69" t="str">
        <f>IF(AND(A640="",D640=""),"",IF(A640="","Produit manquant",IF(COUNTIF(prod_ref,A640)=0,"Produit inconnu",IF(D640="","Poste manquant",IF(ISNA(MATCH(D640,po_code,0)),"Poste inconnu",IF(INDEX(po_check,MATCH(D640,po_code,0))&lt;&gt;"OK","Poste à corriger",IF(AND(E640&lt;&gt;"",OR(NOT(ISNUMBER(E640)),N(E640)&lt;0)),"Réglage invalide",IF(AND(F640&lt;&gt;"",OR(NOT(ISNUMBER(F640)),N(F640)&lt;0)),"Temps par pièce invalide",IF(N(E640)+N(F640)=0,"Temps manquant",IF(AND(G640&lt;&gt;"",OR(NOT(ISNUMBER(G640)),N(G640)&lt;=0)),"Opérateurs invalide","OK"))))))))))</f>
        <v/>
      </c>
      <c r="N640" s="71" t="str">
        <f>IF(AND(fiche_sel&lt;&gt;"",A640=fiche_sel),COUNTIF(A$6:A640,fiche_sel),"")</f>
        <v/>
      </c>
    </row>
    <row r="641">
      <c r="A641" s="60" t="n"/>
      <c r="B641" s="73" t="n"/>
      <c r="C641" s="60" t="n"/>
      <c r="D641" s="61" t="n"/>
      <c r="E641" s="74" t="n"/>
      <c r="F641" s="74" t="n"/>
      <c r="G641" s="73" t="n"/>
      <c r="H641" s="66" t="str">
        <f>IF(M641&lt;&gt;"OK","",INDEX(po_mo,MATCH(D641,po_code,0)))</f>
        <v/>
      </c>
      <c r="I641" s="66" t="str">
        <f>IF(M641&lt;&gt;"OK","",INDEX(po_mac,MATCH(D641,po_code,0)))</f>
        <v/>
      </c>
      <c r="J641" s="66" t="str">
        <f>IF(M641&lt;&gt;"OK","",N(E641)*(H641*IF(G641="",1,G641)+I641))</f>
        <v/>
      </c>
      <c r="K641" s="66" t="str">
        <f>IF(M641&lt;&gt;"OK","",N(F641)/60*H641*IF(G641="",1,G641))</f>
        <v/>
      </c>
      <c r="L641" s="66" t="str">
        <f>IF(M641&lt;&gt;"OK","",N(F641)/60*I641)</f>
        <v/>
      </c>
      <c r="M641" s="69" t="str">
        <f>IF(AND(A641="",D641=""),"",IF(A641="","Produit manquant",IF(COUNTIF(prod_ref,A641)=0,"Produit inconnu",IF(D641="","Poste manquant",IF(ISNA(MATCH(D641,po_code,0)),"Poste inconnu",IF(INDEX(po_check,MATCH(D641,po_code,0))&lt;&gt;"OK","Poste à corriger",IF(AND(E641&lt;&gt;"",OR(NOT(ISNUMBER(E641)),N(E641)&lt;0)),"Réglage invalide",IF(AND(F641&lt;&gt;"",OR(NOT(ISNUMBER(F641)),N(F641)&lt;0)),"Temps par pièce invalide",IF(N(E641)+N(F641)=0,"Temps manquant",IF(AND(G641&lt;&gt;"",OR(NOT(ISNUMBER(G641)),N(G641)&lt;=0)),"Opérateurs invalide","OK"))))))))))</f>
        <v/>
      </c>
      <c r="N641" s="71" t="str">
        <f>IF(AND(fiche_sel&lt;&gt;"",A641=fiche_sel),COUNTIF(A$6:A641,fiche_sel),"")</f>
        <v/>
      </c>
    </row>
    <row r="642">
      <c r="A642" s="60" t="n"/>
      <c r="B642" s="73" t="n"/>
      <c r="C642" s="60" t="n"/>
      <c r="D642" s="61" t="n"/>
      <c r="E642" s="74" t="n"/>
      <c r="F642" s="74" t="n"/>
      <c r="G642" s="73" t="n"/>
      <c r="H642" s="66" t="str">
        <f>IF(M642&lt;&gt;"OK","",INDEX(po_mo,MATCH(D642,po_code,0)))</f>
        <v/>
      </c>
      <c r="I642" s="66" t="str">
        <f>IF(M642&lt;&gt;"OK","",INDEX(po_mac,MATCH(D642,po_code,0)))</f>
        <v/>
      </c>
      <c r="J642" s="66" t="str">
        <f>IF(M642&lt;&gt;"OK","",N(E642)*(H642*IF(G642="",1,G642)+I642))</f>
        <v/>
      </c>
      <c r="K642" s="66" t="str">
        <f>IF(M642&lt;&gt;"OK","",N(F642)/60*H642*IF(G642="",1,G642))</f>
        <v/>
      </c>
      <c r="L642" s="66" t="str">
        <f>IF(M642&lt;&gt;"OK","",N(F642)/60*I642)</f>
        <v/>
      </c>
      <c r="M642" s="69" t="str">
        <f>IF(AND(A642="",D642=""),"",IF(A642="","Produit manquant",IF(COUNTIF(prod_ref,A642)=0,"Produit inconnu",IF(D642="","Poste manquant",IF(ISNA(MATCH(D642,po_code,0)),"Poste inconnu",IF(INDEX(po_check,MATCH(D642,po_code,0))&lt;&gt;"OK","Poste à corriger",IF(AND(E642&lt;&gt;"",OR(NOT(ISNUMBER(E642)),N(E642)&lt;0)),"Réglage invalide",IF(AND(F642&lt;&gt;"",OR(NOT(ISNUMBER(F642)),N(F642)&lt;0)),"Temps par pièce invalide",IF(N(E642)+N(F642)=0,"Temps manquant",IF(AND(G642&lt;&gt;"",OR(NOT(ISNUMBER(G642)),N(G642)&lt;=0)),"Opérateurs invalide","OK"))))))))))</f>
        <v/>
      </c>
      <c r="N642" s="71" t="str">
        <f>IF(AND(fiche_sel&lt;&gt;"",A642=fiche_sel),COUNTIF(A$6:A642,fiche_sel),"")</f>
        <v/>
      </c>
    </row>
    <row r="643">
      <c r="A643" s="60" t="n"/>
      <c r="B643" s="73" t="n"/>
      <c r="C643" s="60" t="n"/>
      <c r="D643" s="61" t="n"/>
      <c r="E643" s="74" t="n"/>
      <c r="F643" s="74" t="n"/>
      <c r="G643" s="73" t="n"/>
      <c r="H643" s="66" t="str">
        <f>IF(M643&lt;&gt;"OK","",INDEX(po_mo,MATCH(D643,po_code,0)))</f>
        <v/>
      </c>
      <c r="I643" s="66" t="str">
        <f>IF(M643&lt;&gt;"OK","",INDEX(po_mac,MATCH(D643,po_code,0)))</f>
        <v/>
      </c>
      <c r="J643" s="66" t="str">
        <f>IF(M643&lt;&gt;"OK","",N(E643)*(H643*IF(G643="",1,G643)+I643))</f>
        <v/>
      </c>
      <c r="K643" s="66" t="str">
        <f>IF(M643&lt;&gt;"OK","",N(F643)/60*H643*IF(G643="",1,G643))</f>
        <v/>
      </c>
      <c r="L643" s="66" t="str">
        <f>IF(M643&lt;&gt;"OK","",N(F643)/60*I643)</f>
        <v/>
      </c>
      <c r="M643" s="69" t="str">
        <f>IF(AND(A643="",D643=""),"",IF(A643="","Produit manquant",IF(COUNTIF(prod_ref,A643)=0,"Produit inconnu",IF(D643="","Poste manquant",IF(ISNA(MATCH(D643,po_code,0)),"Poste inconnu",IF(INDEX(po_check,MATCH(D643,po_code,0))&lt;&gt;"OK","Poste à corriger",IF(AND(E643&lt;&gt;"",OR(NOT(ISNUMBER(E643)),N(E643)&lt;0)),"Réglage invalide",IF(AND(F643&lt;&gt;"",OR(NOT(ISNUMBER(F643)),N(F643)&lt;0)),"Temps par pièce invalide",IF(N(E643)+N(F643)=0,"Temps manquant",IF(AND(G643&lt;&gt;"",OR(NOT(ISNUMBER(G643)),N(G643)&lt;=0)),"Opérateurs invalide","OK"))))))))))</f>
        <v/>
      </c>
      <c r="N643" s="71" t="str">
        <f>IF(AND(fiche_sel&lt;&gt;"",A643=fiche_sel),COUNTIF(A$6:A643,fiche_sel),"")</f>
        <v/>
      </c>
    </row>
    <row r="644">
      <c r="A644" s="60" t="n"/>
      <c r="B644" s="73" t="n"/>
      <c r="C644" s="60" t="n"/>
      <c r="D644" s="61" t="n"/>
      <c r="E644" s="74" t="n"/>
      <c r="F644" s="74" t="n"/>
      <c r="G644" s="73" t="n"/>
      <c r="H644" s="66" t="str">
        <f>IF(M644&lt;&gt;"OK","",INDEX(po_mo,MATCH(D644,po_code,0)))</f>
        <v/>
      </c>
      <c r="I644" s="66" t="str">
        <f>IF(M644&lt;&gt;"OK","",INDEX(po_mac,MATCH(D644,po_code,0)))</f>
        <v/>
      </c>
      <c r="J644" s="66" t="str">
        <f>IF(M644&lt;&gt;"OK","",N(E644)*(H644*IF(G644="",1,G644)+I644))</f>
        <v/>
      </c>
      <c r="K644" s="66" t="str">
        <f>IF(M644&lt;&gt;"OK","",N(F644)/60*H644*IF(G644="",1,G644))</f>
        <v/>
      </c>
      <c r="L644" s="66" t="str">
        <f>IF(M644&lt;&gt;"OK","",N(F644)/60*I644)</f>
        <v/>
      </c>
      <c r="M644" s="69" t="str">
        <f>IF(AND(A644="",D644=""),"",IF(A644="","Produit manquant",IF(COUNTIF(prod_ref,A644)=0,"Produit inconnu",IF(D644="","Poste manquant",IF(ISNA(MATCH(D644,po_code,0)),"Poste inconnu",IF(INDEX(po_check,MATCH(D644,po_code,0))&lt;&gt;"OK","Poste à corriger",IF(AND(E644&lt;&gt;"",OR(NOT(ISNUMBER(E644)),N(E644)&lt;0)),"Réglage invalide",IF(AND(F644&lt;&gt;"",OR(NOT(ISNUMBER(F644)),N(F644)&lt;0)),"Temps par pièce invalide",IF(N(E644)+N(F644)=0,"Temps manquant",IF(AND(G644&lt;&gt;"",OR(NOT(ISNUMBER(G644)),N(G644)&lt;=0)),"Opérateurs invalide","OK"))))))))))</f>
        <v/>
      </c>
      <c r="N644" s="71" t="str">
        <f>IF(AND(fiche_sel&lt;&gt;"",A644=fiche_sel),COUNTIF(A$6:A644,fiche_sel),"")</f>
        <v/>
      </c>
    </row>
    <row r="645">
      <c r="A645" s="60" t="n"/>
      <c r="B645" s="73" t="n"/>
      <c r="C645" s="60" t="n"/>
      <c r="D645" s="61" t="n"/>
      <c r="E645" s="74" t="n"/>
      <c r="F645" s="74" t="n"/>
      <c r="G645" s="73" t="n"/>
      <c r="H645" s="66" t="str">
        <f>IF(M645&lt;&gt;"OK","",INDEX(po_mo,MATCH(D645,po_code,0)))</f>
        <v/>
      </c>
      <c r="I645" s="66" t="str">
        <f>IF(M645&lt;&gt;"OK","",INDEX(po_mac,MATCH(D645,po_code,0)))</f>
        <v/>
      </c>
      <c r="J645" s="66" t="str">
        <f>IF(M645&lt;&gt;"OK","",N(E645)*(H645*IF(G645="",1,G645)+I645))</f>
        <v/>
      </c>
      <c r="K645" s="66" t="str">
        <f>IF(M645&lt;&gt;"OK","",N(F645)/60*H645*IF(G645="",1,G645))</f>
        <v/>
      </c>
      <c r="L645" s="66" t="str">
        <f>IF(M645&lt;&gt;"OK","",N(F645)/60*I645)</f>
        <v/>
      </c>
      <c r="M645" s="69" t="str">
        <f>IF(AND(A645="",D645=""),"",IF(A645="","Produit manquant",IF(COUNTIF(prod_ref,A645)=0,"Produit inconnu",IF(D645="","Poste manquant",IF(ISNA(MATCH(D645,po_code,0)),"Poste inconnu",IF(INDEX(po_check,MATCH(D645,po_code,0))&lt;&gt;"OK","Poste à corriger",IF(AND(E645&lt;&gt;"",OR(NOT(ISNUMBER(E645)),N(E645)&lt;0)),"Réglage invalide",IF(AND(F645&lt;&gt;"",OR(NOT(ISNUMBER(F645)),N(F645)&lt;0)),"Temps par pièce invalide",IF(N(E645)+N(F645)=0,"Temps manquant",IF(AND(G645&lt;&gt;"",OR(NOT(ISNUMBER(G645)),N(G645)&lt;=0)),"Opérateurs invalide","OK"))))))))))</f>
        <v/>
      </c>
      <c r="N645" s="71" t="str">
        <f>IF(AND(fiche_sel&lt;&gt;"",A645=fiche_sel),COUNTIF(A$6:A645,fiche_sel),"")</f>
        <v/>
      </c>
    </row>
    <row r="646">
      <c r="A646" s="60" t="n"/>
      <c r="B646" s="73" t="n"/>
      <c r="C646" s="60" t="n"/>
      <c r="D646" s="61" t="n"/>
      <c r="E646" s="74" t="n"/>
      <c r="F646" s="74" t="n"/>
      <c r="G646" s="73" t="n"/>
      <c r="H646" s="66" t="str">
        <f>IF(M646&lt;&gt;"OK","",INDEX(po_mo,MATCH(D646,po_code,0)))</f>
        <v/>
      </c>
      <c r="I646" s="66" t="str">
        <f>IF(M646&lt;&gt;"OK","",INDEX(po_mac,MATCH(D646,po_code,0)))</f>
        <v/>
      </c>
      <c r="J646" s="66" t="str">
        <f>IF(M646&lt;&gt;"OK","",N(E646)*(H646*IF(G646="",1,G646)+I646))</f>
        <v/>
      </c>
      <c r="K646" s="66" t="str">
        <f>IF(M646&lt;&gt;"OK","",N(F646)/60*H646*IF(G646="",1,G646))</f>
        <v/>
      </c>
      <c r="L646" s="66" t="str">
        <f>IF(M646&lt;&gt;"OK","",N(F646)/60*I646)</f>
        <v/>
      </c>
      <c r="M646" s="69" t="str">
        <f>IF(AND(A646="",D646=""),"",IF(A646="","Produit manquant",IF(COUNTIF(prod_ref,A646)=0,"Produit inconnu",IF(D646="","Poste manquant",IF(ISNA(MATCH(D646,po_code,0)),"Poste inconnu",IF(INDEX(po_check,MATCH(D646,po_code,0))&lt;&gt;"OK","Poste à corriger",IF(AND(E646&lt;&gt;"",OR(NOT(ISNUMBER(E646)),N(E646)&lt;0)),"Réglage invalide",IF(AND(F646&lt;&gt;"",OR(NOT(ISNUMBER(F646)),N(F646)&lt;0)),"Temps par pièce invalide",IF(N(E646)+N(F646)=0,"Temps manquant",IF(AND(G646&lt;&gt;"",OR(NOT(ISNUMBER(G646)),N(G646)&lt;=0)),"Opérateurs invalide","OK"))))))))))</f>
        <v/>
      </c>
      <c r="N646" s="71" t="str">
        <f>IF(AND(fiche_sel&lt;&gt;"",A646=fiche_sel),COUNTIF(A$6:A646,fiche_sel),"")</f>
        <v/>
      </c>
    </row>
    <row r="647">
      <c r="A647" s="60" t="n"/>
      <c r="B647" s="73" t="n"/>
      <c r="C647" s="60" t="n"/>
      <c r="D647" s="61" t="n"/>
      <c r="E647" s="74" t="n"/>
      <c r="F647" s="74" t="n"/>
      <c r="G647" s="73" t="n"/>
      <c r="H647" s="66" t="str">
        <f>IF(M647&lt;&gt;"OK","",INDEX(po_mo,MATCH(D647,po_code,0)))</f>
        <v/>
      </c>
      <c r="I647" s="66" t="str">
        <f>IF(M647&lt;&gt;"OK","",INDEX(po_mac,MATCH(D647,po_code,0)))</f>
        <v/>
      </c>
      <c r="J647" s="66" t="str">
        <f>IF(M647&lt;&gt;"OK","",N(E647)*(H647*IF(G647="",1,G647)+I647))</f>
        <v/>
      </c>
      <c r="K647" s="66" t="str">
        <f>IF(M647&lt;&gt;"OK","",N(F647)/60*H647*IF(G647="",1,G647))</f>
        <v/>
      </c>
      <c r="L647" s="66" t="str">
        <f>IF(M647&lt;&gt;"OK","",N(F647)/60*I647)</f>
        <v/>
      </c>
      <c r="M647" s="69" t="str">
        <f>IF(AND(A647="",D647=""),"",IF(A647="","Produit manquant",IF(COUNTIF(prod_ref,A647)=0,"Produit inconnu",IF(D647="","Poste manquant",IF(ISNA(MATCH(D647,po_code,0)),"Poste inconnu",IF(INDEX(po_check,MATCH(D647,po_code,0))&lt;&gt;"OK","Poste à corriger",IF(AND(E647&lt;&gt;"",OR(NOT(ISNUMBER(E647)),N(E647)&lt;0)),"Réglage invalide",IF(AND(F647&lt;&gt;"",OR(NOT(ISNUMBER(F647)),N(F647)&lt;0)),"Temps par pièce invalide",IF(N(E647)+N(F647)=0,"Temps manquant",IF(AND(G647&lt;&gt;"",OR(NOT(ISNUMBER(G647)),N(G647)&lt;=0)),"Opérateurs invalide","OK"))))))))))</f>
        <v/>
      </c>
      <c r="N647" s="71" t="str">
        <f>IF(AND(fiche_sel&lt;&gt;"",A647=fiche_sel),COUNTIF(A$6:A647,fiche_sel),"")</f>
        <v/>
      </c>
    </row>
    <row r="648">
      <c r="A648" s="60" t="n"/>
      <c r="B648" s="73" t="n"/>
      <c r="C648" s="60" t="n"/>
      <c r="D648" s="61" t="n"/>
      <c r="E648" s="74" t="n"/>
      <c r="F648" s="74" t="n"/>
      <c r="G648" s="73" t="n"/>
      <c r="H648" s="66" t="str">
        <f>IF(M648&lt;&gt;"OK","",INDEX(po_mo,MATCH(D648,po_code,0)))</f>
        <v/>
      </c>
      <c r="I648" s="66" t="str">
        <f>IF(M648&lt;&gt;"OK","",INDEX(po_mac,MATCH(D648,po_code,0)))</f>
        <v/>
      </c>
      <c r="J648" s="66" t="str">
        <f>IF(M648&lt;&gt;"OK","",N(E648)*(H648*IF(G648="",1,G648)+I648))</f>
        <v/>
      </c>
      <c r="K648" s="66" t="str">
        <f>IF(M648&lt;&gt;"OK","",N(F648)/60*H648*IF(G648="",1,G648))</f>
        <v/>
      </c>
      <c r="L648" s="66" t="str">
        <f>IF(M648&lt;&gt;"OK","",N(F648)/60*I648)</f>
        <v/>
      </c>
      <c r="M648" s="69" t="str">
        <f>IF(AND(A648="",D648=""),"",IF(A648="","Produit manquant",IF(COUNTIF(prod_ref,A648)=0,"Produit inconnu",IF(D648="","Poste manquant",IF(ISNA(MATCH(D648,po_code,0)),"Poste inconnu",IF(INDEX(po_check,MATCH(D648,po_code,0))&lt;&gt;"OK","Poste à corriger",IF(AND(E648&lt;&gt;"",OR(NOT(ISNUMBER(E648)),N(E648)&lt;0)),"Réglage invalide",IF(AND(F648&lt;&gt;"",OR(NOT(ISNUMBER(F648)),N(F648)&lt;0)),"Temps par pièce invalide",IF(N(E648)+N(F648)=0,"Temps manquant",IF(AND(G648&lt;&gt;"",OR(NOT(ISNUMBER(G648)),N(G648)&lt;=0)),"Opérateurs invalide","OK"))))))))))</f>
        <v/>
      </c>
      <c r="N648" s="71" t="str">
        <f>IF(AND(fiche_sel&lt;&gt;"",A648=fiche_sel),COUNTIF(A$6:A648,fiche_sel),"")</f>
        <v/>
      </c>
    </row>
    <row r="649">
      <c r="A649" s="60" t="n"/>
      <c r="B649" s="73" t="n"/>
      <c r="C649" s="60" t="n"/>
      <c r="D649" s="61" t="n"/>
      <c r="E649" s="74" t="n"/>
      <c r="F649" s="74" t="n"/>
      <c r="G649" s="73" t="n"/>
      <c r="H649" s="66" t="str">
        <f>IF(M649&lt;&gt;"OK","",INDEX(po_mo,MATCH(D649,po_code,0)))</f>
        <v/>
      </c>
      <c r="I649" s="66" t="str">
        <f>IF(M649&lt;&gt;"OK","",INDEX(po_mac,MATCH(D649,po_code,0)))</f>
        <v/>
      </c>
      <c r="J649" s="66" t="str">
        <f>IF(M649&lt;&gt;"OK","",N(E649)*(H649*IF(G649="",1,G649)+I649))</f>
        <v/>
      </c>
      <c r="K649" s="66" t="str">
        <f>IF(M649&lt;&gt;"OK","",N(F649)/60*H649*IF(G649="",1,G649))</f>
        <v/>
      </c>
      <c r="L649" s="66" t="str">
        <f>IF(M649&lt;&gt;"OK","",N(F649)/60*I649)</f>
        <v/>
      </c>
      <c r="M649" s="69" t="str">
        <f>IF(AND(A649="",D649=""),"",IF(A649="","Produit manquant",IF(COUNTIF(prod_ref,A649)=0,"Produit inconnu",IF(D649="","Poste manquant",IF(ISNA(MATCH(D649,po_code,0)),"Poste inconnu",IF(INDEX(po_check,MATCH(D649,po_code,0))&lt;&gt;"OK","Poste à corriger",IF(AND(E649&lt;&gt;"",OR(NOT(ISNUMBER(E649)),N(E649)&lt;0)),"Réglage invalide",IF(AND(F649&lt;&gt;"",OR(NOT(ISNUMBER(F649)),N(F649)&lt;0)),"Temps par pièce invalide",IF(N(E649)+N(F649)=0,"Temps manquant",IF(AND(G649&lt;&gt;"",OR(NOT(ISNUMBER(G649)),N(G649)&lt;=0)),"Opérateurs invalide","OK"))))))))))</f>
        <v/>
      </c>
      <c r="N649" s="71" t="str">
        <f>IF(AND(fiche_sel&lt;&gt;"",A649=fiche_sel),COUNTIF(A$6:A649,fiche_sel),"")</f>
        <v/>
      </c>
    </row>
    <row r="650">
      <c r="A650" s="60" t="n"/>
      <c r="B650" s="73" t="n"/>
      <c r="C650" s="60" t="n"/>
      <c r="D650" s="61" t="n"/>
      <c r="E650" s="74" t="n"/>
      <c r="F650" s="74" t="n"/>
      <c r="G650" s="73" t="n"/>
      <c r="H650" s="66" t="str">
        <f>IF(M650&lt;&gt;"OK","",INDEX(po_mo,MATCH(D650,po_code,0)))</f>
        <v/>
      </c>
      <c r="I650" s="66" t="str">
        <f>IF(M650&lt;&gt;"OK","",INDEX(po_mac,MATCH(D650,po_code,0)))</f>
        <v/>
      </c>
      <c r="J650" s="66" t="str">
        <f>IF(M650&lt;&gt;"OK","",N(E650)*(H650*IF(G650="",1,G650)+I650))</f>
        <v/>
      </c>
      <c r="K650" s="66" t="str">
        <f>IF(M650&lt;&gt;"OK","",N(F650)/60*H650*IF(G650="",1,G650))</f>
        <v/>
      </c>
      <c r="L650" s="66" t="str">
        <f>IF(M650&lt;&gt;"OK","",N(F650)/60*I650)</f>
        <v/>
      </c>
      <c r="M650" s="69" t="str">
        <f>IF(AND(A650="",D650=""),"",IF(A650="","Produit manquant",IF(COUNTIF(prod_ref,A650)=0,"Produit inconnu",IF(D650="","Poste manquant",IF(ISNA(MATCH(D650,po_code,0)),"Poste inconnu",IF(INDEX(po_check,MATCH(D650,po_code,0))&lt;&gt;"OK","Poste à corriger",IF(AND(E650&lt;&gt;"",OR(NOT(ISNUMBER(E650)),N(E650)&lt;0)),"Réglage invalide",IF(AND(F650&lt;&gt;"",OR(NOT(ISNUMBER(F650)),N(F650)&lt;0)),"Temps par pièce invalide",IF(N(E650)+N(F650)=0,"Temps manquant",IF(AND(G650&lt;&gt;"",OR(NOT(ISNUMBER(G650)),N(G650)&lt;=0)),"Opérateurs invalide","OK"))))))))))</f>
        <v/>
      </c>
      <c r="N650" s="71" t="str">
        <f>IF(AND(fiche_sel&lt;&gt;"",A650=fiche_sel),COUNTIF(A$6:A650,fiche_sel),"")</f>
        <v/>
      </c>
    </row>
    <row r="651">
      <c r="A651" s="60" t="n"/>
      <c r="B651" s="73" t="n"/>
      <c r="C651" s="60" t="n"/>
      <c r="D651" s="61" t="n"/>
      <c r="E651" s="74" t="n"/>
      <c r="F651" s="74" t="n"/>
      <c r="G651" s="73" t="n"/>
      <c r="H651" s="66" t="str">
        <f>IF(M651&lt;&gt;"OK","",INDEX(po_mo,MATCH(D651,po_code,0)))</f>
        <v/>
      </c>
      <c r="I651" s="66" t="str">
        <f>IF(M651&lt;&gt;"OK","",INDEX(po_mac,MATCH(D651,po_code,0)))</f>
        <v/>
      </c>
      <c r="J651" s="66" t="str">
        <f>IF(M651&lt;&gt;"OK","",N(E651)*(H651*IF(G651="",1,G651)+I651))</f>
        <v/>
      </c>
      <c r="K651" s="66" t="str">
        <f>IF(M651&lt;&gt;"OK","",N(F651)/60*H651*IF(G651="",1,G651))</f>
        <v/>
      </c>
      <c r="L651" s="66" t="str">
        <f>IF(M651&lt;&gt;"OK","",N(F651)/60*I651)</f>
        <v/>
      </c>
      <c r="M651" s="69" t="str">
        <f>IF(AND(A651="",D651=""),"",IF(A651="","Produit manquant",IF(COUNTIF(prod_ref,A651)=0,"Produit inconnu",IF(D651="","Poste manquant",IF(ISNA(MATCH(D651,po_code,0)),"Poste inconnu",IF(INDEX(po_check,MATCH(D651,po_code,0))&lt;&gt;"OK","Poste à corriger",IF(AND(E651&lt;&gt;"",OR(NOT(ISNUMBER(E651)),N(E651)&lt;0)),"Réglage invalide",IF(AND(F651&lt;&gt;"",OR(NOT(ISNUMBER(F651)),N(F651)&lt;0)),"Temps par pièce invalide",IF(N(E651)+N(F651)=0,"Temps manquant",IF(AND(G651&lt;&gt;"",OR(NOT(ISNUMBER(G651)),N(G651)&lt;=0)),"Opérateurs invalide","OK"))))))))))</f>
        <v/>
      </c>
      <c r="N651" s="71" t="str">
        <f>IF(AND(fiche_sel&lt;&gt;"",A651=fiche_sel),COUNTIF(A$6:A651,fiche_sel),"")</f>
        <v/>
      </c>
    </row>
    <row r="652">
      <c r="A652" s="60" t="n"/>
      <c r="B652" s="73" t="n"/>
      <c r="C652" s="60" t="n"/>
      <c r="D652" s="61" t="n"/>
      <c r="E652" s="74" t="n"/>
      <c r="F652" s="74" t="n"/>
      <c r="G652" s="73" t="n"/>
      <c r="H652" s="66" t="str">
        <f>IF(M652&lt;&gt;"OK","",INDEX(po_mo,MATCH(D652,po_code,0)))</f>
        <v/>
      </c>
      <c r="I652" s="66" t="str">
        <f>IF(M652&lt;&gt;"OK","",INDEX(po_mac,MATCH(D652,po_code,0)))</f>
        <v/>
      </c>
      <c r="J652" s="66" t="str">
        <f>IF(M652&lt;&gt;"OK","",N(E652)*(H652*IF(G652="",1,G652)+I652))</f>
        <v/>
      </c>
      <c r="K652" s="66" t="str">
        <f>IF(M652&lt;&gt;"OK","",N(F652)/60*H652*IF(G652="",1,G652))</f>
        <v/>
      </c>
      <c r="L652" s="66" t="str">
        <f>IF(M652&lt;&gt;"OK","",N(F652)/60*I652)</f>
        <v/>
      </c>
      <c r="M652" s="69" t="str">
        <f>IF(AND(A652="",D652=""),"",IF(A652="","Produit manquant",IF(COUNTIF(prod_ref,A652)=0,"Produit inconnu",IF(D652="","Poste manquant",IF(ISNA(MATCH(D652,po_code,0)),"Poste inconnu",IF(INDEX(po_check,MATCH(D652,po_code,0))&lt;&gt;"OK","Poste à corriger",IF(AND(E652&lt;&gt;"",OR(NOT(ISNUMBER(E652)),N(E652)&lt;0)),"Réglage invalide",IF(AND(F652&lt;&gt;"",OR(NOT(ISNUMBER(F652)),N(F652)&lt;0)),"Temps par pièce invalide",IF(N(E652)+N(F652)=0,"Temps manquant",IF(AND(G652&lt;&gt;"",OR(NOT(ISNUMBER(G652)),N(G652)&lt;=0)),"Opérateurs invalide","OK"))))))))))</f>
        <v/>
      </c>
      <c r="N652" s="71" t="str">
        <f>IF(AND(fiche_sel&lt;&gt;"",A652=fiche_sel),COUNTIF(A$6:A652,fiche_sel),"")</f>
        <v/>
      </c>
    </row>
    <row r="653">
      <c r="A653" s="60" t="n"/>
      <c r="B653" s="73" t="n"/>
      <c r="C653" s="60" t="n"/>
      <c r="D653" s="61" t="n"/>
      <c r="E653" s="74" t="n"/>
      <c r="F653" s="74" t="n"/>
      <c r="G653" s="73" t="n"/>
      <c r="H653" s="66" t="str">
        <f>IF(M653&lt;&gt;"OK","",INDEX(po_mo,MATCH(D653,po_code,0)))</f>
        <v/>
      </c>
      <c r="I653" s="66" t="str">
        <f>IF(M653&lt;&gt;"OK","",INDEX(po_mac,MATCH(D653,po_code,0)))</f>
        <v/>
      </c>
      <c r="J653" s="66" t="str">
        <f>IF(M653&lt;&gt;"OK","",N(E653)*(H653*IF(G653="",1,G653)+I653))</f>
        <v/>
      </c>
      <c r="K653" s="66" t="str">
        <f>IF(M653&lt;&gt;"OK","",N(F653)/60*H653*IF(G653="",1,G653))</f>
        <v/>
      </c>
      <c r="L653" s="66" t="str">
        <f>IF(M653&lt;&gt;"OK","",N(F653)/60*I653)</f>
        <v/>
      </c>
      <c r="M653" s="69" t="str">
        <f>IF(AND(A653="",D653=""),"",IF(A653="","Produit manquant",IF(COUNTIF(prod_ref,A653)=0,"Produit inconnu",IF(D653="","Poste manquant",IF(ISNA(MATCH(D653,po_code,0)),"Poste inconnu",IF(INDEX(po_check,MATCH(D653,po_code,0))&lt;&gt;"OK","Poste à corriger",IF(AND(E653&lt;&gt;"",OR(NOT(ISNUMBER(E653)),N(E653)&lt;0)),"Réglage invalide",IF(AND(F653&lt;&gt;"",OR(NOT(ISNUMBER(F653)),N(F653)&lt;0)),"Temps par pièce invalide",IF(N(E653)+N(F653)=0,"Temps manquant",IF(AND(G653&lt;&gt;"",OR(NOT(ISNUMBER(G653)),N(G653)&lt;=0)),"Opérateurs invalide","OK"))))))))))</f>
        <v/>
      </c>
      <c r="N653" s="71" t="str">
        <f>IF(AND(fiche_sel&lt;&gt;"",A653=fiche_sel),COUNTIF(A$6:A653,fiche_sel),"")</f>
        <v/>
      </c>
    </row>
    <row r="654">
      <c r="A654" s="60" t="n"/>
      <c r="B654" s="73" t="n"/>
      <c r="C654" s="60" t="n"/>
      <c r="D654" s="61" t="n"/>
      <c r="E654" s="74" t="n"/>
      <c r="F654" s="74" t="n"/>
      <c r="G654" s="73" t="n"/>
      <c r="H654" s="66" t="str">
        <f>IF(M654&lt;&gt;"OK","",INDEX(po_mo,MATCH(D654,po_code,0)))</f>
        <v/>
      </c>
      <c r="I654" s="66" t="str">
        <f>IF(M654&lt;&gt;"OK","",INDEX(po_mac,MATCH(D654,po_code,0)))</f>
        <v/>
      </c>
      <c r="J654" s="66" t="str">
        <f>IF(M654&lt;&gt;"OK","",N(E654)*(H654*IF(G654="",1,G654)+I654))</f>
        <v/>
      </c>
      <c r="K654" s="66" t="str">
        <f>IF(M654&lt;&gt;"OK","",N(F654)/60*H654*IF(G654="",1,G654))</f>
        <v/>
      </c>
      <c r="L654" s="66" t="str">
        <f>IF(M654&lt;&gt;"OK","",N(F654)/60*I654)</f>
        <v/>
      </c>
      <c r="M654" s="69" t="str">
        <f>IF(AND(A654="",D654=""),"",IF(A654="","Produit manquant",IF(COUNTIF(prod_ref,A654)=0,"Produit inconnu",IF(D654="","Poste manquant",IF(ISNA(MATCH(D654,po_code,0)),"Poste inconnu",IF(INDEX(po_check,MATCH(D654,po_code,0))&lt;&gt;"OK","Poste à corriger",IF(AND(E654&lt;&gt;"",OR(NOT(ISNUMBER(E654)),N(E654)&lt;0)),"Réglage invalide",IF(AND(F654&lt;&gt;"",OR(NOT(ISNUMBER(F654)),N(F654)&lt;0)),"Temps par pièce invalide",IF(N(E654)+N(F654)=0,"Temps manquant",IF(AND(G654&lt;&gt;"",OR(NOT(ISNUMBER(G654)),N(G654)&lt;=0)),"Opérateurs invalide","OK"))))))))))</f>
        <v/>
      </c>
      <c r="N654" s="71" t="str">
        <f>IF(AND(fiche_sel&lt;&gt;"",A654=fiche_sel),COUNTIF(A$6:A654,fiche_sel),"")</f>
        <v/>
      </c>
    </row>
    <row r="655">
      <c r="A655" s="60" t="n"/>
      <c r="B655" s="73" t="n"/>
      <c r="C655" s="60" t="n"/>
      <c r="D655" s="61" t="n"/>
      <c r="E655" s="74" t="n"/>
      <c r="F655" s="74" t="n"/>
      <c r="G655" s="73" t="n"/>
      <c r="H655" s="66" t="str">
        <f>IF(M655&lt;&gt;"OK","",INDEX(po_mo,MATCH(D655,po_code,0)))</f>
        <v/>
      </c>
      <c r="I655" s="66" t="str">
        <f>IF(M655&lt;&gt;"OK","",INDEX(po_mac,MATCH(D655,po_code,0)))</f>
        <v/>
      </c>
      <c r="J655" s="66" t="str">
        <f>IF(M655&lt;&gt;"OK","",N(E655)*(H655*IF(G655="",1,G655)+I655))</f>
        <v/>
      </c>
      <c r="K655" s="66" t="str">
        <f>IF(M655&lt;&gt;"OK","",N(F655)/60*H655*IF(G655="",1,G655))</f>
        <v/>
      </c>
      <c r="L655" s="66" t="str">
        <f>IF(M655&lt;&gt;"OK","",N(F655)/60*I655)</f>
        <v/>
      </c>
      <c r="M655" s="69" t="str">
        <f>IF(AND(A655="",D655=""),"",IF(A655="","Produit manquant",IF(COUNTIF(prod_ref,A655)=0,"Produit inconnu",IF(D655="","Poste manquant",IF(ISNA(MATCH(D655,po_code,0)),"Poste inconnu",IF(INDEX(po_check,MATCH(D655,po_code,0))&lt;&gt;"OK","Poste à corriger",IF(AND(E655&lt;&gt;"",OR(NOT(ISNUMBER(E655)),N(E655)&lt;0)),"Réglage invalide",IF(AND(F655&lt;&gt;"",OR(NOT(ISNUMBER(F655)),N(F655)&lt;0)),"Temps par pièce invalide",IF(N(E655)+N(F655)=0,"Temps manquant",IF(AND(G655&lt;&gt;"",OR(NOT(ISNUMBER(G655)),N(G655)&lt;=0)),"Opérateurs invalide","OK"))))))))))</f>
        <v/>
      </c>
      <c r="N655" s="71" t="str">
        <f>IF(AND(fiche_sel&lt;&gt;"",A655=fiche_sel),COUNTIF(A$6:A655,fiche_sel),"")</f>
        <v/>
      </c>
    </row>
    <row r="656">
      <c r="A656" s="60" t="n"/>
      <c r="B656" s="73" t="n"/>
      <c r="C656" s="60" t="n"/>
      <c r="D656" s="61" t="n"/>
      <c r="E656" s="74" t="n"/>
      <c r="F656" s="74" t="n"/>
      <c r="G656" s="73" t="n"/>
      <c r="H656" s="66" t="str">
        <f>IF(M656&lt;&gt;"OK","",INDEX(po_mo,MATCH(D656,po_code,0)))</f>
        <v/>
      </c>
      <c r="I656" s="66" t="str">
        <f>IF(M656&lt;&gt;"OK","",INDEX(po_mac,MATCH(D656,po_code,0)))</f>
        <v/>
      </c>
      <c r="J656" s="66" t="str">
        <f>IF(M656&lt;&gt;"OK","",N(E656)*(H656*IF(G656="",1,G656)+I656))</f>
        <v/>
      </c>
      <c r="K656" s="66" t="str">
        <f>IF(M656&lt;&gt;"OK","",N(F656)/60*H656*IF(G656="",1,G656))</f>
        <v/>
      </c>
      <c r="L656" s="66" t="str">
        <f>IF(M656&lt;&gt;"OK","",N(F656)/60*I656)</f>
        <v/>
      </c>
      <c r="M656" s="69" t="str">
        <f>IF(AND(A656="",D656=""),"",IF(A656="","Produit manquant",IF(COUNTIF(prod_ref,A656)=0,"Produit inconnu",IF(D656="","Poste manquant",IF(ISNA(MATCH(D656,po_code,0)),"Poste inconnu",IF(INDEX(po_check,MATCH(D656,po_code,0))&lt;&gt;"OK","Poste à corriger",IF(AND(E656&lt;&gt;"",OR(NOT(ISNUMBER(E656)),N(E656)&lt;0)),"Réglage invalide",IF(AND(F656&lt;&gt;"",OR(NOT(ISNUMBER(F656)),N(F656)&lt;0)),"Temps par pièce invalide",IF(N(E656)+N(F656)=0,"Temps manquant",IF(AND(G656&lt;&gt;"",OR(NOT(ISNUMBER(G656)),N(G656)&lt;=0)),"Opérateurs invalide","OK"))))))))))</f>
        <v/>
      </c>
      <c r="N656" s="71" t="str">
        <f>IF(AND(fiche_sel&lt;&gt;"",A656=fiche_sel),COUNTIF(A$6:A656,fiche_sel),"")</f>
        <v/>
      </c>
    </row>
    <row r="657">
      <c r="A657" s="60" t="n"/>
      <c r="B657" s="73" t="n"/>
      <c r="C657" s="60" t="n"/>
      <c r="D657" s="61" t="n"/>
      <c r="E657" s="74" t="n"/>
      <c r="F657" s="74" t="n"/>
      <c r="G657" s="73" t="n"/>
      <c r="H657" s="66" t="str">
        <f>IF(M657&lt;&gt;"OK","",INDEX(po_mo,MATCH(D657,po_code,0)))</f>
        <v/>
      </c>
      <c r="I657" s="66" t="str">
        <f>IF(M657&lt;&gt;"OK","",INDEX(po_mac,MATCH(D657,po_code,0)))</f>
        <v/>
      </c>
      <c r="J657" s="66" t="str">
        <f>IF(M657&lt;&gt;"OK","",N(E657)*(H657*IF(G657="",1,G657)+I657))</f>
        <v/>
      </c>
      <c r="K657" s="66" t="str">
        <f>IF(M657&lt;&gt;"OK","",N(F657)/60*H657*IF(G657="",1,G657))</f>
        <v/>
      </c>
      <c r="L657" s="66" t="str">
        <f>IF(M657&lt;&gt;"OK","",N(F657)/60*I657)</f>
        <v/>
      </c>
      <c r="M657" s="69" t="str">
        <f>IF(AND(A657="",D657=""),"",IF(A657="","Produit manquant",IF(COUNTIF(prod_ref,A657)=0,"Produit inconnu",IF(D657="","Poste manquant",IF(ISNA(MATCH(D657,po_code,0)),"Poste inconnu",IF(INDEX(po_check,MATCH(D657,po_code,0))&lt;&gt;"OK","Poste à corriger",IF(AND(E657&lt;&gt;"",OR(NOT(ISNUMBER(E657)),N(E657)&lt;0)),"Réglage invalide",IF(AND(F657&lt;&gt;"",OR(NOT(ISNUMBER(F657)),N(F657)&lt;0)),"Temps par pièce invalide",IF(N(E657)+N(F657)=0,"Temps manquant",IF(AND(G657&lt;&gt;"",OR(NOT(ISNUMBER(G657)),N(G657)&lt;=0)),"Opérateurs invalide","OK"))))))))))</f>
        <v/>
      </c>
      <c r="N657" s="71" t="str">
        <f>IF(AND(fiche_sel&lt;&gt;"",A657=fiche_sel),COUNTIF(A$6:A657,fiche_sel),"")</f>
        <v/>
      </c>
    </row>
    <row r="658">
      <c r="A658" s="60" t="n"/>
      <c r="B658" s="73" t="n"/>
      <c r="C658" s="60" t="n"/>
      <c r="D658" s="61" t="n"/>
      <c r="E658" s="74" t="n"/>
      <c r="F658" s="74" t="n"/>
      <c r="G658" s="73" t="n"/>
      <c r="H658" s="66" t="str">
        <f>IF(M658&lt;&gt;"OK","",INDEX(po_mo,MATCH(D658,po_code,0)))</f>
        <v/>
      </c>
      <c r="I658" s="66" t="str">
        <f>IF(M658&lt;&gt;"OK","",INDEX(po_mac,MATCH(D658,po_code,0)))</f>
        <v/>
      </c>
      <c r="J658" s="66" t="str">
        <f>IF(M658&lt;&gt;"OK","",N(E658)*(H658*IF(G658="",1,G658)+I658))</f>
        <v/>
      </c>
      <c r="K658" s="66" t="str">
        <f>IF(M658&lt;&gt;"OK","",N(F658)/60*H658*IF(G658="",1,G658))</f>
        <v/>
      </c>
      <c r="L658" s="66" t="str">
        <f>IF(M658&lt;&gt;"OK","",N(F658)/60*I658)</f>
        <v/>
      </c>
      <c r="M658" s="69" t="str">
        <f>IF(AND(A658="",D658=""),"",IF(A658="","Produit manquant",IF(COUNTIF(prod_ref,A658)=0,"Produit inconnu",IF(D658="","Poste manquant",IF(ISNA(MATCH(D658,po_code,0)),"Poste inconnu",IF(INDEX(po_check,MATCH(D658,po_code,0))&lt;&gt;"OK","Poste à corriger",IF(AND(E658&lt;&gt;"",OR(NOT(ISNUMBER(E658)),N(E658)&lt;0)),"Réglage invalide",IF(AND(F658&lt;&gt;"",OR(NOT(ISNUMBER(F658)),N(F658)&lt;0)),"Temps par pièce invalide",IF(N(E658)+N(F658)=0,"Temps manquant",IF(AND(G658&lt;&gt;"",OR(NOT(ISNUMBER(G658)),N(G658)&lt;=0)),"Opérateurs invalide","OK"))))))))))</f>
        <v/>
      </c>
      <c r="N658" s="71" t="str">
        <f>IF(AND(fiche_sel&lt;&gt;"",A658=fiche_sel),COUNTIF(A$6:A658,fiche_sel),"")</f>
        <v/>
      </c>
    </row>
    <row r="659">
      <c r="A659" s="60" t="n"/>
      <c r="B659" s="73" t="n"/>
      <c r="C659" s="60" t="n"/>
      <c r="D659" s="61" t="n"/>
      <c r="E659" s="74" t="n"/>
      <c r="F659" s="74" t="n"/>
      <c r="G659" s="73" t="n"/>
      <c r="H659" s="66" t="str">
        <f>IF(M659&lt;&gt;"OK","",INDEX(po_mo,MATCH(D659,po_code,0)))</f>
        <v/>
      </c>
      <c r="I659" s="66" t="str">
        <f>IF(M659&lt;&gt;"OK","",INDEX(po_mac,MATCH(D659,po_code,0)))</f>
        <v/>
      </c>
      <c r="J659" s="66" t="str">
        <f>IF(M659&lt;&gt;"OK","",N(E659)*(H659*IF(G659="",1,G659)+I659))</f>
        <v/>
      </c>
      <c r="K659" s="66" t="str">
        <f>IF(M659&lt;&gt;"OK","",N(F659)/60*H659*IF(G659="",1,G659))</f>
        <v/>
      </c>
      <c r="L659" s="66" t="str">
        <f>IF(M659&lt;&gt;"OK","",N(F659)/60*I659)</f>
        <v/>
      </c>
      <c r="M659" s="69" t="str">
        <f>IF(AND(A659="",D659=""),"",IF(A659="","Produit manquant",IF(COUNTIF(prod_ref,A659)=0,"Produit inconnu",IF(D659="","Poste manquant",IF(ISNA(MATCH(D659,po_code,0)),"Poste inconnu",IF(INDEX(po_check,MATCH(D659,po_code,0))&lt;&gt;"OK","Poste à corriger",IF(AND(E659&lt;&gt;"",OR(NOT(ISNUMBER(E659)),N(E659)&lt;0)),"Réglage invalide",IF(AND(F659&lt;&gt;"",OR(NOT(ISNUMBER(F659)),N(F659)&lt;0)),"Temps par pièce invalide",IF(N(E659)+N(F659)=0,"Temps manquant",IF(AND(G659&lt;&gt;"",OR(NOT(ISNUMBER(G659)),N(G659)&lt;=0)),"Opérateurs invalide","OK"))))))))))</f>
        <v/>
      </c>
      <c r="N659" s="71" t="str">
        <f>IF(AND(fiche_sel&lt;&gt;"",A659=fiche_sel),COUNTIF(A$6:A659,fiche_sel),"")</f>
        <v/>
      </c>
    </row>
    <row r="660">
      <c r="A660" s="60" t="n"/>
      <c r="B660" s="73" t="n"/>
      <c r="C660" s="60" t="n"/>
      <c r="D660" s="61" t="n"/>
      <c r="E660" s="74" t="n"/>
      <c r="F660" s="74" t="n"/>
      <c r="G660" s="73" t="n"/>
      <c r="H660" s="66" t="str">
        <f>IF(M660&lt;&gt;"OK","",INDEX(po_mo,MATCH(D660,po_code,0)))</f>
        <v/>
      </c>
      <c r="I660" s="66" t="str">
        <f>IF(M660&lt;&gt;"OK","",INDEX(po_mac,MATCH(D660,po_code,0)))</f>
        <v/>
      </c>
      <c r="J660" s="66" t="str">
        <f>IF(M660&lt;&gt;"OK","",N(E660)*(H660*IF(G660="",1,G660)+I660))</f>
        <v/>
      </c>
      <c r="K660" s="66" t="str">
        <f>IF(M660&lt;&gt;"OK","",N(F660)/60*H660*IF(G660="",1,G660))</f>
        <v/>
      </c>
      <c r="L660" s="66" t="str">
        <f>IF(M660&lt;&gt;"OK","",N(F660)/60*I660)</f>
        <v/>
      </c>
      <c r="M660" s="69" t="str">
        <f>IF(AND(A660="",D660=""),"",IF(A660="","Produit manquant",IF(COUNTIF(prod_ref,A660)=0,"Produit inconnu",IF(D660="","Poste manquant",IF(ISNA(MATCH(D660,po_code,0)),"Poste inconnu",IF(INDEX(po_check,MATCH(D660,po_code,0))&lt;&gt;"OK","Poste à corriger",IF(AND(E660&lt;&gt;"",OR(NOT(ISNUMBER(E660)),N(E660)&lt;0)),"Réglage invalide",IF(AND(F660&lt;&gt;"",OR(NOT(ISNUMBER(F660)),N(F660)&lt;0)),"Temps par pièce invalide",IF(N(E660)+N(F660)=0,"Temps manquant",IF(AND(G660&lt;&gt;"",OR(NOT(ISNUMBER(G660)),N(G660)&lt;=0)),"Opérateurs invalide","OK"))))))))))</f>
        <v/>
      </c>
      <c r="N660" s="71" t="str">
        <f>IF(AND(fiche_sel&lt;&gt;"",A660=fiche_sel),COUNTIF(A$6:A660,fiche_sel),"")</f>
        <v/>
      </c>
    </row>
    <row r="661">
      <c r="A661" s="60" t="n"/>
      <c r="B661" s="73" t="n"/>
      <c r="C661" s="60" t="n"/>
      <c r="D661" s="61" t="n"/>
      <c r="E661" s="74" t="n"/>
      <c r="F661" s="74" t="n"/>
      <c r="G661" s="73" t="n"/>
      <c r="H661" s="66" t="str">
        <f>IF(M661&lt;&gt;"OK","",INDEX(po_mo,MATCH(D661,po_code,0)))</f>
        <v/>
      </c>
      <c r="I661" s="66" t="str">
        <f>IF(M661&lt;&gt;"OK","",INDEX(po_mac,MATCH(D661,po_code,0)))</f>
        <v/>
      </c>
      <c r="J661" s="66" t="str">
        <f>IF(M661&lt;&gt;"OK","",N(E661)*(H661*IF(G661="",1,G661)+I661))</f>
        <v/>
      </c>
      <c r="K661" s="66" t="str">
        <f>IF(M661&lt;&gt;"OK","",N(F661)/60*H661*IF(G661="",1,G661))</f>
        <v/>
      </c>
      <c r="L661" s="66" t="str">
        <f>IF(M661&lt;&gt;"OK","",N(F661)/60*I661)</f>
        <v/>
      </c>
      <c r="M661" s="69" t="str">
        <f>IF(AND(A661="",D661=""),"",IF(A661="","Produit manquant",IF(COUNTIF(prod_ref,A661)=0,"Produit inconnu",IF(D661="","Poste manquant",IF(ISNA(MATCH(D661,po_code,0)),"Poste inconnu",IF(INDEX(po_check,MATCH(D661,po_code,0))&lt;&gt;"OK","Poste à corriger",IF(AND(E661&lt;&gt;"",OR(NOT(ISNUMBER(E661)),N(E661)&lt;0)),"Réglage invalide",IF(AND(F661&lt;&gt;"",OR(NOT(ISNUMBER(F661)),N(F661)&lt;0)),"Temps par pièce invalide",IF(N(E661)+N(F661)=0,"Temps manquant",IF(AND(G661&lt;&gt;"",OR(NOT(ISNUMBER(G661)),N(G661)&lt;=0)),"Opérateurs invalide","OK"))))))))))</f>
        <v/>
      </c>
      <c r="N661" s="71" t="str">
        <f>IF(AND(fiche_sel&lt;&gt;"",A661=fiche_sel),COUNTIF(A$6:A661,fiche_sel),"")</f>
        <v/>
      </c>
    </row>
    <row r="662">
      <c r="A662" s="60" t="n"/>
      <c r="B662" s="73" t="n"/>
      <c r="C662" s="60" t="n"/>
      <c r="D662" s="61" t="n"/>
      <c r="E662" s="74" t="n"/>
      <c r="F662" s="74" t="n"/>
      <c r="G662" s="73" t="n"/>
      <c r="H662" s="66" t="str">
        <f>IF(M662&lt;&gt;"OK","",INDEX(po_mo,MATCH(D662,po_code,0)))</f>
        <v/>
      </c>
      <c r="I662" s="66" t="str">
        <f>IF(M662&lt;&gt;"OK","",INDEX(po_mac,MATCH(D662,po_code,0)))</f>
        <v/>
      </c>
      <c r="J662" s="66" t="str">
        <f>IF(M662&lt;&gt;"OK","",N(E662)*(H662*IF(G662="",1,G662)+I662))</f>
        <v/>
      </c>
      <c r="K662" s="66" t="str">
        <f>IF(M662&lt;&gt;"OK","",N(F662)/60*H662*IF(G662="",1,G662))</f>
        <v/>
      </c>
      <c r="L662" s="66" t="str">
        <f>IF(M662&lt;&gt;"OK","",N(F662)/60*I662)</f>
        <v/>
      </c>
      <c r="M662" s="69" t="str">
        <f>IF(AND(A662="",D662=""),"",IF(A662="","Produit manquant",IF(COUNTIF(prod_ref,A662)=0,"Produit inconnu",IF(D662="","Poste manquant",IF(ISNA(MATCH(D662,po_code,0)),"Poste inconnu",IF(INDEX(po_check,MATCH(D662,po_code,0))&lt;&gt;"OK","Poste à corriger",IF(AND(E662&lt;&gt;"",OR(NOT(ISNUMBER(E662)),N(E662)&lt;0)),"Réglage invalide",IF(AND(F662&lt;&gt;"",OR(NOT(ISNUMBER(F662)),N(F662)&lt;0)),"Temps par pièce invalide",IF(N(E662)+N(F662)=0,"Temps manquant",IF(AND(G662&lt;&gt;"",OR(NOT(ISNUMBER(G662)),N(G662)&lt;=0)),"Opérateurs invalide","OK"))))))))))</f>
        <v/>
      </c>
      <c r="N662" s="71" t="str">
        <f>IF(AND(fiche_sel&lt;&gt;"",A662=fiche_sel),COUNTIF(A$6:A662,fiche_sel),"")</f>
        <v/>
      </c>
    </row>
    <row r="663">
      <c r="A663" s="60" t="n"/>
      <c r="B663" s="73" t="n"/>
      <c r="C663" s="60" t="n"/>
      <c r="D663" s="61" t="n"/>
      <c r="E663" s="74" t="n"/>
      <c r="F663" s="74" t="n"/>
      <c r="G663" s="73" t="n"/>
      <c r="H663" s="66" t="str">
        <f>IF(M663&lt;&gt;"OK","",INDEX(po_mo,MATCH(D663,po_code,0)))</f>
        <v/>
      </c>
      <c r="I663" s="66" t="str">
        <f>IF(M663&lt;&gt;"OK","",INDEX(po_mac,MATCH(D663,po_code,0)))</f>
        <v/>
      </c>
      <c r="J663" s="66" t="str">
        <f>IF(M663&lt;&gt;"OK","",N(E663)*(H663*IF(G663="",1,G663)+I663))</f>
        <v/>
      </c>
      <c r="K663" s="66" t="str">
        <f>IF(M663&lt;&gt;"OK","",N(F663)/60*H663*IF(G663="",1,G663))</f>
        <v/>
      </c>
      <c r="L663" s="66" t="str">
        <f>IF(M663&lt;&gt;"OK","",N(F663)/60*I663)</f>
        <v/>
      </c>
      <c r="M663" s="69" t="str">
        <f>IF(AND(A663="",D663=""),"",IF(A663="","Produit manquant",IF(COUNTIF(prod_ref,A663)=0,"Produit inconnu",IF(D663="","Poste manquant",IF(ISNA(MATCH(D663,po_code,0)),"Poste inconnu",IF(INDEX(po_check,MATCH(D663,po_code,0))&lt;&gt;"OK","Poste à corriger",IF(AND(E663&lt;&gt;"",OR(NOT(ISNUMBER(E663)),N(E663)&lt;0)),"Réglage invalide",IF(AND(F663&lt;&gt;"",OR(NOT(ISNUMBER(F663)),N(F663)&lt;0)),"Temps par pièce invalide",IF(N(E663)+N(F663)=0,"Temps manquant",IF(AND(G663&lt;&gt;"",OR(NOT(ISNUMBER(G663)),N(G663)&lt;=0)),"Opérateurs invalide","OK"))))))))))</f>
        <v/>
      </c>
      <c r="N663" s="71" t="str">
        <f>IF(AND(fiche_sel&lt;&gt;"",A663=fiche_sel),COUNTIF(A$6:A663,fiche_sel),"")</f>
        <v/>
      </c>
    </row>
    <row r="664">
      <c r="A664" s="60" t="n"/>
      <c r="B664" s="73" t="n"/>
      <c r="C664" s="60" t="n"/>
      <c r="D664" s="61" t="n"/>
      <c r="E664" s="74" t="n"/>
      <c r="F664" s="74" t="n"/>
      <c r="G664" s="73" t="n"/>
      <c r="H664" s="66" t="str">
        <f>IF(M664&lt;&gt;"OK","",INDEX(po_mo,MATCH(D664,po_code,0)))</f>
        <v/>
      </c>
      <c r="I664" s="66" t="str">
        <f>IF(M664&lt;&gt;"OK","",INDEX(po_mac,MATCH(D664,po_code,0)))</f>
        <v/>
      </c>
      <c r="J664" s="66" t="str">
        <f>IF(M664&lt;&gt;"OK","",N(E664)*(H664*IF(G664="",1,G664)+I664))</f>
        <v/>
      </c>
      <c r="K664" s="66" t="str">
        <f>IF(M664&lt;&gt;"OK","",N(F664)/60*H664*IF(G664="",1,G664))</f>
        <v/>
      </c>
      <c r="L664" s="66" t="str">
        <f>IF(M664&lt;&gt;"OK","",N(F664)/60*I664)</f>
        <v/>
      </c>
      <c r="M664" s="69" t="str">
        <f>IF(AND(A664="",D664=""),"",IF(A664="","Produit manquant",IF(COUNTIF(prod_ref,A664)=0,"Produit inconnu",IF(D664="","Poste manquant",IF(ISNA(MATCH(D664,po_code,0)),"Poste inconnu",IF(INDEX(po_check,MATCH(D664,po_code,0))&lt;&gt;"OK","Poste à corriger",IF(AND(E664&lt;&gt;"",OR(NOT(ISNUMBER(E664)),N(E664)&lt;0)),"Réglage invalide",IF(AND(F664&lt;&gt;"",OR(NOT(ISNUMBER(F664)),N(F664)&lt;0)),"Temps par pièce invalide",IF(N(E664)+N(F664)=0,"Temps manquant",IF(AND(G664&lt;&gt;"",OR(NOT(ISNUMBER(G664)),N(G664)&lt;=0)),"Opérateurs invalide","OK"))))))))))</f>
        <v/>
      </c>
      <c r="N664" s="71" t="str">
        <f>IF(AND(fiche_sel&lt;&gt;"",A664=fiche_sel),COUNTIF(A$6:A664,fiche_sel),"")</f>
        <v/>
      </c>
    </row>
    <row r="665">
      <c r="A665" s="60" t="n"/>
      <c r="B665" s="73" t="n"/>
      <c r="C665" s="60" t="n"/>
      <c r="D665" s="61" t="n"/>
      <c r="E665" s="74" t="n"/>
      <c r="F665" s="74" t="n"/>
      <c r="G665" s="73" t="n"/>
      <c r="H665" s="66" t="str">
        <f>IF(M665&lt;&gt;"OK","",INDEX(po_mo,MATCH(D665,po_code,0)))</f>
        <v/>
      </c>
      <c r="I665" s="66" t="str">
        <f>IF(M665&lt;&gt;"OK","",INDEX(po_mac,MATCH(D665,po_code,0)))</f>
        <v/>
      </c>
      <c r="J665" s="66" t="str">
        <f>IF(M665&lt;&gt;"OK","",N(E665)*(H665*IF(G665="",1,G665)+I665))</f>
        <v/>
      </c>
      <c r="K665" s="66" t="str">
        <f>IF(M665&lt;&gt;"OK","",N(F665)/60*H665*IF(G665="",1,G665))</f>
        <v/>
      </c>
      <c r="L665" s="66" t="str">
        <f>IF(M665&lt;&gt;"OK","",N(F665)/60*I665)</f>
        <v/>
      </c>
      <c r="M665" s="69" t="str">
        <f>IF(AND(A665="",D665=""),"",IF(A665="","Produit manquant",IF(COUNTIF(prod_ref,A665)=0,"Produit inconnu",IF(D665="","Poste manquant",IF(ISNA(MATCH(D665,po_code,0)),"Poste inconnu",IF(INDEX(po_check,MATCH(D665,po_code,0))&lt;&gt;"OK","Poste à corriger",IF(AND(E665&lt;&gt;"",OR(NOT(ISNUMBER(E665)),N(E665)&lt;0)),"Réglage invalide",IF(AND(F665&lt;&gt;"",OR(NOT(ISNUMBER(F665)),N(F665)&lt;0)),"Temps par pièce invalide",IF(N(E665)+N(F665)=0,"Temps manquant",IF(AND(G665&lt;&gt;"",OR(NOT(ISNUMBER(G665)),N(G665)&lt;=0)),"Opérateurs invalide","OK"))))))))))</f>
        <v/>
      </c>
      <c r="N665" s="71" t="str">
        <f>IF(AND(fiche_sel&lt;&gt;"",A665=fiche_sel),COUNTIF(A$6:A665,fiche_sel),"")</f>
        <v/>
      </c>
    </row>
    <row r="666">
      <c r="A666" s="60" t="n"/>
      <c r="B666" s="73" t="n"/>
      <c r="C666" s="60" t="n"/>
      <c r="D666" s="61" t="n"/>
      <c r="E666" s="74" t="n"/>
      <c r="F666" s="74" t="n"/>
      <c r="G666" s="73" t="n"/>
      <c r="H666" s="66" t="str">
        <f>IF(M666&lt;&gt;"OK","",INDEX(po_mo,MATCH(D666,po_code,0)))</f>
        <v/>
      </c>
      <c r="I666" s="66" t="str">
        <f>IF(M666&lt;&gt;"OK","",INDEX(po_mac,MATCH(D666,po_code,0)))</f>
        <v/>
      </c>
      <c r="J666" s="66" t="str">
        <f>IF(M666&lt;&gt;"OK","",N(E666)*(H666*IF(G666="",1,G666)+I666))</f>
        <v/>
      </c>
      <c r="K666" s="66" t="str">
        <f>IF(M666&lt;&gt;"OK","",N(F666)/60*H666*IF(G666="",1,G666))</f>
        <v/>
      </c>
      <c r="L666" s="66" t="str">
        <f>IF(M666&lt;&gt;"OK","",N(F666)/60*I666)</f>
        <v/>
      </c>
      <c r="M666" s="69" t="str">
        <f>IF(AND(A666="",D666=""),"",IF(A666="","Produit manquant",IF(COUNTIF(prod_ref,A666)=0,"Produit inconnu",IF(D666="","Poste manquant",IF(ISNA(MATCH(D666,po_code,0)),"Poste inconnu",IF(INDEX(po_check,MATCH(D666,po_code,0))&lt;&gt;"OK","Poste à corriger",IF(AND(E666&lt;&gt;"",OR(NOT(ISNUMBER(E666)),N(E666)&lt;0)),"Réglage invalide",IF(AND(F666&lt;&gt;"",OR(NOT(ISNUMBER(F666)),N(F666)&lt;0)),"Temps par pièce invalide",IF(N(E666)+N(F666)=0,"Temps manquant",IF(AND(G666&lt;&gt;"",OR(NOT(ISNUMBER(G666)),N(G666)&lt;=0)),"Opérateurs invalide","OK"))))))))))</f>
        <v/>
      </c>
      <c r="N666" s="71" t="str">
        <f>IF(AND(fiche_sel&lt;&gt;"",A666=fiche_sel),COUNTIF(A$6:A666,fiche_sel),"")</f>
        <v/>
      </c>
    </row>
    <row r="667">
      <c r="A667" s="60" t="n"/>
      <c r="B667" s="73" t="n"/>
      <c r="C667" s="60" t="n"/>
      <c r="D667" s="61" t="n"/>
      <c r="E667" s="74" t="n"/>
      <c r="F667" s="74" t="n"/>
      <c r="G667" s="73" t="n"/>
      <c r="H667" s="66" t="str">
        <f>IF(M667&lt;&gt;"OK","",INDEX(po_mo,MATCH(D667,po_code,0)))</f>
        <v/>
      </c>
      <c r="I667" s="66" t="str">
        <f>IF(M667&lt;&gt;"OK","",INDEX(po_mac,MATCH(D667,po_code,0)))</f>
        <v/>
      </c>
      <c r="J667" s="66" t="str">
        <f>IF(M667&lt;&gt;"OK","",N(E667)*(H667*IF(G667="",1,G667)+I667))</f>
        <v/>
      </c>
      <c r="K667" s="66" t="str">
        <f>IF(M667&lt;&gt;"OK","",N(F667)/60*H667*IF(G667="",1,G667))</f>
        <v/>
      </c>
      <c r="L667" s="66" t="str">
        <f>IF(M667&lt;&gt;"OK","",N(F667)/60*I667)</f>
        <v/>
      </c>
      <c r="M667" s="69" t="str">
        <f>IF(AND(A667="",D667=""),"",IF(A667="","Produit manquant",IF(COUNTIF(prod_ref,A667)=0,"Produit inconnu",IF(D667="","Poste manquant",IF(ISNA(MATCH(D667,po_code,0)),"Poste inconnu",IF(INDEX(po_check,MATCH(D667,po_code,0))&lt;&gt;"OK","Poste à corriger",IF(AND(E667&lt;&gt;"",OR(NOT(ISNUMBER(E667)),N(E667)&lt;0)),"Réglage invalide",IF(AND(F667&lt;&gt;"",OR(NOT(ISNUMBER(F667)),N(F667)&lt;0)),"Temps par pièce invalide",IF(N(E667)+N(F667)=0,"Temps manquant",IF(AND(G667&lt;&gt;"",OR(NOT(ISNUMBER(G667)),N(G667)&lt;=0)),"Opérateurs invalide","OK"))))))))))</f>
        <v/>
      </c>
      <c r="N667" s="71" t="str">
        <f>IF(AND(fiche_sel&lt;&gt;"",A667=fiche_sel),COUNTIF(A$6:A667,fiche_sel),"")</f>
        <v/>
      </c>
    </row>
    <row r="668">
      <c r="A668" s="60" t="n"/>
      <c r="B668" s="73" t="n"/>
      <c r="C668" s="60" t="n"/>
      <c r="D668" s="61" t="n"/>
      <c r="E668" s="74" t="n"/>
      <c r="F668" s="74" t="n"/>
      <c r="G668" s="73" t="n"/>
      <c r="H668" s="66" t="str">
        <f>IF(M668&lt;&gt;"OK","",INDEX(po_mo,MATCH(D668,po_code,0)))</f>
        <v/>
      </c>
      <c r="I668" s="66" t="str">
        <f>IF(M668&lt;&gt;"OK","",INDEX(po_mac,MATCH(D668,po_code,0)))</f>
        <v/>
      </c>
      <c r="J668" s="66" t="str">
        <f>IF(M668&lt;&gt;"OK","",N(E668)*(H668*IF(G668="",1,G668)+I668))</f>
        <v/>
      </c>
      <c r="K668" s="66" t="str">
        <f>IF(M668&lt;&gt;"OK","",N(F668)/60*H668*IF(G668="",1,G668))</f>
        <v/>
      </c>
      <c r="L668" s="66" t="str">
        <f>IF(M668&lt;&gt;"OK","",N(F668)/60*I668)</f>
        <v/>
      </c>
      <c r="M668" s="69" t="str">
        <f>IF(AND(A668="",D668=""),"",IF(A668="","Produit manquant",IF(COUNTIF(prod_ref,A668)=0,"Produit inconnu",IF(D668="","Poste manquant",IF(ISNA(MATCH(D668,po_code,0)),"Poste inconnu",IF(INDEX(po_check,MATCH(D668,po_code,0))&lt;&gt;"OK","Poste à corriger",IF(AND(E668&lt;&gt;"",OR(NOT(ISNUMBER(E668)),N(E668)&lt;0)),"Réglage invalide",IF(AND(F668&lt;&gt;"",OR(NOT(ISNUMBER(F668)),N(F668)&lt;0)),"Temps par pièce invalide",IF(N(E668)+N(F668)=0,"Temps manquant",IF(AND(G668&lt;&gt;"",OR(NOT(ISNUMBER(G668)),N(G668)&lt;=0)),"Opérateurs invalide","OK"))))))))))</f>
        <v/>
      </c>
      <c r="N668" s="71" t="str">
        <f>IF(AND(fiche_sel&lt;&gt;"",A668=fiche_sel),COUNTIF(A$6:A668,fiche_sel),"")</f>
        <v/>
      </c>
    </row>
    <row r="669">
      <c r="A669" s="60" t="n"/>
      <c r="B669" s="73" t="n"/>
      <c r="C669" s="60" t="n"/>
      <c r="D669" s="61" t="n"/>
      <c r="E669" s="74" t="n"/>
      <c r="F669" s="74" t="n"/>
      <c r="G669" s="73" t="n"/>
      <c r="H669" s="66" t="str">
        <f>IF(M669&lt;&gt;"OK","",INDEX(po_mo,MATCH(D669,po_code,0)))</f>
        <v/>
      </c>
      <c r="I669" s="66" t="str">
        <f>IF(M669&lt;&gt;"OK","",INDEX(po_mac,MATCH(D669,po_code,0)))</f>
        <v/>
      </c>
      <c r="J669" s="66" t="str">
        <f>IF(M669&lt;&gt;"OK","",N(E669)*(H669*IF(G669="",1,G669)+I669))</f>
        <v/>
      </c>
      <c r="K669" s="66" t="str">
        <f>IF(M669&lt;&gt;"OK","",N(F669)/60*H669*IF(G669="",1,G669))</f>
        <v/>
      </c>
      <c r="L669" s="66" t="str">
        <f>IF(M669&lt;&gt;"OK","",N(F669)/60*I669)</f>
        <v/>
      </c>
      <c r="M669" s="69" t="str">
        <f>IF(AND(A669="",D669=""),"",IF(A669="","Produit manquant",IF(COUNTIF(prod_ref,A669)=0,"Produit inconnu",IF(D669="","Poste manquant",IF(ISNA(MATCH(D669,po_code,0)),"Poste inconnu",IF(INDEX(po_check,MATCH(D669,po_code,0))&lt;&gt;"OK","Poste à corriger",IF(AND(E669&lt;&gt;"",OR(NOT(ISNUMBER(E669)),N(E669)&lt;0)),"Réglage invalide",IF(AND(F669&lt;&gt;"",OR(NOT(ISNUMBER(F669)),N(F669)&lt;0)),"Temps par pièce invalide",IF(N(E669)+N(F669)=0,"Temps manquant",IF(AND(G669&lt;&gt;"",OR(NOT(ISNUMBER(G669)),N(G669)&lt;=0)),"Opérateurs invalide","OK"))))))))))</f>
        <v/>
      </c>
      <c r="N669" s="71" t="str">
        <f>IF(AND(fiche_sel&lt;&gt;"",A669=fiche_sel),COUNTIF(A$6:A669,fiche_sel),"")</f>
        <v/>
      </c>
    </row>
    <row r="670">
      <c r="A670" s="60" t="n"/>
      <c r="B670" s="73" t="n"/>
      <c r="C670" s="60" t="n"/>
      <c r="D670" s="61" t="n"/>
      <c r="E670" s="74" t="n"/>
      <c r="F670" s="74" t="n"/>
      <c r="G670" s="73" t="n"/>
      <c r="H670" s="66" t="str">
        <f>IF(M670&lt;&gt;"OK","",INDEX(po_mo,MATCH(D670,po_code,0)))</f>
        <v/>
      </c>
      <c r="I670" s="66" t="str">
        <f>IF(M670&lt;&gt;"OK","",INDEX(po_mac,MATCH(D670,po_code,0)))</f>
        <v/>
      </c>
      <c r="J670" s="66" t="str">
        <f>IF(M670&lt;&gt;"OK","",N(E670)*(H670*IF(G670="",1,G670)+I670))</f>
        <v/>
      </c>
      <c r="K670" s="66" t="str">
        <f>IF(M670&lt;&gt;"OK","",N(F670)/60*H670*IF(G670="",1,G670))</f>
        <v/>
      </c>
      <c r="L670" s="66" t="str">
        <f>IF(M670&lt;&gt;"OK","",N(F670)/60*I670)</f>
        <v/>
      </c>
      <c r="M670" s="69" t="str">
        <f>IF(AND(A670="",D670=""),"",IF(A670="","Produit manquant",IF(COUNTIF(prod_ref,A670)=0,"Produit inconnu",IF(D670="","Poste manquant",IF(ISNA(MATCH(D670,po_code,0)),"Poste inconnu",IF(INDEX(po_check,MATCH(D670,po_code,0))&lt;&gt;"OK","Poste à corriger",IF(AND(E670&lt;&gt;"",OR(NOT(ISNUMBER(E670)),N(E670)&lt;0)),"Réglage invalide",IF(AND(F670&lt;&gt;"",OR(NOT(ISNUMBER(F670)),N(F670)&lt;0)),"Temps par pièce invalide",IF(N(E670)+N(F670)=0,"Temps manquant",IF(AND(G670&lt;&gt;"",OR(NOT(ISNUMBER(G670)),N(G670)&lt;=0)),"Opérateurs invalide","OK"))))))))))</f>
        <v/>
      </c>
      <c r="N670" s="71" t="str">
        <f>IF(AND(fiche_sel&lt;&gt;"",A670=fiche_sel),COUNTIF(A$6:A670,fiche_sel),"")</f>
        <v/>
      </c>
    </row>
    <row r="671">
      <c r="A671" s="60" t="n"/>
      <c r="B671" s="73" t="n"/>
      <c r="C671" s="60" t="n"/>
      <c r="D671" s="61" t="n"/>
      <c r="E671" s="74" t="n"/>
      <c r="F671" s="74" t="n"/>
      <c r="G671" s="73" t="n"/>
      <c r="H671" s="66" t="str">
        <f>IF(M671&lt;&gt;"OK","",INDEX(po_mo,MATCH(D671,po_code,0)))</f>
        <v/>
      </c>
      <c r="I671" s="66" t="str">
        <f>IF(M671&lt;&gt;"OK","",INDEX(po_mac,MATCH(D671,po_code,0)))</f>
        <v/>
      </c>
      <c r="J671" s="66" t="str">
        <f>IF(M671&lt;&gt;"OK","",N(E671)*(H671*IF(G671="",1,G671)+I671))</f>
        <v/>
      </c>
      <c r="K671" s="66" t="str">
        <f>IF(M671&lt;&gt;"OK","",N(F671)/60*H671*IF(G671="",1,G671))</f>
        <v/>
      </c>
      <c r="L671" s="66" t="str">
        <f>IF(M671&lt;&gt;"OK","",N(F671)/60*I671)</f>
        <v/>
      </c>
      <c r="M671" s="69" t="str">
        <f>IF(AND(A671="",D671=""),"",IF(A671="","Produit manquant",IF(COUNTIF(prod_ref,A671)=0,"Produit inconnu",IF(D671="","Poste manquant",IF(ISNA(MATCH(D671,po_code,0)),"Poste inconnu",IF(INDEX(po_check,MATCH(D671,po_code,0))&lt;&gt;"OK","Poste à corriger",IF(AND(E671&lt;&gt;"",OR(NOT(ISNUMBER(E671)),N(E671)&lt;0)),"Réglage invalide",IF(AND(F671&lt;&gt;"",OR(NOT(ISNUMBER(F671)),N(F671)&lt;0)),"Temps par pièce invalide",IF(N(E671)+N(F671)=0,"Temps manquant",IF(AND(G671&lt;&gt;"",OR(NOT(ISNUMBER(G671)),N(G671)&lt;=0)),"Opérateurs invalide","OK"))))))))))</f>
        <v/>
      </c>
      <c r="N671" s="71" t="str">
        <f>IF(AND(fiche_sel&lt;&gt;"",A671=fiche_sel),COUNTIF(A$6:A671,fiche_sel),"")</f>
        <v/>
      </c>
    </row>
    <row r="672">
      <c r="A672" s="60" t="n"/>
      <c r="B672" s="73" t="n"/>
      <c r="C672" s="60" t="n"/>
      <c r="D672" s="61" t="n"/>
      <c r="E672" s="74" t="n"/>
      <c r="F672" s="74" t="n"/>
      <c r="G672" s="73" t="n"/>
      <c r="H672" s="66" t="str">
        <f>IF(M672&lt;&gt;"OK","",INDEX(po_mo,MATCH(D672,po_code,0)))</f>
        <v/>
      </c>
      <c r="I672" s="66" t="str">
        <f>IF(M672&lt;&gt;"OK","",INDEX(po_mac,MATCH(D672,po_code,0)))</f>
        <v/>
      </c>
      <c r="J672" s="66" t="str">
        <f>IF(M672&lt;&gt;"OK","",N(E672)*(H672*IF(G672="",1,G672)+I672))</f>
        <v/>
      </c>
      <c r="K672" s="66" t="str">
        <f>IF(M672&lt;&gt;"OK","",N(F672)/60*H672*IF(G672="",1,G672))</f>
        <v/>
      </c>
      <c r="L672" s="66" t="str">
        <f>IF(M672&lt;&gt;"OK","",N(F672)/60*I672)</f>
        <v/>
      </c>
      <c r="M672" s="69" t="str">
        <f>IF(AND(A672="",D672=""),"",IF(A672="","Produit manquant",IF(COUNTIF(prod_ref,A672)=0,"Produit inconnu",IF(D672="","Poste manquant",IF(ISNA(MATCH(D672,po_code,0)),"Poste inconnu",IF(INDEX(po_check,MATCH(D672,po_code,0))&lt;&gt;"OK","Poste à corriger",IF(AND(E672&lt;&gt;"",OR(NOT(ISNUMBER(E672)),N(E672)&lt;0)),"Réglage invalide",IF(AND(F672&lt;&gt;"",OR(NOT(ISNUMBER(F672)),N(F672)&lt;0)),"Temps par pièce invalide",IF(N(E672)+N(F672)=0,"Temps manquant",IF(AND(G672&lt;&gt;"",OR(NOT(ISNUMBER(G672)),N(G672)&lt;=0)),"Opérateurs invalide","OK"))))))))))</f>
        <v/>
      </c>
      <c r="N672" s="71" t="str">
        <f>IF(AND(fiche_sel&lt;&gt;"",A672=fiche_sel),COUNTIF(A$6:A672,fiche_sel),"")</f>
        <v/>
      </c>
    </row>
    <row r="673">
      <c r="A673" s="60" t="n"/>
      <c r="B673" s="73" t="n"/>
      <c r="C673" s="60" t="n"/>
      <c r="D673" s="61" t="n"/>
      <c r="E673" s="74" t="n"/>
      <c r="F673" s="74" t="n"/>
      <c r="G673" s="73" t="n"/>
      <c r="H673" s="66" t="str">
        <f>IF(M673&lt;&gt;"OK","",INDEX(po_mo,MATCH(D673,po_code,0)))</f>
        <v/>
      </c>
      <c r="I673" s="66" t="str">
        <f>IF(M673&lt;&gt;"OK","",INDEX(po_mac,MATCH(D673,po_code,0)))</f>
        <v/>
      </c>
      <c r="J673" s="66" t="str">
        <f>IF(M673&lt;&gt;"OK","",N(E673)*(H673*IF(G673="",1,G673)+I673))</f>
        <v/>
      </c>
      <c r="K673" s="66" t="str">
        <f>IF(M673&lt;&gt;"OK","",N(F673)/60*H673*IF(G673="",1,G673))</f>
        <v/>
      </c>
      <c r="L673" s="66" t="str">
        <f>IF(M673&lt;&gt;"OK","",N(F673)/60*I673)</f>
        <v/>
      </c>
      <c r="M673" s="69" t="str">
        <f>IF(AND(A673="",D673=""),"",IF(A673="","Produit manquant",IF(COUNTIF(prod_ref,A673)=0,"Produit inconnu",IF(D673="","Poste manquant",IF(ISNA(MATCH(D673,po_code,0)),"Poste inconnu",IF(INDEX(po_check,MATCH(D673,po_code,0))&lt;&gt;"OK","Poste à corriger",IF(AND(E673&lt;&gt;"",OR(NOT(ISNUMBER(E673)),N(E673)&lt;0)),"Réglage invalide",IF(AND(F673&lt;&gt;"",OR(NOT(ISNUMBER(F673)),N(F673)&lt;0)),"Temps par pièce invalide",IF(N(E673)+N(F673)=0,"Temps manquant",IF(AND(G673&lt;&gt;"",OR(NOT(ISNUMBER(G673)),N(G673)&lt;=0)),"Opérateurs invalide","OK"))))))))))</f>
        <v/>
      </c>
      <c r="N673" s="71" t="str">
        <f>IF(AND(fiche_sel&lt;&gt;"",A673=fiche_sel),COUNTIF(A$6:A673,fiche_sel),"")</f>
        <v/>
      </c>
    </row>
    <row r="674">
      <c r="A674" s="60" t="n"/>
      <c r="B674" s="73" t="n"/>
      <c r="C674" s="60" t="n"/>
      <c r="D674" s="61" t="n"/>
      <c r="E674" s="74" t="n"/>
      <c r="F674" s="74" t="n"/>
      <c r="G674" s="73" t="n"/>
      <c r="H674" s="66" t="str">
        <f>IF(M674&lt;&gt;"OK","",INDEX(po_mo,MATCH(D674,po_code,0)))</f>
        <v/>
      </c>
      <c r="I674" s="66" t="str">
        <f>IF(M674&lt;&gt;"OK","",INDEX(po_mac,MATCH(D674,po_code,0)))</f>
        <v/>
      </c>
      <c r="J674" s="66" t="str">
        <f>IF(M674&lt;&gt;"OK","",N(E674)*(H674*IF(G674="",1,G674)+I674))</f>
        <v/>
      </c>
      <c r="K674" s="66" t="str">
        <f>IF(M674&lt;&gt;"OK","",N(F674)/60*H674*IF(G674="",1,G674))</f>
        <v/>
      </c>
      <c r="L674" s="66" t="str">
        <f>IF(M674&lt;&gt;"OK","",N(F674)/60*I674)</f>
        <v/>
      </c>
      <c r="M674" s="69" t="str">
        <f>IF(AND(A674="",D674=""),"",IF(A674="","Produit manquant",IF(COUNTIF(prod_ref,A674)=0,"Produit inconnu",IF(D674="","Poste manquant",IF(ISNA(MATCH(D674,po_code,0)),"Poste inconnu",IF(INDEX(po_check,MATCH(D674,po_code,0))&lt;&gt;"OK","Poste à corriger",IF(AND(E674&lt;&gt;"",OR(NOT(ISNUMBER(E674)),N(E674)&lt;0)),"Réglage invalide",IF(AND(F674&lt;&gt;"",OR(NOT(ISNUMBER(F674)),N(F674)&lt;0)),"Temps par pièce invalide",IF(N(E674)+N(F674)=0,"Temps manquant",IF(AND(G674&lt;&gt;"",OR(NOT(ISNUMBER(G674)),N(G674)&lt;=0)),"Opérateurs invalide","OK"))))))))))</f>
        <v/>
      </c>
      <c r="N674" s="71" t="str">
        <f>IF(AND(fiche_sel&lt;&gt;"",A674=fiche_sel),COUNTIF(A$6:A674,fiche_sel),"")</f>
        <v/>
      </c>
    </row>
    <row r="675">
      <c r="A675" s="60" t="n"/>
      <c r="B675" s="73" t="n"/>
      <c r="C675" s="60" t="n"/>
      <c r="D675" s="61" t="n"/>
      <c r="E675" s="74" t="n"/>
      <c r="F675" s="74" t="n"/>
      <c r="G675" s="73" t="n"/>
      <c r="H675" s="66" t="str">
        <f>IF(M675&lt;&gt;"OK","",INDEX(po_mo,MATCH(D675,po_code,0)))</f>
        <v/>
      </c>
      <c r="I675" s="66" t="str">
        <f>IF(M675&lt;&gt;"OK","",INDEX(po_mac,MATCH(D675,po_code,0)))</f>
        <v/>
      </c>
      <c r="J675" s="66" t="str">
        <f>IF(M675&lt;&gt;"OK","",N(E675)*(H675*IF(G675="",1,G675)+I675))</f>
        <v/>
      </c>
      <c r="K675" s="66" t="str">
        <f>IF(M675&lt;&gt;"OK","",N(F675)/60*H675*IF(G675="",1,G675))</f>
        <v/>
      </c>
      <c r="L675" s="66" t="str">
        <f>IF(M675&lt;&gt;"OK","",N(F675)/60*I675)</f>
        <v/>
      </c>
      <c r="M675" s="69" t="str">
        <f>IF(AND(A675="",D675=""),"",IF(A675="","Produit manquant",IF(COUNTIF(prod_ref,A675)=0,"Produit inconnu",IF(D675="","Poste manquant",IF(ISNA(MATCH(D675,po_code,0)),"Poste inconnu",IF(INDEX(po_check,MATCH(D675,po_code,0))&lt;&gt;"OK","Poste à corriger",IF(AND(E675&lt;&gt;"",OR(NOT(ISNUMBER(E675)),N(E675)&lt;0)),"Réglage invalide",IF(AND(F675&lt;&gt;"",OR(NOT(ISNUMBER(F675)),N(F675)&lt;0)),"Temps par pièce invalide",IF(N(E675)+N(F675)=0,"Temps manquant",IF(AND(G675&lt;&gt;"",OR(NOT(ISNUMBER(G675)),N(G675)&lt;=0)),"Opérateurs invalide","OK"))))))))))</f>
        <v/>
      </c>
      <c r="N675" s="71" t="str">
        <f>IF(AND(fiche_sel&lt;&gt;"",A675=fiche_sel),COUNTIF(A$6:A675,fiche_sel),"")</f>
        <v/>
      </c>
    </row>
    <row r="676">
      <c r="A676" s="60" t="n"/>
      <c r="B676" s="73" t="n"/>
      <c r="C676" s="60" t="n"/>
      <c r="D676" s="61" t="n"/>
      <c r="E676" s="74" t="n"/>
      <c r="F676" s="74" t="n"/>
      <c r="G676" s="73" t="n"/>
      <c r="H676" s="66" t="str">
        <f>IF(M676&lt;&gt;"OK","",INDEX(po_mo,MATCH(D676,po_code,0)))</f>
        <v/>
      </c>
      <c r="I676" s="66" t="str">
        <f>IF(M676&lt;&gt;"OK","",INDEX(po_mac,MATCH(D676,po_code,0)))</f>
        <v/>
      </c>
      <c r="J676" s="66" t="str">
        <f>IF(M676&lt;&gt;"OK","",N(E676)*(H676*IF(G676="",1,G676)+I676))</f>
        <v/>
      </c>
      <c r="K676" s="66" t="str">
        <f>IF(M676&lt;&gt;"OK","",N(F676)/60*H676*IF(G676="",1,G676))</f>
        <v/>
      </c>
      <c r="L676" s="66" t="str">
        <f>IF(M676&lt;&gt;"OK","",N(F676)/60*I676)</f>
        <v/>
      </c>
      <c r="M676" s="69" t="str">
        <f>IF(AND(A676="",D676=""),"",IF(A676="","Produit manquant",IF(COUNTIF(prod_ref,A676)=0,"Produit inconnu",IF(D676="","Poste manquant",IF(ISNA(MATCH(D676,po_code,0)),"Poste inconnu",IF(INDEX(po_check,MATCH(D676,po_code,0))&lt;&gt;"OK","Poste à corriger",IF(AND(E676&lt;&gt;"",OR(NOT(ISNUMBER(E676)),N(E676)&lt;0)),"Réglage invalide",IF(AND(F676&lt;&gt;"",OR(NOT(ISNUMBER(F676)),N(F676)&lt;0)),"Temps par pièce invalide",IF(N(E676)+N(F676)=0,"Temps manquant",IF(AND(G676&lt;&gt;"",OR(NOT(ISNUMBER(G676)),N(G676)&lt;=0)),"Opérateurs invalide","OK"))))))))))</f>
        <v/>
      </c>
      <c r="N676" s="71" t="str">
        <f>IF(AND(fiche_sel&lt;&gt;"",A676=fiche_sel),COUNTIF(A$6:A676,fiche_sel),"")</f>
        <v/>
      </c>
    </row>
    <row r="677">
      <c r="A677" s="60" t="n"/>
      <c r="B677" s="73" t="n"/>
      <c r="C677" s="60" t="n"/>
      <c r="D677" s="61" t="n"/>
      <c r="E677" s="74" t="n"/>
      <c r="F677" s="74" t="n"/>
      <c r="G677" s="73" t="n"/>
      <c r="H677" s="66" t="str">
        <f>IF(M677&lt;&gt;"OK","",INDEX(po_mo,MATCH(D677,po_code,0)))</f>
        <v/>
      </c>
      <c r="I677" s="66" t="str">
        <f>IF(M677&lt;&gt;"OK","",INDEX(po_mac,MATCH(D677,po_code,0)))</f>
        <v/>
      </c>
      <c r="J677" s="66" t="str">
        <f>IF(M677&lt;&gt;"OK","",N(E677)*(H677*IF(G677="",1,G677)+I677))</f>
        <v/>
      </c>
      <c r="K677" s="66" t="str">
        <f>IF(M677&lt;&gt;"OK","",N(F677)/60*H677*IF(G677="",1,G677))</f>
        <v/>
      </c>
      <c r="L677" s="66" t="str">
        <f>IF(M677&lt;&gt;"OK","",N(F677)/60*I677)</f>
        <v/>
      </c>
      <c r="M677" s="69" t="str">
        <f>IF(AND(A677="",D677=""),"",IF(A677="","Produit manquant",IF(COUNTIF(prod_ref,A677)=0,"Produit inconnu",IF(D677="","Poste manquant",IF(ISNA(MATCH(D677,po_code,0)),"Poste inconnu",IF(INDEX(po_check,MATCH(D677,po_code,0))&lt;&gt;"OK","Poste à corriger",IF(AND(E677&lt;&gt;"",OR(NOT(ISNUMBER(E677)),N(E677)&lt;0)),"Réglage invalide",IF(AND(F677&lt;&gt;"",OR(NOT(ISNUMBER(F677)),N(F677)&lt;0)),"Temps par pièce invalide",IF(N(E677)+N(F677)=0,"Temps manquant",IF(AND(G677&lt;&gt;"",OR(NOT(ISNUMBER(G677)),N(G677)&lt;=0)),"Opérateurs invalide","OK"))))))))))</f>
        <v/>
      </c>
      <c r="N677" s="71" t="str">
        <f>IF(AND(fiche_sel&lt;&gt;"",A677=fiche_sel),COUNTIF(A$6:A677,fiche_sel),"")</f>
        <v/>
      </c>
    </row>
    <row r="678">
      <c r="A678" s="60" t="n"/>
      <c r="B678" s="73" t="n"/>
      <c r="C678" s="60" t="n"/>
      <c r="D678" s="61" t="n"/>
      <c r="E678" s="74" t="n"/>
      <c r="F678" s="74" t="n"/>
      <c r="G678" s="73" t="n"/>
      <c r="H678" s="66" t="str">
        <f>IF(M678&lt;&gt;"OK","",INDEX(po_mo,MATCH(D678,po_code,0)))</f>
        <v/>
      </c>
      <c r="I678" s="66" t="str">
        <f>IF(M678&lt;&gt;"OK","",INDEX(po_mac,MATCH(D678,po_code,0)))</f>
        <v/>
      </c>
      <c r="J678" s="66" t="str">
        <f>IF(M678&lt;&gt;"OK","",N(E678)*(H678*IF(G678="",1,G678)+I678))</f>
        <v/>
      </c>
      <c r="K678" s="66" t="str">
        <f>IF(M678&lt;&gt;"OK","",N(F678)/60*H678*IF(G678="",1,G678))</f>
        <v/>
      </c>
      <c r="L678" s="66" t="str">
        <f>IF(M678&lt;&gt;"OK","",N(F678)/60*I678)</f>
        <v/>
      </c>
      <c r="M678" s="69" t="str">
        <f>IF(AND(A678="",D678=""),"",IF(A678="","Produit manquant",IF(COUNTIF(prod_ref,A678)=0,"Produit inconnu",IF(D678="","Poste manquant",IF(ISNA(MATCH(D678,po_code,0)),"Poste inconnu",IF(INDEX(po_check,MATCH(D678,po_code,0))&lt;&gt;"OK","Poste à corriger",IF(AND(E678&lt;&gt;"",OR(NOT(ISNUMBER(E678)),N(E678)&lt;0)),"Réglage invalide",IF(AND(F678&lt;&gt;"",OR(NOT(ISNUMBER(F678)),N(F678)&lt;0)),"Temps par pièce invalide",IF(N(E678)+N(F678)=0,"Temps manquant",IF(AND(G678&lt;&gt;"",OR(NOT(ISNUMBER(G678)),N(G678)&lt;=0)),"Opérateurs invalide","OK"))))))))))</f>
        <v/>
      </c>
      <c r="N678" s="71" t="str">
        <f>IF(AND(fiche_sel&lt;&gt;"",A678=fiche_sel),COUNTIF(A$6:A678,fiche_sel),"")</f>
        <v/>
      </c>
    </row>
    <row r="679">
      <c r="A679" s="60" t="n"/>
      <c r="B679" s="73" t="n"/>
      <c r="C679" s="60" t="n"/>
      <c r="D679" s="61" t="n"/>
      <c r="E679" s="74" t="n"/>
      <c r="F679" s="74" t="n"/>
      <c r="G679" s="73" t="n"/>
      <c r="H679" s="66" t="str">
        <f>IF(M679&lt;&gt;"OK","",INDEX(po_mo,MATCH(D679,po_code,0)))</f>
        <v/>
      </c>
      <c r="I679" s="66" t="str">
        <f>IF(M679&lt;&gt;"OK","",INDEX(po_mac,MATCH(D679,po_code,0)))</f>
        <v/>
      </c>
      <c r="J679" s="66" t="str">
        <f>IF(M679&lt;&gt;"OK","",N(E679)*(H679*IF(G679="",1,G679)+I679))</f>
        <v/>
      </c>
      <c r="K679" s="66" t="str">
        <f>IF(M679&lt;&gt;"OK","",N(F679)/60*H679*IF(G679="",1,G679))</f>
        <v/>
      </c>
      <c r="L679" s="66" t="str">
        <f>IF(M679&lt;&gt;"OK","",N(F679)/60*I679)</f>
        <v/>
      </c>
      <c r="M679" s="69" t="str">
        <f>IF(AND(A679="",D679=""),"",IF(A679="","Produit manquant",IF(COUNTIF(prod_ref,A679)=0,"Produit inconnu",IF(D679="","Poste manquant",IF(ISNA(MATCH(D679,po_code,0)),"Poste inconnu",IF(INDEX(po_check,MATCH(D679,po_code,0))&lt;&gt;"OK","Poste à corriger",IF(AND(E679&lt;&gt;"",OR(NOT(ISNUMBER(E679)),N(E679)&lt;0)),"Réglage invalide",IF(AND(F679&lt;&gt;"",OR(NOT(ISNUMBER(F679)),N(F679)&lt;0)),"Temps par pièce invalide",IF(N(E679)+N(F679)=0,"Temps manquant",IF(AND(G679&lt;&gt;"",OR(NOT(ISNUMBER(G679)),N(G679)&lt;=0)),"Opérateurs invalide","OK"))))))))))</f>
        <v/>
      </c>
      <c r="N679" s="71" t="str">
        <f>IF(AND(fiche_sel&lt;&gt;"",A679=fiche_sel),COUNTIF(A$6:A679,fiche_sel),"")</f>
        <v/>
      </c>
    </row>
    <row r="680">
      <c r="A680" s="60" t="n"/>
      <c r="B680" s="73" t="n"/>
      <c r="C680" s="60" t="n"/>
      <c r="D680" s="61" t="n"/>
      <c r="E680" s="74" t="n"/>
      <c r="F680" s="74" t="n"/>
      <c r="G680" s="73" t="n"/>
      <c r="H680" s="66" t="str">
        <f>IF(M680&lt;&gt;"OK","",INDEX(po_mo,MATCH(D680,po_code,0)))</f>
        <v/>
      </c>
      <c r="I680" s="66" t="str">
        <f>IF(M680&lt;&gt;"OK","",INDEX(po_mac,MATCH(D680,po_code,0)))</f>
        <v/>
      </c>
      <c r="J680" s="66" t="str">
        <f>IF(M680&lt;&gt;"OK","",N(E680)*(H680*IF(G680="",1,G680)+I680))</f>
        <v/>
      </c>
      <c r="K680" s="66" t="str">
        <f>IF(M680&lt;&gt;"OK","",N(F680)/60*H680*IF(G680="",1,G680))</f>
        <v/>
      </c>
      <c r="L680" s="66" t="str">
        <f>IF(M680&lt;&gt;"OK","",N(F680)/60*I680)</f>
        <v/>
      </c>
      <c r="M680" s="69" t="str">
        <f>IF(AND(A680="",D680=""),"",IF(A680="","Produit manquant",IF(COUNTIF(prod_ref,A680)=0,"Produit inconnu",IF(D680="","Poste manquant",IF(ISNA(MATCH(D680,po_code,0)),"Poste inconnu",IF(INDEX(po_check,MATCH(D680,po_code,0))&lt;&gt;"OK","Poste à corriger",IF(AND(E680&lt;&gt;"",OR(NOT(ISNUMBER(E680)),N(E680)&lt;0)),"Réglage invalide",IF(AND(F680&lt;&gt;"",OR(NOT(ISNUMBER(F680)),N(F680)&lt;0)),"Temps par pièce invalide",IF(N(E680)+N(F680)=0,"Temps manquant",IF(AND(G680&lt;&gt;"",OR(NOT(ISNUMBER(G680)),N(G680)&lt;=0)),"Opérateurs invalide","OK"))))))))))</f>
        <v/>
      </c>
      <c r="N680" s="71" t="str">
        <f>IF(AND(fiche_sel&lt;&gt;"",A680=fiche_sel),COUNTIF(A$6:A680,fiche_sel),"")</f>
        <v/>
      </c>
    </row>
    <row r="681">
      <c r="A681" s="60" t="n"/>
      <c r="B681" s="73" t="n"/>
      <c r="C681" s="60" t="n"/>
      <c r="D681" s="61" t="n"/>
      <c r="E681" s="74" t="n"/>
      <c r="F681" s="74" t="n"/>
      <c r="G681" s="73" t="n"/>
      <c r="H681" s="66" t="str">
        <f>IF(M681&lt;&gt;"OK","",INDEX(po_mo,MATCH(D681,po_code,0)))</f>
        <v/>
      </c>
      <c r="I681" s="66" t="str">
        <f>IF(M681&lt;&gt;"OK","",INDEX(po_mac,MATCH(D681,po_code,0)))</f>
        <v/>
      </c>
      <c r="J681" s="66" t="str">
        <f>IF(M681&lt;&gt;"OK","",N(E681)*(H681*IF(G681="",1,G681)+I681))</f>
        <v/>
      </c>
      <c r="K681" s="66" t="str">
        <f>IF(M681&lt;&gt;"OK","",N(F681)/60*H681*IF(G681="",1,G681))</f>
        <v/>
      </c>
      <c r="L681" s="66" t="str">
        <f>IF(M681&lt;&gt;"OK","",N(F681)/60*I681)</f>
        <v/>
      </c>
      <c r="M681" s="69" t="str">
        <f>IF(AND(A681="",D681=""),"",IF(A681="","Produit manquant",IF(COUNTIF(prod_ref,A681)=0,"Produit inconnu",IF(D681="","Poste manquant",IF(ISNA(MATCH(D681,po_code,0)),"Poste inconnu",IF(INDEX(po_check,MATCH(D681,po_code,0))&lt;&gt;"OK","Poste à corriger",IF(AND(E681&lt;&gt;"",OR(NOT(ISNUMBER(E681)),N(E681)&lt;0)),"Réglage invalide",IF(AND(F681&lt;&gt;"",OR(NOT(ISNUMBER(F681)),N(F681)&lt;0)),"Temps par pièce invalide",IF(N(E681)+N(F681)=0,"Temps manquant",IF(AND(G681&lt;&gt;"",OR(NOT(ISNUMBER(G681)),N(G681)&lt;=0)),"Opérateurs invalide","OK"))))))))))</f>
        <v/>
      </c>
      <c r="N681" s="71" t="str">
        <f>IF(AND(fiche_sel&lt;&gt;"",A681=fiche_sel),COUNTIF(A$6:A681,fiche_sel),"")</f>
        <v/>
      </c>
    </row>
    <row r="682">
      <c r="A682" s="60" t="n"/>
      <c r="B682" s="73" t="n"/>
      <c r="C682" s="60" t="n"/>
      <c r="D682" s="61" t="n"/>
      <c r="E682" s="74" t="n"/>
      <c r="F682" s="74" t="n"/>
      <c r="G682" s="73" t="n"/>
      <c r="H682" s="66" t="str">
        <f>IF(M682&lt;&gt;"OK","",INDEX(po_mo,MATCH(D682,po_code,0)))</f>
        <v/>
      </c>
      <c r="I682" s="66" t="str">
        <f>IF(M682&lt;&gt;"OK","",INDEX(po_mac,MATCH(D682,po_code,0)))</f>
        <v/>
      </c>
      <c r="J682" s="66" t="str">
        <f>IF(M682&lt;&gt;"OK","",N(E682)*(H682*IF(G682="",1,G682)+I682))</f>
        <v/>
      </c>
      <c r="K682" s="66" t="str">
        <f>IF(M682&lt;&gt;"OK","",N(F682)/60*H682*IF(G682="",1,G682))</f>
        <v/>
      </c>
      <c r="L682" s="66" t="str">
        <f>IF(M682&lt;&gt;"OK","",N(F682)/60*I682)</f>
        <v/>
      </c>
      <c r="M682" s="69" t="str">
        <f>IF(AND(A682="",D682=""),"",IF(A682="","Produit manquant",IF(COUNTIF(prod_ref,A682)=0,"Produit inconnu",IF(D682="","Poste manquant",IF(ISNA(MATCH(D682,po_code,0)),"Poste inconnu",IF(INDEX(po_check,MATCH(D682,po_code,0))&lt;&gt;"OK","Poste à corriger",IF(AND(E682&lt;&gt;"",OR(NOT(ISNUMBER(E682)),N(E682)&lt;0)),"Réglage invalide",IF(AND(F682&lt;&gt;"",OR(NOT(ISNUMBER(F682)),N(F682)&lt;0)),"Temps par pièce invalide",IF(N(E682)+N(F682)=0,"Temps manquant",IF(AND(G682&lt;&gt;"",OR(NOT(ISNUMBER(G682)),N(G682)&lt;=0)),"Opérateurs invalide","OK"))))))))))</f>
        <v/>
      </c>
      <c r="N682" s="71" t="str">
        <f>IF(AND(fiche_sel&lt;&gt;"",A682=fiche_sel),COUNTIF(A$6:A682,fiche_sel),"")</f>
        <v/>
      </c>
    </row>
    <row r="683">
      <c r="A683" s="60" t="n"/>
      <c r="B683" s="73" t="n"/>
      <c r="C683" s="60" t="n"/>
      <c r="D683" s="61" t="n"/>
      <c r="E683" s="74" t="n"/>
      <c r="F683" s="74" t="n"/>
      <c r="G683" s="73" t="n"/>
      <c r="H683" s="66" t="str">
        <f>IF(M683&lt;&gt;"OK","",INDEX(po_mo,MATCH(D683,po_code,0)))</f>
        <v/>
      </c>
      <c r="I683" s="66" t="str">
        <f>IF(M683&lt;&gt;"OK","",INDEX(po_mac,MATCH(D683,po_code,0)))</f>
        <v/>
      </c>
      <c r="J683" s="66" t="str">
        <f>IF(M683&lt;&gt;"OK","",N(E683)*(H683*IF(G683="",1,G683)+I683))</f>
        <v/>
      </c>
      <c r="K683" s="66" t="str">
        <f>IF(M683&lt;&gt;"OK","",N(F683)/60*H683*IF(G683="",1,G683))</f>
        <v/>
      </c>
      <c r="L683" s="66" t="str">
        <f>IF(M683&lt;&gt;"OK","",N(F683)/60*I683)</f>
        <v/>
      </c>
      <c r="M683" s="69" t="str">
        <f>IF(AND(A683="",D683=""),"",IF(A683="","Produit manquant",IF(COUNTIF(prod_ref,A683)=0,"Produit inconnu",IF(D683="","Poste manquant",IF(ISNA(MATCH(D683,po_code,0)),"Poste inconnu",IF(INDEX(po_check,MATCH(D683,po_code,0))&lt;&gt;"OK","Poste à corriger",IF(AND(E683&lt;&gt;"",OR(NOT(ISNUMBER(E683)),N(E683)&lt;0)),"Réglage invalide",IF(AND(F683&lt;&gt;"",OR(NOT(ISNUMBER(F683)),N(F683)&lt;0)),"Temps par pièce invalide",IF(N(E683)+N(F683)=0,"Temps manquant",IF(AND(G683&lt;&gt;"",OR(NOT(ISNUMBER(G683)),N(G683)&lt;=0)),"Opérateurs invalide","OK"))))))))))</f>
        <v/>
      </c>
      <c r="N683" s="71" t="str">
        <f>IF(AND(fiche_sel&lt;&gt;"",A683=fiche_sel),COUNTIF(A$6:A683,fiche_sel),"")</f>
        <v/>
      </c>
    </row>
    <row r="684">
      <c r="A684" s="60" t="n"/>
      <c r="B684" s="73" t="n"/>
      <c r="C684" s="60" t="n"/>
      <c r="D684" s="61" t="n"/>
      <c r="E684" s="74" t="n"/>
      <c r="F684" s="74" t="n"/>
      <c r="G684" s="73" t="n"/>
      <c r="H684" s="66" t="str">
        <f>IF(M684&lt;&gt;"OK","",INDEX(po_mo,MATCH(D684,po_code,0)))</f>
        <v/>
      </c>
      <c r="I684" s="66" t="str">
        <f>IF(M684&lt;&gt;"OK","",INDEX(po_mac,MATCH(D684,po_code,0)))</f>
        <v/>
      </c>
      <c r="J684" s="66" t="str">
        <f>IF(M684&lt;&gt;"OK","",N(E684)*(H684*IF(G684="",1,G684)+I684))</f>
        <v/>
      </c>
      <c r="K684" s="66" t="str">
        <f>IF(M684&lt;&gt;"OK","",N(F684)/60*H684*IF(G684="",1,G684))</f>
        <v/>
      </c>
      <c r="L684" s="66" t="str">
        <f>IF(M684&lt;&gt;"OK","",N(F684)/60*I684)</f>
        <v/>
      </c>
      <c r="M684" s="69" t="str">
        <f>IF(AND(A684="",D684=""),"",IF(A684="","Produit manquant",IF(COUNTIF(prod_ref,A684)=0,"Produit inconnu",IF(D684="","Poste manquant",IF(ISNA(MATCH(D684,po_code,0)),"Poste inconnu",IF(INDEX(po_check,MATCH(D684,po_code,0))&lt;&gt;"OK","Poste à corriger",IF(AND(E684&lt;&gt;"",OR(NOT(ISNUMBER(E684)),N(E684)&lt;0)),"Réglage invalide",IF(AND(F684&lt;&gt;"",OR(NOT(ISNUMBER(F684)),N(F684)&lt;0)),"Temps par pièce invalide",IF(N(E684)+N(F684)=0,"Temps manquant",IF(AND(G684&lt;&gt;"",OR(NOT(ISNUMBER(G684)),N(G684)&lt;=0)),"Opérateurs invalide","OK"))))))))))</f>
        <v/>
      </c>
      <c r="N684" s="71" t="str">
        <f>IF(AND(fiche_sel&lt;&gt;"",A684=fiche_sel),COUNTIF(A$6:A684,fiche_sel),"")</f>
        <v/>
      </c>
    </row>
    <row r="685">
      <c r="A685" s="60" t="n"/>
      <c r="B685" s="73" t="n"/>
      <c r="C685" s="60" t="n"/>
      <c r="D685" s="61" t="n"/>
      <c r="E685" s="74" t="n"/>
      <c r="F685" s="74" t="n"/>
      <c r="G685" s="73" t="n"/>
      <c r="H685" s="66" t="str">
        <f>IF(M685&lt;&gt;"OK","",INDEX(po_mo,MATCH(D685,po_code,0)))</f>
        <v/>
      </c>
      <c r="I685" s="66" t="str">
        <f>IF(M685&lt;&gt;"OK","",INDEX(po_mac,MATCH(D685,po_code,0)))</f>
        <v/>
      </c>
      <c r="J685" s="66" t="str">
        <f>IF(M685&lt;&gt;"OK","",N(E685)*(H685*IF(G685="",1,G685)+I685))</f>
        <v/>
      </c>
      <c r="K685" s="66" t="str">
        <f>IF(M685&lt;&gt;"OK","",N(F685)/60*H685*IF(G685="",1,G685))</f>
        <v/>
      </c>
      <c r="L685" s="66" t="str">
        <f>IF(M685&lt;&gt;"OK","",N(F685)/60*I685)</f>
        <v/>
      </c>
      <c r="M685" s="69" t="str">
        <f>IF(AND(A685="",D685=""),"",IF(A685="","Produit manquant",IF(COUNTIF(prod_ref,A685)=0,"Produit inconnu",IF(D685="","Poste manquant",IF(ISNA(MATCH(D685,po_code,0)),"Poste inconnu",IF(INDEX(po_check,MATCH(D685,po_code,0))&lt;&gt;"OK","Poste à corriger",IF(AND(E685&lt;&gt;"",OR(NOT(ISNUMBER(E685)),N(E685)&lt;0)),"Réglage invalide",IF(AND(F685&lt;&gt;"",OR(NOT(ISNUMBER(F685)),N(F685)&lt;0)),"Temps par pièce invalide",IF(N(E685)+N(F685)=0,"Temps manquant",IF(AND(G685&lt;&gt;"",OR(NOT(ISNUMBER(G685)),N(G685)&lt;=0)),"Opérateurs invalide","OK"))))))))))</f>
        <v/>
      </c>
      <c r="N685" s="71" t="str">
        <f>IF(AND(fiche_sel&lt;&gt;"",A685=fiche_sel),COUNTIF(A$6:A685,fiche_sel),"")</f>
        <v/>
      </c>
    </row>
    <row r="686">
      <c r="A686" s="60" t="n"/>
      <c r="B686" s="73" t="n"/>
      <c r="C686" s="60" t="n"/>
      <c r="D686" s="61" t="n"/>
      <c r="E686" s="74" t="n"/>
      <c r="F686" s="74" t="n"/>
      <c r="G686" s="73" t="n"/>
      <c r="H686" s="66" t="str">
        <f>IF(M686&lt;&gt;"OK","",INDEX(po_mo,MATCH(D686,po_code,0)))</f>
        <v/>
      </c>
      <c r="I686" s="66" t="str">
        <f>IF(M686&lt;&gt;"OK","",INDEX(po_mac,MATCH(D686,po_code,0)))</f>
        <v/>
      </c>
      <c r="J686" s="66" t="str">
        <f>IF(M686&lt;&gt;"OK","",N(E686)*(H686*IF(G686="",1,G686)+I686))</f>
        <v/>
      </c>
      <c r="K686" s="66" t="str">
        <f>IF(M686&lt;&gt;"OK","",N(F686)/60*H686*IF(G686="",1,G686))</f>
        <v/>
      </c>
      <c r="L686" s="66" t="str">
        <f>IF(M686&lt;&gt;"OK","",N(F686)/60*I686)</f>
        <v/>
      </c>
      <c r="M686" s="69" t="str">
        <f>IF(AND(A686="",D686=""),"",IF(A686="","Produit manquant",IF(COUNTIF(prod_ref,A686)=0,"Produit inconnu",IF(D686="","Poste manquant",IF(ISNA(MATCH(D686,po_code,0)),"Poste inconnu",IF(INDEX(po_check,MATCH(D686,po_code,0))&lt;&gt;"OK","Poste à corriger",IF(AND(E686&lt;&gt;"",OR(NOT(ISNUMBER(E686)),N(E686)&lt;0)),"Réglage invalide",IF(AND(F686&lt;&gt;"",OR(NOT(ISNUMBER(F686)),N(F686)&lt;0)),"Temps par pièce invalide",IF(N(E686)+N(F686)=0,"Temps manquant",IF(AND(G686&lt;&gt;"",OR(NOT(ISNUMBER(G686)),N(G686)&lt;=0)),"Opérateurs invalide","OK"))))))))))</f>
        <v/>
      </c>
      <c r="N686" s="71" t="str">
        <f>IF(AND(fiche_sel&lt;&gt;"",A686=fiche_sel),COUNTIF(A$6:A686,fiche_sel),"")</f>
        <v/>
      </c>
    </row>
    <row r="687">
      <c r="A687" s="60" t="n"/>
      <c r="B687" s="73" t="n"/>
      <c r="C687" s="60" t="n"/>
      <c r="D687" s="61" t="n"/>
      <c r="E687" s="74" t="n"/>
      <c r="F687" s="74" t="n"/>
      <c r="G687" s="73" t="n"/>
      <c r="H687" s="66" t="str">
        <f>IF(M687&lt;&gt;"OK","",INDEX(po_mo,MATCH(D687,po_code,0)))</f>
        <v/>
      </c>
      <c r="I687" s="66" t="str">
        <f>IF(M687&lt;&gt;"OK","",INDEX(po_mac,MATCH(D687,po_code,0)))</f>
        <v/>
      </c>
      <c r="J687" s="66" t="str">
        <f>IF(M687&lt;&gt;"OK","",N(E687)*(H687*IF(G687="",1,G687)+I687))</f>
        <v/>
      </c>
      <c r="K687" s="66" t="str">
        <f>IF(M687&lt;&gt;"OK","",N(F687)/60*H687*IF(G687="",1,G687))</f>
        <v/>
      </c>
      <c r="L687" s="66" t="str">
        <f>IF(M687&lt;&gt;"OK","",N(F687)/60*I687)</f>
        <v/>
      </c>
      <c r="M687" s="69" t="str">
        <f>IF(AND(A687="",D687=""),"",IF(A687="","Produit manquant",IF(COUNTIF(prod_ref,A687)=0,"Produit inconnu",IF(D687="","Poste manquant",IF(ISNA(MATCH(D687,po_code,0)),"Poste inconnu",IF(INDEX(po_check,MATCH(D687,po_code,0))&lt;&gt;"OK","Poste à corriger",IF(AND(E687&lt;&gt;"",OR(NOT(ISNUMBER(E687)),N(E687)&lt;0)),"Réglage invalide",IF(AND(F687&lt;&gt;"",OR(NOT(ISNUMBER(F687)),N(F687)&lt;0)),"Temps par pièce invalide",IF(N(E687)+N(F687)=0,"Temps manquant",IF(AND(G687&lt;&gt;"",OR(NOT(ISNUMBER(G687)),N(G687)&lt;=0)),"Opérateurs invalide","OK"))))))))))</f>
        <v/>
      </c>
      <c r="N687" s="71" t="str">
        <f>IF(AND(fiche_sel&lt;&gt;"",A687=fiche_sel),COUNTIF(A$6:A687,fiche_sel),"")</f>
        <v/>
      </c>
    </row>
    <row r="688">
      <c r="A688" s="60" t="n"/>
      <c r="B688" s="73" t="n"/>
      <c r="C688" s="60" t="n"/>
      <c r="D688" s="61" t="n"/>
      <c r="E688" s="74" t="n"/>
      <c r="F688" s="74" t="n"/>
      <c r="G688" s="73" t="n"/>
      <c r="H688" s="66" t="str">
        <f>IF(M688&lt;&gt;"OK","",INDEX(po_mo,MATCH(D688,po_code,0)))</f>
        <v/>
      </c>
      <c r="I688" s="66" t="str">
        <f>IF(M688&lt;&gt;"OK","",INDEX(po_mac,MATCH(D688,po_code,0)))</f>
        <v/>
      </c>
      <c r="J688" s="66" t="str">
        <f>IF(M688&lt;&gt;"OK","",N(E688)*(H688*IF(G688="",1,G688)+I688))</f>
        <v/>
      </c>
      <c r="K688" s="66" t="str">
        <f>IF(M688&lt;&gt;"OK","",N(F688)/60*H688*IF(G688="",1,G688))</f>
        <v/>
      </c>
      <c r="L688" s="66" t="str">
        <f>IF(M688&lt;&gt;"OK","",N(F688)/60*I688)</f>
        <v/>
      </c>
      <c r="M688" s="69" t="str">
        <f>IF(AND(A688="",D688=""),"",IF(A688="","Produit manquant",IF(COUNTIF(prod_ref,A688)=0,"Produit inconnu",IF(D688="","Poste manquant",IF(ISNA(MATCH(D688,po_code,0)),"Poste inconnu",IF(INDEX(po_check,MATCH(D688,po_code,0))&lt;&gt;"OK","Poste à corriger",IF(AND(E688&lt;&gt;"",OR(NOT(ISNUMBER(E688)),N(E688)&lt;0)),"Réglage invalide",IF(AND(F688&lt;&gt;"",OR(NOT(ISNUMBER(F688)),N(F688)&lt;0)),"Temps par pièce invalide",IF(N(E688)+N(F688)=0,"Temps manquant",IF(AND(G688&lt;&gt;"",OR(NOT(ISNUMBER(G688)),N(G688)&lt;=0)),"Opérateurs invalide","OK"))))))))))</f>
        <v/>
      </c>
      <c r="N688" s="71" t="str">
        <f>IF(AND(fiche_sel&lt;&gt;"",A688=fiche_sel),COUNTIF(A$6:A688,fiche_sel),"")</f>
        <v/>
      </c>
    </row>
    <row r="689">
      <c r="A689" s="60" t="n"/>
      <c r="B689" s="73" t="n"/>
      <c r="C689" s="60" t="n"/>
      <c r="D689" s="61" t="n"/>
      <c r="E689" s="74" t="n"/>
      <c r="F689" s="74" t="n"/>
      <c r="G689" s="73" t="n"/>
      <c r="H689" s="66" t="str">
        <f>IF(M689&lt;&gt;"OK","",INDEX(po_mo,MATCH(D689,po_code,0)))</f>
        <v/>
      </c>
      <c r="I689" s="66" t="str">
        <f>IF(M689&lt;&gt;"OK","",INDEX(po_mac,MATCH(D689,po_code,0)))</f>
        <v/>
      </c>
      <c r="J689" s="66" t="str">
        <f>IF(M689&lt;&gt;"OK","",N(E689)*(H689*IF(G689="",1,G689)+I689))</f>
        <v/>
      </c>
      <c r="K689" s="66" t="str">
        <f>IF(M689&lt;&gt;"OK","",N(F689)/60*H689*IF(G689="",1,G689))</f>
        <v/>
      </c>
      <c r="L689" s="66" t="str">
        <f>IF(M689&lt;&gt;"OK","",N(F689)/60*I689)</f>
        <v/>
      </c>
      <c r="M689" s="69" t="str">
        <f>IF(AND(A689="",D689=""),"",IF(A689="","Produit manquant",IF(COUNTIF(prod_ref,A689)=0,"Produit inconnu",IF(D689="","Poste manquant",IF(ISNA(MATCH(D689,po_code,0)),"Poste inconnu",IF(INDEX(po_check,MATCH(D689,po_code,0))&lt;&gt;"OK","Poste à corriger",IF(AND(E689&lt;&gt;"",OR(NOT(ISNUMBER(E689)),N(E689)&lt;0)),"Réglage invalide",IF(AND(F689&lt;&gt;"",OR(NOT(ISNUMBER(F689)),N(F689)&lt;0)),"Temps par pièce invalide",IF(N(E689)+N(F689)=0,"Temps manquant",IF(AND(G689&lt;&gt;"",OR(NOT(ISNUMBER(G689)),N(G689)&lt;=0)),"Opérateurs invalide","OK"))))))))))</f>
        <v/>
      </c>
      <c r="N689" s="71" t="str">
        <f>IF(AND(fiche_sel&lt;&gt;"",A689=fiche_sel),COUNTIF(A$6:A689,fiche_sel),"")</f>
        <v/>
      </c>
    </row>
    <row r="690">
      <c r="A690" s="60" t="n"/>
      <c r="B690" s="73" t="n"/>
      <c r="C690" s="60" t="n"/>
      <c r="D690" s="61" t="n"/>
      <c r="E690" s="74" t="n"/>
      <c r="F690" s="74" t="n"/>
      <c r="G690" s="73" t="n"/>
      <c r="H690" s="66" t="str">
        <f>IF(M690&lt;&gt;"OK","",INDEX(po_mo,MATCH(D690,po_code,0)))</f>
        <v/>
      </c>
      <c r="I690" s="66" t="str">
        <f>IF(M690&lt;&gt;"OK","",INDEX(po_mac,MATCH(D690,po_code,0)))</f>
        <v/>
      </c>
      <c r="J690" s="66" t="str">
        <f>IF(M690&lt;&gt;"OK","",N(E690)*(H690*IF(G690="",1,G690)+I690))</f>
        <v/>
      </c>
      <c r="K690" s="66" t="str">
        <f>IF(M690&lt;&gt;"OK","",N(F690)/60*H690*IF(G690="",1,G690))</f>
        <v/>
      </c>
      <c r="L690" s="66" t="str">
        <f>IF(M690&lt;&gt;"OK","",N(F690)/60*I690)</f>
        <v/>
      </c>
      <c r="M690" s="69" t="str">
        <f>IF(AND(A690="",D690=""),"",IF(A690="","Produit manquant",IF(COUNTIF(prod_ref,A690)=0,"Produit inconnu",IF(D690="","Poste manquant",IF(ISNA(MATCH(D690,po_code,0)),"Poste inconnu",IF(INDEX(po_check,MATCH(D690,po_code,0))&lt;&gt;"OK","Poste à corriger",IF(AND(E690&lt;&gt;"",OR(NOT(ISNUMBER(E690)),N(E690)&lt;0)),"Réglage invalide",IF(AND(F690&lt;&gt;"",OR(NOT(ISNUMBER(F690)),N(F690)&lt;0)),"Temps par pièce invalide",IF(N(E690)+N(F690)=0,"Temps manquant",IF(AND(G690&lt;&gt;"",OR(NOT(ISNUMBER(G690)),N(G690)&lt;=0)),"Opérateurs invalide","OK"))))))))))</f>
        <v/>
      </c>
      <c r="N690" s="71" t="str">
        <f>IF(AND(fiche_sel&lt;&gt;"",A690=fiche_sel),COUNTIF(A$6:A690,fiche_sel),"")</f>
        <v/>
      </c>
    </row>
    <row r="691">
      <c r="A691" s="60" t="n"/>
      <c r="B691" s="73" t="n"/>
      <c r="C691" s="60" t="n"/>
      <c r="D691" s="61" t="n"/>
      <c r="E691" s="74" t="n"/>
      <c r="F691" s="74" t="n"/>
      <c r="G691" s="73" t="n"/>
      <c r="H691" s="66" t="str">
        <f>IF(M691&lt;&gt;"OK","",INDEX(po_mo,MATCH(D691,po_code,0)))</f>
        <v/>
      </c>
      <c r="I691" s="66" t="str">
        <f>IF(M691&lt;&gt;"OK","",INDEX(po_mac,MATCH(D691,po_code,0)))</f>
        <v/>
      </c>
      <c r="J691" s="66" t="str">
        <f>IF(M691&lt;&gt;"OK","",N(E691)*(H691*IF(G691="",1,G691)+I691))</f>
        <v/>
      </c>
      <c r="K691" s="66" t="str">
        <f>IF(M691&lt;&gt;"OK","",N(F691)/60*H691*IF(G691="",1,G691))</f>
        <v/>
      </c>
      <c r="L691" s="66" t="str">
        <f>IF(M691&lt;&gt;"OK","",N(F691)/60*I691)</f>
        <v/>
      </c>
      <c r="M691" s="69" t="str">
        <f>IF(AND(A691="",D691=""),"",IF(A691="","Produit manquant",IF(COUNTIF(prod_ref,A691)=0,"Produit inconnu",IF(D691="","Poste manquant",IF(ISNA(MATCH(D691,po_code,0)),"Poste inconnu",IF(INDEX(po_check,MATCH(D691,po_code,0))&lt;&gt;"OK","Poste à corriger",IF(AND(E691&lt;&gt;"",OR(NOT(ISNUMBER(E691)),N(E691)&lt;0)),"Réglage invalide",IF(AND(F691&lt;&gt;"",OR(NOT(ISNUMBER(F691)),N(F691)&lt;0)),"Temps par pièce invalide",IF(N(E691)+N(F691)=0,"Temps manquant",IF(AND(G691&lt;&gt;"",OR(NOT(ISNUMBER(G691)),N(G691)&lt;=0)),"Opérateurs invalide","OK"))))))))))</f>
        <v/>
      </c>
      <c r="N691" s="71" t="str">
        <f>IF(AND(fiche_sel&lt;&gt;"",A691=fiche_sel),COUNTIF(A$6:A691,fiche_sel),"")</f>
        <v/>
      </c>
    </row>
    <row r="692">
      <c r="A692" s="60" t="n"/>
      <c r="B692" s="73" t="n"/>
      <c r="C692" s="60" t="n"/>
      <c r="D692" s="61" t="n"/>
      <c r="E692" s="74" t="n"/>
      <c r="F692" s="74" t="n"/>
      <c r="G692" s="73" t="n"/>
      <c r="H692" s="66" t="str">
        <f>IF(M692&lt;&gt;"OK","",INDEX(po_mo,MATCH(D692,po_code,0)))</f>
        <v/>
      </c>
      <c r="I692" s="66" t="str">
        <f>IF(M692&lt;&gt;"OK","",INDEX(po_mac,MATCH(D692,po_code,0)))</f>
        <v/>
      </c>
      <c r="J692" s="66" t="str">
        <f>IF(M692&lt;&gt;"OK","",N(E692)*(H692*IF(G692="",1,G692)+I692))</f>
        <v/>
      </c>
      <c r="K692" s="66" t="str">
        <f>IF(M692&lt;&gt;"OK","",N(F692)/60*H692*IF(G692="",1,G692))</f>
        <v/>
      </c>
      <c r="L692" s="66" t="str">
        <f>IF(M692&lt;&gt;"OK","",N(F692)/60*I692)</f>
        <v/>
      </c>
      <c r="M692" s="69" t="str">
        <f>IF(AND(A692="",D692=""),"",IF(A692="","Produit manquant",IF(COUNTIF(prod_ref,A692)=0,"Produit inconnu",IF(D692="","Poste manquant",IF(ISNA(MATCH(D692,po_code,0)),"Poste inconnu",IF(INDEX(po_check,MATCH(D692,po_code,0))&lt;&gt;"OK","Poste à corriger",IF(AND(E692&lt;&gt;"",OR(NOT(ISNUMBER(E692)),N(E692)&lt;0)),"Réglage invalide",IF(AND(F692&lt;&gt;"",OR(NOT(ISNUMBER(F692)),N(F692)&lt;0)),"Temps par pièce invalide",IF(N(E692)+N(F692)=0,"Temps manquant",IF(AND(G692&lt;&gt;"",OR(NOT(ISNUMBER(G692)),N(G692)&lt;=0)),"Opérateurs invalide","OK"))))))))))</f>
        <v/>
      </c>
      <c r="N692" s="71" t="str">
        <f>IF(AND(fiche_sel&lt;&gt;"",A692=fiche_sel),COUNTIF(A$6:A692,fiche_sel),"")</f>
        <v/>
      </c>
    </row>
    <row r="693">
      <c r="A693" s="60" t="n"/>
      <c r="B693" s="73" t="n"/>
      <c r="C693" s="60" t="n"/>
      <c r="D693" s="61" t="n"/>
      <c r="E693" s="74" t="n"/>
      <c r="F693" s="74" t="n"/>
      <c r="G693" s="73" t="n"/>
      <c r="H693" s="66" t="str">
        <f>IF(M693&lt;&gt;"OK","",INDEX(po_mo,MATCH(D693,po_code,0)))</f>
        <v/>
      </c>
      <c r="I693" s="66" t="str">
        <f>IF(M693&lt;&gt;"OK","",INDEX(po_mac,MATCH(D693,po_code,0)))</f>
        <v/>
      </c>
      <c r="J693" s="66" t="str">
        <f>IF(M693&lt;&gt;"OK","",N(E693)*(H693*IF(G693="",1,G693)+I693))</f>
        <v/>
      </c>
      <c r="K693" s="66" t="str">
        <f>IF(M693&lt;&gt;"OK","",N(F693)/60*H693*IF(G693="",1,G693))</f>
        <v/>
      </c>
      <c r="L693" s="66" t="str">
        <f>IF(M693&lt;&gt;"OK","",N(F693)/60*I693)</f>
        <v/>
      </c>
      <c r="M693" s="69" t="str">
        <f>IF(AND(A693="",D693=""),"",IF(A693="","Produit manquant",IF(COUNTIF(prod_ref,A693)=0,"Produit inconnu",IF(D693="","Poste manquant",IF(ISNA(MATCH(D693,po_code,0)),"Poste inconnu",IF(INDEX(po_check,MATCH(D693,po_code,0))&lt;&gt;"OK","Poste à corriger",IF(AND(E693&lt;&gt;"",OR(NOT(ISNUMBER(E693)),N(E693)&lt;0)),"Réglage invalide",IF(AND(F693&lt;&gt;"",OR(NOT(ISNUMBER(F693)),N(F693)&lt;0)),"Temps par pièce invalide",IF(N(E693)+N(F693)=0,"Temps manquant",IF(AND(G693&lt;&gt;"",OR(NOT(ISNUMBER(G693)),N(G693)&lt;=0)),"Opérateurs invalide","OK"))))))))))</f>
        <v/>
      </c>
      <c r="N693" s="71" t="str">
        <f>IF(AND(fiche_sel&lt;&gt;"",A693=fiche_sel),COUNTIF(A$6:A693,fiche_sel),"")</f>
        <v/>
      </c>
    </row>
    <row r="694">
      <c r="A694" s="60" t="n"/>
      <c r="B694" s="73" t="n"/>
      <c r="C694" s="60" t="n"/>
      <c r="D694" s="61" t="n"/>
      <c r="E694" s="74" t="n"/>
      <c r="F694" s="74" t="n"/>
      <c r="G694" s="73" t="n"/>
      <c r="H694" s="66" t="str">
        <f>IF(M694&lt;&gt;"OK","",INDEX(po_mo,MATCH(D694,po_code,0)))</f>
        <v/>
      </c>
      <c r="I694" s="66" t="str">
        <f>IF(M694&lt;&gt;"OK","",INDEX(po_mac,MATCH(D694,po_code,0)))</f>
        <v/>
      </c>
      <c r="J694" s="66" t="str">
        <f>IF(M694&lt;&gt;"OK","",N(E694)*(H694*IF(G694="",1,G694)+I694))</f>
        <v/>
      </c>
      <c r="K694" s="66" t="str">
        <f>IF(M694&lt;&gt;"OK","",N(F694)/60*H694*IF(G694="",1,G694))</f>
        <v/>
      </c>
      <c r="L694" s="66" t="str">
        <f>IF(M694&lt;&gt;"OK","",N(F694)/60*I694)</f>
        <v/>
      </c>
      <c r="M694" s="69" t="str">
        <f>IF(AND(A694="",D694=""),"",IF(A694="","Produit manquant",IF(COUNTIF(prod_ref,A694)=0,"Produit inconnu",IF(D694="","Poste manquant",IF(ISNA(MATCH(D694,po_code,0)),"Poste inconnu",IF(INDEX(po_check,MATCH(D694,po_code,0))&lt;&gt;"OK","Poste à corriger",IF(AND(E694&lt;&gt;"",OR(NOT(ISNUMBER(E694)),N(E694)&lt;0)),"Réglage invalide",IF(AND(F694&lt;&gt;"",OR(NOT(ISNUMBER(F694)),N(F694)&lt;0)),"Temps par pièce invalide",IF(N(E694)+N(F694)=0,"Temps manquant",IF(AND(G694&lt;&gt;"",OR(NOT(ISNUMBER(G694)),N(G694)&lt;=0)),"Opérateurs invalide","OK"))))))))))</f>
        <v/>
      </c>
      <c r="N694" s="71" t="str">
        <f>IF(AND(fiche_sel&lt;&gt;"",A694=fiche_sel),COUNTIF(A$6:A694,fiche_sel),"")</f>
        <v/>
      </c>
    </row>
    <row r="695">
      <c r="A695" s="60" t="n"/>
      <c r="B695" s="73" t="n"/>
      <c r="C695" s="60" t="n"/>
      <c r="D695" s="61" t="n"/>
      <c r="E695" s="74" t="n"/>
      <c r="F695" s="74" t="n"/>
      <c r="G695" s="73" t="n"/>
      <c r="H695" s="66" t="str">
        <f>IF(M695&lt;&gt;"OK","",INDEX(po_mo,MATCH(D695,po_code,0)))</f>
        <v/>
      </c>
      <c r="I695" s="66" t="str">
        <f>IF(M695&lt;&gt;"OK","",INDEX(po_mac,MATCH(D695,po_code,0)))</f>
        <v/>
      </c>
      <c r="J695" s="66" t="str">
        <f>IF(M695&lt;&gt;"OK","",N(E695)*(H695*IF(G695="",1,G695)+I695))</f>
        <v/>
      </c>
      <c r="K695" s="66" t="str">
        <f>IF(M695&lt;&gt;"OK","",N(F695)/60*H695*IF(G695="",1,G695))</f>
        <v/>
      </c>
      <c r="L695" s="66" t="str">
        <f>IF(M695&lt;&gt;"OK","",N(F695)/60*I695)</f>
        <v/>
      </c>
      <c r="M695" s="69" t="str">
        <f>IF(AND(A695="",D695=""),"",IF(A695="","Produit manquant",IF(COUNTIF(prod_ref,A695)=0,"Produit inconnu",IF(D695="","Poste manquant",IF(ISNA(MATCH(D695,po_code,0)),"Poste inconnu",IF(INDEX(po_check,MATCH(D695,po_code,0))&lt;&gt;"OK","Poste à corriger",IF(AND(E695&lt;&gt;"",OR(NOT(ISNUMBER(E695)),N(E695)&lt;0)),"Réglage invalide",IF(AND(F695&lt;&gt;"",OR(NOT(ISNUMBER(F695)),N(F695)&lt;0)),"Temps par pièce invalide",IF(N(E695)+N(F695)=0,"Temps manquant",IF(AND(G695&lt;&gt;"",OR(NOT(ISNUMBER(G695)),N(G695)&lt;=0)),"Opérateurs invalide","OK"))))))))))</f>
        <v/>
      </c>
      <c r="N695" s="71" t="str">
        <f>IF(AND(fiche_sel&lt;&gt;"",A695=fiche_sel),COUNTIF(A$6:A695,fiche_sel),"")</f>
        <v/>
      </c>
    </row>
    <row r="696">
      <c r="A696" s="60" t="n"/>
      <c r="B696" s="73" t="n"/>
      <c r="C696" s="60" t="n"/>
      <c r="D696" s="61" t="n"/>
      <c r="E696" s="74" t="n"/>
      <c r="F696" s="74" t="n"/>
      <c r="G696" s="73" t="n"/>
      <c r="H696" s="66" t="str">
        <f>IF(M696&lt;&gt;"OK","",INDEX(po_mo,MATCH(D696,po_code,0)))</f>
        <v/>
      </c>
      <c r="I696" s="66" t="str">
        <f>IF(M696&lt;&gt;"OK","",INDEX(po_mac,MATCH(D696,po_code,0)))</f>
        <v/>
      </c>
      <c r="J696" s="66" t="str">
        <f>IF(M696&lt;&gt;"OK","",N(E696)*(H696*IF(G696="",1,G696)+I696))</f>
        <v/>
      </c>
      <c r="K696" s="66" t="str">
        <f>IF(M696&lt;&gt;"OK","",N(F696)/60*H696*IF(G696="",1,G696))</f>
        <v/>
      </c>
      <c r="L696" s="66" t="str">
        <f>IF(M696&lt;&gt;"OK","",N(F696)/60*I696)</f>
        <v/>
      </c>
      <c r="M696" s="69" t="str">
        <f>IF(AND(A696="",D696=""),"",IF(A696="","Produit manquant",IF(COUNTIF(prod_ref,A696)=0,"Produit inconnu",IF(D696="","Poste manquant",IF(ISNA(MATCH(D696,po_code,0)),"Poste inconnu",IF(INDEX(po_check,MATCH(D696,po_code,0))&lt;&gt;"OK","Poste à corriger",IF(AND(E696&lt;&gt;"",OR(NOT(ISNUMBER(E696)),N(E696)&lt;0)),"Réglage invalide",IF(AND(F696&lt;&gt;"",OR(NOT(ISNUMBER(F696)),N(F696)&lt;0)),"Temps par pièce invalide",IF(N(E696)+N(F696)=0,"Temps manquant",IF(AND(G696&lt;&gt;"",OR(NOT(ISNUMBER(G696)),N(G696)&lt;=0)),"Opérateurs invalide","OK"))))))))))</f>
        <v/>
      </c>
      <c r="N696" s="71" t="str">
        <f>IF(AND(fiche_sel&lt;&gt;"",A696=fiche_sel),COUNTIF(A$6:A696,fiche_sel),"")</f>
        <v/>
      </c>
    </row>
    <row r="697">
      <c r="A697" s="60" t="n"/>
      <c r="B697" s="73" t="n"/>
      <c r="C697" s="60" t="n"/>
      <c r="D697" s="61" t="n"/>
      <c r="E697" s="74" t="n"/>
      <c r="F697" s="74" t="n"/>
      <c r="G697" s="73" t="n"/>
      <c r="H697" s="66" t="str">
        <f>IF(M697&lt;&gt;"OK","",INDEX(po_mo,MATCH(D697,po_code,0)))</f>
        <v/>
      </c>
      <c r="I697" s="66" t="str">
        <f>IF(M697&lt;&gt;"OK","",INDEX(po_mac,MATCH(D697,po_code,0)))</f>
        <v/>
      </c>
      <c r="J697" s="66" t="str">
        <f>IF(M697&lt;&gt;"OK","",N(E697)*(H697*IF(G697="",1,G697)+I697))</f>
        <v/>
      </c>
      <c r="K697" s="66" t="str">
        <f>IF(M697&lt;&gt;"OK","",N(F697)/60*H697*IF(G697="",1,G697))</f>
        <v/>
      </c>
      <c r="L697" s="66" t="str">
        <f>IF(M697&lt;&gt;"OK","",N(F697)/60*I697)</f>
        <v/>
      </c>
      <c r="M697" s="69" t="str">
        <f>IF(AND(A697="",D697=""),"",IF(A697="","Produit manquant",IF(COUNTIF(prod_ref,A697)=0,"Produit inconnu",IF(D697="","Poste manquant",IF(ISNA(MATCH(D697,po_code,0)),"Poste inconnu",IF(INDEX(po_check,MATCH(D697,po_code,0))&lt;&gt;"OK","Poste à corriger",IF(AND(E697&lt;&gt;"",OR(NOT(ISNUMBER(E697)),N(E697)&lt;0)),"Réglage invalide",IF(AND(F697&lt;&gt;"",OR(NOT(ISNUMBER(F697)),N(F697)&lt;0)),"Temps par pièce invalide",IF(N(E697)+N(F697)=0,"Temps manquant",IF(AND(G697&lt;&gt;"",OR(NOT(ISNUMBER(G697)),N(G697)&lt;=0)),"Opérateurs invalide","OK"))))))))))</f>
        <v/>
      </c>
      <c r="N697" s="71" t="str">
        <f>IF(AND(fiche_sel&lt;&gt;"",A697=fiche_sel),COUNTIF(A$6:A697,fiche_sel),"")</f>
        <v/>
      </c>
    </row>
    <row r="698">
      <c r="A698" s="60" t="n"/>
      <c r="B698" s="73" t="n"/>
      <c r="C698" s="60" t="n"/>
      <c r="D698" s="61" t="n"/>
      <c r="E698" s="74" t="n"/>
      <c r="F698" s="74" t="n"/>
      <c r="G698" s="73" t="n"/>
      <c r="H698" s="66" t="str">
        <f>IF(M698&lt;&gt;"OK","",INDEX(po_mo,MATCH(D698,po_code,0)))</f>
        <v/>
      </c>
      <c r="I698" s="66" t="str">
        <f>IF(M698&lt;&gt;"OK","",INDEX(po_mac,MATCH(D698,po_code,0)))</f>
        <v/>
      </c>
      <c r="J698" s="66" t="str">
        <f>IF(M698&lt;&gt;"OK","",N(E698)*(H698*IF(G698="",1,G698)+I698))</f>
        <v/>
      </c>
      <c r="K698" s="66" t="str">
        <f>IF(M698&lt;&gt;"OK","",N(F698)/60*H698*IF(G698="",1,G698))</f>
        <v/>
      </c>
      <c r="L698" s="66" t="str">
        <f>IF(M698&lt;&gt;"OK","",N(F698)/60*I698)</f>
        <v/>
      </c>
      <c r="M698" s="69" t="str">
        <f>IF(AND(A698="",D698=""),"",IF(A698="","Produit manquant",IF(COUNTIF(prod_ref,A698)=0,"Produit inconnu",IF(D698="","Poste manquant",IF(ISNA(MATCH(D698,po_code,0)),"Poste inconnu",IF(INDEX(po_check,MATCH(D698,po_code,0))&lt;&gt;"OK","Poste à corriger",IF(AND(E698&lt;&gt;"",OR(NOT(ISNUMBER(E698)),N(E698)&lt;0)),"Réglage invalide",IF(AND(F698&lt;&gt;"",OR(NOT(ISNUMBER(F698)),N(F698)&lt;0)),"Temps par pièce invalide",IF(N(E698)+N(F698)=0,"Temps manquant",IF(AND(G698&lt;&gt;"",OR(NOT(ISNUMBER(G698)),N(G698)&lt;=0)),"Opérateurs invalide","OK"))))))))))</f>
        <v/>
      </c>
      <c r="N698" s="71" t="str">
        <f>IF(AND(fiche_sel&lt;&gt;"",A698=fiche_sel),COUNTIF(A$6:A698,fiche_sel),"")</f>
        <v/>
      </c>
    </row>
    <row r="699">
      <c r="A699" s="60" t="n"/>
      <c r="B699" s="73" t="n"/>
      <c r="C699" s="60" t="n"/>
      <c r="D699" s="61" t="n"/>
      <c r="E699" s="74" t="n"/>
      <c r="F699" s="74" t="n"/>
      <c r="G699" s="73" t="n"/>
      <c r="H699" s="66" t="str">
        <f>IF(M699&lt;&gt;"OK","",INDEX(po_mo,MATCH(D699,po_code,0)))</f>
        <v/>
      </c>
      <c r="I699" s="66" t="str">
        <f>IF(M699&lt;&gt;"OK","",INDEX(po_mac,MATCH(D699,po_code,0)))</f>
        <v/>
      </c>
      <c r="J699" s="66" t="str">
        <f>IF(M699&lt;&gt;"OK","",N(E699)*(H699*IF(G699="",1,G699)+I699))</f>
        <v/>
      </c>
      <c r="K699" s="66" t="str">
        <f>IF(M699&lt;&gt;"OK","",N(F699)/60*H699*IF(G699="",1,G699))</f>
        <v/>
      </c>
      <c r="L699" s="66" t="str">
        <f>IF(M699&lt;&gt;"OK","",N(F699)/60*I699)</f>
        <v/>
      </c>
      <c r="M699" s="69" t="str">
        <f>IF(AND(A699="",D699=""),"",IF(A699="","Produit manquant",IF(COUNTIF(prod_ref,A699)=0,"Produit inconnu",IF(D699="","Poste manquant",IF(ISNA(MATCH(D699,po_code,0)),"Poste inconnu",IF(INDEX(po_check,MATCH(D699,po_code,0))&lt;&gt;"OK","Poste à corriger",IF(AND(E699&lt;&gt;"",OR(NOT(ISNUMBER(E699)),N(E699)&lt;0)),"Réglage invalide",IF(AND(F699&lt;&gt;"",OR(NOT(ISNUMBER(F699)),N(F699)&lt;0)),"Temps par pièce invalide",IF(N(E699)+N(F699)=0,"Temps manquant",IF(AND(G699&lt;&gt;"",OR(NOT(ISNUMBER(G699)),N(G699)&lt;=0)),"Opérateurs invalide","OK"))))))))))</f>
        <v/>
      </c>
      <c r="N699" s="71" t="str">
        <f>IF(AND(fiche_sel&lt;&gt;"",A699=fiche_sel),COUNTIF(A$6:A699,fiche_sel),"")</f>
        <v/>
      </c>
    </row>
    <row r="700">
      <c r="A700" s="60" t="n"/>
      <c r="B700" s="73" t="n"/>
      <c r="C700" s="60" t="n"/>
      <c r="D700" s="61" t="n"/>
      <c r="E700" s="74" t="n"/>
      <c r="F700" s="74" t="n"/>
      <c r="G700" s="73" t="n"/>
      <c r="H700" s="66" t="str">
        <f>IF(M700&lt;&gt;"OK","",INDEX(po_mo,MATCH(D700,po_code,0)))</f>
        <v/>
      </c>
      <c r="I700" s="66" t="str">
        <f>IF(M700&lt;&gt;"OK","",INDEX(po_mac,MATCH(D700,po_code,0)))</f>
        <v/>
      </c>
      <c r="J700" s="66" t="str">
        <f>IF(M700&lt;&gt;"OK","",N(E700)*(H700*IF(G700="",1,G700)+I700))</f>
        <v/>
      </c>
      <c r="K700" s="66" t="str">
        <f>IF(M700&lt;&gt;"OK","",N(F700)/60*H700*IF(G700="",1,G700))</f>
        <v/>
      </c>
      <c r="L700" s="66" t="str">
        <f>IF(M700&lt;&gt;"OK","",N(F700)/60*I700)</f>
        <v/>
      </c>
      <c r="M700" s="69" t="str">
        <f>IF(AND(A700="",D700=""),"",IF(A700="","Produit manquant",IF(COUNTIF(prod_ref,A700)=0,"Produit inconnu",IF(D700="","Poste manquant",IF(ISNA(MATCH(D700,po_code,0)),"Poste inconnu",IF(INDEX(po_check,MATCH(D700,po_code,0))&lt;&gt;"OK","Poste à corriger",IF(AND(E700&lt;&gt;"",OR(NOT(ISNUMBER(E700)),N(E700)&lt;0)),"Réglage invalide",IF(AND(F700&lt;&gt;"",OR(NOT(ISNUMBER(F700)),N(F700)&lt;0)),"Temps par pièce invalide",IF(N(E700)+N(F700)=0,"Temps manquant",IF(AND(G700&lt;&gt;"",OR(NOT(ISNUMBER(G700)),N(G700)&lt;=0)),"Opérateurs invalide","OK"))))))))))</f>
        <v/>
      </c>
      <c r="N700" s="71" t="str">
        <f>IF(AND(fiche_sel&lt;&gt;"",A700=fiche_sel),COUNTIF(A$6:A700,fiche_sel),"")</f>
        <v/>
      </c>
    </row>
    <row r="701">
      <c r="A701" s="60" t="n"/>
      <c r="B701" s="73" t="n"/>
      <c r="C701" s="60" t="n"/>
      <c r="D701" s="61" t="n"/>
      <c r="E701" s="74" t="n"/>
      <c r="F701" s="74" t="n"/>
      <c r="G701" s="73" t="n"/>
      <c r="H701" s="66" t="str">
        <f>IF(M701&lt;&gt;"OK","",INDEX(po_mo,MATCH(D701,po_code,0)))</f>
        <v/>
      </c>
      <c r="I701" s="66" t="str">
        <f>IF(M701&lt;&gt;"OK","",INDEX(po_mac,MATCH(D701,po_code,0)))</f>
        <v/>
      </c>
      <c r="J701" s="66" t="str">
        <f>IF(M701&lt;&gt;"OK","",N(E701)*(H701*IF(G701="",1,G701)+I701))</f>
        <v/>
      </c>
      <c r="K701" s="66" t="str">
        <f>IF(M701&lt;&gt;"OK","",N(F701)/60*H701*IF(G701="",1,G701))</f>
        <v/>
      </c>
      <c r="L701" s="66" t="str">
        <f>IF(M701&lt;&gt;"OK","",N(F701)/60*I701)</f>
        <v/>
      </c>
      <c r="M701" s="69" t="str">
        <f>IF(AND(A701="",D701=""),"",IF(A701="","Produit manquant",IF(COUNTIF(prod_ref,A701)=0,"Produit inconnu",IF(D701="","Poste manquant",IF(ISNA(MATCH(D701,po_code,0)),"Poste inconnu",IF(INDEX(po_check,MATCH(D701,po_code,0))&lt;&gt;"OK","Poste à corriger",IF(AND(E701&lt;&gt;"",OR(NOT(ISNUMBER(E701)),N(E701)&lt;0)),"Réglage invalide",IF(AND(F701&lt;&gt;"",OR(NOT(ISNUMBER(F701)),N(F701)&lt;0)),"Temps par pièce invalide",IF(N(E701)+N(F701)=0,"Temps manquant",IF(AND(G701&lt;&gt;"",OR(NOT(ISNUMBER(G701)),N(G701)&lt;=0)),"Opérateurs invalide","OK"))))))))))</f>
        <v/>
      </c>
      <c r="N701" s="71" t="str">
        <f>IF(AND(fiche_sel&lt;&gt;"",A701=fiche_sel),COUNTIF(A$6:A701,fiche_sel),"")</f>
        <v/>
      </c>
    </row>
    <row r="702">
      <c r="A702" s="60" t="n"/>
      <c r="B702" s="73" t="n"/>
      <c r="C702" s="60" t="n"/>
      <c r="D702" s="61" t="n"/>
      <c r="E702" s="74" t="n"/>
      <c r="F702" s="74" t="n"/>
      <c r="G702" s="73" t="n"/>
      <c r="H702" s="66" t="str">
        <f>IF(M702&lt;&gt;"OK","",INDEX(po_mo,MATCH(D702,po_code,0)))</f>
        <v/>
      </c>
      <c r="I702" s="66" t="str">
        <f>IF(M702&lt;&gt;"OK","",INDEX(po_mac,MATCH(D702,po_code,0)))</f>
        <v/>
      </c>
      <c r="J702" s="66" t="str">
        <f>IF(M702&lt;&gt;"OK","",N(E702)*(H702*IF(G702="",1,G702)+I702))</f>
        <v/>
      </c>
      <c r="K702" s="66" t="str">
        <f>IF(M702&lt;&gt;"OK","",N(F702)/60*H702*IF(G702="",1,G702))</f>
        <v/>
      </c>
      <c r="L702" s="66" t="str">
        <f>IF(M702&lt;&gt;"OK","",N(F702)/60*I702)</f>
        <v/>
      </c>
      <c r="M702" s="69" t="str">
        <f>IF(AND(A702="",D702=""),"",IF(A702="","Produit manquant",IF(COUNTIF(prod_ref,A702)=0,"Produit inconnu",IF(D702="","Poste manquant",IF(ISNA(MATCH(D702,po_code,0)),"Poste inconnu",IF(INDEX(po_check,MATCH(D702,po_code,0))&lt;&gt;"OK","Poste à corriger",IF(AND(E702&lt;&gt;"",OR(NOT(ISNUMBER(E702)),N(E702)&lt;0)),"Réglage invalide",IF(AND(F702&lt;&gt;"",OR(NOT(ISNUMBER(F702)),N(F702)&lt;0)),"Temps par pièce invalide",IF(N(E702)+N(F702)=0,"Temps manquant",IF(AND(G702&lt;&gt;"",OR(NOT(ISNUMBER(G702)),N(G702)&lt;=0)),"Opérateurs invalide","OK"))))))))))</f>
        <v/>
      </c>
      <c r="N702" s="71" t="str">
        <f>IF(AND(fiche_sel&lt;&gt;"",A702=fiche_sel),COUNTIF(A$6:A702,fiche_sel),"")</f>
        <v/>
      </c>
    </row>
    <row r="703">
      <c r="A703" s="60" t="n"/>
      <c r="B703" s="73" t="n"/>
      <c r="C703" s="60" t="n"/>
      <c r="D703" s="61" t="n"/>
      <c r="E703" s="74" t="n"/>
      <c r="F703" s="74" t="n"/>
      <c r="G703" s="73" t="n"/>
      <c r="H703" s="66" t="str">
        <f>IF(M703&lt;&gt;"OK","",INDEX(po_mo,MATCH(D703,po_code,0)))</f>
        <v/>
      </c>
      <c r="I703" s="66" t="str">
        <f>IF(M703&lt;&gt;"OK","",INDEX(po_mac,MATCH(D703,po_code,0)))</f>
        <v/>
      </c>
      <c r="J703" s="66" t="str">
        <f>IF(M703&lt;&gt;"OK","",N(E703)*(H703*IF(G703="",1,G703)+I703))</f>
        <v/>
      </c>
      <c r="K703" s="66" t="str">
        <f>IF(M703&lt;&gt;"OK","",N(F703)/60*H703*IF(G703="",1,G703))</f>
        <v/>
      </c>
      <c r="L703" s="66" t="str">
        <f>IF(M703&lt;&gt;"OK","",N(F703)/60*I703)</f>
        <v/>
      </c>
      <c r="M703" s="69" t="str">
        <f>IF(AND(A703="",D703=""),"",IF(A703="","Produit manquant",IF(COUNTIF(prod_ref,A703)=0,"Produit inconnu",IF(D703="","Poste manquant",IF(ISNA(MATCH(D703,po_code,0)),"Poste inconnu",IF(INDEX(po_check,MATCH(D703,po_code,0))&lt;&gt;"OK","Poste à corriger",IF(AND(E703&lt;&gt;"",OR(NOT(ISNUMBER(E703)),N(E703)&lt;0)),"Réglage invalide",IF(AND(F703&lt;&gt;"",OR(NOT(ISNUMBER(F703)),N(F703)&lt;0)),"Temps par pièce invalide",IF(N(E703)+N(F703)=0,"Temps manquant",IF(AND(G703&lt;&gt;"",OR(NOT(ISNUMBER(G703)),N(G703)&lt;=0)),"Opérateurs invalide","OK"))))))))))</f>
        <v/>
      </c>
      <c r="N703" s="71" t="str">
        <f>IF(AND(fiche_sel&lt;&gt;"",A703=fiche_sel),COUNTIF(A$6:A703,fiche_sel),"")</f>
        <v/>
      </c>
    </row>
    <row r="704">
      <c r="A704" s="60" t="n"/>
      <c r="B704" s="73" t="n"/>
      <c r="C704" s="60" t="n"/>
      <c r="D704" s="61" t="n"/>
      <c r="E704" s="74" t="n"/>
      <c r="F704" s="74" t="n"/>
      <c r="G704" s="73" t="n"/>
      <c r="H704" s="66" t="str">
        <f>IF(M704&lt;&gt;"OK","",INDEX(po_mo,MATCH(D704,po_code,0)))</f>
        <v/>
      </c>
      <c r="I704" s="66" t="str">
        <f>IF(M704&lt;&gt;"OK","",INDEX(po_mac,MATCH(D704,po_code,0)))</f>
        <v/>
      </c>
      <c r="J704" s="66" t="str">
        <f>IF(M704&lt;&gt;"OK","",N(E704)*(H704*IF(G704="",1,G704)+I704))</f>
        <v/>
      </c>
      <c r="K704" s="66" t="str">
        <f>IF(M704&lt;&gt;"OK","",N(F704)/60*H704*IF(G704="",1,G704))</f>
        <v/>
      </c>
      <c r="L704" s="66" t="str">
        <f>IF(M704&lt;&gt;"OK","",N(F704)/60*I704)</f>
        <v/>
      </c>
      <c r="M704" s="69" t="str">
        <f>IF(AND(A704="",D704=""),"",IF(A704="","Produit manquant",IF(COUNTIF(prod_ref,A704)=0,"Produit inconnu",IF(D704="","Poste manquant",IF(ISNA(MATCH(D704,po_code,0)),"Poste inconnu",IF(INDEX(po_check,MATCH(D704,po_code,0))&lt;&gt;"OK","Poste à corriger",IF(AND(E704&lt;&gt;"",OR(NOT(ISNUMBER(E704)),N(E704)&lt;0)),"Réglage invalide",IF(AND(F704&lt;&gt;"",OR(NOT(ISNUMBER(F704)),N(F704)&lt;0)),"Temps par pièce invalide",IF(N(E704)+N(F704)=0,"Temps manquant",IF(AND(G704&lt;&gt;"",OR(NOT(ISNUMBER(G704)),N(G704)&lt;=0)),"Opérateurs invalide","OK"))))))))))</f>
        <v/>
      </c>
      <c r="N704" s="71" t="str">
        <f>IF(AND(fiche_sel&lt;&gt;"",A704=fiche_sel),COUNTIF(A$6:A704,fiche_sel),"")</f>
        <v/>
      </c>
    </row>
    <row r="705">
      <c r="A705" s="60" t="n"/>
      <c r="B705" s="73" t="n"/>
      <c r="C705" s="60" t="n"/>
      <c r="D705" s="61" t="n"/>
      <c r="E705" s="74" t="n"/>
      <c r="F705" s="74" t="n"/>
      <c r="G705" s="73" t="n"/>
      <c r="H705" s="66" t="str">
        <f>IF(M705&lt;&gt;"OK","",INDEX(po_mo,MATCH(D705,po_code,0)))</f>
        <v/>
      </c>
      <c r="I705" s="66" t="str">
        <f>IF(M705&lt;&gt;"OK","",INDEX(po_mac,MATCH(D705,po_code,0)))</f>
        <v/>
      </c>
      <c r="J705" s="66" t="str">
        <f>IF(M705&lt;&gt;"OK","",N(E705)*(H705*IF(G705="",1,G705)+I705))</f>
        <v/>
      </c>
      <c r="K705" s="66" t="str">
        <f>IF(M705&lt;&gt;"OK","",N(F705)/60*H705*IF(G705="",1,G705))</f>
        <v/>
      </c>
      <c r="L705" s="66" t="str">
        <f>IF(M705&lt;&gt;"OK","",N(F705)/60*I705)</f>
        <v/>
      </c>
      <c r="M705" s="69" t="str">
        <f>IF(AND(A705="",D705=""),"",IF(A705="","Produit manquant",IF(COUNTIF(prod_ref,A705)=0,"Produit inconnu",IF(D705="","Poste manquant",IF(ISNA(MATCH(D705,po_code,0)),"Poste inconnu",IF(INDEX(po_check,MATCH(D705,po_code,0))&lt;&gt;"OK","Poste à corriger",IF(AND(E705&lt;&gt;"",OR(NOT(ISNUMBER(E705)),N(E705)&lt;0)),"Réglage invalide",IF(AND(F705&lt;&gt;"",OR(NOT(ISNUMBER(F705)),N(F705)&lt;0)),"Temps par pièce invalide",IF(N(E705)+N(F705)=0,"Temps manquant",IF(AND(G705&lt;&gt;"",OR(NOT(ISNUMBER(G705)),N(G705)&lt;=0)),"Opérateurs invalide","OK"))))))))))</f>
        <v/>
      </c>
      <c r="N705" s="71" t="str">
        <f>IF(AND(fiche_sel&lt;&gt;"",A705=fiche_sel),COUNTIF(A$6:A705,fiche_sel),"")</f>
        <v/>
      </c>
    </row>
    <row r="706">
      <c r="A706" s="60" t="n"/>
      <c r="B706" s="73" t="n"/>
      <c r="C706" s="60" t="n"/>
      <c r="D706" s="61" t="n"/>
      <c r="E706" s="74" t="n"/>
      <c r="F706" s="74" t="n"/>
      <c r="G706" s="73" t="n"/>
      <c r="H706" s="66" t="str">
        <f>IF(M706&lt;&gt;"OK","",INDEX(po_mo,MATCH(D706,po_code,0)))</f>
        <v/>
      </c>
      <c r="I706" s="66" t="str">
        <f>IF(M706&lt;&gt;"OK","",INDEX(po_mac,MATCH(D706,po_code,0)))</f>
        <v/>
      </c>
      <c r="J706" s="66" t="str">
        <f>IF(M706&lt;&gt;"OK","",N(E706)*(H706*IF(G706="",1,G706)+I706))</f>
        <v/>
      </c>
      <c r="K706" s="66" t="str">
        <f>IF(M706&lt;&gt;"OK","",N(F706)/60*H706*IF(G706="",1,G706))</f>
        <v/>
      </c>
      <c r="L706" s="66" t="str">
        <f>IF(M706&lt;&gt;"OK","",N(F706)/60*I706)</f>
        <v/>
      </c>
      <c r="M706" s="69" t="str">
        <f>IF(AND(A706="",D706=""),"",IF(A706="","Produit manquant",IF(COUNTIF(prod_ref,A706)=0,"Produit inconnu",IF(D706="","Poste manquant",IF(ISNA(MATCH(D706,po_code,0)),"Poste inconnu",IF(INDEX(po_check,MATCH(D706,po_code,0))&lt;&gt;"OK","Poste à corriger",IF(AND(E706&lt;&gt;"",OR(NOT(ISNUMBER(E706)),N(E706)&lt;0)),"Réglage invalide",IF(AND(F706&lt;&gt;"",OR(NOT(ISNUMBER(F706)),N(F706)&lt;0)),"Temps par pièce invalide",IF(N(E706)+N(F706)=0,"Temps manquant",IF(AND(G706&lt;&gt;"",OR(NOT(ISNUMBER(G706)),N(G706)&lt;=0)),"Opérateurs invalide","OK"))))))))))</f>
        <v/>
      </c>
      <c r="N706" s="71" t="str">
        <f>IF(AND(fiche_sel&lt;&gt;"",A706=fiche_sel),COUNTIF(A$6:A706,fiche_sel),"")</f>
        <v/>
      </c>
    </row>
    <row r="707">
      <c r="A707" s="60" t="n"/>
      <c r="B707" s="73" t="n"/>
      <c r="C707" s="60" t="n"/>
      <c r="D707" s="61" t="n"/>
      <c r="E707" s="74" t="n"/>
      <c r="F707" s="74" t="n"/>
      <c r="G707" s="73" t="n"/>
      <c r="H707" s="66" t="str">
        <f>IF(M707&lt;&gt;"OK","",INDEX(po_mo,MATCH(D707,po_code,0)))</f>
        <v/>
      </c>
      <c r="I707" s="66" t="str">
        <f>IF(M707&lt;&gt;"OK","",INDEX(po_mac,MATCH(D707,po_code,0)))</f>
        <v/>
      </c>
      <c r="J707" s="66" t="str">
        <f>IF(M707&lt;&gt;"OK","",N(E707)*(H707*IF(G707="",1,G707)+I707))</f>
        <v/>
      </c>
      <c r="K707" s="66" t="str">
        <f>IF(M707&lt;&gt;"OK","",N(F707)/60*H707*IF(G707="",1,G707))</f>
        <v/>
      </c>
      <c r="L707" s="66" t="str">
        <f>IF(M707&lt;&gt;"OK","",N(F707)/60*I707)</f>
        <v/>
      </c>
      <c r="M707" s="69" t="str">
        <f>IF(AND(A707="",D707=""),"",IF(A707="","Produit manquant",IF(COUNTIF(prod_ref,A707)=0,"Produit inconnu",IF(D707="","Poste manquant",IF(ISNA(MATCH(D707,po_code,0)),"Poste inconnu",IF(INDEX(po_check,MATCH(D707,po_code,0))&lt;&gt;"OK","Poste à corriger",IF(AND(E707&lt;&gt;"",OR(NOT(ISNUMBER(E707)),N(E707)&lt;0)),"Réglage invalide",IF(AND(F707&lt;&gt;"",OR(NOT(ISNUMBER(F707)),N(F707)&lt;0)),"Temps par pièce invalide",IF(N(E707)+N(F707)=0,"Temps manquant",IF(AND(G707&lt;&gt;"",OR(NOT(ISNUMBER(G707)),N(G707)&lt;=0)),"Opérateurs invalide","OK"))))))))))</f>
        <v/>
      </c>
      <c r="N707" s="71" t="str">
        <f>IF(AND(fiche_sel&lt;&gt;"",A707=fiche_sel),COUNTIF(A$6:A707,fiche_sel),"")</f>
        <v/>
      </c>
    </row>
    <row r="708">
      <c r="A708" s="60" t="n"/>
      <c r="B708" s="73" t="n"/>
      <c r="C708" s="60" t="n"/>
      <c r="D708" s="61" t="n"/>
      <c r="E708" s="74" t="n"/>
      <c r="F708" s="74" t="n"/>
      <c r="G708" s="73" t="n"/>
      <c r="H708" s="66" t="str">
        <f>IF(M708&lt;&gt;"OK","",INDEX(po_mo,MATCH(D708,po_code,0)))</f>
        <v/>
      </c>
      <c r="I708" s="66" t="str">
        <f>IF(M708&lt;&gt;"OK","",INDEX(po_mac,MATCH(D708,po_code,0)))</f>
        <v/>
      </c>
      <c r="J708" s="66" t="str">
        <f>IF(M708&lt;&gt;"OK","",N(E708)*(H708*IF(G708="",1,G708)+I708))</f>
        <v/>
      </c>
      <c r="K708" s="66" t="str">
        <f>IF(M708&lt;&gt;"OK","",N(F708)/60*H708*IF(G708="",1,G708))</f>
        <v/>
      </c>
      <c r="L708" s="66" t="str">
        <f>IF(M708&lt;&gt;"OK","",N(F708)/60*I708)</f>
        <v/>
      </c>
      <c r="M708" s="69" t="str">
        <f>IF(AND(A708="",D708=""),"",IF(A708="","Produit manquant",IF(COUNTIF(prod_ref,A708)=0,"Produit inconnu",IF(D708="","Poste manquant",IF(ISNA(MATCH(D708,po_code,0)),"Poste inconnu",IF(INDEX(po_check,MATCH(D708,po_code,0))&lt;&gt;"OK","Poste à corriger",IF(AND(E708&lt;&gt;"",OR(NOT(ISNUMBER(E708)),N(E708)&lt;0)),"Réglage invalide",IF(AND(F708&lt;&gt;"",OR(NOT(ISNUMBER(F708)),N(F708)&lt;0)),"Temps par pièce invalide",IF(N(E708)+N(F708)=0,"Temps manquant",IF(AND(G708&lt;&gt;"",OR(NOT(ISNUMBER(G708)),N(G708)&lt;=0)),"Opérateurs invalide","OK"))))))))))</f>
        <v/>
      </c>
      <c r="N708" s="71" t="str">
        <f>IF(AND(fiche_sel&lt;&gt;"",A708=fiche_sel),COUNTIF(A$6:A708,fiche_sel),"")</f>
        <v/>
      </c>
    </row>
    <row r="709">
      <c r="A709" s="60" t="n"/>
      <c r="B709" s="73" t="n"/>
      <c r="C709" s="60" t="n"/>
      <c r="D709" s="61" t="n"/>
      <c r="E709" s="74" t="n"/>
      <c r="F709" s="74" t="n"/>
      <c r="G709" s="73" t="n"/>
      <c r="H709" s="66" t="str">
        <f>IF(M709&lt;&gt;"OK","",INDEX(po_mo,MATCH(D709,po_code,0)))</f>
        <v/>
      </c>
      <c r="I709" s="66" t="str">
        <f>IF(M709&lt;&gt;"OK","",INDEX(po_mac,MATCH(D709,po_code,0)))</f>
        <v/>
      </c>
      <c r="J709" s="66" t="str">
        <f>IF(M709&lt;&gt;"OK","",N(E709)*(H709*IF(G709="",1,G709)+I709))</f>
        <v/>
      </c>
      <c r="K709" s="66" t="str">
        <f>IF(M709&lt;&gt;"OK","",N(F709)/60*H709*IF(G709="",1,G709))</f>
        <v/>
      </c>
      <c r="L709" s="66" t="str">
        <f>IF(M709&lt;&gt;"OK","",N(F709)/60*I709)</f>
        <v/>
      </c>
      <c r="M709" s="69" t="str">
        <f>IF(AND(A709="",D709=""),"",IF(A709="","Produit manquant",IF(COUNTIF(prod_ref,A709)=0,"Produit inconnu",IF(D709="","Poste manquant",IF(ISNA(MATCH(D709,po_code,0)),"Poste inconnu",IF(INDEX(po_check,MATCH(D709,po_code,0))&lt;&gt;"OK","Poste à corriger",IF(AND(E709&lt;&gt;"",OR(NOT(ISNUMBER(E709)),N(E709)&lt;0)),"Réglage invalide",IF(AND(F709&lt;&gt;"",OR(NOT(ISNUMBER(F709)),N(F709)&lt;0)),"Temps par pièce invalide",IF(N(E709)+N(F709)=0,"Temps manquant",IF(AND(G709&lt;&gt;"",OR(NOT(ISNUMBER(G709)),N(G709)&lt;=0)),"Opérateurs invalide","OK"))))))))))</f>
        <v/>
      </c>
      <c r="N709" s="71" t="str">
        <f>IF(AND(fiche_sel&lt;&gt;"",A709=fiche_sel),COUNTIF(A$6:A709,fiche_sel),"")</f>
        <v/>
      </c>
    </row>
    <row r="710">
      <c r="A710" s="60" t="n"/>
      <c r="B710" s="73" t="n"/>
      <c r="C710" s="60" t="n"/>
      <c r="D710" s="61" t="n"/>
      <c r="E710" s="74" t="n"/>
      <c r="F710" s="74" t="n"/>
      <c r="G710" s="73" t="n"/>
      <c r="H710" s="66" t="str">
        <f>IF(M710&lt;&gt;"OK","",INDEX(po_mo,MATCH(D710,po_code,0)))</f>
        <v/>
      </c>
      <c r="I710" s="66" t="str">
        <f>IF(M710&lt;&gt;"OK","",INDEX(po_mac,MATCH(D710,po_code,0)))</f>
        <v/>
      </c>
      <c r="J710" s="66" t="str">
        <f>IF(M710&lt;&gt;"OK","",N(E710)*(H710*IF(G710="",1,G710)+I710))</f>
        <v/>
      </c>
      <c r="K710" s="66" t="str">
        <f>IF(M710&lt;&gt;"OK","",N(F710)/60*H710*IF(G710="",1,G710))</f>
        <v/>
      </c>
      <c r="L710" s="66" t="str">
        <f>IF(M710&lt;&gt;"OK","",N(F710)/60*I710)</f>
        <v/>
      </c>
      <c r="M710" s="69" t="str">
        <f>IF(AND(A710="",D710=""),"",IF(A710="","Produit manquant",IF(COUNTIF(prod_ref,A710)=0,"Produit inconnu",IF(D710="","Poste manquant",IF(ISNA(MATCH(D710,po_code,0)),"Poste inconnu",IF(INDEX(po_check,MATCH(D710,po_code,0))&lt;&gt;"OK","Poste à corriger",IF(AND(E710&lt;&gt;"",OR(NOT(ISNUMBER(E710)),N(E710)&lt;0)),"Réglage invalide",IF(AND(F710&lt;&gt;"",OR(NOT(ISNUMBER(F710)),N(F710)&lt;0)),"Temps par pièce invalide",IF(N(E710)+N(F710)=0,"Temps manquant",IF(AND(G710&lt;&gt;"",OR(NOT(ISNUMBER(G710)),N(G710)&lt;=0)),"Opérateurs invalide","OK"))))))))))</f>
        <v/>
      </c>
      <c r="N710" s="71" t="str">
        <f>IF(AND(fiche_sel&lt;&gt;"",A710=fiche_sel),COUNTIF(A$6:A710,fiche_sel),"")</f>
        <v/>
      </c>
    </row>
    <row r="711">
      <c r="A711" s="60" t="n"/>
      <c r="B711" s="73" t="n"/>
      <c r="C711" s="60" t="n"/>
      <c r="D711" s="61" t="n"/>
      <c r="E711" s="74" t="n"/>
      <c r="F711" s="74" t="n"/>
      <c r="G711" s="73" t="n"/>
      <c r="H711" s="66" t="str">
        <f>IF(M711&lt;&gt;"OK","",INDEX(po_mo,MATCH(D711,po_code,0)))</f>
        <v/>
      </c>
      <c r="I711" s="66" t="str">
        <f>IF(M711&lt;&gt;"OK","",INDEX(po_mac,MATCH(D711,po_code,0)))</f>
        <v/>
      </c>
      <c r="J711" s="66" t="str">
        <f>IF(M711&lt;&gt;"OK","",N(E711)*(H711*IF(G711="",1,G711)+I711))</f>
        <v/>
      </c>
      <c r="K711" s="66" t="str">
        <f>IF(M711&lt;&gt;"OK","",N(F711)/60*H711*IF(G711="",1,G711))</f>
        <v/>
      </c>
      <c r="L711" s="66" t="str">
        <f>IF(M711&lt;&gt;"OK","",N(F711)/60*I711)</f>
        <v/>
      </c>
      <c r="M711" s="69" t="str">
        <f>IF(AND(A711="",D711=""),"",IF(A711="","Produit manquant",IF(COUNTIF(prod_ref,A711)=0,"Produit inconnu",IF(D711="","Poste manquant",IF(ISNA(MATCH(D711,po_code,0)),"Poste inconnu",IF(INDEX(po_check,MATCH(D711,po_code,0))&lt;&gt;"OK","Poste à corriger",IF(AND(E711&lt;&gt;"",OR(NOT(ISNUMBER(E711)),N(E711)&lt;0)),"Réglage invalide",IF(AND(F711&lt;&gt;"",OR(NOT(ISNUMBER(F711)),N(F711)&lt;0)),"Temps par pièce invalide",IF(N(E711)+N(F711)=0,"Temps manquant",IF(AND(G711&lt;&gt;"",OR(NOT(ISNUMBER(G711)),N(G711)&lt;=0)),"Opérateurs invalide","OK"))))))))))</f>
        <v/>
      </c>
      <c r="N711" s="71" t="str">
        <f>IF(AND(fiche_sel&lt;&gt;"",A711=fiche_sel),COUNTIF(A$6:A711,fiche_sel),"")</f>
        <v/>
      </c>
    </row>
    <row r="712">
      <c r="A712" s="60" t="n"/>
      <c r="B712" s="73" t="n"/>
      <c r="C712" s="60" t="n"/>
      <c r="D712" s="61" t="n"/>
      <c r="E712" s="74" t="n"/>
      <c r="F712" s="74" t="n"/>
      <c r="G712" s="73" t="n"/>
      <c r="H712" s="66" t="str">
        <f>IF(M712&lt;&gt;"OK","",INDEX(po_mo,MATCH(D712,po_code,0)))</f>
        <v/>
      </c>
      <c r="I712" s="66" t="str">
        <f>IF(M712&lt;&gt;"OK","",INDEX(po_mac,MATCH(D712,po_code,0)))</f>
        <v/>
      </c>
      <c r="J712" s="66" t="str">
        <f>IF(M712&lt;&gt;"OK","",N(E712)*(H712*IF(G712="",1,G712)+I712))</f>
        <v/>
      </c>
      <c r="K712" s="66" t="str">
        <f>IF(M712&lt;&gt;"OK","",N(F712)/60*H712*IF(G712="",1,G712))</f>
        <v/>
      </c>
      <c r="L712" s="66" t="str">
        <f>IF(M712&lt;&gt;"OK","",N(F712)/60*I712)</f>
        <v/>
      </c>
      <c r="M712" s="69" t="str">
        <f>IF(AND(A712="",D712=""),"",IF(A712="","Produit manquant",IF(COUNTIF(prod_ref,A712)=0,"Produit inconnu",IF(D712="","Poste manquant",IF(ISNA(MATCH(D712,po_code,0)),"Poste inconnu",IF(INDEX(po_check,MATCH(D712,po_code,0))&lt;&gt;"OK","Poste à corriger",IF(AND(E712&lt;&gt;"",OR(NOT(ISNUMBER(E712)),N(E712)&lt;0)),"Réglage invalide",IF(AND(F712&lt;&gt;"",OR(NOT(ISNUMBER(F712)),N(F712)&lt;0)),"Temps par pièce invalide",IF(N(E712)+N(F712)=0,"Temps manquant",IF(AND(G712&lt;&gt;"",OR(NOT(ISNUMBER(G712)),N(G712)&lt;=0)),"Opérateurs invalide","OK"))))))))))</f>
        <v/>
      </c>
      <c r="N712" s="71" t="str">
        <f>IF(AND(fiche_sel&lt;&gt;"",A712=fiche_sel),COUNTIF(A$6:A712,fiche_sel),"")</f>
        <v/>
      </c>
    </row>
    <row r="713">
      <c r="A713" s="60" t="n"/>
      <c r="B713" s="73" t="n"/>
      <c r="C713" s="60" t="n"/>
      <c r="D713" s="61" t="n"/>
      <c r="E713" s="74" t="n"/>
      <c r="F713" s="74" t="n"/>
      <c r="G713" s="73" t="n"/>
      <c r="H713" s="66" t="str">
        <f>IF(M713&lt;&gt;"OK","",INDEX(po_mo,MATCH(D713,po_code,0)))</f>
        <v/>
      </c>
      <c r="I713" s="66" t="str">
        <f>IF(M713&lt;&gt;"OK","",INDEX(po_mac,MATCH(D713,po_code,0)))</f>
        <v/>
      </c>
      <c r="J713" s="66" t="str">
        <f>IF(M713&lt;&gt;"OK","",N(E713)*(H713*IF(G713="",1,G713)+I713))</f>
        <v/>
      </c>
      <c r="K713" s="66" t="str">
        <f>IF(M713&lt;&gt;"OK","",N(F713)/60*H713*IF(G713="",1,G713))</f>
        <v/>
      </c>
      <c r="L713" s="66" t="str">
        <f>IF(M713&lt;&gt;"OK","",N(F713)/60*I713)</f>
        <v/>
      </c>
      <c r="M713" s="69" t="str">
        <f>IF(AND(A713="",D713=""),"",IF(A713="","Produit manquant",IF(COUNTIF(prod_ref,A713)=0,"Produit inconnu",IF(D713="","Poste manquant",IF(ISNA(MATCH(D713,po_code,0)),"Poste inconnu",IF(INDEX(po_check,MATCH(D713,po_code,0))&lt;&gt;"OK","Poste à corriger",IF(AND(E713&lt;&gt;"",OR(NOT(ISNUMBER(E713)),N(E713)&lt;0)),"Réglage invalide",IF(AND(F713&lt;&gt;"",OR(NOT(ISNUMBER(F713)),N(F713)&lt;0)),"Temps par pièce invalide",IF(N(E713)+N(F713)=0,"Temps manquant",IF(AND(G713&lt;&gt;"",OR(NOT(ISNUMBER(G713)),N(G713)&lt;=0)),"Opérateurs invalide","OK"))))))))))</f>
        <v/>
      </c>
      <c r="N713" s="71" t="str">
        <f>IF(AND(fiche_sel&lt;&gt;"",A713=fiche_sel),COUNTIF(A$6:A713,fiche_sel),"")</f>
        <v/>
      </c>
    </row>
    <row r="714">
      <c r="A714" s="60" t="n"/>
      <c r="B714" s="73" t="n"/>
      <c r="C714" s="60" t="n"/>
      <c r="D714" s="61" t="n"/>
      <c r="E714" s="74" t="n"/>
      <c r="F714" s="74" t="n"/>
      <c r="G714" s="73" t="n"/>
      <c r="H714" s="66" t="str">
        <f>IF(M714&lt;&gt;"OK","",INDEX(po_mo,MATCH(D714,po_code,0)))</f>
        <v/>
      </c>
      <c r="I714" s="66" t="str">
        <f>IF(M714&lt;&gt;"OK","",INDEX(po_mac,MATCH(D714,po_code,0)))</f>
        <v/>
      </c>
      <c r="J714" s="66" t="str">
        <f>IF(M714&lt;&gt;"OK","",N(E714)*(H714*IF(G714="",1,G714)+I714))</f>
        <v/>
      </c>
      <c r="K714" s="66" t="str">
        <f>IF(M714&lt;&gt;"OK","",N(F714)/60*H714*IF(G714="",1,G714))</f>
        <v/>
      </c>
      <c r="L714" s="66" t="str">
        <f>IF(M714&lt;&gt;"OK","",N(F714)/60*I714)</f>
        <v/>
      </c>
      <c r="M714" s="69" t="str">
        <f>IF(AND(A714="",D714=""),"",IF(A714="","Produit manquant",IF(COUNTIF(prod_ref,A714)=0,"Produit inconnu",IF(D714="","Poste manquant",IF(ISNA(MATCH(D714,po_code,0)),"Poste inconnu",IF(INDEX(po_check,MATCH(D714,po_code,0))&lt;&gt;"OK","Poste à corriger",IF(AND(E714&lt;&gt;"",OR(NOT(ISNUMBER(E714)),N(E714)&lt;0)),"Réglage invalide",IF(AND(F714&lt;&gt;"",OR(NOT(ISNUMBER(F714)),N(F714)&lt;0)),"Temps par pièce invalide",IF(N(E714)+N(F714)=0,"Temps manquant",IF(AND(G714&lt;&gt;"",OR(NOT(ISNUMBER(G714)),N(G714)&lt;=0)),"Opérateurs invalide","OK"))))))))))</f>
        <v/>
      </c>
      <c r="N714" s="71" t="str">
        <f>IF(AND(fiche_sel&lt;&gt;"",A714=fiche_sel),COUNTIF(A$6:A714,fiche_sel),"")</f>
        <v/>
      </c>
    </row>
    <row r="715">
      <c r="A715" s="60" t="n"/>
      <c r="B715" s="73" t="n"/>
      <c r="C715" s="60" t="n"/>
      <c r="D715" s="61" t="n"/>
      <c r="E715" s="74" t="n"/>
      <c r="F715" s="74" t="n"/>
      <c r="G715" s="73" t="n"/>
      <c r="H715" s="66" t="str">
        <f>IF(M715&lt;&gt;"OK","",INDEX(po_mo,MATCH(D715,po_code,0)))</f>
        <v/>
      </c>
      <c r="I715" s="66" t="str">
        <f>IF(M715&lt;&gt;"OK","",INDEX(po_mac,MATCH(D715,po_code,0)))</f>
        <v/>
      </c>
      <c r="J715" s="66" t="str">
        <f>IF(M715&lt;&gt;"OK","",N(E715)*(H715*IF(G715="",1,G715)+I715))</f>
        <v/>
      </c>
      <c r="K715" s="66" t="str">
        <f>IF(M715&lt;&gt;"OK","",N(F715)/60*H715*IF(G715="",1,G715))</f>
        <v/>
      </c>
      <c r="L715" s="66" t="str">
        <f>IF(M715&lt;&gt;"OK","",N(F715)/60*I715)</f>
        <v/>
      </c>
      <c r="M715" s="69" t="str">
        <f>IF(AND(A715="",D715=""),"",IF(A715="","Produit manquant",IF(COUNTIF(prod_ref,A715)=0,"Produit inconnu",IF(D715="","Poste manquant",IF(ISNA(MATCH(D715,po_code,0)),"Poste inconnu",IF(INDEX(po_check,MATCH(D715,po_code,0))&lt;&gt;"OK","Poste à corriger",IF(AND(E715&lt;&gt;"",OR(NOT(ISNUMBER(E715)),N(E715)&lt;0)),"Réglage invalide",IF(AND(F715&lt;&gt;"",OR(NOT(ISNUMBER(F715)),N(F715)&lt;0)),"Temps par pièce invalide",IF(N(E715)+N(F715)=0,"Temps manquant",IF(AND(G715&lt;&gt;"",OR(NOT(ISNUMBER(G715)),N(G715)&lt;=0)),"Opérateurs invalide","OK"))))))))))</f>
        <v/>
      </c>
      <c r="N715" s="71" t="str">
        <f>IF(AND(fiche_sel&lt;&gt;"",A715=fiche_sel),COUNTIF(A$6:A715,fiche_sel),"")</f>
        <v/>
      </c>
    </row>
    <row r="716">
      <c r="A716" s="60" t="n"/>
      <c r="B716" s="73" t="n"/>
      <c r="C716" s="60" t="n"/>
      <c r="D716" s="61" t="n"/>
      <c r="E716" s="74" t="n"/>
      <c r="F716" s="74" t="n"/>
      <c r="G716" s="73" t="n"/>
      <c r="H716" s="66" t="str">
        <f>IF(M716&lt;&gt;"OK","",INDEX(po_mo,MATCH(D716,po_code,0)))</f>
        <v/>
      </c>
      <c r="I716" s="66" t="str">
        <f>IF(M716&lt;&gt;"OK","",INDEX(po_mac,MATCH(D716,po_code,0)))</f>
        <v/>
      </c>
      <c r="J716" s="66" t="str">
        <f>IF(M716&lt;&gt;"OK","",N(E716)*(H716*IF(G716="",1,G716)+I716))</f>
        <v/>
      </c>
      <c r="K716" s="66" t="str">
        <f>IF(M716&lt;&gt;"OK","",N(F716)/60*H716*IF(G716="",1,G716))</f>
        <v/>
      </c>
      <c r="L716" s="66" t="str">
        <f>IF(M716&lt;&gt;"OK","",N(F716)/60*I716)</f>
        <v/>
      </c>
      <c r="M716" s="69" t="str">
        <f>IF(AND(A716="",D716=""),"",IF(A716="","Produit manquant",IF(COUNTIF(prod_ref,A716)=0,"Produit inconnu",IF(D716="","Poste manquant",IF(ISNA(MATCH(D716,po_code,0)),"Poste inconnu",IF(INDEX(po_check,MATCH(D716,po_code,0))&lt;&gt;"OK","Poste à corriger",IF(AND(E716&lt;&gt;"",OR(NOT(ISNUMBER(E716)),N(E716)&lt;0)),"Réglage invalide",IF(AND(F716&lt;&gt;"",OR(NOT(ISNUMBER(F716)),N(F716)&lt;0)),"Temps par pièce invalide",IF(N(E716)+N(F716)=0,"Temps manquant",IF(AND(G716&lt;&gt;"",OR(NOT(ISNUMBER(G716)),N(G716)&lt;=0)),"Opérateurs invalide","OK"))))))))))</f>
        <v/>
      </c>
      <c r="N716" s="71" t="str">
        <f>IF(AND(fiche_sel&lt;&gt;"",A716=fiche_sel),COUNTIF(A$6:A716,fiche_sel),"")</f>
        <v/>
      </c>
    </row>
    <row r="717">
      <c r="A717" s="60" t="n"/>
      <c r="B717" s="73" t="n"/>
      <c r="C717" s="60" t="n"/>
      <c r="D717" s="61" t="n"/>
      <c r="E717" s="74" t="n"/>
      <c r="F717" s="74" t="n"/>
      <c r="G717" s="73" t="n"/>
      <c r="H717" s="66" t="str">
        <f>IF(M717&lt;&gt;"OK","",INDEX(po_mo,MATCH(D717,po_code,0)))</f>
        <v/>
      </c>
      <c r="I717" s="66" t="str">
        <f>IF(M717&lt;&gt;"OK","",INDEX(po_mac,MATCH(D717,po_code,0)))</f>
        <v/>
      </c>
      <c r="J717" s="66" t="str">
        <f>IF(M717&lt;&gt;"OK","",N(E717)*(H717*IF(G717="",1,G717)+I717))</f>
        <v/>
      </c>
      <c r="K717" s="66" t="str">
        <f>IF(M717&lt;&gt;"OK","",N(F717)/60*H717*IF(G717="",1,G717))</f>
        <v/>
      </c>
      <c r="L717" s="66" t="str">
        <f>IF(M717&lt;&gt;"OK","",N(F717)/60*I717)</f>
        <v/>
      </c>
      <c r="M717" s="69" t="str">
        <f>IF(AND(A717="",D717=""),"",IF(A717="","Produit manquant",IF(COUNTIF(prod_ref,A717)=0,"Produit inconnu",IF(D717="","Poste manquant",IF(ISNA(MATCH(D717,po_code,0)),"Poste inconnu",IF(INDEX(po_check,MATCH(D717,po_code,0))&lt;&gt;"OK","Poste à corriger",IF(AND(E717&lt;&gt;"",OR(NOT(ISNUMBER(E717)),N(E717)&lt;0)),"Réglage invalide",IF(AND(F717&lt;&gt;"",OR(NOT(ISNUMBER(F717)),N(F717)&lt;0)),"Temps par pièce invalide",IF(N(E717)+N(F717)=0,"Temps manquant",IF(AND(G717&lt;&gt;"",OR(NOT(ISNUMBER(G717)),N(G717)&lt;=0)),"Opérateurs invalide","OK"))))))))))</f>
        <v/>
      </c>
      <c r="N717" s="71" t="str">
        <f>IF(AND(fiche_sel&lt;&gt;"",A717=fiche_sel),COUNTIF(A$6:A717,fiche_sel),"")</f>
        <v/>
      </c>
    </row>
    <row r="718">
      <c r="A718" s="60" t="n"/>
      <c r="B718" s="73" t="n"/>
      <c r="C718" s="60" t="n"/>
      <c r="D718" s="61" t="n"/>
      <c r="E718" s="74" t="n"/>
      <c r="F718" s="74" t="n"/>
      <c r="G718" s="73" t="n"/>
      <c r="H718" s="66" t="str">
        <f>IF(M718&lt;&gt;"OK","",INDEX(po_mo,MATCH(D718,po_code,0)))</f>
        <v/>
      </c>
      <c r="I718" s="66" t="str">
        <f>IF(M718&lt;&gt;"OK","",INDEX(po_mac,MATCH(D718,po_code,0)))</f>
        <v/>
      </c>
      <c r="J718" s="66" t="str">
        <f>IF(M718&lt;&gt;"OK","",N(E718)*(H718*IF(G718="",1,G718)+I718))</f>
        <v/>
      </c>
      <c r="K718" s="66" t="str">
        <f>IF(M718&lt;&gt;"OK","",N(F718)/60*H718*IF(G718="",1,G718))</f>
        <v/>
      </c>
      <c r="L718" s="66" t="str">
        <f>IF(M718&lt;&gt;"OK","",N(F718)/60*I718)</f>
        <v/>
      </c>
      <c r="M718" s="69" t="str">
        <f>IF(AND(A718="",D718=""),"",IF(A718="","Produit manquant",IF(COUNTIF(prod_ref,A718)=0,"Produit inconnu",IF(D718="","Poste manquant",IF(ISNA(MATCH(D718,po_code,0)),"Poste inconnu",IF(INDEX(po_check,MATCH(D718,po_code,0))&lt;&gt;"OK","Poste à corriger",IF(AND(E718&lt;&gt;"",OR(NOT(ISNUMBER(E718)),N(E718)&lt;0)),"Réglage invalide",IF(AND(F718&lt;&gt;"",OR(NOT(ISNUMBER(F718)),N(F718)&lt;0)),"Temps par pièce invalide",IF(N(E718)+N(F718)=0,"Temps manquant",IF(AND(G718&lt;&gt;"",OR(NOT(ISNUMBER(G718)),N(G718)&lt;=0)),"Opérateurs invalide","OK"))))))))))</f>
        <v/>
      </c>
      <c r="N718" s="71" t="str">
        <f>IF(AND(fiche_sel&lt;&gt;"",A718=fiche_sel),COUNTIF(A$6:A718,fiche_sel),"")</f>
        <v/>
      </c>
    </row>
    <row r="719">
      <c r="A719" s="60" t="n"/>
      <c r="B719" s="73" t="n"/>
      <c r="C719" s="60" t="n"/>
      <c r="D719" s="61" t="n"/>
      <c r="E719" s="74" t="n"/>
      <c r="F719" s="74" t="n"/>
      <c r="G719" s="73" t="n"/>
      <c r="H719" s="66" t="str">
        <f>IF(M719&lt;&gt;"OK","",INDEX(po_mo,MATCH(D719,po_code,0)))</f>
        <v/>
      </c>
      <c r="I719" s="66" t="str">
        <f>IF(M719&lt;&gt;"OK","",INDEX(po_mac,MATCH(D719,po_code,0)))</f>
        <v/>
      </c>
      <c r="J719" s="66" t="str">
        <f>IF(M719&lt;&gt;"OK","",N(E719)*(H719*IF(G719="",1,G719)+I719))</f>
        <v/>
      </c>
      <c r="K719" s="66" t="str">
        <f>IF(M719&lt;&gt;"OK","",N(F719)/60*H719*IF(G719="",1,G719))</f>
        <v/>
      </c>
      <c r="L719" s="66" t="str">
        <f>IF(M719&lt;&gt;"OK","",N(F719)/60*I719)</f>
        <v/>
      </c>
      <c r="M719" s="69" t="str">
        <f>IF(AND(A719="",D719=""),"",IF(A719="","Produit manquant",IF(COUNTIF(prod_ref,A719)=0,"Produit inconnu",IF(D719="","Poste manquant",IF(ISNA(MATCH(D719,po_code,0)),"Poste inconnu",IF(INDEX(po_check,MATCH(D719,po_code,0))&lt;&gt;"OK","Poste à corriger",IF(AND(E719&lt;&gt;"",OR(NOT(ISNUMBER(E719)),N(E719)&lt;0)),"Réglage invalide",IF(AND(F719&lt;&gt;"",OR(NOT(ISNUMBER(F719)),N(F719)&lt;0)),"Temps par pièce invalide",IF(N(E719)+N(F719)=0,"Temps manquant",IF(AND(G719&lt;&gt;"",OR(NOT(ISNUMBER(G719)),N(G719)&lt;=0)),"Opérateurs invalide","OK"))))))))))</f>
        <v/>
      </c>
      <c r="N719" s="71" t="str">
        <f>IF(AND(fiche_sel&lt;&gt;"",A719=fiche_sel),COUNTIF(A$6:A719,fiche_sel),"")</f>
        <v/>
      </c>
    </row>
    <row r="720">
      <c r="A720" s="60" t="n"/>
      <c r="B720" s="73" t="n"/>
      <c r="C720" s="60" t="n"/>
      <c r="D720" s="61" t="n"/>
      <c r="E720" s="74" t="n"/>
      <c r="F720" s="74" t="n"/>
      <c r="G720" s="73" t="n"/>
      <c r="H720" s="66" t="str">
        <f>IF(M720&lt;&gt;"OK","",INDEX(po_mo,MATCH(D720,po_code,0)))</f>
        <v/>
      </c>
      <c r="I720" s="66" t="str">
        <f>IF(M720&lt;&gt;"OK","",INDEX(po_mac,MATCH(D720,po_code,0)))</f>
        <v/>
      </c>
      <c r="J720" s="66" t="str">
        <f>IF(M720&lt;&gt;"OK","",N(E720)*(H720*IF(G720="",1,G720)+I720))</f>
        <v/>
      </c>
      <c r="K720" s="66" t="str">
        <f>IF(M720&lt;&gt;"OK","",N(F720)/60*H720*IF(G720="",1,G720))</f>
        <v/>
      </c>
      <c r="L720" s="66" t="str">
        <f>IF(M720&lt;&gt;"OK","",N(F720)/60*I720)</f>
        <v/>
      </c>
      <c r="M720" s="69" t="str">
        <f>IF(AND(A720="",D720=""),"",IF(A720="","Produit manquant",IF(COUNTIF(prod_ref,A720)=0,"Produit inconnu",IF(D720="","Poste manquant",IF(ISNA(MATCH(D720,po_code,0)),"Poste inconnu",IF(INDEX(po_check,MATCH(D720,po_code,0))&lt;&gt;"OK","Poste à corriger",IF(AND(E720&lt;&gt;"",OR(NOT(ISNUMBER(E720)),N(E720)&lt;0)),"Réglage invalide",IF(AND(F720&lt;&gt;"",OR(NOT(ISNUMBER(F720)),N(F720)&lt;0)),"Temps par pièce invalide",IF(N(E720)+N(F720)=0,"Temps manquant",IF(AND(G720&lt;&gt;"",OR(NOT(ISNUMBER(G720)),N(G720)&lt;=0)),"Opérateurs invalide","OK"))))))))))</f>
        <v/>
      </c>
      <c r="N720" s="71" t="str">
        <f>IF(AND(fiche_sel&lt;&gt;"",A720=fiche_sel),COUNTIF(A$6:A720,fiche_sel),"")</f>
        <v/>
      </c>
    </row>
    <row r="721">
      <c r="A721" s="60" t="n"/>
      <c r="B721" s="73" t="n"/>
      <c r="C721" s="60" t="n"/>
      <c r="D721" s="61" t="n"/>
      <c r="E721" s="74" t="n"/>
      <c r="F721" s="74" t="n"/>
      <c r="G721" s="73" t="n"/>
      <c r="H721" s="66" t="str">
        <f>IF(M721&lt;&gt;"OK","",INDEX(po_mo,MATCH(D721,po_code,0)))</f>
        <v/>
      </c>
      <c r="I721" s="66" t="str">
        <f>IF(M721&lt;&gt;"OK","",INDEX(po_mac,MATCH(D721,po_code,0)))</f>
        <v/>
      </c>
      <c r="J721" s="66" t="str">
        <f>IF(M721&lt;&gt;"OK","",N(E721)*(H721*IF(G721="",1,G721)+I721))</f>
        <v/>
      </c>
      <c r="K721" s="66" t="str">
        <f>IF(M721&lt;&gt;"OK","",N(F721)/60*H721*IF(G721="",1,G721))</f>
        <v/>
      </c>
      <c r="L721" s="66" t="str">
        <f>IF(M721&lt;&gt;"OK","",N(F721)/60*I721)</f>
        <v/>
      </c>
      <c r="M721" s="69" t="str">
        <f>IF(AND(A721="",D721=""),"",IF(A721="","Produit manquant",IF(COUNTIF(prod_ref,A721)=0,"Produit inconnu",IF(D721="","Poste manquant",IF(ISNA(MATCH(D721,po_code,0)),"Poste inconnu",IF(INDEX(po_check,MATCH(D721,po_code,0))&lt;&gt;"OK","Poste à corriger",IF(AND(E721&lt;&gt;"",OR(NOT(ISNUMBER(E721)),N(E721)&lt;0)),"Réglage invalide",IF(AND(F721&lt;&gt;"",OR(NOT(ISNUMBER(F721)),N(F721)&lt;0)),"Temps par pièce invalide",IF(N(E721)+N(F721)=0,"Temps manquant",IF(AND(G721&lt;&gt;"",OR(NOT(ISNUMBER(G721)),N(G721)&lt;=0)),"Opérateurs invalide","OK"))))))))))</f>
        <v/>
      </c>
      <c r="N721" s="71" t="str">
        <f>IF(AND(fiche_sel&lt;&gt;"",A721=fiche_sel),COUNTIF(A$6:A721,fiche_sel),"")</f>
        <v/>
      </c>
    </row>
    <row r="722">
      <c r="A722" s="60" t="n"/>
      <c r="B722" s="73" t="n"/>
      <c r="C722" s="60" t="n"/>
      <c r="D722" s="61" t="n"/>
      <c r="E722" s="74" t="n"/>
      <c r="F722" s="74" t="n"/>
      <c r="G722" s="73" t="n"/>
      <c r="H722" s="66" t="str">
        <f>IF(M722&lt;&gt;"OK","",INDEX(po_mo,MATCH(D722,po_code,0)))</f>
        <v/>
      </c>
      <c r="I722" s="66" t="str">
        <f>IF(M722&lt;&gt;"OK","",INDEX(po_mac,MATCH(D722,po_code,0)))</f>
        <v/>
      </c>
      <c r="J722" s="66" t="str">
        <f>IF(M722&lt;&gt;"OK","",N(E722)*(H722*IF(G722="",1,G722)+I722))</f>
        <v/>
      </c>
      <c r="K722" s="66" t="str">
        <f>IF(M722&lt;&gt;"OK","",N(F722)/60*H722*IF(G722="",1,G722))</f>
        <v/>
      </c>
      <c r="L722" s="66" t="str">
        <f>IF(M722&lt;&gt;"OK","",N(F722)/60*I722)</f>
        <v/>
      </c>
      <c r="M722" s="69" t="str">
        <f>IF(AND(A722="",D722=""),"",IF(A722="","Produit manquant",IF(COUNTIF(prod_ref,A722)=0,"Produit inconnu",IF(D722="","Poste manquant",IF(ISNA(MATCH(D722,po_code,0)),"Poste inconnu",IF(INDEX(po_check,MATCH(D722,po_code,0))&lt;&gt;"OK","Poste à corriger",IF(AND(E722&lt;&gt;"",OR(NOT(ISNUMBER(E722)),N(E722)&lt;0)),"Réglage invalide",IF(AND(F722&lt;&gt;"",OR(NOT(ISNUMBER(F722)),N(F722)&lt;0)),"Temps par pièce invalide",IF(N(E722)+N(F722)=0,"Temps manquant",IF(AND(G722&lt;&gt;"",OR(NOT(ISNUMBER(G722)),N(G722)&lt;=0)),"Opérateurs invalide","OK"))))))))))</f>
        <v/>
      </c>
      <c r="N722" s="71" t="str">
        <f>IF(AND(fiche_sel&lt;&gt;"",A722=fiche_sel),COUNTIF(A$6:A722,fiche_sel),"")</f>
        <v/>
      </c>
    </row>
    <row r="723">
      <c r="A723" s="60" t="n"/>
      <c r="B723" s="73" t="n"/>
      <c r="C723" s="60" t="n"/>
      <c r="D723" s="61" t="n"/>
      <c r="E723" s="74" t="n"/>
      <c r="F723" s="74" t="n"/>
      <c r="G723" s="73" t="n"/>
      <c r="H723" s="66" t="str">
        <f>IF(M723&lt;&gt;"OK","",INDEX(po_mo,MATCH(D723,po_code,0)))</f>
        <v/>
      </c>
      <c r="I723" s="66" t="str">
        <f>IF(M723&lt;&gt;"OK","",INDEX(po_mac,MATCH(D723,po_code,0)))</f>
        <v/>
      </c>
      <c r="J723" s="66" t="str">
        <f>IF(M723&lt;&gt;"OK","",N(E723)*(H723*IF(G723="",1,G723)+I723))</f>
        <v/>
      </c>
      <c r="K723" s="66" t="str">
        <f>IF(M723&lt;&gt;"OK","",N(F723)/60*H723*IF(G723="",1,G723))</f>
        <v/>
      </c>
      <c r="L723" s="66" t="str">
        <f>IF(M723&lt;&gt;"OK","",N(F723)/60*I723)</f>
        <v/>
      </c>
      <c r="M723" s="69" t="str">
        <f>IF(AND(A723="",D723=""),"",IF(A723="","Produit manquant",IF(COUNTIF(prod_ref,A723)=0,"Produit inconnu",IF(D723="","Poste manquant",IF(ISNA(MATCH(D723,po_code,0)),"Poste inconnu",IF(INDEX(po_check,MATCH(D723,po_code,0))&lt;&gt;"OK","Poste à corriger",IF(AND(E723&lt;&gt;"",OR(NOT(ISNUMBER(E723)),N(E723)&lt;0)),"Réglage invalide",IF(AND(F723&lt;&gt;"",OR(NOT(ISNUMBER(F723)),N(F723)&lt;0)),"Temps par pièce invalide",IF(N(E723)+N(F723)=0,"Temps manquant",IF(AND(G723&lt;&gt;"",OR(NOT(ISNUMBER(G723)),N(G723)&lt;=0)),"Opérateurs invalide","OK"))))))))))</f>
        <v/>
      </c>
      <c r="N723" s="71" t="str">
        <f>IF(AND(fiche_sel&lt;&gt;"",A723=fiche_sel),COUNTIF(A$6:A723,fiche_sel),"")</f>
        <v/>
      </c>
    </row>
    <row r="724">
      <c r="A724" s="60" t="n"/>
      <c r="B724" s="73" t="n"/>
      <c r="C724" s="60" t="n"/>
      <c r="D724" s="61" t="n"/>
      <c r="E724" s="74" t="n"/>
      <c r="F724" s="74" t="n"/>
      <c r="G724" s="73" t="n"/>
      <c r="H724" s="66" t="str">
        <f>IF(M724&lt;&gt;"OK","",INDEX(po_mo,MATCH(D724,po_code,0)))</f>
        <v/>
      </c>
      <c r="I724" s="66" t="str">
        <f>IF(M724&lt;&gt;"OK","",INDEX(po_mac,MATCH(D724,po_code,0)))</f>
        <v/>
      </c>
      <c r="J724" s="66" t="str">
        <f>IF(M724&lt;&gt;"OK","",N(E724)*(H724*IF(G724="",1,G724)+I724))</f>
        <v/>
      </c>
      <c r="K724" s="66" t="str">
        <f>IF(M724&lt;&gt;"OK","",N(F724)/60*H724*IF(G724="",1,G724))</f>
        <v/>
      </c>
      <c r="L724" s="66" t="str">
        <f>IF(M724&lt;&gt;"OK","",N(F724)/60*I724)</f>
        <v/>
      </c>
      <c r="M724" s="69" t="str">
        <f>IF(AND(A724="",D724=""),"",IF(A724="","Produit manquant",IF(COUNTIF(prod_ref,A724)=0,"Produit inconnu",IF(D724="","Poste manquant",IF(ISNA(MATCH(D724,po_code,0)),"Poste inconnu",IF(INDEX(po_check,MATCH(D724,po_code,0))&lt;&gt;"OK","Poste à corriger",IF(AND(E724&lt;&gt;"",OR(NOT(ISNUMBER(E724)),N(E724)&lt;0)),"Réglage invalide",IF(AND(F724&lt;&gt;"",OR(NOT(ISNUMBER(F724)),N(F724)&lt;0)),"Temps par pièce invalide",IF(N(E724)+N(F724)=0,"Temps manquant",IF(AND(G724&lt;&gt;"",OR(NOT(ISNUMBER(G724)),N(G724)&lt;=0)),"Opérateurs invalide","OK"))))))))))</f>
        <v/>
      </c>
      <c r="N724" s="71" t="str">
        <f>IF(AND(fiche_sel&lt;&gt;"",A724=fiche_sel),COUNTIF(A$6:A724,fiche_sel),"")</f>
        <v/>
      </c>
    </row>
    <row r="725">
      <c r="A725" s="60" t="n"/>
      <c r="B725" s="73" t="n"/>
      <c r="C725" s="60" t="n"/>
      <c r="D725" s="61" t="n"/>
      <c r="E725" s="74" t="n"/>
      <c r="F725" s="74" t="n"/>
      <c r="G725" s="73" t="n"/>
      <c r="H725" s="66" t="str">
        <f>IF(M725&lt;&gt;"OK","",INDEX(po_mo,MATCH(D725,po_code,0)))</f>
        <v/>
      </c>
      <c r="I725" s="66" t="str">
        <f>IF(M725&lt;&gt;"OK","",INDEX(po_mac,MATCH(D725,po_code,0)))</f>
        <v/>
      </c>
      <c r="J725" s="66" t="str">
        <f>IF(M725&lt;&gt;"OK","",N(E725)*(H725*IF(G725="",1,G725)+I725))</f>
        <v/>
      </c>
      <c r="K725" s="66" t="str">
        <f>IF(M725&lt;&gt;"OK","",N(F725)/60*H725*IF(G725="",1,G725))</f>
        <v/>
      </c>
      <c r="L725" s="66" t="str">
        <f>IF(M725&lt;&gt;"OK","",N(F725)/60*I725)</f>
        <v/>
      </c>
      <c r="M725" s="69" t="str">
        <f>IF(AND(A725="",D725=""),"",IF(A725="","Produit manquant",IF(COUNTIF(prod_ref,A725)=0,"Produit inconnu",IF(D725="","Poste manquant",IF(ISNA(MATCH(D725,po_code,0)),"Poste inconnu",IF(INDEX(po_check,MATCH(D725,po_code,0))&lt;&gt;"OK","Poste à corriger",IF(AND(E725&lt;&gt;"",OR(NOT(ISNUMBER(E725)),N(E725)&lt;0)),"Réglage invalide",IF(AND(F725&lt;&gt;"",OR(NOT(ISNUMBER(F725)),N(F725)&lt;0)),"Temps par pièce invalide",IF(N(E725)+N(F725)=0,"Temps manquant",IF(AND(G725&lt;&gt;"",OR(NOT(ISNUMBER(G725)),N(G725)&lt;=0)),"Opérateurs invalide","OK"))))))))))</f>
        <v/>
      </c>
      <c r="N725" s="71" t="str">
        <f>IF(AND(fiche_sel&lt;&gt;"",A725=fiche_sel),COUNTIF(A$6:A725,fiche_sel),"")</f>
        <v/>
      </c>
    </row>
    <row r="726">
      <c r="A726" s="60" t="n"/>
      <c r="B726" s="73" t="n"/>
      <c r="C726" s="60" t="n"/>
      <c r="D726" s="61" t="n"/>
      <c r="E726" s="74" t="n"/>
      <c r="F726" s="74" t="n"/>
      <c r="G726" s="73" t="n"/>
      <c r="H726" s="66" t="str">
        <f>IF(M726&lt;&gt;"OK","",INDEX(po_mo,MATCH(D726,po_code,0)))</f>
        <v/>
      </c>
      <c r="I726" s="66" t="str">
        <f>IF(M726&lt;&gt;"OK","",INDEX(po_mac,MATCH(D726,po_code,0)))</f>
        <v/>
      </c>
      <c r="J726" s="66" t="str">
        <f>IF(M726&lt;&gt;"OK","",N(E726)*(H726*IF(G726="",1,G726)+I726))</f>
        <v/>
      </c>
      <c r="K726" s="66" t="str">
        <f>IF(M726&lt;&gt;"OK","",N(F726)/60*H726*IF(G726="",1,G726))</f>
        <v/>
      </c>
      <c r="L726" s="66" t="str">
        <f>IF(M726&lt;&gt;"OK","",N(F726)/60*I726)</f>
        <v/>
      </c>
      <c r="M726" s="69" t="str">
        <f>IF(AND(A726="",D726=""),"",IF(A726="","Produit manquant",IF(COUNTIF(prod_ref,A726)=0,"Produit inconnu",IF(D726="","Poste manquant",IF(ISNA(MATCH(D726,po_code,0)),"Poste inconnu",IF(INDEX(po_check,MATCH(D726,po_code,0))&lt;&gt;"OK","Poste à corriger",IF(AND(E726&lt;&gt;"",OR(NOT(ISNUMBER(E726)),N(E726)&lt;0)),"Réglage invalide",IF(AND(F726&lt;&gt;"",OR(NOT(ISNUMBER(F726)),N(F726)&lt;0)),"Temps par pièce invalide",IF(N(E726)+N(F726)=0,"Temps manquant",IF(AND(G726&lt;&gt;"",OR(NOT(ISNUMBER(G726)),N(G726)&lt;=0)),"Opérateurs invalide","OK"))))))))))</f>
        <v/>
      </c>
      <c r="N726" s="71" t="str">
        <f>IF(AND(fiche_sel&lt;&gt;"",A726=fiche_sel),COUNTIF(A$6:A726,fiche_sel),"")</f>
        <v/>
      </c>
    </row>
    <row r="727">
      <c r="A727" s="60" t="n"/>
      <c r="B727" s="73" t="n"/>
      <c r="C727" s="60" t="n"/>
      <c r="D727" s="61" t="n"/>
      <c r="E727" s="74" t="n"/>
      <c r="F727" s="74" t="n"/>
      <c r="G727" s="73" t="n"/>
      <c r="H727" s="66" t="str">
        <f>IF(M727&lt;&gt;"OK","",INDEX(po_mo,MATCH(D727,po_code,0)))</f>
        <v/>
      </c>
      <c r="I727" s="66" t="str">
        <f>IF(M727&lt;&gt;"OK","",INDEX(po_mac,MATCH(D727,po_code,0)))</f>
        <v/>
      </c>
      <c r="J727" s="66" t="str">
        <f>IF(M727&lt;&gt;"OK","",N(E727)*(H727*IF(G727="",1,G727)+I727))</f>
        <v/>
      </c>
      <c r="K727" s="66" t="str">
        <f>IF(M727&lt;&gt;"OK","",N(F727)/60*H727*IF(G727="",1,G727))</f>
        <v/>
      </c>
      <c r="L727" s="66" t="str">
        <f>IF(M727&lt;&gt;"OK","",N(F727)/60*I727)</f>
        <v/>
      </c>
      <c r="M727" s="69" t="str">
        <f>IF(AND(A727="",D727=""),"",IF(A727="","Produit manquant",IF(COUNTIF(prod_ref,A727)=0,"Produit inconnu",IF(D727="","Poste manquant",IF(ISNA(MATCH(D727,po_code,0)),"Poste inconnu",IF(INDEX(po_check,MATCH(D727,po_code,0))&lt;&gt;"OK","Poste à corriger",IF(AND(E727&lt;&gt;"",OR(NOT(ISNUMBER(E727)),N(E727)&lt;0)),"Réglage invalide",IF(AND(F727&lt;&gt;"",OR(NOT(ISNUMBER(F727)),N(F727)&lt;0)),"Temps par pièce invalide",IF(N(E727)+N(F727)=0,"Temps manquant",IF(AND(G727&lt;&gt;"",OR(NOT(ISNUMBER(G727)),N(G727)&lt;=0)),"Opérateurs invalide","OK"))))))))))</f>
        <v/>
      </c>
      <c r="N727" s="71" t="str">
        <f>IF(AND(fiche_sel&lt;&gt;"",A727=fiche_sel),COUNTIF(A$6:A727,fiche_sel),"")</f>
        <v/>
      </c>
    </row>
    <row r="728">
      <c r="A728" s="60" t="n"/>
      <c r="B728" s="73" t="n"/>
      <c r="C728" s="60" t="n"/>
      <c r="D728" s="61" t="n"/>
      <c r="E728" s="74" t="n"/>
      <c r="F728" s="74" t="n"/>
      <c r="G728" s="73" t="n"/>
      <c r="H728" s="66" t="str">
        <f>IF(M728&lt;&gt;"OK","",INDEX(po_mo,MATCH(D728,po_code,0)))</f>
        <v/>
      </c>
      <c r="I728" s="66" t="str">
        <f>IF(M728&lt;&gt;"OK","",INDEX(po_mac,MATCH(D728,po_code,0)))</f>
        <v/>
      </c>
      <c r="J728" s="66" t="str">
        <f>IF(M728&lt;&gt;"OK","",N(E728)*(H728*IF(G728="",1,G728)+I728))</f>
        <v/>
      </c>
      <c r="K728" s="66" t="str">
        <f>IF(M728&lt;&gt;"OK","",N(F728)/60*H728*IF(G728="",1,G728))</f>
        <v/>
      </c>
      <c r="L728" s="66" t="str">
        <f>IF(M728&lt;&gt;"OK","",N(F728)/60*I728)</f>
        <v/>
      </c>
      <c r="M728" s="69" t="str">
        <f>IF(AND(A728="",D728=""),"",IF(A728="","Produit manquant",IF(COUNTIF(prod_ref,A728)=0,"Produit inconnu",IF(D728="","Poste manquant",IF(ISNA(MATCH(D728,po_code,0)),"Poste inconnu",IF(INDEX(po_check,MATCH(D728,po_code,0))&lt;&gt;"OK","Poste à corriger",IF(AND(E728&lt;&gt;"",OR(NOT(ISNUMBER(E728)),N(E728)&lt;0)),"Réglage invalide",IF(AND(F728&lt;&gt;"",OR(NOT(ISNUMBER(F728)),N(F728)&lt;0)),"Temps par pièce invalide",IF(N(E728)+N(F728)=0,"Temps manquant",IF(AND(G728&lt;&gt;"",OR(NOT(ISNUMBER(G728)),N(G728)&lt;=0)),"Opérateurs invalide","OK"))))))))))</f>
        <v/>
      </c>
      <c r="N728" s="71" t="str">
        <f>IF(AND(fiche_sel&lt;&gt;"",A728=fiche_sel),COUNTIF(A$6:A728,fiche_sel),"")</f>
        <v/>
      </c>
    </row>
    <row r="729">
      <c r="A729" s="60" t="n"/>
      <c r="B729" s="73" t="n"/>
      <c r="C729" s="60" t="n"/>
      <c r="D729" s="61" t="n"/>
      <c r="E729" s="74" t="n"/>
      <c r="F729" s="74" t="n"/>
      <c r="G729" s="73" t="n"/>
      <c r="H729" s="66" t="str">
        <f>IF(M729&lt;&gt;"OK","",INDEX(po_mo,MATCH(D729,po_code,0)))</f>
        <v/>
      </c>
      <c r="I729" s="66" t="str">
        <f>IF(M729&lt;&gt;"OK","",INDEX(po_mac,MATCH(D729,po_code,0)))</f>
        <v/>
      </c>
      <c r="J729" s="66" t="str">
        <f>IF(M729&lt;&gt;"OK","",N(E729)*(H729*IF(G729="",1,G729)+I729))</f>
        <v/>
      </c>
      <c r="K729" s="66" t="str">
        <f>IF(M729&lt;&gt;"OK","",N(F729)/60*H729*IF(G729="",1,G729))</f>
        <v/>
      </c>
      <c r="L729" s="66" t="str">
        <f>IF(M729&lt;&gt;"OK","",N(F729)/60*I729)</f>
        <v/>
      </c>
      <c r="M729" s="69" t="str">
        <f>IF(AND(A729="",D729=""),"",IF(A729="","Produit manquant",IF(COUNTIF(prod_ref,A729)=0,"Produit inconnu",IF(D729="","Poste manquant",IF(ISNA(MATCH(D729,po_code,0)),"Poste inconnu",IF(INDEX(po_check,MATCH(D729,po_code,0))&lt;&gt;"OK","Poste à corriger",IF(AND(E729&lt;&gt;"",OR(NOT(ISNUMBER(E729)),N(E729)&lt;0)),"Réglage invalide",IF(AND(F729&lt;&gt;"",OR(NOT(ISNUMBER(F729)),N(F729)&lt;0)),"Temps par pièce invalide",IF(N(E729)+N(F729)=0,"Temps manquant",IF(AND(G729&lt;&gt;"",OR(NOT(ISNUMBER(G729)),N(G729)&lt;=0)),"Opérateurs invalide","OK"))))))))))</f>
        <v/>
      </c>
      <c r="N729" s="71" t="str">
        <f>IF(AND(fiche_sel&lt;&gt;"",A729=fiche_sel),COUNTIF(A$6:A729,fiche_sel),"")</f>
        <v/>
      </c>
    </row>
    <row r="730">
      <c r="A730" s="60" t="n"/>
      <c r="B730" s="73" t="n"/>
      <c r="C730" s="60" t="n"/>
      <c r="D730" s="61" t="n"/>
      <c r="E730" s="74" t="n"/>
      <c r="F730" s="74" t="n"/>
      <c r="G730" s="73" t="n"/>
      <c r="H730" s="66" t="str">
        <f>IF(M730&lt;&gt;"OK","",INDEX(po_mo,MATCH(D730,po_code,0)))</f>
        <v/>
      </c>
      <c r="I730" s="66" t="str">
        <f>IF(M730&lt;&gt;"OK","",INDEX(po_mac,MATCH(D730,po_code,0)))</f>
        <v/>
      </c>
      <c r="J730" s="66" t="str">
        <f>IF(M730&lt;&gt;"OK","",N(E730)*(H730*IF(G730="",1,G730)+I730))</f>
        <v/>
      </c>
      <c r="K730" s="66" t="str">
        <f>IF(M730&lt;&gt;"OK","",N(F730)/60*H730*IF(G730="",1,G730))</f>
        <v/>
      </c>
      <c r="L730" s="66" t="str">
        <f>IF(M730&lt;&gt;"OK","",N(F730)/60*I730)</f>
        <v/>
      </c>
      <c r="M730" s="69" t="str">
        <f>IF(AND(A730="",D730=""),"",IF(A730="","Produit manquant",IF(COUNTIF(prod_ref,A730)=0,"Produit inconnu",IF(D730="","Poste manquant",IF(ISNA(MATCH(D730,po_code,0)),"Poste inconnu",IF(INDEX(po_check,MATCH(D730,po_code,0))&lt;&gt;"OK","Poste à corriger",IF(AND(E730&lt;&gt;"",OR(NOT(ISNUMBER(E730)),N(E730)&lt;0)),"Réglage invalide",IF(AND(F730&lt;&gt;"",OR(NOT(ISNUMBER(F730)),N(F730)&lt;0)),"Temps par pièce invalide",IF(N(E730)+N(F730)=0,"Temps manquant",IF(AND(G730&lt;&gt;"",OR(NOT(ISNUMBER(G730)),N(G730)&lt;=0)),"Opérateurs invalide","OK"))))))))))</f>
        <v/>
      </c>
      <c r="N730" s="71" t="str">
        <f>IF(AND(fiche_sel&lt;&gt;"",A730=fiche_sel),COUNTIF(A$6:A730,fiche_sel),"")</f>
        <v/>
      </c>
    </row>
    <row r="731">
      <c r="A731" s="60" t="n"/>
      <c r="B731" s="73" t="n"/>
      <c r="C731" s="60" t="n"/>
      <c r="D731" s="61" t="n"/>
      <c r="E731" s="74" t="n"/>
      <c r="F731" s="74" t="n"/>
      <c r="G731" s="73" t="n"/>
      <c r="H731" s="66" t="str">
        <f>IF(M731&lt;&gt;"OK","",INDEX(po_mo,MATCH(D731,po_code,0)))</f>
        <v/>
      </c>
      <c r="I731" s="66" t="str">
        <f>IF(M731&lt;&gt;"OK","",INDEX(po_mac,MATCH(D731,po_code,0)))</f>
        <v/>
      </c>
      <c r="J731" s="66" t="str">
        <f>IF(M731&lt;&gt;"OK","",N(E731)*(H731*IF(G731="",1,G731)+I731))</f>
        <v/>
      </c>
      <c r="K731" s="66" t="str">
        <f>IF(M731&lt;&gt;"OK","",N(F731)/60*H731*IF(G731="",1,G731))</f>
        <v/>
      </c>
      <c r="L731" s="66" t="str">
        <f>IF(M731&lt;&gt;"OK","",N(F731)/60*I731)</f>
        <v/>
      </c>
      <c r="M731" s="69" t="str">
        <f>IF(AND(A731="",D731=""),"",IF(A731="","Produit manquant",IF(COUNTIF(prod_ref,A731)=0,"Produit inconnu",IF(D731="","Poste manquant",IF(ISNA(MATCH(D731,po_code,0)),"Poste inconnu",IF(INDEX(po_check,MATCH(D731,po_code,0))&lt;&gt;"OK","Poste à corriger",IF(AND(E731&lt;&gt;"",OR(NOT(ISNUMBER(E731)),N(E731)&lt;0)),"Réglage invalide",IF(AND(F731&lt;&gt;"",OR(NOT(ISNUMBER(F731)),N(F731)&lt;0)),"Temps par pièce invalide",IF(N(E731)+N(F731)=0,"Temps manquant",IF(AND(G731&lt;&gt;"",OR(NOT(ISNUMBER(G731)),N(G731)&lt;=0)),"Opérateurs invalide","OK"))))))))))</f>
        <v/>
      </c>
      <c r="N731" s="71" t="str">
        <f>IF(AND(fiche_sel&lt;&gt;"",A731=fiche_sel),COUNTIF(A$6:A731,fiche_sel),"")</f>
        <v/>
      </c>
    </row>
    <row r="732">
      <c r="A732" s="60" t="n"/>
      <c r="B732" s="73" t="n"/>
      <c r="C732" s="60" t="n"/>
      <c r="D732" s="61" t="n"/>
      <c r="E732" s="74" t="n"/>
      <c r="F732" s="74" t="n"/>
      <c r="G732" s="73" t="n"/>
      <c r="H732" s="66" t="str">
        <f>IF(M732&lt;&gt;"OK","",INDEX(po_mo,MATCH(D732,po_code,0)))</f>
        <v/>
      </c>
      <c r="I732" s="66" t="str">
        <f>IF(M732&lt;&gt;"OK","",INDEX(po_mac,MATCH(D732,po_code,0)))</f>
        <v/>
      </c>
      <c r="J732" s="66" t="str">
        <f>IF(M732&lt;&gt;"OK","",N(E732)*(H732*IF(G732="",1,G732)+I732))</f>
        <v/>
      </c>
      <c r="K732" s="66" t="str">
        <f>IF(M732&lt;&gt;"OK","",N(F732)/60*H732*IF(G732="",1,G732))</f>
        <v/>
      </c>
      <c r="L732" s="66" t="str">
        <f>IF(M732&lt;&gt;"OK","",N(F732)/60*I732)</f>
        <v/>
      </c>
      <c r="M732" s="69" t="str">
        <f>IF(AND(A732="",D732=""),"",IF(A732="","Produit manquant",IF(COUNTIF(prod_ref,A732)=0,"Produit inconnu",IF(D732="","Poste manquant",IF(ISNA(MATCH(D732,po_code,0)),"Poste inconnu",IF(INDEX(po_check,MATCH(D732,po_code,0))&lt;&gt;"OK","Poste à corriger",IF(AND(E732&lt;&gt;"",OR(NOT(ISNUMBER(E732)),N(E732)&lt;0)),"Réglage invalide",IF(AND(F732&lt;&gt;"",OR(NOT(ISNUMBER(F732)),N(F732)&lt;0)),"Temps par pièce invalide",IF(N(E732)+N(F732)=0,"Temps manquant",IF(AND(G732&lt;&gt;"",OR(NOT(ISNUMBER(G732)),N(G732)&lt;=0)),"Opérateurs invalide","OK"))))))))))</f>
        <v/>
      </c>
      <c r="N732" s="71" t="str">
        <f>IF(AND(fiche_sel&lt;&gt;"",A732=fiche_sel),COUNTIF(A$6:A732,fiche_sel),"")</f>
        <v/>
      </c>
    </row>
    <row r="733">
      <c r="A733" s="60" t="n"/>
      <c r="B733" s="73" t="n"/>
      <c r="C733" s="60" t="n"/>
      <c r="D733" s="61" t="n"/>
      <c r="E733" s="74" t="n"/>
      <c r="F733" s="74" t="n"/>
      <c r="G733" s="73" t="n"/>
      <c r="H733" s="66" t="str">
        <f>IF(M733&lt;&gt;"OK","",INDEX(po_mo,MATCH(D733,po_code,0)))</f>
        <v/>
      </c>
      <c r="I733" s="66" t="str">
        <f>IF(M733&lt;&gt;"OK","",INDEX(po_mac,MATCH(D733,po_code,0)))</f>
        <v/>
      </c>
      <c r="J733" s="66" t="str">
        <f>IF(M733&lt;&gt;"OK","",N(E733)*(H733*IF(G733="",1,G733)+I733))</f>
        <v/>
      </c>
      <c r="K733" s="66" t="str">
        <f>IF(M733&lt;&gt;"OK","",N(F733)/60*H733*IF(G733="",1,G733))</f>
        <v/>
      </c>
      <c r="L733" s="66" t="str">
        <f>IF(M733&lt;&gt;"OK","",N(F733)/60*I733)</f>
        <v/>
      </c>
      <c r="M733" s="69" t="str">
        <f>IF(AND(A733="",D733=""),"",IF(A733="","Produit manquant",IF(COUNTIF(prod_ref,A733)=0,"Produit inconnu",IF(D733="","Poste manquant",IF(ISNA(MATCH(D733,po_code,0)),"Poste inconnu",IF(INDEX(po_check,MATCH(D733,po_code,0))&lt;&gt;"OK","Poste à corriger",IF(AND(E733&lt;&gt;"",OR(NOT(ISNUMBER(E733)),N(E733)&lt;0)),"Réglage invalide",IF(AND(F733&lt;&gt;"",OR(NOT(ISNUMBER(F733)),N(F733)&lt;0)),"Temps par pièce invalide",IF(N(E733)+N(F733)=0,"Temps manquant",IF(AND(G733&lt;&gt;"",OR(NOT(ISNUMBER(G733)),N(G733)&lt;=0)),"Opérateurs invalide","OK"))))))))))</f>
        <v/>
      </c>
      <c r="N733" s="71" t="str">
        <f>IF(AND(fiche_sel&lt;&gt;"",A733=fiche_sel),COUNTIF(A$6:A733,fiche_sel),"")</f>
        <v/>
      </c>
    </row>
    <row r="734">
      <c r="A734" s="60" t="n"/>
      <c r="B734" s="73" t="n"/>
      <c r="C734" s="60" t="n"/>
      <c r="D734" s="61" t="n"/>
      <c r="E734" s="74" t="n"/>
      <c r="F734" s="74" t="n"/>
      <c r="G734" s="73" t="n"/>
      <c r="H734" s="66" t="str">
        <f>IF(M734&lt;&gt;"OK","",INDEX(po_mo,MATCH(D734,po_code,0)))</f>
        <v/>
      </c>
      <c r="I734" s="66" t="str">
        <f>IF(M734&lt;&gt;"OK","",INDEX(po_mac,MATCH(D734,po_code,0)))</f>
        <v/>
      </c>
      <c r="J734" s="66" t="str">
        <f>IF(M734&lt;&gt;"OK","",N(E734)*(H734*IF(G734="",1,G734)+I734))</f>
        <v/>
      </c>
      <c r="K734" s="66" t="str">
        <f>IF(M734&lt;&gt;"OK","",N(F734)/60*H734*IF(G734="",1,G734))</f>
        <v/>
      </c>
      <c r="L734" s="66" t="str">
        <f>IF(M734&lt;&gt;"OK","",N(F734)/60*I734)</f>
        <v/>
      </c>
      <c r="M734" s="69" t="str">
        <f>IF(AND(A734="",D734=""),"",IF(A734="","Produit manquant",IF(COUNTIF(prod_ref,A734)=0,"Produit inconnu",IF(D734="","Poste manquant",IF(ISNA(MATCH(D734,po_code,0)),"Poste inconnu",IF(INDEX(po_check,MATCH(D734,po_code,0))&lt;&gt;"OK","Poste à corriger",IF(AND(E734&lt;&gt;"",OR(NOT(ISNUMBER(E734)),N(E734)&lt;0)),"Réglage invalide",IF(AND(F734&lt;&gt;"",OR(NOT(ISNUMBER(F734)),N(F734)&lt;0)),"Temps par pièce invalide",IF(N(E734)+N(F734)=0,"Temps manquant",IF(AND(G734&lt;&gt;"",OR(NOT(ISNUMBER(G734)),N(G734)&lt;=0)),"Opérateurs invalide","OK"))))))))))</f>
        <v/>
      </c>
      <c r="N734" s="71" t="str">
        <f>IF(AND(fiche_sel&lt;&gt;"",A734=fiche_sel),COUNTIF(A$6:A734,fiche_sel),"")</f>
        <v/>
      </c>
    </row>
    <row r="735">
      <c r="A735" s="60" t="n"/>
      <c r="B735" s="73" t="n"/>
      <c r="C735" s="60" t="n"/>
      <c r="D735" s="61" t="n"/>
      <c r="E735" s="74" t="n"/>
      <c r="F735" s="74" t="n"/>
      <c r="G735" s="73" t="n"/>
      <c r="H735" s="66" t="str">
        <f>IF(M735&lt;&gt;"OK","",INDEX(po_mo,MATCH(D735,po_code,0)))</f>
        <v/>
      </c>
      <c r="I735" s="66" t="str">
        <f>IF(M735&lt;&gt;"OK","",INDEX(po_mac,MATCH(D735,po_code,0)))</f>
        <v/>
      </c>
      <c r="J735" s="66" t="str">
        <f>IF(M735&lt;&gt;"OK","",N(E735)*(H735*IF(G735="",1,G735)+I735))</f>
        <v/>
      </c>
      <c r="K735" s="66" t="str">
        <f>IF(M735&lt;&gt;"OK","",N(F735)/60*H735*IF(G735="",1,G735))</f>
        <v/>
      </c>
      <c r="L735" s="66" t="str">
        <f>IF(M735&lt;&gt;"OK","",N(F735)/60*I735)</f>
        <v/>
      </c>
      <c r="M735" s="69" t="str">
        <f>IF(AND(A735="",D735=""),"",IF(A735="","Produit manquant",IF(COUNTIF(prod_ref,A735)=0,"Produit inconnu",IF(D735="","Poste manquant",IF(ISNA(MATCH(D735,po_code,0)),"Poste inconnu",IF(INDEX(po_check,MATCH(D735,po_code,0))&lt;&gt;"OK","Poste à corriger",IF(AND(E735&lt;&gt;"",OR(NOT(ISNUMBER(E735)),N(E735)&lt;0)),"Réglage invalide",IF(AND(F735&lt;&gt;"",OR(NOT(ISNUMBER(F735)),N(F735)&lt;0)),"Temps par pièce invalide",IF(N(E735)+N(F735)=0,"Temps manquant",IF(AND(G735&lt;&gt;"",OR(NOT(ISNUMBER(G735)),N(G735)&lt;=0)),"Opérateurs invalide","OK"))))))))))</f>
        <v/>
      </c>
      <c r="N735" s="71" t="str">
        <f>IF(AND(fiche_sel&lt;&gt;"",A735=fiche_sel),COUNTIF(A$6:A735,fiche_sel),"")</f>
        <v/>
      </c>
    </row>
    <row r="736">
      <c r="A736" s="60" t="n"/>
      <c r="B736" s="73" t="n"/>
      <c r="C736" s="60" t="n"/>
      <c r="D736" s="61" t="n"/>
      <c r="E736" s="74" t="n"/>
      <c r="F736" s="74" t="n"/>
      <c r="G736" s="73" t="n"/>
      <c r="H736" s="66" t="str">
        <f>IF(M736&lt;&gt;"OK","",INDEX(po_mo,MATCH(D736,po_code,0)))</f>
        <v/>
      </c>
      <c r="I736" s="66" t="str">
        <f>IF(M736&lt;&gt;"OK","",INDEX(po_mac,MATCH(D736,po_code,0)))</f>
        <v/>
      </c>
      <c r="J736" s="66" t="str">
        <f>IF(M736&lt;&gt;"OK","",N(E736)*(H736*IF(G736="",1,G736)+I736))</f>
        <v/>
      </c>
      <c r="K736" s="66" t="str">
        <f>IF(M736&lt;&gt;"OK","",N(F736)/60*H736*IF(G736="",1,G736))</f>
        <v/>
      </c>
      <c r="L736" s="66" t="str">
        <f>IF(M736&lt;&gt;"OK","",N(F736)/60*I736)</f>
        <v/>
      </c>
      <c r="M736" s="69" t="str">
        <f>IF(AND(A736="",D736=""),"",IF(A736="","Produit manquant",IF(COUNTIF(prod_ref,A736)=0,"Produit inconnu",IF(D736="","Poste manquant",IF(ISNA(MATCH(D736,po_code,0)),"Poste inconnu",IF(INDEX(po_check,MATCH(D736,po_code,0))&lt;&gt;"OK","Poste à corriger",IF(AND(E736&lt;&gt;"",OR(NOT(ISNUMBER(E736)),N(E736)&lt;0)),"Réglage invalide",IF(AND(F736&lt;&gt;"",OR(NOT(ISNUMBER(F736)),N(F736)&lt;0)),"Temps par pièce invalide",IF(N(E736)+N(F736)=0,"Temps manquant",IF(AND(G736&lt;&gt;"",OR(NOT(ISNUMBER(G736)),N(G736)&lt;=0)),"Opérateurs invalide","OK"))))))))))</f>
        <v/>
      </c>
      <c r="N736" s="71" t="str">
        <f>IF(AND(fiche_sel&lt;&gt;"",A736=fiche_sel),COUNTIF(A$6:A736,fiche_sel),"")</f>
        <v/>
      </c>
    </row>
    <row r="737">
      <c r="A737" s="60" t="n"/>
      <c r="B737" s="73" t="n"/>
      <c r="C737" s="60" t="n"/>
      <c r="D737" s="61" t="n"/>
      <c r="E737" s="74" t="n"/>
      <c r="F737" s="74" t="n"/>
      <c r="G737" s="73" t="n"/>
      <c r="H737" s="66" t="str">
        <f>IF(M737&lt;&gt;"OK","",INDEX(po_mo,MATCH(D737,po_code,0)))</f>
        <v/>
      </c>
      <c r="I737" s="66" t="str">
        <f>IF(M737&lt;&gt;"OK","",INDEX(po_mac,MATCH(D737,po_code,0)))</f>
        <v/>
      </c>
      <c r="J737" s="66" t="str">
        <f>IF(M737&lt;&gt;"OK","",N(E737)*(H737*IF(G737="",1,G737)+I737))</f>
        <v/>
      </c>
      <c r="K737" s="66" t="str">
        <f>IF(M737&lt;&gt;"OK","",N(F737)/60*H737*IF(G737="",1,G737))</f>
        <v/>
      </c>
      <c r="L737" s="66" t="str">
        <f>IF(M737&lt;&gt;"OK","",N(F737)/60*I737)</f>
        <v/>
      </c>
      <c r="M737" s="69" t="str">
        <f>IF(AND(A737="",D737=""),"",IF(A737="","Produit manquant",IF(COUNTIF(prod_ref,A737)=0,"Produit inconnu",IF(D737="","Poste manquant",IF(ISNA(MATCH(D737,po_code,0)),"Poste inconnu",IF(INDEX(po_check,MATCH(D737,po_code,0))&lt;&gt;"OK","Poste à corriger",IF(AND(E737&lt;&gt;"",OR(NOT(ISNUMBER(E737)),N(E737)&lt;0)),"Réglage invalide",IF(AND(F737&lt;&gt;"",OR(NOT(ISNUMBER(F737)),N(F737)&lt;0)),"Temps par pièce invalide",IF(N(E737)+N(F737)=0,"Temps manquant",IF(AND(G737&lt;&gt;"",OR(NOT(ISNUMBER(G737)),N(G737)&lt;=0)),"Opérateurs invalide","OK"))))))))))</f>
        <v/>
      </c>
      <c r="N737" s="71" t="str">
        <f>IF(AND(fiche_sel&lt;&gt;"",A737=fiche_sel),COUNTIF(A$6:A737,fiche_sel),"")</f>
        <v/>
      </c>
    </row>
    <row r="738">
      <c r="A738" s="60" t="n"/>
      <c r="B738" s="73" t="n"/>
      <c r="C738" s="60" t="n"/>
      <c r="D738" s="61" t="n"/>
      <c r="E738" s="74" t="n"/>
      <c r="F738" s="74" t="n"/>
      <c r="G738" s="73" t="n"/>
      <c r="H738" s="66" t="str">
        <f>IF(M738&lt;&gt;"OK","",INDEX(po_mo,MATCH(D738,po_code,0)))</f>
        <v/>
      </c>
      <c r="I738" s="66" t="str">
        <f>IF(M738&lt;&gt;"OK","",INDEX(po_mac,MATCH(D738,po_code,0)))</f>
        <v/>
      </c>
      <c r="J738" s="66" t="str">
        <f>IF(M738&lt;&gt;"OK","",N(E738)*(H738*IF(G738="",1,G738)+I738))</f>
        <v/>
      </c>
      <c r="K738" s="66" t="str">
        <f>IF(M738&lt;&gt;"OK","",N(F738)/60*H738*IF(G738="",1,G738))</f>
        <v/>
      </c>
      <c r="L738" s="66" t="str">
        <f>IF(M738&lt;&gt;"OK","",N(F738)/60*I738)</f>
        <v/>
      </c>
      <c r="M738" s="69" t="str">
        <f>IF(AND(A738="",D738=""),"",IF(A738="","Produit manquant",IF(COUNTIF(prod_ref,A738)=0,"Produit inconnu",IF(D738="","Poste manquant",IF(ISNA(MATCH(D738,po_code,0)),"Poste inconnu",IF(INDEX(po_check,MATCH(D738,po_code,0))&lt;&gt;"OK","Poste à corriger",IF(AND(E738&lt;&gt;"",OR(NOT(ISNUMBER(E738)),N(E738)&lt;0)),"Réglage invalide",IF(AND(F738&lt;&gt;"",OR(NOT(ISNUMBER(F738)),N(F738)&lt;0)),"Temps par pièce invalide",IF(N(E738)+N(F738)=0,"Temps manquant",IF(AND(G738&lt;&gt;"",OR(NOT(ISNUMBER(G738)),N(G738)&lt;=0)),"Opérateurs invalide","OK"))))))))))</f>
        <v/>
      </c>
      <c r="N738" s="71" t="str">
        <f>IF(AND(fiche_sel&lt;&gt;"",A738=fiche_sel),COUNTIF(A$6:A738,fiche_sel),"")</f>
        <v/>
      </c>
    </row>
    <row r="739">
      <c r="A739" s="60" t="n"/>
      <c r="B739" s="73" t="n"/>
      <c r="C739" s="60" t="n"/>
      <c r="D739" s="61" t="n"/>
      <c r="E739" s="74" t="n"/>
      <c r="F739" s="74" t="n"/>
      <c r="G739" s="73" t="n"/>
      <c r="H739" s="66" t="str">
        <f>IF(M739&lt;&gt;"OK","",INDEX(po_mo,MATCH(D739,po_code,0)))</f>
        <v/>
      </c>
      <c r="I739" s="66" t="str">
        <f>IF(M739&lt;&gt;"OK","",INDEX(po_mac,MATCH(D739,po_code,0)))</f>
        <v/>
      </c>
      <c r="J739" s="66" t="str">
        <f>IF(M739&lt;&gt;"OK","",N(E739)*(H739*IF(G739="",1,G739)+I739))</f>
        <v/>
      </c>
      <c r="K739" s="66" t="str">
        <f>IF(M739&lt;&gt;"OK","",N(F739)/60*H739*IF(G739="",1,G739))</f>
        <v/>
      </c>
      <c r="L739" s="66" t="str">
        <f>IF(M739&lt;&gt;"OK","",N(F739)/60*I739)</f>
        <v/>
      </c>
      <c r="M739" s="69" t="str">
        <f>IF(AND(A739="",D739=""),"",IF(A739="","Produit manquant",IF(COUNTIF(prod_ref,A739)=0,"Produit inconnu",IF(D739="","Poste manquant",IF(ISNA(MATCH(D739,po_code,0)),"Poste inconnu",IF(INDEX(po_check,MATCH(D739,po_code,0))&lt;&gt;"OK","Poste à corriger",IF(AND(E739&lt;&gt;"",OR(NOT(ISNUMBER(E739)),N(E739)&lt;0)),"Réglage invalide",IF(AND(F739&lt;&gt;"",OR(NOT(ISNUMBER(F739)),N(F739)&lt;0)),"Temps par pièce invalide",IF(N(E739)+N(F739)=0,"Temps manquant",IF(AND(G739&lt;&gt;"",OR(NOT(ISNUMBER(G739)),N(G739)&lt;=0)),"Opérateurs invalide","OK"))))))))))</f>
        <v/>
      </c>
      <c r="N739" s="71" t="str">
        <f>IF(AND(fiche_sel&lt;&gt;"",A739=fiche_sel),COUNTIF(A$6:A739,fiche_sel),"")</f>
        <v/>
      </c>
    </row>
    <row r="740">
      <c r="A740" s="60" t="n"/>
      <c r="B740" s="73" t="n"/>
      <c r="C740" s="60" t="n"/>
      <c r="D740" s="61" t="n"/>
      <c r="E740" s="74" t="n"/>
      <c r="F740" s="74" t="n"/>
      <c r="G740" s="73" t="n"/>
      <c r="H740" s="66" t="str">
        <f>IF(M740&lt;&gt;"OK","",INDEX(po_mo,MATCH(D740,po_code,0)))</f>
        <v/>
      </c>
      <c r="I740" s="66" t="str">
        <f>IF(M740&lt;&gt;"OK","",INDEX(po_mac,MATCH(D740,po_code,0)))</f>
        <v/>
      </c>
      <c r="J740" s="66" t="str">
        <f>IF(M740&lt;&gt;"OK","",N(E740)*(H740*IF(G740="",1,G740)+I740))</f>
        <v/>
      </c>
      <c r="K740" s="66" t="str">
        <f>IF(M740&lt;&gt;"OK","",N(F740)/60*H740*IF(G740="",1,G740))</f>
        <v/>
      </c>
      <c r="L740" s="66" t="str">
        <f>IF(M740&lt;&gt;"OK","",N(F740)/60*I740)</f>
        <v/>
      </c>
      <c r="M740" s="69" t="str">
        <f>IF(AND(A740="",D740=""),"",IF(A740="","Produit manquant",IF(COUNTIF(prod_ref,A740)=0,"Produit inconnu",IF(D740="","Poste manquant",IF(ISNA(MATCH(D740,po_code,0)),"Poste inconnu",IF(INDEX(po_check,MATCH(D740,po_code,0))&lt;&gt;"OK","Poste à corriger",IF(AND(E740&lt;&gt;"",OR(NOT(ISNUMBER(E740)),N(E740)&lt;0)),"Réglage invalide",IF(AND(F740&lt;&gt;"",OR(NOT(ISNUMBER(F740)),N(F740)&lt;0)),"Temps par pièce invalide",IF(N(E740)+N(F740)=0,"Temps manquant",IF(AND(G740&lt;&gt;"",OR(NOT(ISNUMBER(G740)),N(G740)&lt;=0)),"Opérateurs invalide","OK"))))))))))</f>
        <v/>
      </c>
      <c r="N740" s="71" t="str">
        <f>IF(AND(fiche_sel&lt;&gt;"",A740=fiche_sel),COUNTIF(A$6:A740,fiche_sel),"")</f>
        <v/>
      </c>
    </row>
    <row r="741">
      <c r="A741" s="60" t="n"/>
      <c r="B741" s="73" t="n"/>
      <c r="C741" s="60" t="n"/>
      <c r="D741" s="61" t="n"/>
      <c r="E741" s="74" t="n"/>
      <c r="F741" s="74" t="n"/>
      <c r="G741" s="73" t="n"/>
      <c r="H741" s="66" t="str">
        <f>IF(M741&lt;&gt;"OK","",INDEX(po_mo,MATCH(D741,po_code,0)))</f>
        <v/>
      </c>
      <c r="I741" s="66" t="str">
        <f>IF(M741&lt;&gt;"OK","",INDEX(po_mac,MATCH(D741,po_code,0)))</f>
        <v/>
      </c>
      <c r="J741" s="66" t="str">
        <f>IF(M741&lt;&gt;"OK","",N(E741)*(H741*IF(G741="",1,G741)+I741))</f>
        <v/>
      </c>
      <c r="K741" s="66" t="str">
        <f>IF(M741&lt;&gt;"OK","",N(F741)/60*H741*IF(G741="",1,G741))</f>
        <v/>
      </c>
      <c r="L741" s="66" t="str">
        <f>IF(M741&lt;&gt;"OK","",N(F741)/60*I741)</f>
        <v/>
      </c>
      <c r="M741" s="69" t="str">
        <f>IF(AND(A741="",D741=""),"",IF(A741="","Produit manquant",IF(COUNTIF(prod_ref,A741)=0,"Produit inconnu",IF(D741="","Poste manquant",IF(ISNA(MATCH(D741,po_code,0)),"Poste inconnu",IF(INDEX(po_check,MATCH(D741,po_code,0))&lt;&gt;"OK","Poste à corriger",IF(AND(E741&lt;&gt;"",OR(NOT(ISNUMBER(E741)),N(E741)&lt;0)),"Réglage invalide",IF(AND(F741&lt;&gt;"",OR(NOT(ISNUMBER(F741)),N(F741)&lt;0)),"Temps par pièce invalide",IF(N(E741)+N(F741)=0,"Temps manquant",IF(AND(G741&lt;&gt;"",OR(NOT(ISNUMBER(G741)),N(G741)&lt;=0)),"Opérateurs invalide","OK"))))))))))</f>
        <v/>
      </c>
      <c r="N741" s="71" t="str">
        <f>IF(AND(fiche_sel&lt;&gt;"",A741=fiche_sel),COUNTIF(A$6:A741,fiche_sel),"")</f>
        <v/>
      </c>
    </row>
    <row r="742">
      <c r="A742" s="60" t="n"/>
      <c r="B742" s="73" t="n"/>
      <c r="C742" s="60" t="n"/>
      <c r="D742" s="61" t="n"/>
      <c r="E742" s="74" t="n"/>
      <c r="F742" s="74" t="n"/>
      <c r="G742" s="73" t="n"/>
      <c r="H742" s="66" t="str">
        <f>IF(M742&lt;&gt;"OK","",INDEX(po_mo,MATCH(D742,po_code,0)))</f>
        <v/>
      </c>
      <c r="I742" s="66" t="str">
        <f>IF(M742&lt;&gt;"OK","",INDEX(po_mac,MATCH(D742,po_code,0)))</f>
        <v/>
      </c>
      <c r="J742" s="66" t="str">
        <f>IF(M742&lt;&gt;"OK","",N(E742)*(H742*IF(G742="",1,G742)+I742))</f>
        <v/>
      </c>
      <c r="K742" s="66" t="str">
        <f>IF(M742&lt;&gt;"OK","",N(F742)/60*H742*IF(G742="",1,G742))</f>
        <v/>
      </c>
      <c r="L742" s="66" t="str">
        <f>IF(M742&lt;&gt;"OK","",N(F742)/60*I742)</f>
        <v/>
      </c>
      <c r="M742" s="69" t="str">
        <f>IF(AND(A742="",D742=""),"",IF(A742="","Produit manquant",IF(COUNTIF(prod_ref,A742)=0,"Produit inconnu",IF(D742="","Poste manquant",IF(ISNA(MATCH(D742,po_code,0)),"Poste inconnu",IF(INDEX(po_check,MATCH(D742,po_code,0))&lt;&gt;"OK","Poste à corriger",IF(AND(E742&lt;&gt;"",OR(NOT(ISNUMBER(E742)),N(E742)&lt;0)),"Réglage invalide",IF(AND(F742&lt;&gt;"",OR(NOT(ISNUMBER(F742)),N(F742)&lt;0)),"Temps par pièce invalide",IF(N(E742)+N(F742)=0,"Temps manquant",IF(AND(G742&lt;&gt;"",OR(NOT(ISNUMBER(G742)),N(G742)&lt;=0)),"Opérateurs invalide","OK"))))))))))</f>
        <v/>
      </c>
      <c r="N742" s="71" t="str">
        <f>IF(AND(fiche_sel&lt;&gt;"",A742=fiche_sel),COUNTIF(A$6:A742,fiche_sel),"")</f>
        <v/>
      </c>
    </row>
    <row r="743">
      <c r="A743" s="60" t="n"/>
      <c r="B743" s="73" t="n"/>
      <c r="C743" s="60" t="n"/>
      <c r="D743" s="61" t="n"/>
      <c r="E743" s="74" t="n"/>
      <c r="F743" s="74" t="n"/>
      <c r="G743" s="73" t="n"/>
      <c r="H743" s="66" t="str">
        <f>IF(M743&lt;&gt;"OK","",INDEX(po_mo,MATCH(D743,po_code,0)))</f>
        <v/>
      </c>
      <c r="I743" s="66" t="str">
        <f>IF(M743&lt;&gt;"OK","",INDEX(po_mac,MATCH(D743,po_code,0)))</f>
        <v/>
      </c>
      <c r="J743" s="66" t="str">
        <f>IF(M743&lt;&gt;"OK","",N(E743)*(H743*IF(G743="",1,G743)+I743))</f>
        <v/>
      </c>
      <c r="K743" s="66" t="str">
        <f>IF(M743&lt;&gt;"OK","",N(F743)/60*H743*IF(G743="",1,G743))</f>
        <v/>
      </c>
      <c r="L743" s="66" t="str">
        <f>IF(M743&lt;&gt;"OK","",N(F743)/60*I743)</f>
        <v/>
      </c>
      <c r="M743" s="69" t="str">
        <f>IF(AND(A743="",D743=""),"",IF(A743="","Produit manquant",IF(COUNTIF(prod_ref,A743)=0,"Produit inconnu",IF(D743="","Poste manquant",IF(ISNA(MATCH(D743,po_code,0)),"Poste inconnu",IF(INDEX(po_check,MATCH(D743,po_code,0))&lt;&gt;"OK","Poste à corriger",IF(AND(E743&lt;&gt;"",OR(NOT(ISNUMBER(E743)),N(E743)&lt;0)),"Réglage invalide",IF(AND(F743&lt;&gt;"",OR(NOT(ISNUMBER(F743)),N(F743)&lt;0)),"Temps par pièce invalide",IF(N(E743)+N(F743)=0,"Temps manquant",IF(AND(G743&lt;&gt;"",OR(NOT(ISNUMBER(G743)),N(G743)&lt;=0)),"Opérateurs invalide","OK"))))))))))</f>
        <v/>
      </c>
      <c r="N743" s="71" t="str">
        <f>IF(AND(fiche_sel&lt;&gt;"",A743=fiche_sel),COUNTIF(A$6:A743,fiche_sel),"")</f>
        <v/>
      </c>
    </row>
    <row r="744">
      <c r="A744" s="60" t="n"/>
      <c r="B744" s="73" t="n"/>
      <c r="C744" s="60" t="n"/>
      <c r="D744" s="61" t="n"/>
      <c r="E744" s="74" t="n"/>
      <c r="F744" s="74" t="n"/>
      <c r="G744" s="73" t="n"/>
      <c r="H744" s="66" t="str">
        <f>IF(M744&lt;&gt;"OK","",INDEX(po_mo,MATCH(D744,po_code,0)))</f>
        <v/>
      </c>
      <c r="I744" s="66" t="str">
        <f>IF(M744&lt;&gt;"OK","",INDEX(po_mac,MATCH(D744,po_code,0)))</f>
        <v/>
      </c>
      <c r="J744" s="66" t="str">
        <f>IF(M744&lt;&gt;"OK","",N(E744)*(H744*IF(G744="",1,G744)+I744))</f>
        <v/>
      </c>
      <c r="K744" s="66" t="str">
        <f>IF(M744&lt;&gt;"OK","",N(F744)/60*H744*IF(G744="",1,G744))</f>
        <v/>
      </c>
      <c r="L744" s="66" t="str">
        <f>IF(M744&lt;&gt;"OK","",N(F744)/60*I744)</f>
        <v/>
      </c>
      <c r="M744" s="69" t="str">
        <f>IF(AND(A744="",D744=""),"",IF(A744="","Produit manquant",IF(COUNTIF(prod_ref,A744)=0,"Produit inconnu",IF(D744="","Poste manquant",IF(ISNA(MATCH(D744,po_code,0)),"Poste inconnu",IF(INDEX(po_check,MATCH(D744,po_code,0))&lt;&gt;"OK","Poste à corriger",IF(AND(E744&lt;&gt;"",OR(NOT(ISNUMBER(E744)),N(E744)&lt;0)),"Réglage invalide",IF(AND(F744&lt;&gt;"",OR(NOT(ISNUMBER(F744)),N(F744)&lt;0)),"Temps par pièce invalide",IF(N(E744)+N(F744)=0,"Temps manquant",IF(AND(G744&lt;&gt;"",OR(NOT(ISNUMBER(G744)),N(G744)&lt;=0)),"Opérateurs invalide","OK"))))))))))</f>
        <v/>
      </c>
      <c r="N744" s="71" t="str">
        <f>IF(AND(fiche_sel&lt;&gt;"",A744=fiche_sel),COUNTIF(A$6:A744,fiche_sel),"")</f>
        <v/>
      </c>
    </row>
    <row r="745">
      <c r="A745" s="60" t="n"/>
      <c r="B745" s="73" t="n"/>
      <c r="C745" s="60" t="n"/>
      <c r="D745" s="61" t="n"/>
      <c r="E745" s="74" t="n"/>
      <c r="F745" s="74" t="n"/>
      <c r="G745" s="73" t="n"/>
      <c r="H745" s="66" t="str">
        <f>IF(M745&lt;&gt;"OK","",INDEX(po_mo,MATCH(D745,po_code,0)))</f>
        <v/>
      </c>
      <c r="I745" s="66" t="str">
        <f>IF(M745&lt;&gt;"OK","",INDEX(po_mac,MATCH(D745,po_code,0)))</f>
        <v/>
      </c>
      <c r="J745" s="66" t="str">
        <f>IF(M745&lt;&gt;"OK","",N(E745)*(H745*IF(G745="",1,G745)+I745))</f>
        <v/>
      </c>
      <c r="K745" s="66" t="str">
        <f>IF(M745&lt;&gt;"OK","",N(F745)/60*H745*IF(G745="",1,G745))</f>
        <v/>
      </c>
      <c r="L745" s="66" t="str">
        <f>IF(M745&lt;&gt;"OK","",N(F745)/60*I745)</f>
        <v/>
      </c>
      <c r="M745" s="69" t="str">
        <f>IF(AND(A745="",D745=""),"",IF(A745="","Produit manquant",IF(COUNTIF(prod_ref,A745)=0,"Produit inconnu",IF(D745="","Poste manquant",IF(ISNA(MATCH(D745,po_code,0)),"Poste inconnu",IF(INDEX(po_check,MATCH(D745,po_code,0))&lt;&gt;"OK","Poste à corriger",IF(AND(E745&lt;&gt;"",OR(NOT(ISNUMBER(E745)),N(E745)&lt;0)),"Réglage invalide",IF(AND(F745&lt;&gt;"",OR(NOT(ISNUMBER(F745)),N(F745)&lt;0)),"Temps par pièce invalide",IF(N(E745)+N(F745)=0,"Temps manquant",IF(AND(G745&lt;&gt;"",OR(NOT(ISNUMBER(G745)),N(G745)&lt;=0)),"Opérateurs invalide","OK"))))))))))</f>
        <v/>
      </c>
      <c r="N745" s="71" t="str">
        <f>IF(AND(fiche_sel&lt;&gt;"",A745=fiche_sel),COUNTIF(A$6:A745,fiche_sel),"")</f>
        <v/>
      </c>
    </row>
    <row r="746">
      <c r="A746" s="60" t="n"/>
      <c r="B746" s="73" t="n"/>
      <c r="C746" s="60" t="n"/>
      <c r="D746" s="61" t="n"/>
      <c r="E746" s="74" t="n"/>
      <c r="F746" s="74" t="n"/>
      <c r="G746" s="73" t="n"/>
      <c r="H746" s="66" t="str">
        <f>IF(M746&lt;&gt;"OK","",INDEX(po_mo,MATCH(D746,po_code,0)))</f>
        <v/>
      </c>
      <c r="I746" s="66" t="str">
        <f>IF(M746&lt;&gt;"OK","",INDEX(po_mac,MATCH(D746,po_code,0)))</f>
        <v/>
      </c>
      <c r="J746" s="66" t="str">
        <f>IF(M746&lt;&gt;"OK","",N(E746)*(H746*IF(G746="",1,G746)+I746))</f>
        <v/>
      </c>
      <c r="K746" s="66" t="str">
        <f>IF(M746&lt;&gt;"OK","",N(F746)/60*H746*IF(G746="",1,G746))</f>
        <v/>
      </c>
      <c r="L746" s="66" t="str">
        <f>IF(M746&lt;&gt;"OK","",N(F746)/60*I746)</f>
        <v/>
      </c>
      <c r="M746" s="69" t="str">
        <f>IF(AND(A746="",D746=""),"",IF(A746="","Produit manquant",IF(COUNTIF(prod_ref,A746)=0,"Produit inconnu",IF(D746="","Poste manquant",IF(ISNA(MATCH(D746,po_code,0)),"Poste inconnu",IF(INDEX(po_check,MATCH(D746,po_code,0))&lt;&gt;"OK","Poste à corriger",IF(AND(E746&lt;&gt;"",OR(NOT(ISNUMBER(E746)),N(E746)&lt;0)),"Réglage invalide",IF(AND(F746&lt;&gt;"",OR(NOT(ISNUMBER(F746)),N(F746)&lt;0)),"Temps par pièce invalide",IF(N(E746)+N(F746)=0,"Temps manquant",IF(AND(G746&lt;&gt;"",OR(NOT(ISNUMBER(G746)),N(G746)&lt;=0)),"Opérateurs invalide","OK"))))))))))</f>
        <v/>
      </c>
      <c r="N746" s="71" t="str">
        <f>IF(AND(fiche_sel&lt;&gt;"",A746=fiche_sel),COUNTIF(A$6:A746,fiche_sel),"")</f>
        <v/>
      </c>
    </row>
    <row r="747">
      <c r="A747" s="60" t="n"/>
      <c r="B747" s="73" t="n"/>
      <c r="C747" s="60" t="n"/>
      <c r="D747" s="61" t="n"/>
      <c r="E747" s="74" t="n"/>
      <c r="F747" s="74" t="n"/>
      <c r="G747" s="73" t="n"/>
      <c r="H747" s="66" t="str">
        <f>IF(M747&lt;&gt;"OK","",INDEX(po_mo,MATCH(D747,po_code,0)))</f>
        <v/>
      </c>
      <c r="I747" s="66" t="str">
        <f>IF(M747&lt;&gt;"OK","",INDEX(po_mac,MATCH(D747,po_code,0)))</f>
        <v/>
      </c>
      <c r="J747" s="66" t="str">
        <f>IF(M747&lt;&gt;"OK","",N(E747)*(H747*IF(G747="",1,G747)+I747))</f>
        <v/>
      </c>
      <c r="K747" s="66" t="str">
        <f>IF(M747&lt;&gt;"OK","",N(F747)/60*H747*IF(G747="",1,G747))</f>
        <v/>
      </c>
      <c r="L747" s="66" t="str">
        <f>IF(M747&lt;&gt;"OK","",N(F747)/60*I747)</f>
        <v/>
      </c>
      <c r="M747" s="69" t="str">
        <f>IF(AND(A747="",D747=""),"",IF(A747="","Produit manquant",IF(COUNTIF(prod_ref,A747)=0,"Produit inconnu",IF(D747="","Poste manquant",IF(ISNA(MATCH(D747,po_code,0)),"Poste inconnu",IF(INDEX(po_check,MATCH(D747,po_code,0))&lt;&gt;"OK","Poste à corriger",IF(AND(E747&lt;&gt;"",OR(NOT(ISNUMBER(E747)),N(E747)&lt;0)),"Réglage invalide",IF(AND(F747&lt;&gt;"",OR(NOT(ISNUMBER(F747)),N(F747)&lt;0)),"Temps par pièce invalide",IF(N(E747)+N(F747)=0,"Temps manquant",IF(AND(G747&lt;&gt;"",OR(NOT(ISNUMBER(G747)),N(G747)&lt;=0)),"Opérateurs invalide","OK"))))))))))</f>
        <v/>
      </c>
      <c r="N747" s="71" t="str">
        <f>IF(AND(fiche_sel&lt;&gt;"",A747=fiche_sel),COUNTIF(A$6:A747,fiche_sel),"")</f>
        <v/>
      </c>
    </row>
    <row r="748">
      <c r="A748" s="60" t="n"/>
      <c r="B748" s="73" t="n"/>
      <c r="C748" s="60" t="n"/>
      <c r="D748" s="61" t="n"/>
      <c r="E748" s="74" t="n"/>
      <c r="F748" s="74" t="n"/>
      <c r="G748" s="73" t="n"/>
      <c r="H748" s="66" t="str">
        <f>IF(M748&lt;&gt;"OK","",INDEX(po_mo,MATCH(D748,po_code,0)))</f>
        <v/>
      </c>
      <c r="I748" s="66" t="str">
        <f>IF(M748&lt;&gt;"OK","",INDEX(po_mac,MATCH(D748,po_code,0)))</f>
        <v/>
      </c>
      <c r="J748" s="66" t="str">
        <f>IF(M748&lt;&gt;"OK","",N(E748)*(H748*IF(G748="",1,G748)+I748))</f>
        <v/>
      </c>
      <c r="K748" s="66" t="str">
        <f>IF(M748&lt;&gt;"OK","",N(F748)/60*H748*IF(G748="",1,G748))</f>
        <v/>
      </c>
      <c r="L748" s="66" t="str">
        <f>IF(M748&lt;&gt;"OK","",N(F748)/60*I748)</f>
        <v/>
      </c>
      <c r="M748" s="69" t="str">
        <f>IF(AND(A748="",D748=""),"",IF(A748="","Produit manquant",IF(COUNTIF(prod_ref,A748)=0,"Produit inconnu",IF(D748="","Poste manquant",IF(ISNA(MATCH(D748,po_code,0)),"Poste inconnu",IF(INDEX(po_check,MATCH(D748,po_code,0))&lt;&gt;"OK","Poste à corriger",IF(AND(E748&lt;&gt;"",OR(NOT(ISNUMBER(E748)),N(E748)&lt;0)),"Réglage invalide",IF(AND(F748&lt;&gt;"",OR(NOT(ISNUMBER(F748)),N(F748)&lt;0)),"Temps par pièce invalide",IF(N(E748)+N(F748)=0,"Temps manquant",IF(AND(G748&lt;&gt;"",OR(NOT(ISNUMBER(G748)),N(G748)&lt;=0)),"Opérateurs invalide","OK"))))))))))</f>
        <v/>
      </c>
      <c r="N748" s="71" t="str">
        <f>IF(AND(fiche_sel&lt;&gt;"",A748=fiche_sel),COUNTIF(A$6:A748,fiche_sel),"")</f>
        <v/>
      </c>
    </row>
    <row r="749">
      <c r="A749" s="60" t="n"/>
      <c r="B749" s="73" t="n"/>
      <c r="C749" s="60" t="n"/>
      <c r="D749" s="61" t="n"/>
      <c r="E749" s="74" t="n"/>
      <c r="F749" s="74" t="n"/>
      <c r="G749" s="73" t="n"/>
      <c r="H749" s="66" t="str">
        <f>IF(M749&lt;&gt;"OK","",INDEX(po_mo,MATCH(D749,po_code,0)))</f>
        <v/>
      </c>
      <c r="I749" s="66" t="str">
        <f>IF(M749&lt;&gt;"OK","",INDEX(po_mac,MATCH(D749,po_code,0)))</f>
        <v/>
      </c>
      <c r="J749" s="66" t="str">
        <f>IF(M749&lt;&gt;"OK","",N(E749)*(H749*IF(G749="",1,G749)+I749))</f>
        <v/>
      </c>
      <c r="K749" s="66" t="str">
        <f>IF(M749&lt;&gt;"OK","",N(F749)/60*H749*IF(G749="",1,G749))</f>
        <v/>
      </c>
      <c r="L749" s="66" t="str">
        <f>IF(M749&lt;&gt;"OK","",N(F749)/60*I749)</f>
        <v/>
      </c>
      <c r="M749" s="69" t="str">
        <f>IF(AND(A749="",D749=""),"",IF(A749="","Produit manquant",IF(COUNTIF(prod_ref,A749)=0,"Produit inconnu",IF(D749="","Poste manquant",IF(ISNA(MATCH(D749,po_code,0)),"Poste inconnu",IF(INDEX(po_check,MATCH(D749,po_code,0))&lt;&gt;"OK","Poste à corriger",IF(AND(E749&lt;&gt;"",OR(NOT(ISNUMBER(E749)),N(E749)&lt;0)),"Réglage invalide",IF(AND(F749&lt;&gt;"",OR(NOT(ISNUMBER(F749)),N(F749)&lt;0)),"Temps par pièce invalide",IF(N(E749)+N(F749)=0,"Temps manquant",IF(AND(G749&lt;&gt;"",OR(NOT(ISNUMBER(G749)),N(G749)&lt;=0)),"Opérateurs invalide","OK"))))))))))</f>
        <v/>
      </c>
      <c r="N749" s="71" t="str">
        <f>IF(AND(fiche_sel&lt;&gt;"",A749=fiche_sel),COUNTIF(A$6:A749,fiche_sel),"")</f>
        <v/>
      </c>
    </row>
    <row r="750">
      <c r="A750" s="60" t="n"/>
      <c r="B750" s="73" t="n"/>
      <c r="C750" s="60" t="n"/>
      <c r="D750" s="61" t="n"/>
      <c r="E750" s="74" t="n"/>
      <c r="F750" s="74" t="n"/>
      <c r="G750" s="73" t="n"/>
      <c r="H750" s="66" t="str">
        <f>IF(M750&lt;&gt;"OK","",INDEX(po_mo,MATCH(D750,po_code,0)))</f>
        <v/>
      </c>
      <c r="I750" s="66" t="str">
        <f>IF(M750&lt;&gt;"OK","",INDEX(po_mac,MATCH(D750,po_code,0)))</f>
        <v/>
      </c>
      <c r="J750" s="66" t="str">
        <f>IF(M750&lt;&gt;"OK","",N(E750)*(H750*IF(G750="",1,G750)+I750))</f>
        <v/>
      </c>
      <c r="K750" s="66" t="str">
        <f>IF(M750&lt;&gt;"OK","",N(F750)/60*H750*IF(G750="",1,G750))</f>
        <v/>
      </c>
      <c r="L750" s="66" t="str">
        <f>IF(M750&lt;&gt;"OK","",N(F750)/60*I750)</f>
        <v/>
      </c>
      <c r="M750" s="69" t="str">
        <f>IF(AND(A750="",D750=""),"",IF(A750="","Produit manquant",IF(COUNTIF(prod_ref,A750)=0,"Produit inconnu",IF(D750="","Poste manquant",IF(ISNA(MATCH(D750,po_code,0)),"Poste inconnu",IF(INDEX(po_check,MATCH(D750,po_code,0))&lt;&gt;"OK","Poste à corriger",IF(AND(E750&lt;&gt;"",OR(NOT(ISNUMBER(E750)),N(E750)&lt;0)),"Réglage invalide",IF(AND(F750&lt;&gt;"",OR(NOT(ISNUMBER(F750)),N(F750)&lt;0)),"Temps par pièce invalide",IF(N(E750)+N(F750)=0,"Temps manquant",IF(AND(G750&lt;&gt;"",OR(NOT(ISNUMBER(G750)),N(G750)&lt;=0)),"Opérateurs invalide","OK"))))))))))</f>
        <v/>
      </c>
      <c r="N750" s="71" t="str">
        <f>IF(AND(fiche_sel&lt;&gt;"",A750=fiche_sel),COUNTIF(A$6:A750,fiche_sel),"")</f>
        <v/>
      </c>
    </row>
    <row r="751">
      <c r="A751" s="60" t="n"/>
      <c r="B751" s="73" t="n"/>
      <c r="C751" s="60" t="n"/>
      <c r="D751" s="61" t="n"/>
      <c r="E751" s="74" t="n"/>
      <c r="F751" s="74" t="n"/>
      <c r="G751" s="73" t="n"/>
      <c r="H751" s="66" t="str">
        <f>IF(M751&lt;&gt;"OK","",INDEX(po_mo,MATCH(D751,po_code,0)))</f>
        <v/>
      </c>
      <c r="I751" s="66" t="str">
        <f>IF(M751&lt;&gt;"OK","",INDEX(po_mac,MATCH(D751,po_code,0)))</f>
        <v/>
      </c>
      <c r="J751" s="66" t="str">
        <f>IF(M751&lt;&gt;"OK","",N(E751)*(H751*IF(G751="",1,G751)+I751))</f>
        <v/>
      </c>
      <c r="K751" s="66" t="str">
        <f>IF(M751&lt;&gt;"OK","",N(F751)/60*H751*IF(G751="",1,G751))</f>
        <v/>
      </c>
      <c r="L751" s="66" t="str">
        <f>IF(M751&lt;&gt;"OK","",N(F751)/60*I751)</f>
        <v/>
      </c>
      <c r="M751" s="69" t="str">
        <f>IF(AND(A751="",D751=""),"",IF(A751="","Produit manquant",IF(COUNTIF(prod_ref,A751)=0,"Produit inconnu",IF(D751="","Poste manquant",IF(ISNA(MATCH(D751,po_code,0)),"Poste inconnu",IF(INDEX(po_check,MATCH(D751,po_code,0))&lt;&gt;"OK","Poste à corriger",IF(AND(E751&lt;&gt;"",OR(NOT(ISNUMBER(E751)),N(E751)&lt;0)),"Réglage invalide",IF(AND(F751&lt;&gt;"",OR(NOT(ISNUMBER(F751)),N(F751)&lt;0)),"Temps par pièce invalide",IF(N(E751)+N(F751)=0,"Temps manquant",IF(AND(G751&lt;&gt;"",OR(NOT(ISNUMBER(G751)),N(G751)&lt;=0)),"Opérateurs invalide","OK"))))))))))</f>
        <v/>
      </c>
      <c r="N751" s="71" t="str">
        <f>IF(AND(fiche_sel&lt;&gt;"",A751=fiche_sel),COUNTIF(A$6:A751,fiche_sel),"")</f>
        <v/>
      </c>
    </row>
    <row r="752">
      <c r="A752" s="60" t="n"/>
      <c r="B752" s="73" t="n"/>
      <c r="C752" s="60" t="n"/>
      <c r="D752" s="61" t="n"/>
      <c r="E752" s="74" t="n"/>
      <c r="F752" s="74" t="n"/>
      <c r="G752" s="73" t="n"/>
      <c r="H752" s="66" t="str">
        <f>IF(M752&lt;&gt;"OK","",INDEX(po_mo,MATCH(D752,po_code,0)))</f>
        <v/>
      </c>
      <c r="I752" s="66" t="str">
        <f>IF(M752&lt;&gt;"OK","",INDEX(po_mac,MATCH(D752,po_code,0)))</f>
        <v/>
      </c>
      <c r="J752" s="66" t="str">
        <f>IF(M752&lt;&gt;"OK","",N(E752)*(H752*IF(G752="",1,G752)+I752))</f>
        <v/>
      </c>
      <c r="K752" s="66" t="str">
        <f>IF(M752&lt;&gt;"OK","",N(F752)/60*H752*IF(G752="",1,G752))</f>
        <v/>
      </c>
      <c r="L752" s="66" t="str">
        <f>IF(M752&lt;&gt;"OK","",N(F752)/60*I752)</f>
        <v/>
      </c>
      <c r="M752" s="69" t="str">
        <f>IF(AND(A752="",D752=""),"",IF(A752="","Produit manquant",IF(COUNTIF(prod_ref,A752)=0,"Produit inconnu",IF(D752="","Poste manquant",IF(ISNA(MATCH(D752,po_code,0)),"Poste inconnu",IF(INDEX(po_check,MATCH(D752,po_code,0))&lt;&gt;"OK","Poste à corriger",IF(AND(E752&lt;&gt;"",OR(NOT(ISNUMBER(E752)),N(E752)&lt;0)),"Réglage invalide",IF(AND(F752&lt;&gt;"",OR(NOT(ISNUMBER(F752)),N(F752)&lt;0)),"Temps par pièce invalide",IF(N(E752)+N(F752)=0,"Temps manquant",IF(AND(G752&lt;&gt;"",OR(NOT(ISNUMBER(G752)),N(G752)&lt;=0)),"Opérateurs invalide","OK"))))))))))</f>
        <v/>
      </c>
      <c r="N752" s="71" t="str">
        <f>IF(AND(fiche_sel&lt;&gt;"",A752=fiche_sel),COUNTIF(A$6:A752,fiche_sel),"")</f>
        <v/>
      </c>
    </row>
    <row r="753">
      <c r="A753" s="60" t="n"/>
      <c r="B753" s="73" t="n"/>
      <c r="C753" s="60" t="n"/>
      <c r="D753" s="61" t="n"/>
      <c r="E753" s="74" t="n"/>
      <c r="F753" s="74" t="n"/>
      <c r="G753" s="73" t="n"/>
      <c r="H753" s="66" t="str">
        <f>IF(M753&lt;&gt;"OK","",INDEX(po_mo,MATCH(D753,po_code,0)))</f>
        <v/>
      </c>
      <c r="I753" s="66" t="str">
        <f>IF(M753&lt;&gt;"OK","",INDEX(po_mac,MATCH(D753,po_code,0)))</f>
        <v/>
      </c>
      <c r="J753" s="66" t="str">
        <f>IF(M753&lt;&gt;"OK","",N(E753)*(H753*IF(G753="",1,G753)+I753))</f>
        <v/>
      </c>
      <c r="K753" s="66" t="str">
        <f>IF(M753&lt;&gt;"OK","",N(F753)/60*H753*IF(G753="",1,G753))</f>
        <v/>
      </c>
      <c r="L753" s="66" t="str">
        <f>IF(M753&lt;&gt;"OK","",N(F753)/60*I753)</f>
        <v/>
      </c>
      <c r="M753" s="69" t="str">
        <f>IF(AND(A753="",D753=""),"",IF(A753="","Produit manquant",IF(COUNTIF(prod_ref,A753)=0,"Produit inconnu",IF(D753="","Poste manquant",IF(ISNA(MATCH(D753,po_code,0)),"Poste inconnu",IF(INDEX(po_check,MATCH(D753,po_code,0))&lt;&gt;"OK","Poste à corriger",IF(AND(E753&lt;&gt;"",OR(NOT(ISNUMBER(E753)),N(E753)&lt;0)),"Réglage invalide",IF(AND(F753&lt;&gt;"",OR(NOT(ISNUMBER(F753)),N(F753)&lt;0)),"Temps par pièce invalide",IF(N(E753)+N(F753)=0,"Temps manquant",IF(AND(G753&lt;&gt;"",OR(NOT(ISNUMBER(G753)),N(G753)&lt;=0)),"Opérateurs invalide","OK"))))))))))</f>
        <v/>
      </c>
      <c r="N753" s="71" t="str">
        <f>IF(AND(fiche_sel&lt;&gt;"",A753=fiche_sel),COUNTIF(A$6:A753,fiche_sel),"")</f>
        <v/>
      </c>
    </row>
    <row r="754">
      <c r="A754" s="60" t="n"/>
      <c r="B754" s="73" t="n"/>
      <c r="C754" s="60" t="n"/>
      <c r="D754" s="61" t="n"/>
      <c r="E754" s="74" t="n"/>
      <c r="F754" s="74" t="n"/>
      <c r="G754" s="73" t="n"/>
      <c r="H754" s="66" t="str">
        <f>IF(M754&lt;&gt;"OK","",INDEX(po_mo,MATCH(D754,po_code,0)))</f>
        <v/>
      </c>
      <c r="I754" s="66" t="str">
        <f>IF(M754&lt;&gt;"OK","",INDEX(po_mac,MATCH(D754,po_code,0)))</f>
        <v/>
      </c>
      <c r="J754" s="66" t="str">
        <f>IF(M754&lt;&gt;"OK","",N(E754)*(H754*IF(G754="",1,G754)+I754))</f>
        <v/>
      </c>
      <c r="K754" s="66" t="str">
        <f>IF(M754&lt;&gt;"OK","",N(F754)/60*H754*IF(G754="",1,G754))</f>
        <v/>
      </c>
      <c r="L754" s="66" t="str">
        <f>IF(M754&lt;&gt;"OK","",N(F754)/60*I754)</f>
        <v/>
      </c>
      <c r="M754" s="69" t="str">
        <f>IF(AND(A754="",D754=""),"",IF(A754="","Produit manquant",IF(COUNTIF(prod_ref,A754)=0,"Produit inconnu",IF(D754="","Poste manquant",IF(ISNA(MATCH(D754,po_code,0)),"Poste inconnu",IF(INDEX(po_check,MATCH(D754,po_code,0))&lt;&gt;"OK","Poste à corriger",IF(AND(E754&lt;&gt;"",OR(NOT(ISNUMBER(E754)),N(E754)&lt;0)),"Réglage invalide",IF(AND(F754&lt;&gt;"",OR(NOT(ISNUMBER(F754)),N(F754)&lt;0)),"Temps par pièce invalide",IF(N(E754)+N(F754)=0,"Temps manquant",IF(AND(G754&lt;&gt;"",OR(NOT(ISNUMBER(G754)),N(G754)&lt;=0)),"Opérateurs invalide","OK"))))))))))</f>
        <v/>
      </c>
      <c r="N754" s="71" t="str">
        <f>IF(AND(fiche_sel&lt;&gt;"",A754=fiche_sel),COUNTIF(A$6:A754,fiche_sel),"")</f>
        <v/>
      </c>
    </row>
    <row r="755">
      <c r="A755" s="60" t="n"/>
      <c r="B755" s="73" t="n"/>
      <c r="C755" s="60" t="n"/>
      <c r="D755" s="61" t="n"/>
      <c r="E755" s="74" t="n"/>
      <c r="F755" s="74" t="n"/>
      <c r="G755" s="73" t="n"/>
      <c r="H755" s="66" t="str">
        <f>IF(M755&lt;&gt;"OK","",INDEX(po_mo,MATCH(D755,po_code,0)))</f>
        <v/>
      </c>
      <c r="I755" s="66" t="str">
        <f>IF(M755&lt;&gt;"OK","",INDEX(po_mac,MATCH(D755,po_code,0)))</f>
        <v/>
      </c>
      <c r="J755" s="66" t="str">
        <f>IF(M755&lt;&gt;"OK","",N(E755)*(H755*IF(G755="",1,G755)+I755))</f>
        <v/>
      </c>
      <c r="K755" s="66" t="str">
        <f>IF(M755&lt;&gt;"OK","",N(F755)/60*H755*IF(G755="",1,G755))</f>
        <v/>
      </c>
      <c r="L755" s="66" t="str">
        <f>IF(M755&lt;&gt;"OK","",N(F755)/60*I755)</f>
        <v/>
      </c>
      <c r="M755" s="69" t="str">
        <f>IF(AND(A755="",D755=""),"",IF(A755="","Produit manquant",IF(COUNTIF(prod_ref,A755)=0,"Produit inconnu",IF(D755="","Poste manquant",IF(ISNA(MATCH(D755,po_code,0)),"Poste inconnu",IF(INDEX(po_check,MATCH(D755,po_code,0))&lt;&gt;"OK","Poste à corriger",IF(AND(E755&lt;&gt;"",OR(NOT(ISNUMBER(E755)),N(E755)&lt;0)),"Réglage invalide",IF(AND(F755&lt;&gt;"",OR(NOT(ISNUMBER(F755)),N(F755)&lt;0)),"Temps par pièce invalide",IF(N(E755)+N(F755)=0,"Temps manquant",IF(AND(G755&lt;&gt;"",OR(NOT(ISNUMBER(G755)),N(G755)&lt;=0)),"Opérateurs invalide","OK"))))))))))</f>
        <v/>
      </c>
      <c r="N755" s="71" t="str">
        <f>IF(AND(fiche_sel&lt;&gt;"",A755=fiche_sel),COUNTIF(A$6:A755,fiche_sel),"")</f>
        <v/>
      </c>
    </row>
    <row r="756">
      <c r="A756" s="60" t="n"/>
      <c r="B756" s="73" t="n"/>
      <c r="C756" s="60" t="n"/>
      <c r="D756" s="61" t="n"/>
      <c r="E756" s="74" t="n"/>
      <c r="F756" s="74" t="n"/>
      <c r="G756" s="73" t="n"/>
      <c r="H756" s="66" t="str">
        <f>IF(M756&lt;&gt;"OK","",INDEX(po_mo,MATCH(D756,po_code,0)))</f>
        <v/>
      </c>
      <c r="I756" s="66" t="str">
        <f>IF(M756&lt;&gt;"OK","",INDEX(po_mac,MATCH(D756,po_code,0)))</f>
        <v/>
      </c>
      <c r="J756" s="66" t="str">
        <f>IF(M756&lt;&gt;"OK","",N(E756)*(H756*IF(G756="",1,G756)+I756))</f>
        <v/>
      </c>
      <c r="K756" s="66" t="str">
        <f>IF(M756&lt;&gt;"OK","",N(F756)/60*H756*IF(G756="",1,G756))</f>
        <v/>
      </c>
      <c r="L756" s="66" t="str">
        <f>IF(M756&lt;&gt;"OK","",N(F756)/60*I756)</f>
        <v/>
      </c>
      <c r="M756" s="69" t="str">
        <f>IF(AND(A756="",D756=""),"",IF(A756="","Produit manquant",IF(COUNTIF(prod_ref,A756)=0,"Produit inconnu",IF(D756="","Poste manquant",IF(ISNA(MATCH(D756,po_code,0)),"Poste inconnu",IF(INDEX(po_check,MATCH(D756,po_code,0))&lt;&gt;"OK","Poste à corriger",IF(AND(E756&lt;&gt;"",OR(NOT(ISNUMBER(E756)),N(E756)&lt;0)),"Réglage invalide",IF(AND(F756&lt;&gt;"",OR(NOT(ISNUMBER(F756)),N(F756)&lt;0)),"Temps par pièce invalide",IF(N(E756)+N(F756)=0,"Temps manquant",IF(AND(G756&lt;&gt;"",OR(NOT(ISNUMBER(G756)),N(G756)&lt;=0)),"Opérateurs invalide","OK"))))))))))</f>
        <v/>
      </c>
      <c r="N756" s="71" t="str">
        <f>IF(AND(fiche_sel&lt;&gt;"",A756=fiche_sel),COUNTIF(A$6:A756,fiche_sel),"")</f>
        <v/>
      </c>
    </row>
    <row r="757">
      <c r="A757" s="60" t="n"/>
      <c r="B757" s="73" t="n"/>
      <c r="C757" s="60" t="n"/>
      <c r="D757" s="61" t="n"/>
      <c r="E757" s="74" t="n"/>
      <c r="F757" s="74" t="n"/>
      <c r="G757" s="73" t="n"/>
      <c r="H757" s="66" t="str">
        <f>IF(M757&lt;&gt;"OK","",INDEX(po_mo,MATCH(D757,po_code,0)))</f>
        <v/>
      </c>
      <c r="I757" s="66" t="str">
        <f>IF(M757&lt;&gt;"OK","",INDEX(po_mac,MATCH(D757,po_code,0)))</f>
        <v/>
      </c>
      <c r="J757" s="66" t="str">
        <f>IF(M757&lt;&gt;"OK","",N(E757)*(H757*IF(G757="",1,G757)+I757))</f>
        <v/>
      </c>
      <c r="K757" s="66" t="str">
        <f>IF(M757&lt;&gt;"OK","",N(F757)/60*H757*IF(G757="",1,G757))</f>
        <v/>
      </c>
      <c r="L757" s="66" t="str">
        <f>IF(M757&lt;&gt;"OK","",N(F757)/60*I757)</f>
        <v/>
      </c>
      <c r="M757" s="69" t="str">
        <f>IF(AND(A757="",D757=""),"",IF(A757="","Produit manquant",IF(COUNTIF(prod_ref,A757)=0,"Produit inconnu",IF(D757="","Poste manquant",IF(ISNA(MATCH(D757,po_code,0)),"Poste inconnu",IF(INDEX(po_check,MATCH(D757,po_code,0))&lt;&gt;"OK","Poste à corriger",IF(AND(E757&lt;&gt;"",OR(NOT(ISNUMBER(E757)),N(E757)&lt;0)),"Réglage invalide",IF(AND(F757&lt;&gt;"",OR(NOT(ISNUMBER(F757)),N(F757)&lt;0)),"Temps par pièce invalide",IF(N(E757)+N(F757)=0,"Temps manquant",IF(AND(G757&lt;&gt;"",OR(NOT(ISNUMBER(G757)),N(G757)&lt;=0)),"Opérateurs invalide","OK"))))))))))</f>
        <v/>
      </c>
      <c r="N757" s="71" t="str">
        <f>IF(AND(fiche_sel&lt;&gt;"",A757=fiche_sel),COUNTIF(A$6:A757,fiche_sel),"")</f>
        <v/>
      </c>
    </row>
    <row r="758">
      <c r="A758" s="60" t="n"/>
      <c r="B758" s="73" t="n"/>
      <c r="C758" s="60" t="n"/>
      <c r="D758" s="61" t="n"/>
      <c r="E758" s="74" t="n"/>
      <c r="F758" s="74" t="n"/>
      <c r="G758" s="73" t="n"/>
      <c r="H758" s="66" t="str">
        <f>IF(M758&lt;&gt;"OK","",INDEX(po_mo,MATCH(D758,po_code,0)))</f>
        <v/>
      </c>
      <c r="I758" s="66" t="str">
        <f>IF(M758&lt;&gt;"OK","",INDEX(po_mac,MATCH(D758,po_code,0)))</f>
        <v/>
      </c>
      <c r="J758" s="66" t="str">
        <f>IF(M758&lt;&gt;"OK","",N(E758)*(H758*IF(G758="",1,G758)+I758))</f>
        <v/>
      </c>
      <c r="K758" s="66" t="str">
        <f>IF(M758&lt;&gt;"OK","",N(F758)/60*H758*IF(G758="",1,G758))</f>
        <v/>
      </c>
      <c r="L758" s="66" t="str">
        <f>IF(M758&lt;&gt;"OK","",N(F758)/60*I758)</f>
        <v/>
      </c>
      <c r="M758" s="69" t="str">
        <f>IF(AND(A758="",D758=""),"",IF(A758="","Produit manquant",IF(COUNTIF(prod_ref,A758)=0,"Produit inconnu",IF(D758="","Poste manquant",IF(ISNA(MATCH(D758,po_code,0)),"Poste inconnu",IF(INDEX(po_check,MATCH(D758,po_code,0))&lt;&gt;"OK","Poste à corriger",IF(AND(E758&lt;&gt;"",OR(NOT(ISNUMBER(E758)),N(E758)&lt;0)),"Réglage invalide",IF(AND(F758&lt;&gt;"",OR(NOT(ISNUMBER(F758)),N(F758)&lt;0)),"Temps par pièce invalide",IF(N(E758)+N(F758)=0,"Temps manquant",IF(AND(G758&lt;&gt;"",OR(NOT(ISNUMBER(G758)),N(G758)&lt;=0)),"Opérateurs invalide","OK"))))))))))</f>
        <v/>
      </c>
      <c r="N758" s="71" t="str">
        <f>IF(AND(fiche_sel&lt;&gt;"",A758=fiche_sel),COUNTIF(A$6:A758,fiche_sel),"")</f>
        <v/>
      </c>
    </row>
    <row r="759">
      <c r="A759" s="60" t="n"/>
      <c r="B759" s="73" t="n"/>
      <c r="C759" s="60" t="n"/>
      <c r="D759" s="61" t="n"/>
      <c r="E759" s="74" t="n"/>
      <c r="F759" s="74" t="n"/>
      <c r="G759" s="73" t="n"/>
      <c r="H759" s="66" t="str">
        <f>IF(M759&lt;&gt;"OK","",INDEX(po_mo,MATCH(D759,po_code,0)))</f>
        <v/>
      </c>
      <c r="I759" s="66" t="str">
        <f>IF(M759&lt;&gt;"OK","",INDEX(po_mac,MATCH(D759,po_code,0)))</f>
        <v/>
      </c>
      <c r="J759" s="66" t="str">
        <f>IF(M759&lt;&gt;"OK","",N(E759)*(H759*IF(G759="",1,G759)+I759))</f>
        <v/>
      </c>
      <c r="K759" s="66" t="str">
        <f>IF(M759&lt;&gt;"OK","",N(F759)/60*H759*IF(G759="",1,G759))</f>
        <v/>
      </c>
      <c r="L759" s="66" t="str">
        <f>IF(M759&lt;&gt;"OK","",N(F759)/60*I759)</f>
        <v/>
      </c>
      <c r="M759" s="69" t="str">
        <f>IF(AND(A759="",D759=""),"",IF(A759="","Produit manquant",IF(COUNTIF(prod_ref,A759)=0,"Produit inconnu",IF(D759="","Poste manquant",IF(ISNA(MATCH(D759,po_code,0)),"Poste inconnu",IF(INDEX(po_check,MATCH(D759,po_code,0))&lt;&gt;"OK","Poste à corriger",IF(AND(E759&lt;&gt;"",OR(NOT(ISNUMBER(E759)),N(E759)&lt;0)),"Réglage invalide",IF(AND(F759&lt;&gt;"",OR(NOT(ISNUMBER(F759)),N(F759)&lt;0)),"Temps par pièce invalide",IF(N(E759)+N(F759)=0,"Temps manquant",IF(AND(G759&lt;&gt;"",OR(NOT(ISNUMBER(G759)),N(G759)&lt;=0)),"Opérateurs invalide","OK"))))))))))</f>
        <v/>
      </c>
      <c r="N759" s="71" t="str">
        <f>IF(AND(fiche_sel&lt;&gt;"",A759=fiche_sel),COUNTIF(A$6:A759,fiche_sel),"")</f>
        <v/>
      </c>
    </row>
    <row r="760">
      <c r="A760" s="60" t="n"/>
      <c r="B760" s="73" t="n"/>
      <c r="C760" s="60" t="n"/>
      <c r="D760" s="61" t="n"/>
      <c r="E760" s="74" t="n"/>
      <c r="F760" s="74" t="n"/>
      <c r="G760" s="73" t="n"/>
      <c r="H760" s="66" t="str">
        <f>IF(M760&lt;&gt;"OK","",INDEX(po_mo,MATCH(D760,po_code,0)))</f>
        <v/>
      </c>
      <c r="I760" s="66" t="str">
        <f>IF(M760&lt;&gt;"OK","",INDEX(po_mac,MATCH(D760,po_code,0)))</f>
        <v/>
      </c>
      <c r="J760" s="66" t="str">
        <f>IF(M760&lt;&gt;"OK","",N(E760)*(H760*IF(G760="",1,G760)+I760))</f>
        <v/>
      </c>
      <c r="K760" s="66" t="str">
        <f>IF(M760&lt;&gt;"OK","",N(F760)/60*H760*IF(G760="",1,G760))</f>
        <v/>
      </c>
      <c r="L760" s="66" t="str">
        <f>IF(M760&lt;&gt;"OK","",N(F760)/60*I760)</f>
        <v/>
      </c>
      <c r="M760" s="69" t="str">
        <f>IF(AND(A760="",D760=""),"",IF(A760="","Produit manquant",IF(COUNTIF(prod_ref,A760)=0,"Produit inconnu",IF(D760="","Poste manquant",IF(ISNA(MATCH(D760,po_code,0)),"Poste inconnu",IF(INDEX(po_check,MATCH(D760,po_code,0))&lt;&gt;"OK","Poste à corriger",IF(AND(E760&lt;&gt;"",OR(NOT(ISNUMBER(E760)),N(E760)&lt;0)),"Réglage invalide",IF(AND(F760&lt;&gt;"",OR(NOT(ISNUMBER(F760)),N(F760)&lt;0)),"Temps par pièce invalide",IF(N(E760)+N(F760)=0,"Temps manquant",IF(AND(G760&lt;&gt;"",OR(NOT(ISNUMBER(G760)),N(G760)&lt;=0)),"Opérateurs invalide","OK"))))))))))</f>
        <v/>
      </c>
      <c r="N760" s="71" t="str">
        <f>IF(AND(fiche_sel&lt;&gt;"",A760=fiche_sel),COUNTIF(A$6:A760,fiche_sel),"")</f>
        <v/>
      </c>
    </row>
    <row r="761">
      <c r="A761" s="60" t="n"/>
      <c r="B761" s="73" t="n"/>
      <c r="C761" s="60" t="n"/>
      <c r="D761" s="61" t="n"/>
      <c r="E761" s="74" t="n"/>
      <c r="F761" s="74" t="n"/>
      <c r="G761" s="73" t="n"/>
      <c r="H761" s="66" t="str">
        <f>IF(M761&lt;&gt;"OK","",INDEX(po_mo,MATCH(D761,po_code,0)))</f>
        <v/>
      </c>
      <c r="I761" s="66" t="str">
        <f>IF(M761&lt;&gt;"OK","",INDEX(po_mac,MATCH(D761,po_code,0)))</f>
        <v/>
      </c>
      <c r="J761" s="66" t="str">
        <f>IF(M761&lt;&gt;"OK","",N(E761)*(H761*IF(G761="",1,G761)+I761))</f>
        <v/>
      </c>
      <c r="K761" s="66" t="str">
        <f>IF(M761&lt;&gt;"OK","",N(F761)/60*H761*IF(G761="",1,G761))</f>
        <v/>
      </c>
      <c r="L761" s="66" t="str">
        <f>IF(M761&lt;&gt;"OK","",N(F761)/60*I761)</f>
        <v/>
      </c>
      <c r="M761" s="69" t="str">
        <f>IF(AND(A761="",D761=""),"",IF(A761="","Produit manquant",IF(COUNTIF(prod_ref,A761)=0,"Produit inconnu",IF(D761="","Poste manquant",IF(ISNA(MATCH(D761,po_code,0)),"Poste inconnu",IF(INDEX(po_check,MATCH(D761,po_code,0))&lt;&gt;"OK","Poste à corriger",IF(AND(E761&lt;&gt;"",OR(NOT(ISNUMBER(E761)),N(E761)&lt;0)),"Réglage invalide",IF(AND(F761&lt;&gt;"",OR(NOT(ISNUMBER(F761)),N(F761)&lt;0)),"Temps par pièce invalide",IF(N(E761)+N(F761)=0,"Temps manquant",IF(AND(G761&lt;&gt;"",OR(NOT(ISNUMBER(G761)),N(G761)&lt;=0)),"Opérateurs invalide","OK"))))))))))</f>
        <v/>
      </c>
      <c r="N761" s="71" t="str">
        <f>IF(AND(fiche_sel&lt;&gt;"",A761=fiche_sel),COUNTIF(A$6:A761,fiche_sel),"")</f>
        <v/>
      </c>
    </row>
    <row r="762">
      <c r="A762" s="60" t="n"/>
      <c r="B762" s="73" t="n"/>
      <c r="C762" s="60" t="n"/>
      <c r="D762" s="61" t="n"/>
      <c r="E762" s="74" t="n"/>
      <c r="F762" s="74" t="n"/>
      <c r="G762" s="73" t="n"/>
      <c r="H762" s="66" t="str">
        <f>IF(M762&lt;&gt;"OK","",INDEX(po_mo,MATCH(D762,po_code,0)))</f>
        <v/>
      </c>
      <c r="I762" s="66" t="str">
        <f>IF(M762&lt;&gt;"OK","",INDEX(po_mac,MATCH(D762,po_code,0)))</f>
        <v/>
      </c>
      <c r="J762" s="66" t="str">
        <f>IF(M762&lt;&gt;"OK","",N(E762)*(H762*IF(G762="",1,G762)+I762))</f>
        <v/>
      </c>
      <c r="K762" s="66" t="str">
        <f>IF(M762&lt;&gt;"OK","",N(F762)/60*H762*IF(G762="",1,G762))</f>
        <v/>
      </c>
      <c r="L762" s="66" t="str">
        <f>IF(M762&lt;&gt;"OK","",N(F762)/60*I762)</f>
        <v/>
      </c>
      <c r="M762" s="69" t="str">
        <f>IF(AND(A762="",D762=""),"",IF(A762="","Produit manquant",IF(COUNTIF(prod_ref,A762)=0,"Produit inconnu",IF(D762="","Poste manquant",IF(ISNA(MATCH(D762,po_code,0)),"Poste inconnu",IF(INDEX(po_check,MATCH(D762,po_code,0))&lt;&gt;"OK","Poste à corriger",IF(AND(E762&lt;&gt;"",OR(NOT(ISNUMBER(E762)),N(E762)&lt;0)),"Réglage invalide",IF(AND(F762&lt;&gt;"",OR(NOT(ISNUMBER(F762)),N(F762)&lt;0)),"Temps par pièce invalide",IF(N(E762)+N(F762)=0,"Temps manquant",IF(AND(G762&lt;&gt;"",OR(NOT(ISNUMBER(G762)),N(G762)&lt;=0)),"Opérateurs invalide","OK"))))))))))</f>
        <v/>
      </c>
      <c r="N762" s="71" t="str">
        <f>IF(AND(fiche_sel&lt;&gt;"",A762=fiche_sel),COUNTIF(A$6:A762,fiche_sel),"")</f>
        <v/>
      </c>
    </row>
    <row r="763">
      <c r="A763" s="60" t="n"/>
      <c r="B763" s="73" t="n"/>
      <c r="C763" s="60" t="n"/>
      <c r="D763" s="61" t="n"/>
      <c r="E763" s="74" t="n"/>
      <c r="F763" s="74" t="n"/>
      <c r="G763" s="73" t="n"/>
      <c r="H763" s="66" t="str">
        <f>IF(M763&lt;&gt;"OK","",INDEX(po_mo,MATCH(D763,po_code,0)))</f>
        <v/>
      </c>
      <c r="I763" s="66" t="str">
        <f>IF(M763&lt;&gt;"OK","",INDEX(po_mac,MATCH(D763,po_code,0)))</f>
        <v/>
      </c>
      <c r="J763" s="66" t="str">
        <f>IF(M763&lt;&gt;"OK","",N(E763)*(H763*IF(G763="",1,G763)+I763))</f>
        <v/>
      </c>
      <c r="K763" s="66" t="str">
        <f>IF(M763&lt;&gt;"OK","",N(F763)/60*H763*IF(G763="",1,G763))</f>
        <v/>
      </c>
      <c r="L763" s="66" t="str">
        <f>IF(M763&lt;&gt;"OK","",N(F763)/60*I763)</f>
        <v/>
      </c>
      <c r="M763" s="69" t="str">
        <f>IF(AND(A763="",D763=""),"",IF(A763="","Produit manquant",IF(COUNTIF(prod_ref,A763)=0,"Produit inconnu",IF(D763="","Poste manquant",IF(ISNA(MATCH(D763,po_code,0)),"Poste inconnu",IF(INDEX(po_check,MATCH(D763,po_code,0))&lt;&gt;"OK","Poste à corriger",IF(AND(E763&lt;&gt;"",OR(NOT(ISNUMBER(E763)),N(E763)&lt;0)),"Réglage invalide",IF(AND(F763&lt;&gt;"",OR(NOT(ISNUMBER(F763)),N(F763)&lt;0)),"Temps par pièce invalide",IF(N(E763)+N(F763)=0,"Temps manquant",IF(AND(G763&lt;&gt;"",OR(NOT(ISNUMBER(G763)),N(G763)&lt;=0)),"Opérateurs invalide","OK"))))))))))</f>
        <v/>
      </c>
      <c r="N763" s="71" t="str">
        <f>IF(AND(fiche_sel&lt;&gt;"",A763=fiche_sel),COUNTIF(A$6:A763,fiche_sel),"")</f>
        <v/>
      </c>
    </row>
    <row r="764">
      <c r="A764" s="60" t="n"/>
      <c r="B764" s="73" t="n"/>
      <c r="C764" s="60" t="n"/>
      <c r="D764" s="61" t="n"/>
      <c r="E764" s="74" t="n"/>
      <c r="F764" s="74" t="n"/>
      <c r="G764" s="73" t="n"/>
      <c r="H764" s="66" t="str">
        <f>IF(M764&lt;&gt;"OK","",INDEX(po_mo,MATCH(D764,po_code,0)))</f>
        <v/>
      </c>
      <c r="I764" s="66" t="str">
        <f>IF(M764&lt;&gt;"OK","",INDEX(po_mac,MATCH(D764,po_code,0)))</f>
        <v/>
      </c>
      <c r="J764" s="66" t="str">
        <f>IF(M764&lt;&gt;"OK","",N(E764)*(H764*IF(G764="",1,G764)+I764))</f>
        <v/>
      </c>
      <c r="K764" s="66" t="str">
        <f>IF(M764&lt;&gt;"OK","",N(F764)/60*H764*IF(G764="",1,G764))</f>
        <v/>
      </c>
      <c r="L764" s="66" t="str">
        <f>IF(M764&lt;&gt;"OK","",N(F764)/60*I764)</f>
        <v/>
      </c>
      <c r="M764" s="69" t="str">
        <f>IF(AND(A764="",D764=""),"",IF(A764="","Produit manquant",IF(COUNTIF(prod_ref,A764)=0,"Produit inconnu",IF(D764="","Poste manquant",IF(ISNA(MATCH(D764,po_code,0)),"Poste inconnu",IF(INDEX(po_check,MATCH(D764,po_code,0))&lt;&gt;"OK","Poste à corriger",IF(AND(E764&lt;&gt;"",OR(NOT(ISNUMBER(E764)),N(E764)&lt;0)),"Réglage invalide",IF(AND(F764&lt;&gt;"",OR(NOT(ISNUMBER(F764)),N(F764)&lt;0)),"Temps par pièce invalide",IF(N(E764)+N(F764)=0,"Temps manquant",IF(AND(G764&lt;&gt;"",OR(NOT(ISNUMBER(G764)),N(G764)&lt;=0)),"Opérateurs invalide","OK"))))))))))</f>
        <v/>
      </c>
      <c r="N764" s="71" t="str">
        <f>IF(AND(fiche_sel&lt;&gt;"",A764=fiche_sel),COUNTIF(A$6:A764,fiche_sel),"")</f>
        <v/>
      </c>
    </row>
    <row r="765">
      <c r="A765" s="60" t="n"/>
      <c r="B765" s="73" t="n"/>
      <c r="C765" s="60" t="n"/>
      <c r="D765" s="61" t="n"/>
      <c r="E765" s="74" t="n"/>
      <c r="F765" s="74" t="n"/>
      <c r="G765" s="73" t="n"/>
      <c r="H765" s="66" t="str">
        <f>IF(M765&lt;&gt;"OK","",INDEX(po_mo,MATCH(D765,po_code,0)))</f>
        <v/>
      </c>
      <c r="I765" s="66" t="str">
        <f>IF(M765&lt;&gt;"OK","",INDEX(po_mac,MATCH(D765,po_code,0)))</f>
        <v/>
      </c>
      <c r="J765" s="66" t="str">
        <f>IF(M765&lt;&gt;"OK","",N(E765)*(H765*IF(G765="",1,G765)+I765))</f>
        <v/>
      </c>
      <c r="K765" s="66" t="str">
        <f>IF(M765&lt;&gt;"OK","",N(F765)/60*H765*IF(G765="",1,G765))</f>
        <v/>
      </c>
      <c r="L765" s="66" t="str">
        <f>IF(M765&lt;&gt;"OK","",N(F765)/60*I765)</f>
        <v/>
      </c>
      <c r="M765" s="69" t="str">
        <f>IF(AND(A765="",D765=""),"",IF(A765="","Produit manquant",IF(COUNTIF(prod_ref,A765)=0,"Produit inconnu",IF(D765="","Poste manquant",IF(ISNA(MATCH(D765,po_code,0)),"Poste inconnu",IF(INDEX(po_check,MATCH(D765,po_code,0))&lt;&gt;"OK","Poste à corriger",IF(AND(E765&lt;&gt;"",OR(NOT(ISNUMBER(E765)),N(E765)&lt;0)),"Réglage invalide",IF(AND(F765&lt;&gt;"",OR(NOT(ISNUMBER(F765)),N(F765)&lt;0)),"Temps par pièce invalide",IF(N(E765)+N(F765)=0,"Temps manquant",IF(AND(G765&lt;&gt;"",OR(NOT(ISNUMBER(G765)),N(G765)&lt;=0)),"Opérateurs invalide","OK"))))))))))</f>
        <v/>
      </c>
      <c r="N765" s="71" t="str">
        <f>IF(AND(fiche_sel&lt;&gt;"",A765=fiche_sel),COUNTIF(A$6:A765,fiche_sel),"")</f>
        <v/>
      </c>
    </row>
    <row r="766">
      <c r="A766" s="60" t="n"/>
      <c r="B766" s="73" t="n"/>
      <c r="C766" s="60" t="n"/>
      <c r="D766" s="61" t="n"/>
      <c r="E766" s="74" t="n"/>
      <c r="F766" s="74" t="n"/>
      <c r="G766" s="73" t="n"/>
      <c r="H766" s="66" t="str">
        <f>IF(M766&lt;&gt;"OK","",INDEX(po_mo,MATCH(D766,po_code,0)))</f>
        <v/>
      </c>
      <c r="I766" s="66" t="str">
        <f>IF(M766&lt;&gt;"OK","",INDEX(po_mac,MATCH(D766,po_code,0)))</f>
        <v/>
      </c>
      <c r="J766" s="66" t="str">
        <f>IF(M766&lt;&gt;"OK","",N(E766)*(H766*IF(G766="",1,G766)+I766))</f>
        <v/>
      </c>
      <c r="K766" s="66" t="str">
        <f>IF(M766&lt;&gt;"OK","",N(F766)/60*H766*IF(G766="",1,G766))</f>
        <v/>
      </c>
      <c r="L766" s="66" t="str">
        <f>IF(M766&lt;&gt;"OK","",N(F766)/60*I766)</f>
        <v/>
      </c>
      <c r="M766" s="69" t="str">
        <f>IF(AND(A766="",D766=""),"",IF(A766="","Produit manquant",IF(COUNTIF(prod_ref,A766)=0,"Produit inconnu",IF(D766="","Poste manquant",IF(ISNA(MATCH(D766,po_code,0)),"Poste inconnu",IF(INDEX(po_check,MATCH(D766,po_code,0))&lt;&gt;"OK","Poste à corriger",IF(AND(E766&lt;&gt;"",OR(NOT(ISNUMBER(E766)),N(E766)&lt;0)),"Réglage invalide",IF(AND(F766&lt;&gt;"",OR(NOT(ISNUMBER(F766)),N(F766)&lt;0)),"Temps par pièce invalide",IF(N(E766)+N(F766)=0,"Temps manquant",IF(AND(G766&lt;&gt;"",OR(NOT(ISNUMBER(G766)),N(G766)&lt;=0)),"Opérateurs invalide","OK"))))))))))</f>
        <v/>
      </c>
      <c r="N766" s="71" t="str">
        <f>IF(AND(fiche_sel&lt;&gt;"",A766=fiche_sel),COUNTIF(A$6:A766,fiche_sel),"")</f>
        <v/>
      </c>
    </row>
    <row r="767">
      <c r="A767" s="60" t="n"/>
      <c r="B767" s="73" t="n"/>
      <c r="C767" s="60" t="n"/>
      <c r="D767" s="61" t="n"/>
      <c r="E767" s="74" t="n"/>
      <c r="F767" s="74" t="n"/>
      <c r="G767" s="73" t="n"/>
      <c r="H767" s="66" t="str">
        <f>IF(M767&lt;&gt;"OK","",INDEX(po_mo,MATCH(D767,po_code,0)))</f>
        <v/>
      </c>
      <c r="I767" s="66" t="str">
        <f>IF(M767&lt;&gt;"OK","",INDEX(po_mac,MATCH(D767,po_code,0)))</f>
        <v/>
      </c>
      <c r="J767" s="66" t="str">
        <f>IF(M767&lt;&gt;"OK","",N(E767)*(H767*IF(G767="",1,G767)+I767))</f>
        <v/>
      </c>
      <c r="K767" s="66" t="str">
        <f>IF(M767&lt;&gt;"OK","",N(F767)/60*H767*IF(G767="",1,G767))</f>
        <v/>
      </c>
      <c r="L767" s="66" t="str">
        <f>IF(M767&lt;&gt;"OK","",N(F767)/60*I767)</f>
        <v/>
      </c>
      <c r="M767" s="69" t="str">
        <f>IF(AND(A767="",D767=""),"",IF(A767="","Produit manquant",IF(COUNTIF(prod_ref,A767)=0,"Produit inconnu",IF(D767="","Poste manquant",IF(ISNA(MATCH(D767,po_code,0)),"Poste inconnu",IF(INDEX(po_check,MATCH(D767,po_code,0))&lt;&gt;"OK","Poste à corriger",IF(AND(E767&lt;&gt;"",OR(NOT(ISNUMBER(E767)),N(E767)&lt;0)),"Réglage invalide",IF(AND(F767&lt;&gt;"",OR(NOT(ISNUMBER(F767)),N(F767)&lt;0)),"Temps par pièce invalide",IF(N(E767)+N(F767)=0,"Temps manquant",IF(AND(G767&lt;&gt;"",OR(NOT(ISNUMBER(G767)),N(G767)&lt;=0)),"Opérateurs invalide","OK"))))))))))</f>
        <v/>
      </c>
      <c r="N767" s="71" t="str">
        <f>IF(AND(fiche_sel&lt;&gt;"",A767=fiche_sel),COUNTIF(A$6:A767,fiche_sel),"")</f>
        <v/>
      </c>
    </row>
    <row r="768">
      <c r="A768" s="60" t="n"/>
      <c r="B768" s="73" t="n"/>
      <c r="C768" s="60" t="n"/>
      <c r="D768" s="61" t="n"/>
      <c r="E768" s="74" t="n"/>
      <c r="F768" s="74" t="n"/>
      <c r="G768" s="73" t="n"/>
      <c r="H768" s="66" t="str">
        <f>IF(M768&lt;&gt;"OK","",INDEX(po_mo,MATCH(D768,po_code,0)))</f>
        <v/>
      </c>
      <c r="I768" s="66" t="str">
        <f>IF(M768&lt;&gt;"OK","",INDEX(po_mac,MATCH(D768,po_code,0)))</f>
        <v/>
      </c>
      <c r="J768" s="66" t="str">
        <f>IF(M768&lt;&gt;"OK","",N(E768)*(H768*IF(G768="",1,G768)+I768))</f>
        <v/>
      </c>
      <c r="K768" s="66" t="str">
        <f>IF(M768&lt;&gt;"OK","",N(F768)/60*H768*IF(G768="",1,G768))</f>
        <v/>
      </c>
      <c r="L768" s="66" t="str">
        <f>IF(M768&lt;&gt;"OK","",N(F768)/60*I768)</f>
        <v/>
      </c>
      <c r="M768" s="69" t="str">
        <f>IF(AND(A768="",D768=""),"",IF(A768="","Produit manquant",IF(COUNTIF(prod_ref,A768)=0,"Produit inconnu",IF(D768="","Poste manquant",IF(ISNA(MATCH(D768,po_code,0)),"Poste inconnu",IF(INDEX(po_check,MATCH(D768,po_code,0))&lt;&gt;"OK","Poste à corriger",IF(AND(E768&lt;&gt;"",OR(NOT(ISNUMBER(E768)),N(E768)&lt;0)),"Réglage invalide",IF(AND(F768&lt;&gt;"",OR(NOT(ISNUMBER(F768)),N(F768)&lt;0)),"Temps par pièce invalide",IF(N(E768)+N(F768)=0,"Temps manquant",IF(AND(G768&lt;&gt;"",OR(NOT(ISNUMBER(G768)),N(G768)&lt;=0)),"Opérateurs invalide","OK"))))))))))</f>
        <v/>
      </c>
      <c r="N768" s="71" t="str">
        <f>IF(AND(fiche_sel&lt;&gt;"",A768=fiche_sel),COUNTIF(A$6:A768,fiche_sel),"")</f>
        <v/>
      </c>
    </row>
    <row r="769">
      <c r="A769" s="60" t="n"/>
      <c r="B769" s="73" t="n"/>
      <c r="C769" s="60" t="n"/>
      <c r="D769" s="61" t="n"/>
      <c r="E769" s="74" t="n"/>
      <c r="F769" s="74" t="n"/>
      <c r="G769" s="73" t="n"/>
      <c r="H769" s="66" t="str">
        <f>IF(M769&lt;&gt;"OK","",INDEX(po_mo,MATCH(D769,po_code,0)))</f>
        <v/>
      </c>
      <c r="I769" s="66" t="str">
        <f>IF(M769&lt;&gt;"OK","",INDEX(po_mac,MATCH(D769,po_code,0)))</f>
        <v/>
      </c>
      <c r="J769" s="66" t="str">
        <f>IF(M769&lt;&gt;"OK","",N(E769)*(H769*IF(G769="",1,G769)+I769))</f>
        <v/>
      </c>
      <c r="K769" s="66" t="str">
        <f>IF(M769&lt;&gt;"OK","",N(F769)/60*H769*IF(G769="",1,G769))</f>
        <v/>
      </c>
      <c r="L769" s="66" t="str">
        <f>IF(M769&lt;&gt;"OK","",N(F769)/60*I769)</f>
        <v/>
      </c>
      <c r="M769" s="69" t="str">
        <f>IF(AND(A769="",D769=""),"",IF(A769="","Produit manquant",IF(COUNTIF(prod_ref,A769)=0,"Produit inconnu",IF(D769="","Poste manquant",IF(ISNA(MATCH(D769,po_code,0)),"Poste inconnu",IF(INDEX(po_check,MATCH(D769,po_code,0))&lt;&gt;"OK","Poste à corriger",IF(AND(E769&lt;&gt;"",OR(NOT(ISNUMBER(E769)),N(E769)&lt;0)),"Réglage invalide",IF(AND(F769&lt;&gt;"",OR(NOT(ISNUMBER(F769)),N(F769)&lt;0)),"Temps par pièce invalide",IF(N(E769)+N(F769)=0,"Temps manquant",IF(AND(G769&lt;&gt;"",OR(NOT(ISNUMBER(G769)),N(G769)&lt;=0)),"Opérateurs invalide","OK"))))))))))</f>
        <v/>
      </c>
      <c r="N769" s="71" t="str">
        <f>IF(AND(fiche_sel&lt;&gt;"",A769=fiche_sel),COUNTIF(A$6:A769,fiche_sel),"")</f>
        <v/>
      </c>
    </row>
    <row r="770">
      <c r="A770" s="60" t="n"/>
      <c r="B770" s="73" t="n"/>
      <c r="C770" s="60" t="n"/>
      <c r="D770" s="61" t="n"/>
      <c r="E770" s="74" t="n"/>
      <c r="F770" s="74" t="n"/>
      <c r="G770" s="73" t="n"/>
      <c r="H770" s="66" t="str">
        <f>IF(M770&lt;&gt;"OK","",INDEX(po_mo,MATCH(D770,po_code,0)))</f>
        <v/>
      </c>
      <c r="I770" s="66" t="str">
        <f>IF(M770&lt;&gt;"OK","",INDEX(po_mac,MATCH(D770,po_code,0)))</f>
        <v/>
      </c>
      <c r="J770" s="66" t="str">
        <f>IF(M770&lt;&gt;"OK","",N(E770)*(H770*IF(G770="",1,G770)+I770))</f>
        <v/>
      </c>
      <c r="K770" s="66" t="str">
        <f>IF(M770&lt;&gt;"OK","",N(F770)/60*H770*IF(G770="",1,G770))</f>
        <v/>
      </c>
      <c r="L770" s="66" t="str">
        <f>IF(M770&lt;&gt;"OK","",N(F770)/60*I770)</f>
        <v/>
      </c>
      <c r="M770" s="69" t="str">
        <f>IF(AND(A770="",D770=""),"",IF(A770="","Produit manquant",IF(COUNTIF(prod_ref,A770)=0,"Produit inconnu",IF(D770="","Poste manquant",IF(ISNA(MATCH(D770,po_code,0)),"Poste inconnu",IF(INDEX(po_check,MATCH(D770,po_code,0))&lt;&gt;"OK","Poste à corriger",IF(AND(E770&lt;&gt;"",OR(NOT(ISNUMBER(E770)),N(E770)&lt;0)),"Réglage invalide",IF(AND(F770&lt;&gt;"",OR(NOT(ISNUMBER(F770)),N(F770)&lt;0)),"Temps par pièce invalide",IF(N(E770)+N(F770)=0,"Temps manquant",IF(AND(G770&lt;&gt;"",OR(NOT(ISNUMBER(G770)),N(G770)&lt;=0)),"Opérateurs invalide","OK"))))))))))</f>
        <v/>
      </c>
      <c r="N770" s="71" t="str">
        <f>IF(AND(fiche_sel&lt;&gt;"",A770=fiche_sel),COUNTIF(A$6:A770,fiche_sel),"")</f>
        <v/>
      </c>
    </row>
    <row r="771">
      <c r="A771" s="60" t="n"/>
      <c r="B771" s="73" t="n"/>
      <c r="C771" s="60" t="n"/>
      <c r="D771" s="61" t="n"/>
      <c r="E771" s="74" t="n"/>
      <c r="F771" s="74" t="n"/>
      <c r="G771" s="73" t="n"/>
      <c r="H771" s="66" t="str">
        <f>IF(M771&lt;&gt;"OK","",INDEX(po_mo,MATCH(D771,po_code,0)))</f>
        <v/>
      </c>
      <c r="I771" s="66" t="str">
        <f>IF(M771&lt;&gt;"OK","",INDEX(po_mac,MATCH(D771,po_code,0)))</f>
        <v/>
      </c>
      <c r="J771" s="66" t="str">
        <f>IF(M771&lt;&gt;"OK","",N(E771)*(H771*IF(G771="",1,G771)+I771))</f>
        <v/>
      </c>
      <c r="K771" s="66" t="str">
        <f>IF(M771&lt;&gt;"OK","",N(F771)/60*H771*IF(G771="",1,G771))</f>
        <v/>
      </c>
      <c r="L771" s="66" t="str">
        <f>IF(M771&lt;&gt;"OK","",N(F771)/60*I771)</f>
        <v/>
      </c>
      <c r="M771" s="69" t="str">
        <f>IF(AND(A771="",D771=""),"",IF(A771="","Produit manquant",IF(COUNTIF(prod_ref,A771)=0,"Produit inconnu",IF(D771="","Poste manquant",IF(ISNA(MATCH(D771,po_code,0)),"Poste inconnu",IF(INDEX(po_check,MATCH(D771,po_code,0))&lt;&gt;"OK","Poste à corriger",IF(AND(E771&lt;&gt;"",OR(NOT(ISNUMBER(E771)),N(E771)&lt;0)),"Réglage invalide",IF(AND(F771&lt;&gt;"",OR(NOT(ISNUMBER(F771)),N(F771)&lt;0)),"Temps par pièce invalide",IF(N(E771)+N(F771)=0,"Temps manquant",IF(AND(G771&lt;&gt;"",OR(NOT(ISNUMBER(G771)),N(G771)&lt;=0)),"Opérateurs invalide","OK"))))))))))</f>
        <v/>
      </c>
      <c r="N771" s="71" t="str">
        <f>IF(AND(fiche_sel&lt;&gt;"",A771=fiche_sel),COUNTIF(A$6:A771,fiche_sel),"")</f>
        <v/>
      </c>
    </row>
    <row r="772">
      <c r="A772" s="60" t="n"/>
      <c r="B772" s="73" t="n"/>
      <c r="C772" s="60" t="n"/>
      <c r="D772" s="61" t="n"/>
      <c r="E772" s="74" t="n"/>
      <c r="F772" s="74" t="n"/>
      <c r="G772" s="73" t="n"/>
      <c r="H772" s="66" t="str">
        <f>IF(M772&lt;&gt;"OK","",INDEX(po_mo,MATCH(D772,po_code,0)))</f>
        <v/>
      </c>
      <c r="I772" s="66" t="str">
        <f>IF(M772&lt;&gt;"OK","",INDEX(po_mac,MATCH(D772,po_code,0)))</f>
        <v/>
      </c>
      <c r="J772" s="66" t="str">
        <f>IF(M772&lt;&gt;"OK","",N(E772)*(H772*IF(G772="",1,G772)+I772))</f>
        <v/>
      </c>
      <c r="K772" s="66" t="str">
        <f>IF(M772&lt;&gt;"OK","",N(F772)/60*H772*IF(G772="",1,G772))</f>
        <v/>
      </c>
      <c r="L772" s="66" t="str">
        <f>IF(M772&lt;&gt;"OK","",N(F772)/60*I772)</f>
        <v/>
      </c>
      <c r="M772" s="69" t="str">
        <f>IF(AND(A772="",D772=""),"",IF(A772="","Produit manquant",IF(COUNTIF(prod_ref,A772)=0,"Produit inconnu",IF(D772="","Poste manquant",IF(ISNA(MATCH(D772,po_code,0)),"Poste inconnu",IF(INDEX(po_check,MATCH(D772,po_code,0))&lt;&gt;"OK","Poste à corriger",IF(AND(E772&lt;&gt;"",OR(NOT(ISNUMBER(E772)),N(E772)&lt;0)),"Réglage invalide",IF(AND(F772&lt;&gt;"",OR(NOT(ISNUMBER(F772)),N(F772)&lt;0)),"Temps par pièce invalide",IF(N(E772)+N(F772)=0,"Temps manquant",IF(AND(G772&lt;&gt;"",OR(NOT(ISNUMBER(G772)),N(G772)&lt;=0)),"Opérateurs invalide","OK"))))))))))</f>
        <v/>
      </c>
      <c r="N772" s="71" t="str">
        <f>IF(AND(fiche_sel&lt;&gt;"",A772=fiche_sel),COUNTIF(A$6:A772,fiche_sel),"")</f>
        <v/>
      </c>
    </row>
    <row r="773">
      <c r="A773" s="60" t="n"/>
      <c r="B773" s="73" t="n"/>
      <c r="C773" s="60" t="n"/>
      <c r="D773" s="61" t="n"/>
      <c r="E773" s="74" t="n"/>
      <c r="F773" s="74" t="n"/>
      <c r="G773" s="73" t="n"/>
      <c r="H773" s="66" t="str">
        <f>IF(M773&lt;&gt;"OK","",INDEX(po_mo,MATCH(D773,po_code,0)))</f>
        <v/>
      </c>
      <c r="I773" s="66" t="str">
        <f>IF(M773&lt;&gt;"OK","",INDEX(po_mac,MATCH(D773,po_code,0)))</f>
        <v/>
      </c>
      <c r="J773" s="66" t="str">
        <f>IF(M773&lt;&gt;"OK","",N(E773)*(H773*IF(G773="",1,G773)+I773))</f>
        <v/>
      </c>
      <c r="K773" s="66" t="str">
        <f>IF(M773&lt;&gt;"OK","",N(F773)/60*H773*IF(G773="",1,G773))</f>
        <v/>
      </c>
      <c r="L773" s="66" t="str">
        <f>IF(M773&lt;&gt;"OK","",N(F773)/60*I773)</f>
        <v/>
      </c>
      <c r="M773" s="69" t="str">
        <f>IF(AND(A773="",D773=""),"",IF(A773="","Produit manquant",IF(COUNTIF(prod_ref,A773)=0,"Produit inconnu",IF(D773="","Poste manquant",IF(ISNA(MATCH(D773,po_code,0)),"Poste inconnu",IF(INDEX(po_check,MATCH(D773,po_code,0))&lt;&gt;"OK","Poste à corriger",IF(AND(E773&lt;&gt;"",OR(NOT(ISNUMBER(E773)),N(E773)&lt;0)),"Réglage invalide",IF(AND(F773&lt;&gt;"",OR(NOT(ISNUMBER(F773)),N(F773)&lt;0)),"Temps par pièce invalide",IF(N(E773)+N(F773)=0,"Temps manquant",IF(AND(G773&lt;&gt;"",OR(NOT(ISNUMBER(G773)),N(G773)&lt;=0)),"Opérateurs invalide","OK"))))))))))</f>
        <v/>
      </c>
      <c r="N773" s="71" t="str">
        <f>IF(AND(fiche_sel&lt;&gt;"",A773=fiche_sel),COUNTIF(A$6:A773,fiche_sel),"")</f>
        <v/>
      </c>
    </row>
    <row r="774">
      <c r="A774" s="60" t="n"/>
      <c r="B774" s="73" t="n"/>
      <c r="C774" s="60" t="n"/>
      <c r="D774" s="61" t="n"/>
      <c r="E774" s="74" t="n"/>
      <c r="F774" s="74" t="n"/>
      <c r="G774" s="73" t="n"/>
      <c r="H774" s="66" t="str">
        <f>IF(M774&lt;&gt;"OK","",INDEX(po_mo,MATCH(D774,po_code,0)))</f>
        <v/>
      </c>
      <c r="I774" s="66" t="str">
        <f>IF(M774&lt;&gt;"OK","",INDEX(po_mac,MATCH(D774,po_code,0)))</f>
        <v/>
      </c>
      <c r="J774" s="66" t="str">
        <f>IF(M774&lt;&gt;"OK","",N(E774)*(H774*IF(G774="",1,G774)+I774))</f>
        <v/>
      </c>
      <c r="K774" s="66" t="str">
        <f>IF(M774&lt;&gt;"OK","",N(F774)/60*H774*IF(G774="",1,G774))</f>
        <v/>
      </c>
      <c r="L774" s="66" t="str">
        <f>IF(M774&lt;&gt;"OK","",N(F774)/60*I774)</f>
        <v/>
      </c>
      <c r="M774" s="69" t="str">
        <f>IF(AND(A774="",D774=""),"",IF(A774="","Produit manquant",IF(COUNTIF(prod_ref,A774)=0,"Produit inconnu",IF(D774="","Poste manquant",IF(ISNA(MATCH(D774,po_code,0)),"Poste inconnu",IF(INDEX(po_check,MATCH(D774,po_code,0))&lt;&gt;"OK","Poste à corriger",IF(AND(E774&lt;&gt;"",OR(NOT(ISNUMBER(E774)),N(E774)&lt;0)),"Réglage invalide",IF(AND(F774&lt;&gt;"",OR(NOT(ISNUMBER(F774)),N(F774)&lt;0)),"Temps par pièce invalide",IF(N(E774)+N(F774)=0,"Temps manquant",IF(AND(G774&lt;&gt;"",OR(NOT(ISNUMBER(G774)),N(G774)&lt;=0)),"Opérateurs invalide","OK"))))))))))</f>
        <v/>
      </c>
      <c r="N774" s="71" t="str">
        <f>IF(AND(fiche_sel&lt;&gt;"",A774=fiche_sel),COUNTIF(A$6:A774,fiche_sel),"")</f>
        <v/>
      </c>
    </row>
    <row r="775">
      <c r="A775" s="60" t="n"/>
      <c r="B775" s="73" t="n"/>
      <c r="C775" s="60" t="n"/>
      <c r="D775" s="61" t="n"/>
      <c r="E775" s="74" t="n"/>
      <c r="F775" s="74" t="n"/>
      <c r="G775" s="73" t="n"/>
      <c r="H775" s="66" t="str">
        <f>IF(M775&lt;&gt;"OK","",INDEX(po_mo,MATCH(D775,po_code,0)))</f>
        <v/>
      </c>
      <c r="I775" s="66" t="str">
        <f>IF(M775&lt;&gt;"OK","",INDEX(po_mac,MATCH(D775,po_code,0)))</f>
        <v/>
      </c>
      <c r="J775" s="66" t="str">
        <f>IF(M775&lt;&gt;"OK","",N(E775)*(H775*IF(G775="",1,G775)+I775))</f>
        <v/>
      </c>
      <c r="K775" s="66" t="str">
        <f>IF(M775&lt;&gt;"OK","",N(F775)/60*H775*IF(G775="",1,G775))</f>
        <v/>
      </c>
      <c r="L775" s="66" t="str">
        <f>IF(M775&lt;&gt;"OK","",N(F775)/60*I775)</f>
        <v/>
      </c>
      <c r="M775" s="69" t="str">
        <f>IF(AND(A775="",D775=""),"",IF(A775="","Produit manquant",IF(COUNTIF(prod_ref,A775)=0,"Produit inconnu",IF(D775="","Poste manquant",IF(ISNA(MATCH(D775,po_code,0)),"Poste inconnu",IF(INDEX(po_check,MATCH(D775,po_code,0))&lt;&gt;"OK","Poste à corriger",IF(AND(E775&lt;&gt;"",OR(NOT(ISNUMBER(E775)),N(E775)&lt;0)),"Réglage invalide",IF(AND(F775&lt;&gt;"",OR(NOT(ISNUMBER(F775)),N(F775)&lt;0)),"Temps par pièce invalide",IF(N(E775)+N(F775)=0,"Temps manquant",IF(AND(G775&lt;&gt;"",OR(NOT(ISNUMBER(G775)),N(G775)&lt;=0)),"Opérateurs invalide","OK"))))))))))</f>
        <v/>
      </c>
      <c r="N775" s="71" t="str">
        <f>IF(AND(fiche_sel&lt;&gt;"",A775=fiche_sel),COUNTIF(A$6:A775,fiche_sel),"")</f>
        <v/>
      </c>
    </row>
    <row r="776">
      <c r="A776" s="60" t="n"/>
      <c r="B776" s="73" t="n"/>
      <c r="C776" s="60" t="n"/>
      <c r="D776" s="61" t="n"/>
      <c r="E776" s="74" t="n"/>
      <c r="F776" s="74" t="n"/>
      <c r="G776" s="73" t="n"/>
      <c r="H776" s="66" t="str">
        <f>IF(M776&lt;&gt;"OK","",INDEX(po_mo,MATCH(D776,po_code,0)))</f>
        <v/>
      </c>
      <c r="I776" s="66" t="str">
        <f>IF(M776&lt;&gt;"OK","",INDEX(po_mac,MATCH(D776,po_code,0)))</f>
        <v/>
      </c>
      <c r="J776" s="66" t="str">
        <f>IF(M776&lt;&gt;"OK","",N(E776)*(H776*IF(G776="",1,G776)+I776))</f>
        <v/>
      </c>
      <c r="K776" s="66" t="str">
        <f>IF(M776&lt;&gt;"OK","",N(F776)/60*H776*IF(G776="",1,G776))</f>
        <v/>
      </c>
      <c r="L776" s="66" t="str">
        <f>IF(M776&lt;&gt;"OK","",N(F776)/60*I776)</f>
        <v/>
      </c>
      <c r="M776" s="69" t="str">
        <f>IF(AND(A776="",D776=""),"",IF(A776="","Produit manquant",IF(COUNTIF(prod_ref,A776)=0,"Produit inconnu",IF(D776="","Poste manquant",IF(ISNA(MATCH(D776,po_code,0)),"Poste inconnu",IF(INDEX(po_check,MATCH(D776,po_code,0))&lt;&gt;"OK","Poste à corriger",IF(AND(E776&lt;&gt;"",OR(NOT(ISNUMBER(E776)),N(E776)&lt;0)),"Réglage invalide",IF(AND(F776&lt;&gt;"",OR(NOT(ISNUMBER(F776)),N(F776)&lt;0)),"Temps par pièce invalide",IF(N(E776)+N(F776)=0,"Temps manquant",IF(AND(G776&lt;&gt;"",OR(NOT(ISNUMBER(G776)),N(G776)&lt;=0)),"Opérateurs invalide","OK"))))))))))</f>
        <v/>
      </c>
      <c r="N776" s="71" t="str">
        <f>IF(AND(fiche_sel&lt;&gt;"",A776=fiche_sel),COUNTIF(A$6:A776,fiche_sel),"")</f>
        <v/>
      </c>
    </row>
    <row r="777">
      <c r="A777" s="60" t="n"/>
      <c r="B777" s="73" t="n"/>
      <c r="C777" s="60" t="n"/>
      <c r="D777" s="61" t="n"/>
      <c r="E777" s="74" t="n"/>
      <c r="F777" s="74" t="n"/>
      <c r="G777" s="73" t="n"/>
      <c r="H777" s="66" t="str">
        <f>IF(M777&lt;&gt;"OK","",INDEX(po_mo,MATCH(D777,po_code,0)))</f>
        <v/>
      </c>
      <c r="I777" s="66" t="str">
        <f>IF(M777&lt;&gt;"OK","",INDEX(po_mac,MATCH(D777,po_code,0)))</f>
        <v/>
      </c>
      <c r="J777" s="66" t="str">
        <f>IF(M777&lt;&gt;"OK","",N(E777)*(H777*IF(G777="",1,G777)+I777))</f>
        <v/>
      </c>
      <c r="K777" s="66" t="str">
        <f>IF(M777&lt;&gt;"OK","",N(F777)/60*H777*IF(G777="",1,G777))</f>
        <v/>
      </c>
      <c r="L777" s="66" t="str">
        <f>IF(M777&lt;&gt;"OK","",N(F777)/60*I777)</f>
        <v/>
      </c>
      <c r="M777" s="69" t="str">
        <f>IF(AND(A777="",D777=""),"",IF(A777="","Produit manquant",IF(COUNTIF(prod_ref,A777)=0,"Produit inconnu",IF(D777="","Poste manquant",IF(ISNA(MATCH(D777,po_code,0)),"Poste inconnu",IF(INDEX(po_check,MATCH(D777,po_code,0))&lt;&gt;"OK","Poste à corriger",IF(AND(E777&lt;&gt;"",OR(NOT(ISNUMBER(E777)),N(E777)&lt;0)),"Réglage invalide",IF(AND(F777&lt;&gt;"",OR(NOT(ISNUMBER(F777)),N(F777)&lt;0)),"Temps par pièce invalide",IF(N(E777)+N(F777)=0,"Temps manquant",IF(AND(G777&lt;&gt;"",OR(NOT(ISNUMBER(G777)),N(G777)&lt;=0)),"Opérateurs invalide","OK"))))))))))</f>
        <v/>
      </c>
      <c r="N777" s="71" t="str">
        <f>IF(AND(fiche_sel&lt;&gt;"",A777=fiche_sel),COUNTIF(A$6:A777,fiche_sel),"")</f>
        <v/>
      </c>
    </row>
    <row r="778">
      <c r="A778" s="60" t="n"/>
      <c r="B778" s="73" t="n"/>
      <c r="C778" s="60" t="n"/>
      <c r="D778" s="61" t="n"/>
      <c r="E778" s="74" t="n"/>
      <c r="F778" s="74" t="n"/>
      <c r="G778" s="73" t="n"/>
      <c r="H778" s="66" t="str">
        <f>IF(M778&lt;&gt;"OK","",INDEX(po_mo,MATCH(D778,po_code,0)))</f>
        <v/>
      </c>
      <c r="I778" s="66" t="str">
        <f>IF(M778&lt;&gt;"OK","",INDEX(po_mac,MATCH(D778,po_code,0)))</f>
        <v/>
      </c>
      <c r="J778" s="66" t="str">
        <f>IF(M778&lt;&gt;"OK","",N(E778)*(H778*IF(G778="",1,G778)+I778))</f>
        <v/>
      </c>
      <c r="K778" s="66" t="str">
        <f>IF(M778&lt;&gt;"OK","",N(F778)/60*H778*IF(G778="",1,G778))</f>
        <v/>
      </c>
      <c r="L778" s="66" t="str">
        <f>IF(M778&lt;&gt;"OK","",N(F778)/60*I778)</f>
        <v/>
      </c>
      <c r="M778" s="69" t="str">
        <f>IF(AND(A778="",D778=""),"",IF(A778="","Produit manquant",IF(COUNTIF(prod_ref,A778)=0,"Produit inconnu",IF(D778="","Poste manquant",IF(ISNA(MATCH(D778,po_code,0)),"Poste inconnu",IF(INDEX(po_check,MATCH(D778,po_code,0))&lt;&gt;"OK","Poste à corriger",IF(AND(E778&lt;&gt;"",OR(NOT(ISNUMBER(E778)),N(E778)&lt;0)),"Réglage invalide",IF(AND(F778&lt;&gt;"",OR(NOT(ISNUMBER(F778)),N(F778)&lt;0)),"Temps par pièce invalide",IF(N(E778)+N(F778)=0,"Temps manquant",IF(AND(G778&lt;&gt;"",OR(NOT(ISNUMBER(G778)),N(G778)&lt;=0)),"Opérateurs invalide","OK"))))))))))</f>
        <v/>
      </c>
      <c r="N778" s="71" t="str">
        <f>IF(AND(fiche_sel&lt;&gt;"",A778=fiche_sel),COUNTIF(A$6:A778,fiche_sel),"")</f>
        <v/>
      </c>
    </row>
    <row r="779">
      <c r="A779" s="60" t="n"/>
      <c r="B779" s="73" t="n"/>
      <c r="C779" s="60" t="n"/>
      <c r="D779" s="61" t="n"/>
      <c r="E779" s="74" t="n"/>
      <c r="F779" s="74" t="n"/>
      <c r="G779" s="73" t="n"/>
      <c r="H779" s="66" t="str">
        <f>IF(M779&lt;&gt;"OK","",INDEX(po_mo,MATCH(D779,po_code,0)))</f>
        <v/>
      </c>
      <c r="I779" s="66" t="str">
        <f>IF(M779&lt;&gt;"OK","",INDEX(po_mac,MATCH(D779,po_code,0)))</f>
        <v/>
      </c>
      <c r="J779" s="66" t="str">
        <f>IF(M779&lt;&gt;"OK","",N(E779)*(H779*IF(G779="",1,G779)+I779))</f>
        <v/>
      </c>
      <c r="K779" s="66" t="str">
        <f>IF(M779&lt;&gt;"OK","",N(F779)/60*H779*IF(G779="",1,G779))</f>
        <v/>
      </c>
      <c r="L779" s="66" t="str">
        <f>IF(M779&lt;&gt;"OK","",N(F779)/60*I779)</f>
        <v/>
      </c>
      <c r="M779" s="69" t="str">
        <f>IF(AND(A779="",D779=""),"",IF(A779="","Produit manquant",IF(COUNTIF(prod_ref,A779)=0,"Produit inconnu",IF(D779="","Poste manquant",IF(ISNA(MATCH(D779,po_code,0)),"Poste inconnu",IF(INDEX(po_check,MATCH(D779,po_code,0))&lt;&gt;"OK","Poste à corriger",IF(AND(E779&lt;&gt;"",OR(NOT(ISNUMBER(E779)),N(E779)&lt;0)),"Réglage invalide",IF(AND(F779&lt;&gt;"",OR(NOT(ISNUMBER(F779)),N(F779)&lt;0)),"Temps par pièce invalide",IF(N(E779)+N(F779)=0,"Temps manquant",IF(AND(G779&lt;&gt;"",OR(NOT(ISNUMBER(G779)),N(G779)&lt;=0)),"Opérateurs invalide","OK"))))))))))</f>
        <v/>
      </c>
      <c r="N779" s="71" t="str">
        <f>IF(AND(fiche_sel&lt;&gt;"",A779=fiche_sel),COUNTIF(A$6:A779,fiche_sel),"")</f>
        <v/>
      </c>
    </row>
    <row r="780">
      <c r="A780" s="60" t="n"/>
      <c r="B780" s="73" t="n"/>
      <c r="C780" s="60" t="n"/>
      <c r="D780" s="61" t="n"/>
      <c r="E780" s="74" t="n"/>
      <c r="F780" s="74" t="n"/>
      <c r="G780" s="73" t="n"/>
      <c r="H780" s="66" t="str">
        <f>IF(M780&lt;&gt;"OK","",INDEX(po_mo,MATCH(D780,po_code,0)))</f>
        <v/>
      </c>
      <c r="I780" s="66" t="str">
        <f>IF(M780&lt;&gt;"OK","",INDEX(po_mac,MATCH(D780,po_code,0)))</f>
        <v/>
      </c>
      <c r="J780" s="66" t="str">
        <f>IF(M780&lt;&gt;"OK","",N(E780)*(H780*IF(G780="",1,G780)+I780))</f>
        <v/>
      </c>
      <c r="K780" s="66" t="str">
        <f>IF(M780&lt;&gt;"OK","",N(F780)/60*H780*IF(G780="",1,G780))</f>
        <v/>
      </c>
      <c r="L780" s="66" t="str">
        <f>IF(M780&lt;&gt;"OK","",N(F780)/60*I780)</f>
        <v/>
      </c>
      <c r="M780" s="69" t="str">
        <f>IF(AND(A780="",D780=""),"",IF(A780="","Produit manquant",IF(COUNTIF(prod_ref,A780)=0,"Produit inconnu",IF(D780="","Poste manquant",IF(ISNA(MATCH(D780,po_code,0)),"Poste inconnu",IF(INDEX(po_check,MATCH(D780,po_code,0))&lt;&gt;"OK","Poste à corriger",IF(AND(E780&lt;&gt;"",OR(NOT(ISNUMBER(E780)),N(E780)&lt;0)),"Réglage invalide",IF(AND(F780&lt;&gt;"",OR(NOT(ISNUMBER(F780)),N(F780)&lt;0)),"Temps par pièce invalide",IF(N(E780)+N(F780)=0,"Temps manquant",IF(AND(G780&lt;&gt;"",OR(NOT(ISNUMBER(G780)),N(G780)&lt;=0)),"Opérateurs invalide","OK"))))))))))</f>
        <v/>
      </c>
      <c r="N780" s="71" t="str">
        <f>IF(AND(fiche_sel&lt;&gt;"",A780=fiche_sel),COUNTIF(A$6:A780,fiche_sel),"")</f>
        <v/>
      </c>
    </row>
    <row r="781">
      <c r="A781" s="60" t="n"/>
      <c r="B781" s="73" t="n"/>
      <c r="C781" s="60" t="n"/>
      <c r="D781" s="61" t="n"/>
      <c r="E781" s="74" t="n"/>
      <c r="F781" s="74" t="n"/>
      <c r="G781" s="73" t="n"/>
      <c r="H781" s="66" t="str">
        <f>IF(M781&lt;&gt;"OK","",INDEX(po_mo,MATCH(D781,po_code,0)))</f>
        <v/>
      </c>
      <c r="I781" s="66" t="str">
        <f>IF(M781&lt;&gt;"OK","",INDEX(po_mac,MATCH(D781,po_code,0)))</f>
        <v/>
      </c>
      <c r="J781" s="66" t="str">
        <f>IF(M781&lt;&gt;"OK","",N(E781)*(H781*IF(G781="",1,G781)+I781))</f>
        <v/>
      </c>
      <c r="K781" s="66" t="str">
        <f>IF(M781&lt;&gt;"OK","",N(F781)/60*H781*IF(G781="",1,G781))</f>
        <v/>
      </c>
      <c r="L781" s="66" t="str">
        <f>IF(M781&lt;&gt;"OK","",N(F781)/60*I781)</f>
        <v/>
      </c>
      <c r="M781" s="69" t="str">
        <f>IF(AND(A781="",D781=""),"",IF(A781="","Produit manquant",IF(COUNTIF(prod_ref,A781)=0,"Produit inconnu",IF(D781="","Poste manquant",IF(ISNA(MATCH(D781,po_code,0)),"Poste inconnu",IF(INDEX(po_check,MATCH(D781,po_code,0))&lt;&gt;"OK","Poste à corriger",IF(AND(E781&lt;&gt;"",OR(NOT(ISNUMBER(E781)),N(E781)&lt;0)),"Réglage invalide",IF(AND(F781&lt;&gt;"",OR(NOT(ISNUMBER(F781)),N(F781)&lt;0)),"Temps par pièce invalide",IF(N(E781)+N(F781)=0,"Temps manquant",IF(AND(G781&lt;&gt;"",OR(NOT(ISNUMBER(G781)),N(G781)&lt;=0)),"Opérateurs invalide","OK"))))))))))</f>
        <v/>
      </c>
      <c r="N781" s="71" t="str">
        <f>IF(AND(fiche_sel&lt;&gt;"",A781=fiche_sel),COUNTIF(A$6:A781,fiche_sel),"")</f>
        <v/>
      </c>
    </row>
    <row r="782">
      <c r="A782" s="60" t="n"/>
      <c r="B782" s="73" t="n"/>
      <c r="C782" s="60" t="n"/>
      <c r="D782" s="61" t="n"/>
      <c r="E782" s="74" t="n"/>
      <c r="F782" s="74" t="n"/>
      <c r="G782" s="73" t="n"/>
      <c r="H782" s="66" t="str">
        <f>IF(M782&lt;&gt;"OK","",INDEX(po_mo,MATCH(D782,po_code,0)))</f>
        <v/>
      </c>
      <c r="I782" s="66" t="str">
        <f>IF(M782&lt;&gt;"OK","",INDEX(po_mac,MATCH(D782,po_code,0)))</f>
        <v/>
      </c>
      <c r="J782" s="66" t="str">
        <f>IF(M782&lt;&gt;"OK","",N(E782)*(H782*IF(G782="",1,G782)+I782))</f>
        <v/>
      </c>
      <c r="K782" s="66" t="str">
        <f>IF(M782&lt;&gt;"OK","",N(F782)/60*H782*IF(G782="",1,G782))</f>
        <v/>
      </c>
      <c r="L782" s="66" t="str">
        <f>IF(M782&lt;&gt;"OK","",N(F782)/60*I782)</f>
        <v/>
      </c>
      <c r="M782" s="69" t="str">
        <f>IF(AND(A782="",D782=""),"",IF(A782="","Produit manquant",IF(COUNTIF(prod_ref,A782)=0,"Produit inconnu",IF(D782="","Poste manquant",IF(ISNA(MATCH(D782,po_code,0)),"Poste inconnu",IF(INDEX(po_check,MATCH(D782,po_code,0))&lt;&gt;"OK","Poste à corriger",IF(AND(E782&lt;&gt;"",OR(NOT(ISNUMBER(E782)),N(E782)&lt;0)),"Réglage invalide",IF(AND(F782&lt;&gt;"",OR(NOT(ISNUMBER(F782)),N(F782)&lt;0)),"Temps par pièce invalide",IF(N(E782)+N(F782)=0,"Temps manquant",IF(AND(G782&lt;&gt;"",OR(NOT(ISNUMBER(G782)),N(G782)&lt;=0)),"Opérateurs invalide","OK"))))))))))</f>
        <v/>
      </c>
      <c r="N782" s="71" t="str">
        <f>IF(AND(fiche_sel&lt;&gt;"",A782=fiche_sel),COUNTIF(A$6:A782,fiche_sel),"")</f>
        <v/>
      </c>
    </row>
    <row r="783">
      <c r="A783" s="60" t="n"/>
      <c r="B783" s="73" t="n"/>
      <c r="C783" s="60" t="n"/>
      <c r="D783" s="61" t="n"/>
      <c r="E783" s="74" t="n"/>
      <c r="F783" s="74" t="n"/>
      <c r="G783" s="73" t="n"/>
      <c r="H783" s="66" t="str">
        <f>IF(M783&lt;&gt;"OK","",INDEX(po_mo,MATCH(D783,po_code,0)))</f>
        <v/>
      </c>
      <c r="I783" s="66" t="str">
        <f>IF(M783&lt;&gt;"OK","",INDEX(po_mac,MATCH(D783,po_code,0)))</f>
        <v/>
      </c>
      <c r="J783" s="66" t="str">
        <f>IF(M783&lt;&gt;"OK","",N(E783)*(H783*IF(G783="",1,G783)+I783))</f>
        <v/>
      </c>
      <c r="K783" s="66" t="str">
        <f>IF(M783&lt;&gt;"OK","",N(F783)/60*H783*IF(G783="",1,G783))</f>
        <v/>
      </c>
      <c r="L783" s="66" t="str">
        <f>IF(M783&lt;&gt;"OK","",N(F783)/60*I783)</f>
        <v/>
      </c>
      <c r="M783" s="69" t="str">
        <f>IF(AND(A783="",D783=""),"",IF(A783="","Produit manquant",IF(COUNTIF(prod_ref,A783)=0,"Produit inconnu",IF(D783="","Poste manquant",IF(ISNA(MATCH(D783,po_code,0)),"Poste inconnu",IF(INDEX(po_check,MATCH(D783,po_code,0))&lt;&gt;"OK","Poste à corriger",IF(AND(E783&lt;&gt;"",OR(NOT(ISNUMBER(E783)),N(E783)&lt;0)),"Réglage invalide",IF(AND(F783&lt;&gt;"",OR(NOT(ISNUMBER(F783)),N(F783)&lt;0)),"Temps par pièce invalide",IF(N(E783)+N(F783)=0,"Temps manquant",IF(AND(G783&lt;&gt;"",OR(NOT(ISNUMBER(G783)),N(G783)&lt;=0)),"Opérateurs invalide","OK"))))))))))</f>
        <v/>
      </c>
      <c r="N783" s="71" t="str">
        <f>IF(AND(fiche_sel&lt;&gt;"",A783=fiche_sel),COUNTIF(A$6:A783,fiche_sel),"")</f>
        <v/>
      </c>
    </row>
    <row r="784">
      <c r="A784" s="60" t="n"/>
      <c r="B784" s="73" t="n"/>
      <c r="C784" s="60" t="n"/>
      <c r="D784" s="61" t="n"/>
      <c r="E784" s="74" t="n"/>
      <c r="F784" s="74" t="n"/>
      <c r="G784" s="73" t="n"/>
      <c r="H784" s="66" t="str">
        <f>IF(M784&lt;&gt;"OK","",INDEX(po_mo,MATCH(D784,po_code,0)))</f>
        <v/>
      </c>
      <c r="I784" s="66" t="str">
        <f>IF(M784&lt;&gt;"OK","",INDEX(po_mac,MATCH(D784,po_code,0)))</f>
        <v/>
      </c>
      <c r="J784" s="66" t="str">
        <f>IF(M784&lt;&gt;"OK","",N(E784)*(H784*IF(G784="",1,G784)+I784))</f>
        <v/>
      </c>
      <c r="K784" s="66" t="str">
        <f>IF(M784&lt;&gt;"OK","",N(F784)/60*H784*IF(G784="",1,G784))</f>
        <v/>
      </c>
      <c r="L784" s="66" t="str">
        <f>IF(M784&lt;&gt;"OK","",N(F784)/60*I784)</f>
        <v/>
      </c>
      <c r="M784" s="69" t="str">
        <f>IF(AND(A784="",D784=""),"",IF(A784="","Produit manquant",IF(COUNTIF(prod_ref,A784)=0,"Produit inconnu",IF(D784="","Poste manquant",IF(ISNA(MATCH(D784,po_code,0)),"Poste inconnu",IF(INDEX(po_check,MATCH(D784,po_code,0))&lt;&gt;"OK","Poste à corriger",IF(AND(E784&lt;&gt;"",OR(NOT(ISNUMBER(E784)),N(E784)&lt;0)),"Réglage invalide",IF(AND(F784&lt;&gt;"",OR(NOT(ISNUMBER(F784)),N(F784)&lt;0)),"Temps par pièce invalide",IF(N(E784)+N(F784)=0,"Temps manquant",IF(AND(G784&lt;&gt;"",OR(NOT(ISNUMBER(G784)),N(G784)&lt;=0)),"Opérateurs invalide","OK"))))))))))</f>
        <v/>
      </c>
      <c r="N784" s="71" t="str">
        <f>IF(AND(fiche_sel&lt;&gt;"",A784=fiche_sel),COUNTIF(A$6:A784,fiche_sel),"")</f>
        <v/>
      </c>
    </row>
    <row r="785">
      <c r="A785" s="60" t="n"/>
      <c r="B785" s="73" t="n"/>
      <c r="C785" s="60" t="n"/>
      <c r="D785" s="61" t="n"/>
      <c r="E785" s="74" t="n"/>
      <c r="F785" s="74" t="n"/>
      <c r="G785" s="73" t="n"/>
      <c r="H785" s="66" t="str">
        <f>IF(M785&lt;&gt;"OK","",INDEX(po_mo,MATCH(D785,po_code,0)))</f>
        <v/>
      </c>
      <c r="I785" s="66" t="str">
        <f>IF(M785&lt;&gt;"OK","",INDEX(po_mac,MATCH(D785,po_code,0)))</f>
        <v/>
      </c>
      <c r="J785" s="66" t="str">
        <f>IF(M785&lt;&gt;"OK","",N(E785)*(H785*IF(G785="",1,G785)+I785))</f>
        <v/>
      </c>
      <c r="K785" s="66" t="str">
        <f>IF(M785&lt;&gt;"OK","",N(F785)/60*H785*IF(G785="",1,G785))</f>
        <v/>
      </c>
      <c r="L785" s="66" t="str">
        <f>IF(M785&lt;&gt;"OK","",N(F785)/60*I785)</f>
        <v/>
      </c>
      <c r="M785" s="69" t="str">
        <f>IF(AND(A785="",D785=""),"",IF(A785="","Produit manquant",IF(COUNTIF(prod_ref,A785)=0,"Produit inconnu",IF(D785="","Poste manquant",IF(ISNA(MATCH(D785,po_code,0)),"Poste inconnu",IF(INDEX(po_check,MATCH(D785,po_code,0))&lt;&gt;"OK","Poste à corriger",IF(AND(E785&lt;&gt;"",OR(NOT(ISNUMBER(E785)),N(E785)&lt;0)),"Réglage invalide",IF(AND(F785&lt;&gt;"",OR(NOT(ISNUMBER(F785)),N(F785)&lt;0)),"Temps par pièce invalide",IF(N(E785)+N(F785)=0,"Temps manquant",IF(AND(G785&lt;&gt;"",OR(NOT(ISNUMBER(G785)),N(G785)&lt;=0)),"Opérateurs invalide","OK"))))))))))</f>
        <v/>
      </c>
      <c r="N785" s="71" t="str">
        <f>IF(AND(fiche_sel&lt;&gt;"",A785=fiche_sel),COUNTIF(A$6:A785,fiche_sel),"")</f>
        <v/>
      </c>
    </row>
    <row r="786">
      <c r="A786" s="60" t="n"/>
      <c r="B786" s="73" t="n"/>
      <c r="C786" s="60" t="n"/>
      <c r="D786" s="61" t="n"/>
      <c r="E786" s="74" t="n"/>
      <c r="F786" s="74" t="n"/>
      <c r="G786" s="73" t="n"/>
      <c r="H786" s="66" t="str">
        <f>IF(M786&lt;&gt;"OK","",INDEX(po_mo,MATCH(D786,po_code,0)))</f>
        <v/>
      </c>
      <c r="I786" s="66" t="str">
        <f>IF(M786&lt;&gt;"OK","",INDEX(po_mac,MATCH(D786,po_code,0)))</f>
        <v/>
      </c>
      <c r="J786" s="66" t="str">
        <f>IF(M786&lt;&gt;"OK","",N(E786)*(H786*IF(G786="",1,G786)+I786))</f>
        <v/>
      </c>
      <c r="K786" s="66" t="str">
        <f>IF(M786&lt;&gt;"OK","",N(F786)/60*H786*IF(G786="",1,G786))</f>
        <v/>
      </c>
      <c r="L786" s="66" t="str">
        <f>IF(M786&lt;&gt;"OK","",N(F786)/60*I786)</f>
        <v/>
      </c>
      <c r="M786" s="69" t="str">
        <f>IF(AND(A786="",D786=""),"",IF(A786="","Produit manquant",IF(COUNTIF(prod_ref,A786)=0,"Produit inconnu",IF(D786="","Poste manquant",IF(ISNA(MATCH(D786,po_code,0)),"Poste inconnu",IF(INDEX(po_check,MATCH(D786,po_code,0))&lt;&gt;"OK","Poste à corriger",IF(AND(E786&lt;&gt;"",OR(NOT(ISNUMBER(E786)),N(E786)&lt;0)),"Réglage invalide",IF(AND(F786&lt;&gt;"",OR(NOT(ISNUMBER(F786)),N(F786)&lt;0)),"Temps par pièce invalide",IF(N(E786)+N(F786)=0,"Temps manquant",IF(AND(G786&lt;&gt;"",OR(NOT(ISNUMBER(G786)),N(G786)&lt;=0)),"Opérateurs invalide","OK"))))))))))</f>
        <v/>
      </c>
      <c r="N786" s="71" t="str">
        <f>IF(AND(fiche_sel&lt;&gt;"",A786=fiche_sel),COUNTIF(A$6:A786,fiche_sel),"")</f>
        <v/>
      </c>
    </row>
    <row r="787">
      <c r="A787" s="60" t="n"/>
      <c r="B787" s="73" t="n"/>
      <c r="C787" s="60" t="n"/>
      <c r="D787" s="61" t="n"/>
      <c r="E787" s="74" t="n"/>
      <c r="F787" s="74" t="n"/>
      <c r="G787" s="73" t="n"/>
      <c r="H787" s="66" t="str">
        <f>IF(M787&lt;&gt;"OK","",INDEX(po_mo,MATCH(D787,po_code,0)))</f>
        <v/>
      </c>
      <c r="I787" s="66" t="str">
        <f>IF(M787&lt;&gt;"OK","",INDEX(po_mac,MATCH(D787,po_code,0)))</f>
        <v/>
      </c>
      <c r="J787" s="66" t="str">
        <f>IF(M787&lt;&gt;"OK","",N(E787)*(H787*IF(G787="",1,G787)+I787))</f>
        <v/>
      </c>
      <c r="K787" s="66" t="str">
        <f>IF(M787&lt;&gt;"OK","",N(F787)/60*H787*IF(G787="",1,G787))</f>
        <v/>
      </c>
      <c r="L787" s="66" t="str">
        <f>IF(M787&lt;&gt;"OK","",N(F787)/60*I787)</f>
        <v/>
      </c>
      <c r="M787" s="69" t="str">
        <f>IF(AND(A787="",D787=""),"",IF(A787="","Produit manquant",IF(COUNTIF(prod_ref,A787)=0,"Produit inconnu",IF(D787="","Poste manquant",IF(ISNA(MATCH(D787,po_code,0)),"Poste inconnu",IF(INDEX(po_check,MATCH(D787,po_code,0))&lt;&gt;"OK","Poste à corriger",IF(AND(E787&lt;&gt;"",OR(NOT(ISNUMBER(E787)),N(E787)&lt;0)),"Réglage invalide",IF(AND(F787&lt;&gt;"",OR(NOT(ISNUMBER(F787)),N(F787)&lt;0)),"Temps par pièce invalide",IF(N(E787)+N(F787)=0,"Temps manquant",IF(AND(G787&lt;&gt;"",OR(NOT(ISNUMBER(G787)),N(G787)&lt;=0)),"Opérateurs invalide","OK"))))))))))</f>
        <v/>
      </c>
      <c r="N787" s="71" t="str">
        <f>IF(AND(fiche_sel&lt;&gt;"",A787=fiche_sel),COUNTIF(A$6:A787,fiche_sel),"")</f>
        <v/>
      </c>
    </row>
    <row r="788">
      <c r="A788" s="60" t="n"/>
      <c r="B788" s="73" t="n"/>
      <c r="C788" s="60" t="n"/>
      <c r="D788" s="61" t="n"/>
      <c r="E788" s="74" t="n"/>
      <c r="F788" s="74" t="n"/>
      <c r="G788" s="73" t="n"/>
      <c r="H788" s="66" t="str">
        <f>IF(M788&lt;&gt;"OK","",INDEX(po_mo,MATCH(D788,po_code,0)))</f>
        <v/>
      </c>
      <c r="I788" s="66" t="str">
        <f>IF(M788&lt;&gt;"OK","",INDEX(po_mac,MATCH(D788,po_code,0)))</f>
        <v/>
      </c>
      <c r="J788" s="66" t="str">
        <f>IF(M788&lt;&gt;"OK","",N(E788)*(H788*IF(G788="",1,G788)+I788))</f>
        <v/>
      </c>
      <c r="K788" s="66" t="str">
        <f>IF(M788&lt;&gt;"OK","",N(F788)/60*H788*IF(G788="",1,G788))</f>
        <v/>
      </c>
      <c r="L788" s="66" t="str">
        <f>IF(M788&lt;&gt;"OK","",N(F788)/60*I788)</f>
        <v/>
      </c>
      <c r="M788" s="69" t="str">
        <f>IF(AND(A788="",D788=""),"",IF(A788="","Produit manquant",IF(COUNTIF(prod_ref,A788)=0,"Produit inconnu",IF(D788="","Poste manquant",IF(ISNA(MATCH(D788,po_code,0)),"Poste inconnu",IF(INDEX(po_check,MATCH(D788,po_code,0))&lt;&gt;"OK","Poste à corriger",IF(AND(E788&lt;&gt;"",OR(NOT(ISNUMBER(E788)),N(E788)&lt;0)),"Réglage invalide",IF(AND(F788&lt;&gt;"",OR(NOT(ISNUMBER(F788)),N(F788)&lt;0)),"Temps par pièce invalide",IF(N(E788)+N(F788)=0,"Temps manquant",IF(AND(G788&lt;&gt;"",OR(NOT(ISNUMBER(G788)),N(G788)&lt;=0)),"Opérateurs invalide","OK"))))))))))</f>
        <v/>
      </c>
      <c r="N788" s="71" t="str">
        <f>IF(AND(fiche_sel&lt;&gt;"",A788=fiche_sel),COUNTIF(A$6:A788,fiche_sel),"")</f>
        <v/>
      </c>
    </row>
    <row r="789">
      <c r="A789" s="60" t="n"/>
      <c r="B789" s="73" t="n"/>
      <c r="C789" s="60" t="n"/>
      <c r="D789" s="61" t="n"/>
      <c r="E789" s="74" t="n"/>
      <c r="F789" s="74" t="n"/>
      <c r="G789" s="73" t="n"/>
      <c r="H789" s="66" t="str">
        <f>IF(M789&lt;&gt;"OK","",INDEX(po_mo,MATCH(D789,po_code,0)))</f>
        <v/>
      </c>
      <c r="I789" s="66" t="str">
        <f>IF(M789&lt;&gt;"OK","",INDEX(po_mac,MATCH(D789,po_code,0)))</f>
        <v/>
      </c>
      <c r="J789" s="66" t="str">
        <f>IF(M789&lt;&gt;"OK","",N(E789)*(H789*IF(G789="",1,G789)+I789))</f>
        <v/>
      </c>
      <c r="K789" s="66" t="str">
        <f>IF(M789&lt;&gt;"OK","",N(F789)/60*H789*IF(G789="",1,G789))</f>
        <v/>
      </c>
      <c r="L789" s="66" t="str">
        <f>IF(M789&lt;&gt;"OK","",N(F789)/60*I789)</f>
        <v/>
      </c>
      <c r="M789" s="69" t="str">
        <f>IF(AND(A789="",D789=""),"",IF(A789="","Produit manquant",IF(COUNTIF(prod_ref,A789)=0,"Produit inconnu",IF(D789="","Poste manquant",IF(ISNA(MATCH(D789,po_code,0)),"Poste inconnu",IF(INDEX(po_check,MATCH(D789,po_code,0))&lt;&gt;"OK","Poste à corriger",IF(AND(E789&lt;&gt;"",OR(NOT(ISNUMBER(E789)),N(E789)&lt;0)),"Réglage invalide",IF(AND(F789&lt;&gt;"",OR(NOT(ISNUMBER(F789)),N(F789)&lt;0)),"Temps par pièce invalide",IF(N(E789)+N(F789)=0,"Temps manquant",IF(AND(G789&lt;&gt;"",OR(NOT(ISNUMBER(G789)),N(G789)&lt;=0)),"Opérateurs invalide","OK"))))))))))</f>
        <v/>
      </c>
      <c r="N789" s="71" t="str">
        <f>IF(AND(fiche_sel&lt;&gt;"",A789=fiche_sel),COUNTIF(A$6:A789,fiche_sel),"")</f>
        <v/>
      </c>
    </row>
    <row r="790">
      <c r="A790" s="60" t="n"/>
      <c r="B790" s="73" t="n"/>
      <c r="C790" s="60" t="n"/>
      <c r="D790" s="61" t="n"/>
      <c r="E790" s="74" t="n"/>
      <c r="F790" s="74" t="n"/>
      <c r="G790" s="73" t="n"/>
      <c r="H790" s="66" t="str">
        <f>IF(M790&lt;&gt;"OK","",INDEX(po_mo,MATCH(D790,po_code,0)))</f>
        <v/>
      </c>
      <c r="I790" s="66" t="str">
        <f>IF(M790&lt;&gt;"OK","",INDEX(po_mac,MATCH(D790,po_code,0)))</f>
        <v/>
      </c>
      <c r="J790" s="66" t="str">
        <f>IF(M790&lt;&gt;"OK","",N(E790)*(H790*IF(G790="",1,G790)+I790))</f>
        <v/>
      </c>
      <c r="K790" s="66" t="str">
        <f>IF(M790&lt;&gt;"OK","",N(F790)/60*H790*IF(G790="",1,G790))</f>
        <v/>
      </c>
      <c r="L790" s="66" t="str">
        <f>IF(M790&lt;&gt;"OK","",N(F790)/60*I790)</f>
        <v/>
      </c>
      <c r="M790" s="69" t="str">
        <f>IF(AND(A790="",D790=""),"",IF(A790="","Produit manquant",IF(COUNTIF(prod_ref,A790)=0,"Produit inconnu",IF(D790="","Poste manquant",IF(ISNA(MATCH(D790,po_code,0)),"Poste inconnu",IF(INDEX(po_check,MATCH(D790,po_code,0))&lt;&gt;"OK","Poste à corriger",IF(AND(E790&lt;&gt;"",OR(NOT(ISNUMBER(E790)),N(E790)&lt;0)),"Réglage invalide",IF(AND(F790&lt;&gt;"",OR(NOT(ISNUMBER(F790)),N(F790)&lt;0)),"Temps par pièce invalide",IF(N(E790)+N(F790)=0,"Temps manquant",IF(AND(G790&lt;&gt;"",OR(NOT(ISNUMBER(G790)),N(G790)&lt;=0)),"Opérateurs invalide","OK"))))))))))</f>
        <v/>
      </c>
      <c r="N790" s="71" t="str">
        <f>IF(AND(fiche_sel&lt;&gt;"",A790=fiche_sel),COUNTIF(A$6:A790,fiche_sel),"")</f>
        <v/>
      </c>
    </row>
    <row r="791">
      <c r="A791" s="60" t="n"/>
      <c r="B791" s="73" t="n"/>
      <c r="C791" s="60" t="n"/>
      <c r="D791" s="61" t="n"/>
      <c r="E791" s="74" t="n"/>
      <c r="F791" s="74" t="n"/>
      <c r="G791" s="73" t="n"/>
      <c r="H791" s="66" t="str">
        <f>IF(M791&lt;&gt;"OK","",INDEX(po_mo,MATCH(D791,po_code,0)))</f>
        <v/>
      </c>
      <c r="I791" s="66" t="str">
        <f>IF(M791&lt;&gt;"OK","",INDEX(po_mac,MATCH(D791,po_code,0)))</f>
        <v/>
      </c>
      <c r="J791" s="66" t="str">
        <f>IF(M791&lt;&gt;"OK","",N(E791)*(H791*IF(G791="",1,G791)+I791))</f>
        <v/>
      </c>
      <c r="K791" s="66" t="str">
        <f>IF(M791&lt;&gt;"OK","",N(F791)/60*H791*IF(G791="",1,G791))</f>
        <v/>
      </c>
      <c r="L791" s="66" t="str">
        <f>IF(M791&lt;&gt;"OK","",N(F791)/60*I791)</f>
        <v/>
      </c>
      <c r="M791" s="69" t="str">
        <f>IF(AND(A791="",D791=""),"",IF(A791="","Produit manquant",IF(COUNTIF(prod_ref,A791)=0,"Produit inconnu",IF(D791="","Poste manquant",IF(ISNA(MATCH(D791,po_code,0)),"Poste inconnu",IF(INDEX(po_check,MATCH(D791,po_code,0))&lt;&gt;"OK","Poste à corriger",IF(AND(E791&lt;&gt;"",OR(NOT(ISNUMBER(E791)),N(E791)&lt;0)),"Réglage invalide",IF(AND(F791&lt;&gt;"",OR(NOT(ISNUMBER(F791)),N(F791)&lt;0)),"Temps par pièce invalide",IF(N(E791)+N(F791)=0,"Temps manquant",IF(AND(G791&lt;&gt;"",OR(NOT(ISNUMBER(G791)),N(G791)&lt;=0)),"Opérateurs invalide","OK"))))))))))</f>
        <v/>
      </c>
      <c r="N791" s="71" t="str">
        <f>IF(AND(fiche_sel&lt;&gt;"",A791=fiche_sel),COUNTIF(A$6:A791,fiche_sel),"")</f>
        <v/>
      </c>
    </row>
    <row r="792">
      <c r="A792" s="60" t="n"/>
      <c r="B792" s="73" t="n"/>
      <c r="C792" s="60" t="n"/>
      <c r="D792" s="61" t="n"/>
      <c r="E792" s="74" t="n"/>
      <c r="F792" s="74" t="n"/>
      <c r="G792" s="73" t="n"/>
      <c r="H792" s="66" t="str">
        <f>IF(M792&lt;&gt;"OK","",INDEX(po_mo,MATCH(D792,po_code,0)))</f>
        <v/>
      </c>
      <c r="I792" s="66" t="str">
        <f>IF(M792&lt;&gt;"OK","",INDEX(po_mac,MATCH(D792,po_code,0)))</f>
        <v/>
      </c>
      <c r="J792" s="66" t="str">
        <f>IF(M792&lt;&gt;"OK","",N(E792)*(H792*IF(G792="",1,G792)+I792))</f>
        <v/>
      </c>
      <c r="K792" s="66" t="str">
        <f>IF(M792&lt;&gt;"OK","",N(F792)/60*H792*IF(G792="",1,G792))</f>
        <v/>
      </c>
      <c r="L792" s="66" t="str">
        <f>IF(M792&lt;&gt;"OK","",N(F792)/60*I792)</f>
        <v/>
      </c>
      <c r="M792" s="69" t="str">
        <f>IF(AND(A792="",D792=""),"",IF(A792="","Produit manquant",IF(COUNTIF(prod_ref,A792)=0,"Produit inconnu",IF(D792="","Poste manquant",IF(ISNA(MATCH(D792,po_code,0)),"Poste inconnu",IF(INDEX(po_check,MATCH(D792,po_code,0))&lt;&gt;"OK","Poste à corriger",IF(AND(E792&lt;&gt;"",OR(NOT(ISNUMBER(E792)),N(E792)&lt;0)),"Réglage invalide",IF(AND(F792&lt;&gt;"",OR(NOT(ISNUMBER(F792)),N(F792)&lt;0)),"Temps par pièce invalide",IF(N(E792)+N(F792)=0,"Temps manquant",IF(AND(G792&lt;&gt;"",OR(NOT(ISNUMBER(G792)),N(G792)&lt;=0)),"Opérateurs invalide","OK"))))))))))</f>
        <v/>
      </c>
      <c r="N792" s="71" t="str">
        <f>IF(AND(fiche_sel&lt;&gt;"",A792=fiche_sel),COUNTIF(A$6:A792,fiche_sel),"")</f>
        <v/>
      </c>
    </row>
    <row r="793">
      <c r="A793" s="60" t="n"/>
      <c r="B793" s="73" t="n"/>
      <c r="C793" s="60" t="n"/>
      <c r="D793" s="61" t="n"/>
      <c r="E793" s="74" t="n"/>
      <c r="F793" s="74" t="n"/>
      <c r="G793" s="73" t="n"/>
      <c r="H793" s="66" t="str">
        <f>IF(M793&lt;&gt;"OK","",INDEX(po_mo,MATCH(D793,po_code,0)))</f>
        <v/>
      </c>
      <c r="I793" s="66" t="str">
        <f>IF(M793&lt;&gt;"OK","",INDEX(po_mac,MATCH(D793,po_code,0)))</f>
        <v/>
      </c>
      <c r="J793" s="66" t="str">
        <f>IF(M793&lt;&gt;"OK","",N(E793)*(H793*IF(G793="",1,G793)+I793))</f>
        <v/>
      </c>
      <c r="K793" s="66" t="str">
        <f>IF(M793&lt;&gt;"OK","",N(F793)/60*H793*IF(G793="",1,G793))</f>
        <v/>
      </c>
      <c r="L793" s="66" t="str">
        <f>IF(M793&lt;&gt;"OK","",N(F793)/60*I793)</f>
        <v/>
      </c>
      <c r="M793" s="69" t="str">
        <f>IF(AND(A793="",D793=""),"",IF(A793="","Produit manquant",IF(COUNTIF(prod_ref,A793)=0,"Produit inconnu",IF(D793="","Poste manquant",IF(ISNA(MATCH(D793,po_code,0)),"Poste inconnu",IF(INDEX(po_check,MATCH(D793,po_code,0))&lt;&gt;"OK","Poste à corriger",IF(AND(E793&lt;&gt;"",OR(NOT(ISNUMBER(E793)),N(E793)&lt;0)),"Réglage invalide",IF(AND(F793&lt;&gt;"",OR(NOT(ISNUMBER(F793)),N(F793)&lt;0)),"Temps par pièce invalide",IF(N(E793)+N(F793)=0,"Temps manquant",IF(AND(G793&lt;&gt;"",OR(NOT(ISNUMBER(G793)),N(G793)&lt;=0)),"Opérateurs invalide","OK"))))))))))</f>
        <v/>
      </c>
      <c r="N793" s="71" t="str">
        <f>IF(AND(fiche_sel&lt;&gt;"",A793=fiche_sel),COUNTIF(A$6:A793,fiche_sel),"")</f>
        <v/>
      </c>
    </row>
    <row r="794">
      <c r="A794" s="60" t="n"/>
      <c r="B794" s="73" t="n"/>
      <c r="C794" s="60" t="n"/>
      <c r="D794" s="61" t="n"/>
      <c r="E794" s="74" t="n"/>
      <c r="F794" s="74" t="n"/>
      <c r="G794" s="73" t="n"/>
      <c r="H794" s="66" t="str">
        <f>IF(M794&lt;&gt;"OK","",INDEX(po_mo,MATCH(D794,po_code,0)))</f>
        <v/>
      </c>
      <c r="I794" s="66" t="str">
        <f>IF(M794&lt;&gt;"OK","",INDEX(po_mac,MATCH(D794,po_code,0)))</f>
        <v/>
      </c>
      <c r="J794" s="66" t="str">
        <f>IF(M794&lt;&gt;"OK","",N(E794)*(H794*IF(G794="",1,G794)+I794))</f>
        <v/>
      </c>
      <c r="K794" s="66" t="str">
        <f>IF(M794&lt;&gt;"OK","",N(F794)/60*H794*IF(G794="",1,G794))</f>
        <v/>
      </c>
      <c r="L794" s="66" t="str">
        <f>IF(M794&lt;&gt;"OK","",N(F794)/60*I794)</f>
        <v/>
      </c>
      <c r="M794" s="69" t="str">
        <f>IF(AND(A794="",D794=""),"",IF(A794="","Produit manquant",IF(COUNTIF(prod_ref,A794)=0,"Produit inconnu",IF(D794="","Poste manquant",IF(ISNA(MATCH(D794,po_code,0)),"Poste inconnu",IF(INDEX(po_check,MATCH(D794,po_code,0))&lt;&gt;"OK","Poste à corriger",IF(AND(E794&lt;&gt;"",OR(NOT(ISNUMBER(E794)),N(E794)&lt;0)),"Réglage invalide",IF(AND(F794&lt;&gt;"",OR(NOT(ISNUMBER(F794)),N(F794)&lt;0)),"Temps par pièce invalide",IF(N(E794)+N(F794)=0,"Temps manquant",IF(AND(G794&lt;&gt;"",OR(NOT(ISNUMBER(G794)),N(G794)&lt;=0)),"Opérateurs invalide","OK"))))))))))</f>
        <v/>
      </c>
      <c r="N794" s="71" t="str">
        <f>IF(AND(fiche_sel&lt;&gt;"",A794=fiche_sel),COUNTIF(A$6:A794,fiche_sel),"")</f>
        <v/>
      </c>
    </row>
    <row r="795">
      <c r="A795" s="60" t="n"/>
      <c r="B795" s="73" t="n"/>
      <c r="C795" s="60" t="n"/>
      <c r="D795" s="61" t="n"/>
      <c r="E795" s="74" t="n"/>
      <c r="F795" s="74" t="n"/>
      <c r="G795" s="73" t="n"/>
      <c r="H795" s="66" t="str">
        <f>IF(M795&lt;&gt;"OK","",INDEX(po_mo,MATCH(D795,po_code,0)))</f>
        <v/>
      </c>
      <c r="I795" s="66" t="str">
        <f>IF(M795&lt;&gt;"OK","",INDEX(po_mac,MATCH(D795,po_code,0)))</f>
        <v/>
      </c>
      <c r="J795" s="66" t="str">
        <f>IF(M795&lt;&gt;"OK","",N(E795)*(H795*IF(G795="",1,G795)+I795))</f>
        <v/>
      </c>
      <c r="K795" s="66" t="str">
        <f>IF(M795&lt;&gt;"OK","",N(F795)/60*H795*IF(G795="",1,G795))</f>
        <v/>
      </c>
      <c r="L795" s="66" t="str">
        <f>IF(M795&lt;&gt;"OK","",N(F795)/60*I795)</f>
        <v/>
      </c>
      <c r="M795" s="69" t="str">
        <f>IF(AND(A795="",D795=""),"",IF(A795="","Produit manquant",IF(COUNTIF(prod_ref,A795)=0,"Produit inconnu",IF(D795="","Poste manquant",IF(ISNA(MATCH(D795,po_code,0)),"Poste inconnu",IF(INDEX(po_check,MATCH(D795,po_code,0))&lt;&gt;"OK","Poste à corriger",IF(AND(E795&lt;&gt;"",OR(NOT(ISNUMBER(E795)),N(E795)&lt;0)),"Réglage invalide",IF(AND(F795&lt;&gt;"",OR(NOT(ISNUMBER(F795)),N(F795)&lt;0)),"Temps par pièce invalide",IF(N(E795)+N(F795)=0,"Temps manquant",IF(AND(G795&lt;&gt;"",OR(NOT(ISNUMBER(G795)),N(G795)&lt;=0)),"Opérateurs invalide","OK"))))))))))</f>
        <v/>
      </c>
      <c r="N795" s="71" t="str">
        <f>IF(AND(fiche_sel&lt;&gt;"",A795=fiche_sel),COUNTIF(A$6:A795,fiche_sel),"")</f>
        <v/>
      </c>
    </row>
    <row r="796">
      <c r="A796" s="60" t="n"/>
      <c r="B796" s="73" t="n"/>
      <c r="C796" s="60" t="n"/>
      <c r="D796" s="61" t="n"/>
      <c r="E796" s="74" t="n"/>
      <c r="F796" s="74" t="n"/>
      <c r="G796" s="73" t="n"/>
      <c r="H796" s="66" t="str">
        <f>IF(M796&lt;&gt;"OK","",INDEX(po_mo,MATCH(D796,po_code,0)))</f>
        <v/>
      </c>
      <c r="I796" s="66" t="str">
        <f>IF(M796&lt;&gt;"OK","",INDEX(po_mac,MATCH(D796,po_code,0)))</f>
        <v/>
      </c>
      <c r="J796" s="66" t="str">
        <f>IF(M796&lt;&gt;"OK","",N(E796)*(H796*IF(G796="",1,G796)+I796))</f>
        <v/>
      </c>
      <c r="K796" s="66" t="str">
        <f>IF(M796&lt;&gt;"OK","",N(F796)/60*H796*IF(G796="",1,G796))</f>
        <v/>
      </c>
      <c r="L796" s="66" t="str">
        <f>IF(M796&lt;&gt;"OK","",N(F796)/60*I796)</f>
        <v/>
      </c>
      <c r="M796" s="69" t="str">
        <f>IF(AND(A796="",D796=""),"",IF(A796="","Produit manquant",IF(COUNTIF(prod_ref,A796)=0,"Produit inconnu",IF(D796="","Poste manquant",IF(ISNA(MATCH(D796,po_code,0)),"Poste inconnu",IF(INDEX(po_check,MATCH(D796,po_code,0))&lt;&gt;"OK","Poste à corriger",IF(AND(E796&lt;&gt;"",OR(NOT(ISNUMBER(E796)),N(E796)&lt;0)),"Réglage invalide",IF(AND(F796&lt;&gt;"",OR(NOT(ISNUMBER(F796)),N(F796)&lt;0)),"Temps par pièce invalide",IF(N(E796)+N(F796)=0,"Temps manquant",IF(AND(G796&lt;&gt;"",OR(NOT(ISNUMBER(G796)),N(G796)&lt;=0)),"Opérateurs invalide","OK"))))))))))</f>
        <v/>
      </c>
      <c r="N796" s="71" t="str">
        <f>IF(AND(fiche_sel&lt;&gt;"",A796=fiche_sel),COUNTIF(A$6:A796,fiche_sel),"")</f>
        <v/>
      </c>
    </row>
    <row r="797">
      <c r="A797" s="60" t="n"/>
      <c r="B797" s="73" t="n"/>
      <c r="C797" s="60" t="n"/>
      <c r="D797" s="61" t="n"/>
      <c r="E797" s="74" t="n"/>
      <c r="F797" s="74" t="n"/>
      <c r="G797" s="73" t="n"/>
      <c r="H797" s="66" t="str">
        <f>IF(M797&lt;&gt;"OK","",INDEX(po_mo,MATCH(D797,po_code,0)))</f>
        <v/>
      </c>
      <c r="I797" s="66" t="str">
        <f>IF(M797&lt;&gt;"OK","",INDEX(po_mac,MATCH(D797,po_code,0)))</f>
        <v/>
      </c>
      <c r="J797" s="66" t="str">
        <f>IF(M797&lt;&gt;"OK","",N(E797)*(H797*IF(G797="",1,G797)+I797))</f>
        <v/>
      </c>
      <c r="K797" s="66" t="str">
        <f>IF(M797&lt;&gt;"OK","",N(F797)/60*H797*IF(G797="",1,G797))</f>
        <v/>
      </c>
      <c r="L797" s="66" t="str">
        <f>IF(M797&lt;&gt;"OK","",N(F797)/60*I797)</f>
        <v/>
      </c>
      <c r="M797" s="69" t="str">
        <f>IF(AND(A797="",D797=""),"",IF(A797="","Produit manquant",IF(COUNTIF(prod_ref,A797)=0,"Produit inconnu",IF(D797="","Poste manquant",IF(ISNA(MATCH(D797,po_code,0)),"Poste inconnu",IF(INDEX(po_check,MATCH(D797,po_code,0))&lt;&gt;"OK","Poste à corriger",IF(AND(E797&lt;&gt;"",OR(NOT(ISNUMBER(E797)),N(E797)&lt;0)),"Réglage invalide",IF(AND(F797&lt;&gt;"",OR(NOT(ISNUMBER(F797)),N(F797)&lt;0)),"Temps par pièce invalide",IF(N(E797)+N(F797)=0,"Temps manquant",IF(AND(G797&lt;&gt;"",OR(NOT(ISNUMBER(G797)),N(G797)&lt;=0)),"Opérateurs invalide","OK"))))))))))</f>
        <v/>
      </c>
      <c r="N797" s="71" t="str">
        <f>IF(AND(fiche_sel&lt;&gt;"",A797=fiche_sel),COUNTIF(A$6:A797,fiche_sel),"")</f>
        <v/>
      </c>
    </row>
    <row r="798">
      <c r="A798" s="60" t="n"/>
      <c r="B798" s="73" t="n"/>
      <c r="C798" s="60" t="n"/>
      <c r="D798" s="61" t="n"/>
      <c r="E798" s="74" t="n"/>
      <c r="F798" s="74" t="n"/>
      <c r="G798" s="73" t="n"/>
      <c r="H798" s="66" t="str">
        <f>IF(M798&lt;&gt;"OK","",INDEX(po_mo,MATCH(D798,po_code,0)))</f>
        <v/>
      </c>
      <c r="I798" s="66" t="str">
        <f>IF(M798&lt;&gt;"OK","",INDEX(po_mac,MATCH(D798,po_code,0)))</f>
        <v/>
      </c>
      <c r="J798" s="66" t="str">
        <f>IF(M798&lt;&gt;"OK","",N(E798)*(H798*IF(G798="",1,G798)+I798))</f>
        <v/>
      </c>
      <c r="K798" s="66" t="str">
        <f>IF(M798&lt;&gt;"OK","",N(F798)/60*H798*IF(G798="",1,G798))</f>
        <v/>
      </c>
      <c r="L798" s="66" t="str">
        <f>IF(M798&lt;&gt;"OK","",N(F798)/60*I798)</f>
        <v/>
      </c>
      <c r="M798" s="69" t="str">
        <f>IF(AND(A798="",D798=""),"",IF(A798="","Produit manquant",IF(COUNTIF(prod_ref,A798)=0,"Produit inconnu",IF(D798="","Poste manquant",IF(ISNA(MATCH(D798,po_code,0)),"Poste inconnu",IF(INDEX(po_check,MATCH(D798,po_code,0))&lt;&gt;"OK","Poste à corriger",IF(AND(E798&lt;&gt;"",OR(NOT(ISNUMBER(E798)),N(E798)&lt;0)),"Réglage invalide",IF(AND(F798&lt;&gt;"",OR(NOT(ISNUMBER(F798)),N(F798)&lt;0)),"Temps par pièce invalide",IF(N(E798)+N(F798)=0,"Temps manquant",IF(AND(G798&lt;&gt;"",OR(NOT(ISNUMBER(G798)),N(G798)&lt;=0)),"Opérateurs invalide","OK"))))))))))</f>
        <v/>
      </c>
      <c r="N798" s="71" t="str">
        <f>IF(AND(fiche_sel&lt;&gt;"",A798=fiche_sel),COUNTIF(A$6:A798,fiche_sel),"")</f>
        <v/>
      </c>
    </row>
    <row r="799">
      <c r="A799" s="60" t="n"/>
      <c r="B799" s="73" t="n"/>
      <c r="C799" s="60" t="n"/>
      <c r="D799" s="61" t="n"/>
      <c r="E799" s="74" t="n"/>
      <c r="F799" s="74" t="n"/>
      <c r="G799" s="73" t="n"/>
      <c r="H799" s="66" t="str">
        <f>IF(M799&lt;&gt;"OK","",INDEX(po_mo,MATCH(D799,po_code,0)))</f>
        <v/>
      </c>
      <c r="I799" s="66" t="str">
        <f>IF(M799&lt;&gt;"OK","",INDEX(po_mac,MATCH(D799,po_code,0)))</f>
        <v/>
      </c>
      <c r="J799" s="66" t="str">
        <f>IF(M799&lt;&gt;"OK","",N(E799)*(H799*IF(G799="",1,G799)+I799))</f>
        <v/>
      </c>
      <c r="K799" s="66" t="str">
        <f>IF(M799&lt;&gt;"OK","",N(F799)/60*H799*IF(G799="",1,G799))</f>
        <v/>
      </c>
      <c r="L799" s="66" t="str">
        <f>IF(M799&lt;&gt;"OK","",N(F799)/60*I799)</f>
        <v/>
      </c>
      <c r="M799" s="69" t="str">
        <f>IF(AND(A799="",D799=""),"",IF(A799="","Produit manquant",IF(COUNTIF(prod_ref,A799)=0,"Produit inconnu",IF(D799="","Poste manquant",IF(ISNA(MATCH(D799,po_code,0)),"Poste inconnu",IF(INDEX(po_check,MATCH(D799,po_code,0))&lt;&gt;"OK","Poste à corriger",IF(AND(E799&lt;&gt;"",OR(NOT(ISNUMBER(E799)),N(E799)&lt;0)),"Réglage invalide",IF(AND(F799&lt;&gt;"",OR(NOT(ISNUMBER(F799)),N(F799)&lt;0)),"Temps par pièce invalide",IF(N(E799)+N(F799)=0,"Temps manquant",IF(AND(G799&lt;&gt;"",OR(NOT(ISNUMBER(G799)),N(G799)&lt;=0)),"Opérateurs invalide","OK"))))))))))</f>
        <v/>
      </c>
      <c r="N799" s="71" t="str">
        <f>IF(AND(fiche_sel&lt;&gt;"",A799=fiche_sel),COUNTIF(A$6:A799,fiche_sel),"")</f>
        <v/>
      </c>
    </row>
    <row r="800">
      <c r="A800" s="60" t="n"/>
      <c r="B800" s="73" t="n"/>
      <c r="C800" s="60" t="n"/>
      <c r="D800" s="61" t="n"/>
      <c r="E800" s="74" t="n"/>
      <c r="F800" s="74" t="n"/>
      <c r="G800" s="73" t="n"/>
      <c r="H800" s="66" t="str">
        <f>IF(M800&lt;&gt;"OK","",INDEX(po_mo,MATCH(D800,po_code,0)))</f>
        <v/>
      </c>
      <c r="I800" s="66" t="str">
        <f>IF(M800&lt;&gt;"OK","",INDEX(po_mac,MATCH(D800,po_code,0)))</f>
        <v/>
      </c>
      <c r="J800" s="66" t="str">
        <f>IF(M800&lt;&gt;"OK","",N(E800)*(H800*IF(G800="",1,G800)+I800))</f>
        <v/>
      </c>
      <c r="K800" s="66" t="str">
        <f>IF(M800&lt;&gt;"OK","",N(F800)/60*H800*IF(G800="",1,G800))</f>
        <v/>
      </c>
      <c r="L800" s="66" t="str">
        <f>IF(M800&lt;&gt;"OK","",N(F800)/60*I800)</f>
        <v/>
      </c>
      <c r="M800" s="69" t="str">
        <f>IF(AND(A800="",D800=""),"",IF(A800="","Produit manquant",IF(COUNTIF(prod_ref,A800)=0,"Produit inconnu",IF(D800="","Poste manquant",IF(ISNA(MATCH(D800,po_code,0)),"Poste inconnu",IF(INDEX(po_check,MATCH(D800,po_code,0))&lt;&gt;"OK","Poste à corriger",IF(AND(E800&lt;&gt;"",OR(NOT(ISNUMBER(E800)),N(E800)&lt;0)),"Réglage invalide",IF(AND(F800&lt;&gt;"",OR(NOT(ISNUMBER(F800)),N(F800)&lt;0)),"Temps par pièce invalide",IF(N(E800)+N(F800)=0,"Temps manquant",IF(AND(G800&lt;&gt;"",OR(NOT(ISNUMBER(G800)),N(G800)&lt;=0)),"Opérateurs invalide","OK"))))))))))</f>
        <v/>
      </c>
      <c r="N800" s="71" t="str">
        <f>IF(AND(fiche_sel&lt;&gt;"",A800=fiche_sel),COUNTIF(A$6:A800,fiche_sel),"")</f>
        <v/>
      </c>
    </row>
    <row r="801">
      <c r="A801" s="60" t="n"/>
      <c r="B801" s="73" t="n"/>
      <c r="C801" s="60" t="n"/>
      <c r="D801" s="61" t="n"/>
      <c r="E801" s="74" t="n"/>
      <c r="F801" s="74" t="n"/>
      <c r="G801" s="73" t="n"/>
      <c r="H801" s="66" t="str">
        <f>IF(M801&lt;&gt;"OK","",INDEX(po_mo,MATCH(D801,po_code,0)))</f>
        <v/>
      </c>
      <c r="I801" s="66" t="str">
        <f>IF(M801&lt;&gt;"OK","",INDEX(po_mac,MATCH(D801,po_code,0)))</f>
        <v/>
      </c>
      <c r="J801" s="66" t="str">
        <f>IF(M801&lt;&gt;"OK","",N(E801)*(H801*IF(G801="",1,G801)+I801))</f>
        <v/>
      </c>
      <c r="K801" s="66" t="str">
        <f>IF(M801&lt;&gt;"OK","",N(F801)/60*H801*IF(G801="",1,G801))</f>
        <v/>
      </c>
      <c r="L801" s="66" t="str">
        <f>IF(M801&lt;&gt;"OK","",N(F801)/60*I801)</f>
        <v/>
      </c>
      <c r="M801" s="69" t="str">
        <f>IF(AND(A801="",D801=""),"",IF(A801="","Produit manquant",IF(COUNTIF(prod_ref,A801)=0,"Produit inconnu",IF(D801="","Poste manquant",IF(ISNA(MATCH(D801,po_code,0)),"Poste inconnu",IF(INDEX(po_check,MATCH(D801,po_code,0))&lt;&gt;"OK","Poste à corriger",IF(AND(E801&lt;&gt;"",OR(NOT(ISNUMBER(E801)),N(E801)&lt;0)),"Réglage invalide",IF(AND(F801&lt;&gt;"",OR(NOT(ISNUMBER(F801)),N(F801)&lt;0)),"Temps par pièce invalide",IF(N(E801)+N(F801)=0,"Temps manquant",IF(AND(G801&lt;&gt;"",OR(NOT(ISNUMBER(G801)),N(G801)&lt;=0)),"Opérateurs invalide","OK"))))))))))</f>
        <v/>
      </c>
      <c r="N801" s="71" t="str">
        <f>IF(AND(fiche_sel&lt;&gt;"",A801=fiche_sel),COUNTIF(A$6:A801,fiche_sel),"")</f>
        <v/>
      </c>
    </row>
    <row r="802">
      <c r="A802" s="60" t="n"/>
      <c r="B802" s="73" t="n"/>
      <c r="C802" s="60" t="n"/>
      <c r="D802" s="61" t="n"/>
      <c r="E802" s="74" t="n"/>
      <c r="F802" s="74" t="n"/>
      <c r="G802" s="73" t="n"/>
      <c r="H802" s="66" t="str">
        <f>IF(M802&lt;&gt;"OK","",INDEX(po_mo,MATCH(D802,po_code,0)))</f>
        <v/>
      </c>
      <c r="I802" s="66" t="str">
        <f>IF(M802&lt;&gt;"OK","",INDEX(po_mac,MATCH(D802,po_code,0)))</f>
        <v/>
      </c>
      <c r="J802" s="66" t="str">
        <f>IF(M802&lt;&gt;"OK","",N(E802)*(H802*IF(G802="",1,G802)+I802))</f>
        <v/>
      </c>
      <c r="K802" s="66" t="str">
        <f>IF(M802&lt;&gt;"OK","",N(F802)/60*H802*IF(G802="",1,G802))</f>
        <v/>
      </c>
      <c r="L802" s="66" t="str">
        <f>IF(M802&lt;&gt;"OK","",N(F802)/60*I802)</f>
        <v/>
      </c>
      <c r="M802" s="69" t="str">
        <f>IF(AND(A802="",D802=""),"",IF(A802="","Produit manquant",IF(COUNTIF(prod_ref,A802)=0,"Produit inconnu",IF(D802="","Poste manquant",IF(ISNA(MATCH(D802,po_code,0)),"Poste inconnu",IF(INDEX(po_check,MATCH(D802,po_code,0))&lt;&gt;"OK","Poste à corriger",IF(AND(E802&lt;&gt;"",OR(NOT(ISNUMBER(E802)),N(E802)&lt;0)),"Réglage invalide",IF(AND(F802&lt;&gt;"",OR(NOT(ISNUMBER(F802)),N(F802)&lt;0)),"Temps par pièce invalide",IF(N(E802)+N(F802)=0,"Temps manquant",IF(AND(G802&lt;&gt;"",OR(NOT(ISNUMBER(G802)),N(G802)&lt;=0)),"Opérateurs invalide","OK"))))))))))</f>
        <v/>
      </c>
      <c r="N802" s="71" t="str">
        <f>IF(AND(fiche_sel&lt;&gt;"",A802=fiche_sel),COUNTIF(A$6:A802,fiche_sel),"")</f>
        <v/>
      </c>
    </row>
    <row r="803">
      <c r="A803" s="60" t="n"/>
      <c r="B803" s="73" t="n"/>
      <c r="C803" s="60" t="n"/>
      <c r="D803" s="61" t="n"/>
      <c r="E803" s="74" t="n"/>
      <c r="F803" s="74" t="n"/>
      <c r="G803" s="73" t="n"/>
      <c r="H803" s="66" t="str">
        <f>IF(M803&lt;&gt;"OK","",INDEX(po_mo,MATCH(D803,po_code,0)))</f>
        <v/>
      </c>
      <c r="I803" s="66" t="str">
        <f>IF(M803&lt;&gt;"OK","",INDEX(po_mac,MATCH(D803,po_code,0)))</f>
        <v/>
      </c>
      <c r="J803" s="66" t="str">
        <f>IF(M803&lt;&gt;"OK","",N(E803)*(H803*IF(G803="",1,G803)+I803))</f>
        <v/>
      </c>
      <c r="K803" s="66" t="str">
        <f>IF(M803&lt;&gt;"OK","",N(F803)/60*H803*IF(G803="",1,G803))</f>
        <v/>
      </c>
      <c r="L803" s="66" t="str">
        <f>IF(M803&lt;&gt;"OK","",N(F803)/60*I803)</f>
        <v/>
      </c>
      <c r="M803" s="69" t="str">
        <f>IF(AND(A803="",D803=""),"",IF(A803="","Produit manquant",IF(COUNTIF(prod_ref,A803)=0,"Produit inconnu",IF(D803="","Poste manquant",IF(ISNA(MATCH(D803,po_code,0)),"Poste inconnu",IF(INDEX(po_check,MATCH(D803,po_code,0))&lt;&gt;"OK","Poste à corriger",IF(AND(E803&lt;&gt;"",OR(NOT(ISNUMBER(E803)),N(E803)&lt;0)),"Réglage invalide",IF(AND(F803&lt;&gt;"",OR(NOT(ISNUMBER(F803)),N(F803)&lt;0)),"Temps par pièce invalide",IF(N(E803)+N(F803)=0,"Temps manquant",IF(AND(G803&lt;&gt;"",OR(NOT(ISNUMBER(G803)),N(G803)&lt;=0)),"Opérateurs invalide","OK"))))))))))</f>
        <v/>
      </c>
      <c r="N803" s="71" t="str">
        <f>IF(AND(fiche_sel&lt;&gt;"",A803=fiche_sel),COUNTIF(A$6:A803,fiche_sel),"")</f>
        <v/>
      </c>
    </row>
    <row r="804">
      <c r="A804" s="60" t="n"/>
      <c r="B804" s="73" t="n"/>
      <c r="C804" s="60" t="n"/>
      <c r="D804" s="61" t="n"/>
      <c r="E804" s="74" t="n"/>
      <c r="F804" s="74" t="n"/>
      <c r="G804" s="73" t="n"/>
      <c r="H804" s="66" t="str">
        <f>IF(M804&lt;&gt;"OK","",INDEX(po_mo,MATCH(D804,po_code,0)))</f>
        <v/>
      </c>
      <c r="I804" s="66" t="str">
        <f>IF(M804&lt;&gt;"OK","",INDEX(po_mac,MATCH(D804,po_code,0)))</f>
        <v/>
      </c>
      <c r="J804" s="66" t="str">
        <f>IF(M804&lt;&gt;"OK","",N(E804)*(H804*IF(G804="",1,G804)+I804))</f>
        <v/>
      </c>
      <c r="K804" s="66" t="str">
        <f>IF(M804&lt;&gt;"OK","",N(F804)/60*H804*IF(G804="",1,G804))</f>
        <v/>
      </c>
      <c r="L804" s="66" t="str">
        <f>IF(M804&lt;&gt;"OK","",N(F804)/60*I804)</f>
        <v/>
      </c>
      <c r="M804" s="69" t="str">
        <f>IF(AND(A804="",D804=""),"",IF(A804="","Produit manquant",IF(COUNTIF(prod_ref,A804)=0,"Produit inconnu",IF(D804="","Poste manquant",IF(ISNA(MATCH(D804,po_code,0)),"Poste inconnu",IF(INDEX(po_check,MATCH(D804,po_code,0))&lt;&gt;"OK","Poste à corriger",IF(AND(E804&lt;&gt;"",OR(NOT(ISNUMBER(E804)),N(E804)&lt;0)),"Réglage invalide",IF(AND(F804&lt;&gt;"",OR(NOT(ISNUMBER(F804)),N(F804)&lt;0)),"Temps par pièce invalide",IF(N(E804)+N(F804)=0,"Temps manquant",IF(AND(G804&lt;&gt;"",OR(NOT(ISNUMBER(G804)),N(G804)&lt;=0)),"Opérateurs invalide","OK"))))))))))</f>
        <v/>
      </c>
      <c r="N804" s="71" t="str">
        <f>IF(AND(fiche_sel&lt;&gt;"",A804=fiche_sel),COUNTIF(A$6:A804,fiche_sel),"")</f>
        <v/>
      </c>
    </row>
    <row r="805">
      <c r="A805" s="60" t="n"/>
      <c r="B805" s="73" t="n"/>
      <c r="C805" s="60" t="n"/>
      <c r="D805" s="61" t="n"/>
      <c r="E805" s="74" t="n"/>
      <c r="F805" s="74" t="n"/>
      <c r="G805" s="73" t="n"/>
      <c r="H805" s="66" t="str">
        <f>IF(M805&lt;&gt;"OK","",INDEX(po_mo,MATCH(D805,po_code,0)))</f>
        <v/>
      </c>
      <c r="I805" s="66" t="str">
        <f>IF(M805&lt;&gt;"OK","",INDEX(po_mac,MATCH(D805,po_code,0)))</f>
        <v/>
      </c>
      <c r="J805" s="66" t="str">
        <f>IF(M805&lt;&gt;"OK","",N(E805)*(H805*IF(G805="",1,G805)+I805))</f>
        <v/>
      </c>
      <c r="K805" s="66" t="str">
        <f>IF(M805&lt;&gt;"OK","",N(F805)/60*H805*IF(G805="",1,G805))</f>
        <v/>
      </c>
      <c r="L805" s="66" t="str">
        <f>IF(M805&lt;&gt;"OK","",N(F805)/60*I805)</f>
        <v/>
      </c>
      <c r="M805" s="69" t="str">
        <f>IF(AND(A805="",D805=""),"",IF(A805="","Produit manquant",IF(COUNTIF(prod_ref,A805)=0,"Produit inconnu",IF(D805="","Poste manquant",IF(ISNA(MATCH(D805,po_code,0)),"Poste inconnu",IF(INDEX(po_check,MATCH(D805,po_code,0))&lt;&gt;"OK","Poste à corriger",IF(AND(E805&lt;&gt;"",OR(NOT(ISNUMBER(E805)),N(E805)&lt;0)),"Réglage invalide",IF(AND(F805&lt;&gt;"",OR(NOT(ISNUMBER(F805)),N(F805)&lt;0)),"Temps par pièce invalide",IF(N(E805)+N(F805)=0,"Temps manquant",IF(AND(G805&lt;&gt;"",OR(NOT(ISNUMBER(G805)),N(G805)&lt;=0)),"Opérateurs invalide","OK"))))))))))</f>
        <v/>
      </c>
      <c r="N805" s="71" t="str">
        <f>IF(AND(fiche_sel&lt;&gt;"",A805=fiche_sel),COUNTIF(A$6:A805,fiche_sel),"")</f>
        <v/>
      </c>
    </row>
    <row r="806">
      <c r="A806" s="60" t="n"/>
      <c r="B806" s="73" t="n"/>
      <c r="C806" s="60" t="n"/>
      <c r="D806" s="61" t="n"/>
      <c r="E806" s="74" t="n"/>
      <c r="F806" s="74" t="n"/>
      <c r="G806" s="73" t="n"/>
      <c r="H806" s="66" t="str">
        <f>IF(M806&lt;&gt;"OK","",INDEX(po_mo,MATCH(D806,po_code,0)))</f>
        <v/>
      </c>
      <c r="I806" s="66" t="str">
        <f>IF(M806&lt;&gt;"OK","",INDEX(po_mac,MATCH(D806,po_code,0)))</f>
        <v/>
      </c>
      <c r="J806" s="66" t="str">
        <f>IF(M806&lt;&gt;"OK","",N(E806)*(H806*IF(G806="",1,G806)+I806))</f>
        <v/>
      </c>
      <c r="K806" s="66" t="str">
        <f>IF(M806&lt;&gt;"OK","",N(F806)/60*H806*IF(G806="",1,G806))</f>
        <v/>
      </c>
      <c r="L806" s="66" t="str">
        <f>IF(M806&lt;&gt;"OK","",N(F806)/60*I806)</f>
        <v/>
      </c>
      <c r="M806" s="69" t="str">
        <f>IF(AND(A806="",D806=""),"",IF(A806="","Produit manquant",IF(COUNTIF(prod_ref,A806)=0,"Produit inconnu",IF(D806="","Poste manquant",IF(ISNA(MATCH(D806,po_code,0)),"Poste inconnu",IF(INDEX(po_check,MATCH(D806,po_code,0))&lt;&gt;"OK","Poste à corriger",IF(AND(E806&lt;&gt;"",OR(NOT(ISNUMBER(E806)),N(E806)&lt;0)),"Réglage invalide",IF(AND(F806&lt;&gt;"",OR(NOT(ISNUMBER(F806)),N(F806)&lt;0)),"Temps par pièce invalide",IF(N(E806)+N(F806)=0,"Temps manquant",IF(AND(G806&lt;&gt;"",OR(NOT(ISNUMBER(G806)),N(G806)&lt;=0)),"Opérateurs invalide","OK"))))))))))</f>
        <v/>
      </c>
      <c r="N806" s="71" t="str">
        <f>IF(AND(fiche_sel&lt;&gt;"",A806=fiche_sel),COUNTIF(A$6:A806,fiche_sel),"")</f>
        <v/>
      </c>
    </row>
    <row r="807">
      <c r="A807" s="60" t="n"/>
      <c r="B807" s="73" t="n"/>
      <c r="C807" s="60" t="n"/>
      <c r="D807" s="61" t="n"/>
      <c r="E807" s="74" t="n"/>
      <c r="F807" s="74" t="n"/>
      <c r="G807" s="73" t="n"/>
      <c r="H807" s="66" t="str">
        <f>IF(M807&lt;&gt;"OK","",INDEX(po_mo,MATCH(D807,po_code,0)))</f>
        <v/>
      </c>
      <c r="I807" s="66" t="str">
        <f>IF(M807&lt;&gt;"OK","",INDEX(po_mac,MATCH(D807,po_code,0)))</f>
        <v/>
      </c>
      <c r="J807" s="66" t="str">
        <f>IF(M807&lt;&gt;"OK","",N(E807)*(H807*IF(G807="",1,G807)+I807))</f>
        <v/>
      </c>
      <c r="K807" s="66" t="str">
        <f>IF(M807&lt;&gt;"OK","",N(F807)/60*H807*IF(G807="",1,G807))</f>
        <v/>
      </c>
      <c r="L807" s="66" t="str">
        <f>IF(M807&lt;&gt;"OK","",N(F807)/60*I807)</f>
        <v/>
      </c>
      <c r="M807" s="69" t="str">
        <f>IF(AND(A807="",D807=""),"",IF(A807="","Produit manquant",IF(COUNTIF(prod_ref,A807)=0,"Produit inconnu",IF(D807="","Poste manquant",IF(ISNA(MATCH(D807,po_code,0)),"Poste inconnu",IF(INDEX(po_check,MATCH(D807,po_code,0))&lt;&gt;"OK","Poste à corriger",IF(AND(E807&lt;&gt;"",OR(NOT(ISNUMBER(E807)),N(E807)&lt;0)),"Réglage invalide",IF(AND(F807&lt;&gt;"",OR(NOT(ISNUMBER(F807)),N(F807)&lt;0)),"Temps par pièce invalide",IF(N(E807)+N(F807)=0,"Temps manquant",IF(AND(G807&lt;&gt;"",OR(NOT(ISNUMBER(G807)),N(G807)&lt;=0)),"Opérateurs invalide","OK"))))))))))</f>
        <v/>
      </c>
      <c r="N807" s="71" t="str">
        <f>IF(AND(fiche_sel&lt;&gt;"",A807=fiche_sel),COUNTIF(A$6:A807,fiche_sel),"")</f>
        <v/>
      </c>
    </row>
    <row r="808">
      <c r="A808" s="60" t="n"/>
      <c r="B808" s="73" t="n"/>
      <c r="C808" s="60" t="n"/>
      <c r="D808" s="61" t="n"/>
      <c r="E808" s="74" t="n"/>
      <c r="F808" s="74" t="n"/>
      <c r="G808" s="73" t="n"/>
      <c r="H808" s="66" t="str">
        <f>IF(M808&lt;&gt;"OK","",INDEX(po_mo,MATCH(D808,po_code,0)))</f>
        <v/>
      </c>
      <c r="I808" s="66" t="str">
        <f>IF(M808&lt;&gt;"OK","",INDEX(po_mac,MATCH(D808,po_code,0)))</f>
        <v/>
      </c>
      <c r="J808" s="66" t="str">
        <f>IF(M808&lt;&gt;"OK","",N(E808)*(H808*IF(G808="",1,G808)+I808))</f>
        <v/>
      </c>
      <c r="K808" s="66" t="str">
        <f>IF(M808&lt;&gt;"OK","",N(F808)/60*H808*IF(G808="",1,G808))</f>
        <v/>
      </c>
      <c r="L808" s="66" t="str">
        <f>IF(M808&lt;&gt;"OK","",N(F808)/60*I808)</f>
        <v/>
      </c>
      <c r="M808" s="69" t="str">
        <f>IF(AND(A808="",D808=""),"",IF(A808="","Produit manquant",IF(COUNTIF(prod_ref,A808)=0,"Produit inconnu",IF(D808="","Poste manquant",IF(ISNA(MATCH(D808,po_code,0)),"Poste inconnu",IF(INDEX(po_check,MATCH(D808,po_code,0))&lt;&gt;"OK","Poste à corriger",IF(AND(E808&lt;&gt;"",OR(NOT(ISNUMBER(E808)),N(E808)&lt;0)),"Réglage invalide",IF(AND(F808&lt;&gt;"",OR(NOT(ISNUMBER(F808)),N(F808)&lt;0)),"Temps par pièce invalide",IF(N(E808)+N(F808)=0,"Temps manquant",IF(AND(G808&lt;&gt;"",OR(NOT(ISNUMBER(G808)),N(G808)&lt;=0)),"Opérateurs invalide","OK"))))))))))</f>
        <v/>
      </c>
      <c r="N808" s="71" t="str">
        <f>IF(AND(fiche_sel&lt;&gt;"",A808=fiche_sel),COUNTIF(A$6:A808,fiche_sel),"")</f>
        <v/>
      </c>
    </row>
    <row r="809">
      <c r="A809" s="60" t="n"/>
      <c r="B809" s="73" t="n"/>
      <c r="C809" s="60" t="n"/>
      <c r="D809" s="61" t="n"/>
      <c r="E809" s="74" t="n"/>
      <c r="F809" s="74" t="n"/>
      <c r="G809" s="73" t="n"/>
      <c r="H809" s="66" t="str">
        <f>IF(M809&lt;&gt;"OK","",INDEX(po_mo,MATCH(D809,po_code,0)))</f>
        <v/>
      </c>
      <c r="I809" s="66" t="str">
        <f>IF(M809&lt;&gt;"OK","",INDEX(po_mac,MATCH(D809,po_code,0)))</f>
        <v/>
      </c>
      <c r="J809" s="66" t="str">
        <f>IF(M809&lt;&gt;"OK","",N(E809)*(H809*IF(G809="",1,G809)+I809))</f>
        <v/>
      </c>
      <c r="K809" s="66" t="str">
        <f>IF(M809&lt;&gt;"OK","",N(F809)/60*H809*IF(G809="",1,G809))</f>
        <v/>
      </c>
      <c r="L809" s="66" t="str">
        <f>IF(M809&lt;&gt;"OK","",N(F809)/60*I809)</f>
        <v/>
      </c>
      <c r="M809" s="69" t="str">
        <f>IF(AND(A809="",D809=""),"",IF(A809="","Produit manquant",IF(COUNTIF(prod_ref,A809)=0,"Produit inconnu",IF(D809="","Poste manquant",IF(ISNA(MATCH(D809,po_code,0)),"Poste inconnu",IF(INDEX(po_check,MATCH(D809,po_code,0))&lt;&gt;"OK","Poste à corriger",IF(AND(E809&lt;&gt;"",OR(NOT(ISNUMBER(E809)),N(E809)&lt;0)),"Réglage invalide",IF(AND(F809&lt;&gt;"",OR(NOT(ISNUMBER(F809)),N(F809)&lt;0)),"Temps par pièce invalide",IF(N(E809)+N(F809)=0,"Temps manquant",IF(AND(G809&lt;&gt;"",OR(NOT(ISNUMBER(G809)),N(G809)&lt;=0)),"Opérateurs invalide","OK"))))))))))</f>
        <v/>
      </c>
      <c r="N809" s="71" t="str">
        <f>IF(AND(fiche_sel&lt;&gt;"",A809=fiche_sel),COUNTIF(A$6:A809,fiche_sel),"")</f>
        <v/>
      </c>
    </row>
    <row r="810">
      <c r="A810" s="60" t="n"/>
      <c r="B810" s="73" t="n"/>
      <c r="C810" s="60" t="n"/>
      <c r="D810" s="61" t="n"/>
      <c r="E810" s="74" t="n"/>
      <c r="F810" s="74" t="n"/>
      <c r="G810" s="73" t="n"/>
      <c r="H810" s="66" t="str">
        <f>IF(M810&lt;&gt;"OK","",INDEX(po_mo,MATCH(D810,po_code,0)))</f>
        <v/>
      </c>
      <c r="I810" s="66" t="str">
        <f>IF(M810&lt;&gt;"OK","",INDEX(po_mac,MATCH(D810,po_code,0)))</f>
        <v/>
      </c>
      <c r="J810" s="66" t="str">
        <f>IF(M810&lt;&gt;"OK","",N(E810)*(H810*IF(G810="",1,G810)+I810))</f>
        <v/>
      </c>
      <c r="K810" s="66" t="str">
        <f>IF(M810&lt;&gt;"OK","",N(F810)/60*H810*IF(G810="",1,G810))</f>
        <v/>
      </c>
      <c r="L810" s="66" t="str">
        <f>IF(M810&lt;&gt;"OK","",N(F810)/60*I810)</f>
        <v/>
      </c>
      <c r="M810" s="69" t="str">
        <f>IF(AND(A810="",D810=""),"",IF(A810="","Produit manquant",IF(COUNTIF(prod_ref,A810)=0,"Produit inconnu",IF(D810="","Poste manquant",IF(ISNA(MATCH(D810,po_code,0)),"Poste inconnu",IF(INDEX(po_check,MATCH(D810,po_code,0))&lt;&gt;"OK","Poste à corriger",IF(AND(E810&lt;&gt;"",OR(NOT(ISNUMBER(E810)),N(E810)&lt;0)),"Réglage invalide",IF(AND(F810&lt;&gt;"",OR(NOT(ISNUMBER(F810)),N(F810)&lt;0)),"Temps par pièce invalide",IF(N(E810)+N(F810)=0,"Temps manquant",IF(AND(G810&lt;&gt;"",OR(NOT(ISNUMBER(G810)),N(G810)&lt;=0)),"Opérateurs invalide","OK"))))))))))</f>
        <v/>
      </c>
      <c r="N810" s="71" t="str">
        <f>IF(AND(fiche_sel&lt;&gt;"",A810=fiche_sel),COUNTIF(A$6:A810,fiche_sel),"")</f>
        <v/>
      </c>
    </row>
    <row r="811">
      <c r="A811" s="60" t="n"/>
      <c r="B811" s="73" t="n"/>
      <c r="C811" s="60" t="n"/>
      <c r="D811" s="61" t="n"/>
      <c r="E811" s="74" t="n"/>
      <c r="F811" s="74" t="n"/>
      <c r="G811" s="73" t="n"/>
      <c r="H811" s="66" t="str">
        <f>IF(M811&lt;&gt;"OK","",INDEX(po_mo,MATCH(D811,po_code,0)))</f>
        <v/>
      </c>
      <c r="I811" s="66" t="str">
        <f>IF(M811&lt;&gt;"OK","",INDEX(po_mac,MATCH(D811,po_code,0)))</f>
        <v/>
      </c>
      <c r="J811" s="66" t="str">
        <f>IF(M811&lt;&gt;"OK","",N(E811)*(H811*IF(G811="",1,G811)+I811))</f>
        <v/>
      </c>
      <c r="K811" s="66" t="str">
        <f>IF(M811&lt;&gt;"OK","",N(F811)/60*H811*IF(G811="",1,G811))</f>
        <v/>
      </c>
      <c r="L811" s="66" t="str">
        <f>IF(M811&lt;&gt;"OK","",N(F811)/60*I811)</f>
        <v/>
      </c>
      <c r="M811" s="69" t="str">
        <f>IF(AND(A811="",D811=""),"",IF(A811="","Produit manquant",IF(COUNTIF(prod_ref,A811)=0,"Produit inconnu",IF(D811="","Poste manquant",IF(ISNA(MATCH(D811,po_code,0)),"Poste inconnu",IF(INDEX(po_check,MATCH(D811,po_code,0))&lt;&gt;"OK","Poste à corriger",IF(AND(E811&lt;&gt;"",OR(NOT(ISNUMBER(E811)),N(E811)&lt;0)),"Réglage invalide",IF(AND(F811&lt;&gt;"",OR(NOT(ISNUMBER(F811)),N(F811)&lt;0)),"Temps par pièce invalide",IF(N(E811)+N(F811)=0,"Temps manquant",IF(AND(G811&lt;&gt;"",OR(NOT(ISNUMBER(G811)),N(G811)&lt;=0)),"Opérateurs invalide","OK"))))))))))</f>
        <v/>
      </c>
      <c r="N811" s="71" t="str">
        <f>IF(AND(fiche_sel&lt;&gt;"",A811=fiche_sel),COUNTIF(A$6:A811,fiche_sel),"")</f>
        <v/>
      </c>
    </row>
    <row r="812">
      <c r="A812" s="60" t="n"/>
      <c r="B812" s="73" t="n"/>
      <c r="C812" s="60" t="n"/>
      <c r="D812" s="61" t="n"/>
      <c r="E812" s="74" t="n"/>
      <c r="F812" s="74" t="n"/>
      <c r="G812" s="73" t="n"/>
      <c r="H812" s="66" t="str">
        <f>IF(M812&lt;&gt;"OK","",INDEX(po_mo,MATCH(D812,po_code,0)))</f>
        <v/>
      </c>
      <c r="I812" s="66" t="str">
        <f>IF(M812&lt;&gt;"OK","",INDEX(po_mac,MATCH(D812,po_code,0)))</f>
        <v/>
      </c>
      <c r="J812" s="66" t="str">
        <f>IF(M812&lt;&gt;"OK","",N(E812)*(H812*IF(G812="",1,G812)+I812))</f>
        <v/>
      </c>
      <c r="K812" s="66" t="str">
        <f>IF(M812&lt;&gt;"OK","",N(F812)/60*H812*IF(G812="",1,G812))</f>
        <v/>
      </c>
      <c r="L812" s="66" t="str">
        <f>IF(M812&lt;&gt;"OK","",N(F812)/60*I812)</f>
        <v/>
      </c>
      <c r="M812" s="69" t="str">
        <f>IF(AND(A812="",D812=""),"",IF(A812="","Produit manquant",IF(COUNTIF(prod_ref,A812)=0,"Produit inconnu",IF(D812="","Poste manquant",IF(ISNA(MATCH(D812,po_code,0)),"Poste inconnu",IF(INDEX(po_check,MATCH(D812,po_code,0))&lt;&gt;"OK","Poste à corriger",IF(AND(E812&lt;&gt;"",OR(NOT(ISNUMBER(E812)),N(E812)&lt;0)),"Réglage invalide",IF(AND(F812&lt;&gt;"",OR(NOT(ISNUMBER(F812)),N(F812)&lt;0)),"Temps par pièce invalide",IF(N(E812)+N(F812)=0,"Temps manquant",IF(AND(G812&lt;&gt;"",OR(NOT(ISNUMBER(G812)),N(G812)&lt;=0)),"Opérateurs invalide","OK"))))))))))</f>
        <v/>
      </c>
      <c r="N812" s="71" t="str">
        <f>IF(AND(fiche_sel&lt;&gt;"",A812=fiche_sel),COUNTIF(A$6:A812,fiche_sel),"")</f>
        <v/>
      </c>
    </row>
    <row r="813">
      <c r="A813" s="60" t="n"/>
      <c r="B813" s="73" t="n"/>
      <c r="C813" s="60" t="n"/>
      <c r="D813" s="61" t="n"/>
      <c r="E813" s="74" t="n"/>
      <c r="F813" s="74" t="n"/>
      <c r="G813" s="73" t="n"/>
      <c r="H813" s="66" t="str">
        <f>IF(M813&lt;&gt;"OK","",INDEX(po_mo,MATCH(D813,po_code,0)))</f>
        <v/>
      </c>
      <c r="I813" s="66" t="str">
        <f>IF(M813&lt;&gt;"OK","",INDEX(po_mac,MATCH(D813,po_code,0)))</f>
        <v/>
      </c>
      <c r="J813" s="66" t="str">
        <f>IF(M813&lt;&gt;"OK","",N(E813)*(H813*IF(G813="",1,G813)+I813))</f>
        <v/>
      </c>
      <c r="K813" s="66" t="str">
        <f>IF(M813&lt;&gt;"OK","",N(F813)/60*H813*IF(G813="",1,G813))</f>
        <v/>
      </c>
      <c r="L813" s="66" t="str">
        <f>IF(M813&lt;&gt;"OK","",N(F813)/60*I813)</f>
        <v/>
      </c>
      <c r="M813" s="69" t="str">
        <f>IF(AND(A813="",D813=""),"",IF(A813="","Produit manquant",IF(COUNTIF(prod_ref,A813)=0,"Produit inconnu",IF(D813="","Poste manquant",IF(ISNA(MATCH(D813,po_code,0)),"Poste inconnu",IF(INDEX(po_check,MATCH(D813,po_code,0))&lt;&gt;"OK","Poste à corriger",IF(AND(E813&lt;&gt;"",OR(NOT(ISNUMBER(E813)),N(E813)&lt;0)),"Réglage invalide",IF(AND(F813&lt;&gt;"",OR(NOT(ISNUMBER(F813)),N(F813)&lt;0)),"Temps par pièce invalide",IF(N(E813)+N(F813)=0,"Temps manquant",IF(AND(G813&lt;&gt;"",OR(NOT(ISNUMBER(G813)),N(G813)&lt;=0)),"Opérateurs invalide","OK"))))))))))</f>
        <v/>
      </c>
      <c r="N813" s="71" t="str">
        <f>IF(AND(fiche_sel&lt;&gt;"",A813=fiche_sel),COUNTIF(A$6:A813,fiche_sel),"")</f>
        <v/>
      </c>
    </row>
    <row r="814">
      <c r="A814" s="60" t="n"/>
      <c r="B814" s="73" t="n"/>
      <c r="C814" s="60" t="n"/>
      <c r="D814" s="61" t="n"/>
      <c r="E814" s="74" t="n"/>
      <c r="F814" s="74" t="n"/>
      <c r="G814" s="73" t="n"/>
      <c r="H814" s="66" t="str">
        <f>IF(M814&lt;&gt;"OK","",INDEX(po_mo,MATCH(D814,po_code,0)))</f>
        <v/>
      </c>
      <c r="I814" s="66" t="str">
        <f>IF(M814&lt;&gt;"OK","",INDEX(po_mac,MATCH(D814,po_code,0)))</f>
        <v/>
      </c>
      <c r="J814" s="66" t="str">
        <f>IF(M814&lt;&gt;"OK","",N(E814)*(H814*IF(G814="",1,G814)+I814))</f>
        <v/>
      </c>
      <c r="K814" s="66" t="str">
        <f>IF(M814&lt;&gt;"OK","",N(F814)/60*H814*IF(G814="",1,G814))</f>
        <v/>
      </c>
      <c r="L814" s="66" t="str">
        <f>IF(M814&lt;&gt;"OK","",N(F814)/60*I814)</f>
        <v/>
      </c>
      <c r="M814" s="69" t="str">
        <f>IF(AND(A814="",D814=""),"",IF(A814="","Produit manquant",IF(COUNTIF(prod_ref,A814)=0,"Produit inconnu",IF(D814="","Poste manquant",IF(ISNA(MATCH(D814,po_code,0)),"Poste inconnu",IF(INDEX(po_check,MATCH(D814,po_code,0))&lt;&gt;"OK","Poste à corriger",IF(AND(E814&lt;&gt;"",OR(NOT(ISNUMBER(E814)),N(E814)&lt;0)),"Réglage invalide",IF(AND(F814&lt;&gt;"",OR(NOT(ISNUMBER(F814)),N(F814)&lt;0)),"Temps par pièce invalide",IF(N(E814)+N(F814)=0,"Temps manquant",IF(AND(G814&lt;&gt;"",OR(NOT(ISNUMBER(G814)),N(G814)&lt;=0)),"Opérateurs invalide","OK"))))))))))</f>
        <v/>
      </c>
      <c r="N814" s="71" t="str">
        <f>IF(AND(fiche_sel&lt;&gt;"",A814=fiche_sel),COUNTIF(A$6:A814,fiche_sel),"")</f>
        <v/>
      </c>
    </row>
    <row r="815">
      <c r="A815" s="60" t="n"/>
      <c r="B815" s="73" t="n"/>
      <c r="C815" s="60" t="n"/>
      <c r="D815" s="61" t="n"/>
      <c r="E815" s="74" t="n"/>
      <c r="F815" s="74" t="n"/>
      <c r="G815" s="73" t="n"/>
      <c r="H815" s="66" t="str">
        <f>IF(M815&lt;&gt;"OK","",INDEX(po_mo,MATCH(D815,po_code,0)))</f>
        <v/>
      </c>
      <c r="I815" s="66" t="str">
        <f>IF(M815&lt;&gt;"OK","",INDEX(po_mac,MATCH(D815,po_code,0)))</f>
        <v/>
      </c>
      <c r="J815" s="66" t="str">
        <f>IF(M815&lt;&gt;"OK","",N(E815)*(H815*IF(G815="",1,G815)+I815))</f>
        <v/>
      </c>
      <c r="K815" s="66" t="str">
        <f>IF(M815&lt;&gt;"OK","",N(F815)/60*H815*IF(G815="",1,G815))</f>
        <v/>
      </c>
      <c r="L815" s="66" t="str">
        <f>IF(M815&lt;&gt;"OK","",N(F815)/60*I815)</f>
        <v/>
      </c>
      <c r="M815" s="69" t="str">
        <f>IF(AND(A815="",D815=""),"",IF(A815="","Produit manquant",IF(COUNTIF(prod_ref,A815)=0,"Produit inconnu",IF(D815="","Poste manquant",IF(ISNA(MATCH(D815,po_code,0)),"Poste inconnu",IF(INDEX(po_check,MATCH(D815,po_code,0))&lt;&gt;"OK","Poste à corriger",IF(AND(E815&lt;&gt;"",OR(NOT(ISNUMBER(E815)),N(E815)&lt;0)),"Réglage invalide",IF(AND(F815&lt;&gt;"",OR(NOT(ISNUMBER(F815)),N(F815)&lt;0)),"Temps par pièce invalide",IF(N(E815)+N(F815)=0,"Temps manquant",IF(AND(G815&lt;&gt;"",OR(NOT(ISNUMBER(G815)),N(G815)&lt;=0)),"Opérateurs invalide","OK"))))))))))</f>
        <v/>
      </c>
      <c r="N815" s="71" t="str">
        <f>IF(AND(fiche_sel&lt;&gt;"",A815=fiche_sel),COUNTIF(A$6:A815,fiche_sel),"")</f>
        <v/>
      </c>
    </row>
    <row r="816">
      <c r="A816" s="60" t="n"/>
      <c r="B816" s="73" t="n"/>
      <c r="C816" s="60" t="n"/>
      <c r="D816" s="61" t="n"/>
      <c r="E816" s="74" t="n"/>
      <c r="F816" s="74" t="n"/>
      <c r="G816" s="73" t="n"/>
      <c r="H816" s="66" t="str">
        <f>IF(M816&lt;&gt;"OK","",INDEX(po_mo,MATCH(D816,po_code,0)))</f>
        <v/>
      </c>
      <c r="I816" s="66" t="str">
        <f>IF(M816&lt;&gt;"OK","",INDEX(po_mac,MATCH(D816,po_code,0)))</f>
        <v/>
      </c>
      <c r="J816" s="66" t="str">
        <f>IF(M816&lt;&gt;"OK","",N(E816)*(H816*IF(G816="",1,G816)+I816))</f>
        <v/>
      </c>
      <c r="K816" s="66" t="str">
        <f>IF(M816&lt;&gt;"OK","",N(F816)/60*H816*IF(G816="",1,G816))</f>
        <v/>
      </c>
      <c r="L816" s="66" t="str">
        <f>IF(M816&lt;&gt;"OK","",N(F816)/60*I816)</f>
        <v/>
      </c>
      <c r="M816" s="69" t="str">
        <f>IF(AND(A816="",D816=""),"",IF(A816="","Produit manquant",IF(COUNTIF(prod_ref,A816)=0,"Produit inconnu",IF(D816="","Poste manquant",IF(ISNA(MATCH(D816,po_code,0)),"Poste inconnu",IF(INDEX(po_check,MATCH(D816,po_code,0))&lt;&gt;"OK","Poste à corriger",IF(AND(E816&lt;&gt;"",OR(NOT(ISNUMBER(E816)),N(E816)&lt;0)),"Réglage invalide",IF(AND(F816&lt;&gt;"",OR(NOT(ISNUMBER(F816)),N(F816)&lt;0)),"Temps par pièce invalide",IF(N(E816)+N(F816)=0,"Temps manquant",IF(AND(G816&lt;&gt;"",OR(NOT(ISNUMBER(G816)),N(G816)&lt;=0)),"Opérateurs invalide","OK"))))))))))</f>
        <v/>
      </c>
      <c r="N816" s="71" t="str">
        <f>IF(AND(fiche_sel&lt;&gt;"",A816=fiche_sel),COUNTIF(A$6:A816,fiche_sel),"")</f>
        <v/>
      </c>
    </row>
    <row r="817">
      <c r="A817" s="60" t="n"/>
      <c r="B817" s="73" t="n"/>
      <c r="C817" s="60" t="n"/>
      <c r="D817" s="61" t="n"/>
      <c r="E817" s="74" t="n"/>
      <c r="F817" s="74" t="n"/>
      <c r="G817" s="73" t="n"/>
      <c r="H817" s="66" t="str">
        <f>IF(M817&lt;&gt;"OK","",INDEX(po_mo,MATCH(D817,po_code,0)))</f>
        <v/>
      </c>
      <c r="I817" s="66" t="str">
        <f>IF(M817&lt;&gt;"OK","",INDEX(po_mac,MATCH(D817,po_code,0)))</f>
        <v/>
      </c>
      <c r="J817" s="66" t="str">
        <f>IF(M817&lt;&gt;"OK","",N(E817)*(H817*IF(G817="",1,G817)+I817))</f>
        <v/>
      </c>
      <c r="K817" s="66" t="str">
        <f>IF(M817&lt;&gt;"OK","",N(F817)/60*H817*IF(G817="",1,G817))</f>
        <v/>
      </c>
      <c r="L817" s="66" t="str">
        <f>IF(M817&lt;&gt;"OK","",N(F817)/60*I817)</f>
        <v/>
      </c>
      <c r="M817" s="69" t="str">
        <f>IF(AND(A817="",D817=""),"",IF(A817="","Produit manquant",IF(COUNTIF(prod_ref,A817)=0,"Produit inconnu",IF(D817="","Poste manquant",IF(ISNA(MATCH(D817,po_code,0)),"Poste inconnu",IF(INDEX(po_check,MATCH(D817,po_code,0))&lt;&gt;"OK","Poste à corriger",IF(AND(E817&lt;&gt;"",OR(NOT(ISNUMBER(E817)),N(E817)&lt;0)),"Réglage invalide",IF(AND(F817&lt;&gt;"",OR(NOT(ISNUMBER(F817)),N(F817)&lt;0)),"Temps par pièce invalide",IF(N(E817)+N(F817)=0,"Temps manquant",IF(AND(G817&lt;&gt;"",OR(NOT(ISNUMBER(G817)),N(G817)&lt;=0)),"Opérateurs invalide","OK"))))))))))</f>
        <v/>
      </c>
      <c r="N817" s="71" t="str">
        <f>IF(AND(fiche_sel&lt;&gt;"",A817=fiche_sel),COUNTIF(A$6:A817,fiche_sel),"")</f>
        <v/>
      </c>
    </row>
    <row r="818">
      <c r="A818" s="60" t="n"/>
      <c r="B818" s="73" t="n"/>
      <c r="C818" s="60" t="n"/>
      <c r="D818" s="61" t="n"/>
      <c r="E818" s="74" t="n"/>
      <c r="F818" s="74" t="n"/>
      <c r="G818" s="73" t="n"/>
      <c r="H818" s="66" t="str">
        <f>IF(M818&lt;&gt;"OK","",INDEX(po_mo,MATCH(D818,po_code,0)))</f>
        <v/>
      </c>
      <c r="I818" s="66" t="str">
        <f>IF(M818&lt;&gt;"OK","",INDEX(po_mac,MATCH(D818,po_code,0)))</f>
        <v/>
      </c>
      <c r="J818" s="66" t="str">
        <f>IF(M818&lt;&gt;"OK","",N(E818)*(H818*IF(G818="",1,G818)+I818))</f>
        <v/>
      </c>
      <c r="K818" s="66" t="str">
        <f>IF(M818&lt;&gt;"OK","",N(F818)/60*H818*IF(G818="",1,G818))</f>
        <v/>
      </c>
      <c r="L818" s="66" t="str">
        <f>IF(M818&lt;&gt;"OK","",N(F818)/60*I818)</f>
        <v/>
      </c>
      <c r="M818" s="69" t="str">
        <f>IF(AND(A818="",D818=""),"",IF(A818="","Produit manquant",IF(COUNTIF(prod_ref,A818)=0,"Produit inconnu",IF(D818="","Poste manquant",IF(ISNA(MATCH(D818,po_code,0)),"Poste inconnu",IF(INDEX(po_check,MATCH(D818,po_code,0))&lt;&gt;"OK","Poste à corriger",IF(AND(E818&lt;&gt;"",OR(NOT(ISNUMBER(E818)),N(E818)&lt;0)),"Réglage invalide",IF(AND(F818&lt;&gt;"",OR(NOT(ISNUMBER(F818)),N(F818)&lt;0)),"Temps par pièce invalide",IF(N(E818)+N(F818)=0,"Temps manquant",IF(AND(G818&lt;&gt;"",OR(NOT(ISNUMBER(G818)),N(G818)&lt;=0)),"Opérateurs invalide","OK"))))))))))</f>
        <v/>
      </c>
      <c r="N818" s="71" t="str">
        <f>IF(AND(fiche_sel&lt;&gt;"",A818=fiche_sel),COUNTIF(A$6:A818,fiche_sel),"")</f>
        <v/>
      </c>
    </row>
    <row r="819">
      <c r="A819" s="60" t="n"/>
      <c r="B819" s="73" t="n"/>
      <c r="C819" s="60" t="n"/>
      <c r="D819" s="61" t="n"/>
      <c r="E819" s="74" t="n"/>
      <c r="F819" s="74" t="n"/>
      <c r="G819" s="73" t="n"/>
      <c r="H819" s="66" t="str">
        <f>IF(M819&lt;&gt;"OK","",INDEX(po_mo,MATCH(D819,po_code,0)))</f>
        <v/>
      </c>
      <c r="I819" s="66" t="str">
        <f>IF(M819&lt;&gt;"OK","",INDEX(po_mac,MATCH(D819,po_code,0)))</f>
        <v/>
      </c>
      <c r="J819" s="66" t="str">
        <f>IF(M819&lt;&gt;"OK","",N(E819)*(H819*IF(G819="",1,G819)+I819))</f>
        <v/>
      </c>
      <c r="K819" s="66" t="str">
        <f>IF(M819&lt;&gt;"OK","",N(F819)/60*H819*IF(G819="",1,G819))</f>
        <v/>
      </c>
      <c r="L819" s="66" t="str">
        <f>IF(M819&lt;&gt;"OK","",N(F819)/60*I819)</f>
        <v/>
      </c>
      <c r="M819" s="69" t="str">
        <f>IF(AND(A819="",D819=""),"",IF(A819="","Produit manquant",IF(COUNTIF(prod_ref,A819)=0,"Produit inconnu",IF(D819="","Poste manquant",IF(ISNA(MATCH(D819,po_code,0)),"Poste inconnu",IF(INDEX(po_check,MATCH(D819,po_code,0))&lt;&gt;"OK","Poste à corriger",IF(AND(E819&lt;&gt;"",OR(NOT(ISNUMBER(E819)),N(E819)&lt;0)),"Réglage invalide",IF(AND(F819&lt;&gt;"",OR(NOT(ISNUMBER(F819)),N(F819)&lt;0)),"Temps par pièce invalide",IF(N(E819)+N(F819)=0,"Temps manquant",IF(AND(G819&lt;&gt;"",OR(NOT(ISNUMBER(G819)),N(G819)&lt;=0)),"Opérateurs invalide","OK"))))))))))</f>
        <v/>
      </c>
      <c r="N819" s="71" t="str">
        <f>IF(AND(fiche_sel&lt;&gt;"",A819=fiche_sel),COUNTIF(A$6:A819,fiche_sel),"")</f>
        <v/>
      </c>
    </row>
    <row r="820">
      <c r="A820" s="60" t="n"/>
      <c r="B820" s="73" t="n"/>
      <c r="C820" s="60" t="n"/>
      <c r="D820" s="61" t="n"/>
      <c r="E820" s="74" t="n"/>
      <c r="F820" s="74" t="n"/>
      <c r="G820" s="73" t="n"/>
      <c r="H820" s="66" t="str">
        <f>IF(M820&lt;&gt;"OK","",INDEX(po_mo,MATCH(D820,po_code,0)))</f>
        <v/>
      </c>
      <c r="I820" s="66" t="str">
        <f>IF(M820&lt;&gt;"OK","",INDEX(po_mac,MATCH(D820,po_code,0)))</f>
        <v/>
      </c>
      <c r="J820" s="66" t="str">
        <f>IF(M820&lt;&gt;"OK","",N(E820)*(H820*IF(G820="",1,G820)+I820))</f>
        <v/>
      </c>
      <c r="K820" s="66" t="str">
        <f>IF(M820&lt;&gt;"OK","",N(F820)/60*H820*IF(G820="",1,G820))</f>
        <v/>
      </c>
      <c r="L820" s="66" t="str">
        <f>IF(M820&lt;&gt;"OK","",N(F820)/60*I820)</f>
        <v/>
      </c>
      <c r="M820" s="69" t="str">
        <f>IF(AND(A820="",D820=""),"",IF(A820="","Produit manquant",IF(COUNTIF(prod_ref,A820)=0,"Produit inconnu",IF(D820="","Poste manquant",IF(ISNA(MATCH(D820,po_code,0)),"Poste inconnu",IF(INDEX(po_check,MATCH(D820,po_code,0))&lt;&gt;"OK","Poste à corriger",IF(AND(E820&lt;&gt;"",OR(NOT(ISNUMBER(E820)),N(E820)&lt;0)),"Réglage invalide",IF(AND(F820&lt;&gt;"",OR(NOT(ISNUMBER(F820)),N(F820)&lt;0)),"Temps par pièce invalide",IF(N(E820)+N(F820)=0,"Temps manquant",IF(AND(G820&lt;&gt;"",OR(NOT(ISNUMBER(G820)),N(G820)&lt;=0)),"Opérateurs invalide","OK"))))))))))</f>
        <v/>
      </c>
      <c r="N820" s="71" t="str">
        <f>IF(AND(fiche_sel&lt;&gt;"",A820=fiche_sel),COUNTIF(A$6:A820,fiche_sel),"")</f>
        <v/>
      </c>
    </row>
    <row r="821">
      <c r="A821" s="60" t="n"/>
      <c r="B821" s="73" t="n"/>
      <c r="C821" s="60" t="n"/>
      <c r="D821" s="61" t="n"/>
      <c r="E821" s="74" t="n"/>
      <c r="F821" s="74" t="n"/>
      <c r="G821" s="73" t="n"/>
      <c r="H821" s="66" t="str">
        <f>IF(M821&lt;&gt;"OK","",INDEX(po_mo,MATCH(D821,po_code,0)))</f>
        <v/>
      </c>
      <c r="I821" s="66" t="str">
        <f>IF(M821&lt;&gt;"OK","",INDEX(po_mac,MATCH(D821,po_code,0)))</f>
        <v/>
      </c>
      <c r="J821" s="66" t="str">
        <f>IF(M821&lt;&gt;"OK","",N(E821)*(H821*IF(G821="",1,G821)+I821))</f>
        <v/>
      </c>
      <c r="K821" s="66" t="str">
        <f>IF(M821&lt;&gt;"OK","",N(F821)/60*H821*IF(G821="",1,G821))</f>
        <v/>
      </c>
      <c r="L821" s="66" t="str">
        <f>IF(M821&lt;&gt;"OK","",N(F821)/60*I821)</f>
        <v/>
      </c>
      <c r="M821" s="69" t="str">
        <f>IF(AND(A821="",D821=""),"",IF(A821="","Produit manquant",IF(COUNTIF(prod_ref,A821)=0,"Produit inconnu",IF(D821="","Poste manquant",IF(ISNA(MATCH(D821,po_code,0)),"Poste inconnu",IF(INDEX(po_check,MATCH(D821,po_code,0))&lt;&gt;"OK","Poste à corriger",IF(AND(E821&lt;&gt;"",OR(NOT(ISNUMBER(E821)),N(E821)&lt;0)),"Réglage invalide",IF(AND(F821&lt;&gt;"",OR(NOT(ISNUMBER(F821)),N(F821)&lt;0)),"Temps par pièce invalide",IF(N(E821)+N(F821)=0,"Temps manquant",IF(AND(G821&lt;&gt;"",OR(NOT(ISNUMBER(G821)),N(G821)&lt;=0)),"Opérateurs invalide","OK"))))))))))</f>
        <v/>
      </c>
      <c r="N821" s="71" t="str">
        <f>IF(AND(fiche_sel&lt;&gt;"",A821=fiche_sel),COUNTIF(A$6:A821,fiche_sel),"")</f>
        <v/>
      </c>
    </row>
    <row r="822">
      <c r="A822" s="60" t="n"/>
      <c r="B822" s="73" t="n"/>
      <c r="C822" s="60" t="n"/>
      <c r="D822" s="61" t="n"/>
      <c r="E822" s="74" t="n"/>
      <c r="F822" s="74" t="n"/>
      <c r="G822" s="73" t="n"/>
      <c r="H822" s="66" t="str">
        <f>IF(M822&lt;&gt;"OK","",INDEX(po_mo,MATCH(D822,po_code,0)))</f>
        <v/>
      </c>
      <c r="I822" s="66" t="str">
        <f>IF(M822&lt;&gt;"OK","",INDEX(po_mac,MATCH(D822,po_code,0)))</f>
        <v/>
      </c>
      <c r="J822" s="66" t="str">
        <f>IF(M822&lt;&gt;"OK","",N(E822)*(H822*IF(G822="",1,G822)+I822))</f>
        <v/>
      </c>
      <c r="K822" s="66" t="str">
        <f>IF(M822&lt;&gt;"OK","",N(F822)/60*H822*IF(G822="",1,G822))</f>
        <v/>
      </c>
      <c r="L822" s="66" t="str">
        <f>IF(M822&lt;&gt;"OK","",N(F822)/60*I822)</f>
        <v/>
      </c>
      <c r="M822" s="69" t="str">
        <f>IF(AND(A822="",D822=""),"",IF(A822="","Produit manquant",IF(COUNTIF(prod_ref,A822)=0,"Produit inconnu",IF(D822="","Poste manquant",IF(ISNA(MATCH(D822,po_code,0)),"Poste inconnu",IF(INDEX(po_check,MATCH(D822,po_code,0))&lt;&gt;"OK","Poste à corriger",IF(AND(E822&lt;&gt;"",OR(NOT(ISNUMBER(E822)),N(E822)&lt;0)),"Réglage invalide",IF(AND(F822&lt;&gt;"",OR(NOT(ISNUMBER(F822)),N(F822)&lt;0)),"Temps par pièce invalide",IF(N(E822)+N(F822)=0,"Temps manquant",IF(AND(G822&lt;&gt;"",OR(NOT(ISNUMBER(G822)),N(G822)&lt;=0)),"Opérateurs invalide","OK"))))))))))</f>
        <v/>
      </c>
      <c r="N822" s="71" t="str">
        <f>IF(AND(fiche_sel&lt;&gt;"",A822=fiche_sel),COUNTIF(A$6:A822,fiche_sel),"")</f>
        <v/>
      </c>
    </row>
    <row r="823">
      <c r="A823" s="60" t="n"/>
      <c r="B823" s="73" t="n"/>
      <c r="C823" s="60" t="n"/>
      <c r="D823" s="61" t="n"/>
      <c r="E823" s="74" t="n"/>
      <c r="F823" s="74" t="n"/>
      <c r="G823" s="73" t="n"/>
      <c r="H823" s="66" t="str">
        <f>IF(M823&lt;&gt;"OK","",INDEX(po_mo,MATCH(D823,po_code,0)))</f>
        <v/>
      </c>
      <c r="I823" s="66" t="str">
        <f>IF(M823&lt;&gt;"OK","",INDEX(po_mac,MATCH(D823,po_code,0)))</f>
        <v/>
      </c>
      <c r="J823" s="66" t="str">
        <f>IF(M823&lt;&gt;"OK","",N(E823)*(H823*IF(G823="",1,G823)+I823))</f>
        <v/>
      </c>
      <c r="K823" s="66" t="str">
        <f>IF(M823&lt;&gt;"OK","",N(F823)/60*H823*IF(G823="",1,G823))</f>
        <v/>
      </c>
      <c r="L823" s="66" t="str">
        <f>IF(M823&lt;&gt;"OK","",N(F823)/60*I823)</f>
        <v/>
      </c>
      <c r="M823" s="69" t="str">
        <f>IF(AND(A823="",D823=""),"",IF(A823="","Produit manquant",IF(COUNTIF(prod_ref,A823)=0,"Produit inconnu",IF(D823="","Poste manquant",IF(ISNA(MATCH(D823,po_code,0)),"Poste inconnu",IF(INDEX(po_check,MATCH(D823,po_code,0))&lt;&gt;"OK","Poste à corriger",IF(AND(E823&lt;&gt;"",OR(NOT(ISNUMBER(E823)),N(E823)&lt;0)),"Réglage invalide",IF(AND(F823&lt;&gt;"",OR(NOT(ISNUMBER(F823)),N(F823)&lt;0)),"Temps par pièce invalide",IF(N(E823)+N(F823)=0,"Temps manquant",IF(AND(G823&lt;&gt;"",OR(NOT(ISNUMBER(G823)),N(G823)&lt;=0)),"Opérateurs invalide","OK"))))))))))</f>
        <v/>
      </c>
      <c r="N823" s="71" t="str">
        <f>IF(AND(fiche_sel&lt;&gt;"",A823=fiche_sel),COUNTIF(A$6:A823,fiche_sel),"")</f>
        <v/>
      </c>
    </row>
    <row r="824">
      <c r="A824" s="60" t="n"/>
      <c r="B824" s="73" t="n"/>
      <c r="C824" s="60" t="n"/>
      <c r="D824" s="61" t="n"/>
      <c r="E824" s="74" t="n"/>
      <c r="F824" s="74" t="n"/>
      <c r="G824" s="73" t="n"/>
      <c r="H824" s="66" t="str">
        <f>IF(M824&lt;&gt;"OK","",INDEX(po_mo,MATCH(D824,po_code,0)))</f>
        <v/>
      </c>
      <c r="I824" s="66" t="str">
        <f>IF(M824&lt;&gt;"OK","",INDEX(po_mac,MATCH(D824,po_code,0)))</f>
        <v/>
      </c>
      <c r="J824" s="66" t="str">
        <f>IF(M824&lt;&gt;"OK","",N(E824)*(H824*IF(G824="",1,G824)+I824))</f>
        <v/>
      </c>
      <c r="K824" s="66" t="str">
        <f>IF(M824&lt;&gt;"OK","",N(F824)/60*H824*IF(G824="",1,G824))</f>
        <v/>
      </c>
      <c r="L824" s="66" t="str">
        <f>IF(M824&lt;&gt;"OK","",N(F824)/60*I824)</f>
        <v/>
      </c>
      <c r="M824" s="69" t="str">
        <f>IF(AND(A824="",D824=""),"",IF(A824="","Produit manquant",IF(COUNTIF(prod_ref,A824)=0,"Produit inconnu",IF(D824="","Poste manquant",IF(ISNA(MATCH(D824,po_code,0)),"Poste inconnu",IF(INDEX(po_check,MATCH(D824,po_code,0))&lt;&gt;"OK","Poste à corriger",IF(AND(E824&lt;&gt;"",OR(NOT(ISNUMBER(E824)),N(E824)&lt;0)),"Réglage invalide",IF(AND(F824&lt;&gt;"",OR(NOT(ISNUMBER(F824)),N(F824)&lt;0)),"Temps par pièce invalide",IF(N(E824)+N(F824)=0,"Temps manquant",IF(AND(G824&lt;&gt;"",OR(NOT(ISNUMBER(G824)),N(G824)&lt;=0)),"Opérateurs invalide","OK"))))))))))</f>
        <v/>
      </c>
      <c r="N824" s="71" t="str">
        <f>IF(AND(fiche_sel&lt;&gt;"",A824=fiche_sel),COUNTIF(A$6:A824,fiche_sel),"")</f>
        <v/>
      </c>
    </row>
    <row r="825">
      <c r="A825" s="60" t="n"/>
      <c r="B825" s="73" t="n"/>
      <c r="C825" s="60" t="n"/>
      <c r="D825" s="61" t="n"/>
      <c r="E825" s="74" t="n"/>
      <c r="F825" s="74" t="n"/>
      <c r="G825" s="73" t="n"/>
      <c r="H825" s="66" t="str">
        <f>IF(M825&lt;&gt;"OK","",INDEX(po_mo,MATCH(D825,po_code,0)))</f>
        <v/>
      </c>
      <c r="I825" s="66" t="str">
        <f>IF(M825&lt;&gt;"OK","",INDEX(po_mac,MATCH(D825,po_code,0)))</f>
        <v/>
      </c>
      <c r="J825" s="66" t="str">
        <f>IF(M825&lt;&gt;"OK","",N(E825)*(H825*IF(G825="",1,G825)+I825))</f>
        <v/>
      </c>
      <c r="K825" s="66" t="str">
        <f>IF(M825&lt;&gt;"OK","",N(F825)/60*H825*IF(G825="",1,G825))</f>
        <v/>
      </c>
      <c r="L825" s="66" t="str">
        <f>IF(M825&lt;&gt;"OK","",N(F825)/60*I825)</f>
        <v/>
      </c>
      <c r="M825" s="69" t="str">
        <f>IF(AND(A825="",D825=""),"",IF(A825="","Produit manquant",IF(COUNTIF(prod_ref,A825)=0,"Produit inconnu",IF(D825="","Poste manquant",IF(ISNA(MATCH(D825,po_code,0)),"Poste inconnu",IF(INDEX(po_check,MATCH(D825,po_code,0))&lt;&gt;"OK","Poste à corriger",IF(AND(E825&lt;&gt;"",OR(NOT(ISNUMBER(E825)),N(E825)&lt;0)),"Réglage invalide",IF(AND(F825&lt;&gt;"",OR(NOT(ISNUMBER(F825)),N(F825)&lt;0)),"Temps par pièce invalide",IF(N(E825)+N(F825)=0,"Temps manquant",IF(AND(G825&lt;&gt;"",OR(NOT(ISNUMBER(G825)),N(G825)&lt;=0)),"Opérateurs invalide","OK"))))))))))</f>
        <v/>
      </c>
      <c r="N825" s="71" t="str">
        <f>IF(AND(fiche_sel&lt;&gt;"",A825=fiche_sel),COUNTIF(A$6:A825,fiche_sel),"")</f>
        <v/>
      </c>
    </row>
    <row r="826">
      <c r="A826" s="60" t="n"/>
      <c r="B826" s="73" t="n"/>
      <c r="C826" s="60" t="n"/>
      <c r="D826" s="61" t="n"/>
      <c r="E826" s="74" t="n"/>
      <c r="F826" s="74" t="n"/>
      <c r="G826" s="73" t="n"/>
      <c r="H826" s="66" t="str">
        <f>IF(M826&lt;&gt;"OK","",INDEX(po_mo,MATCH(D826,po_code,0)))</f>
        <v/>
      </c>
      <c r="I826" s="66" t="str">
        <f>IF(M826&lt;&gt;"OK","",INDEX(po_mac,MATCH(D826,po_code,0)))</f>
        <v/>
      </c>
      <c r="J826" s="66" t="str">
        <f>IF(M826&lt;&gt;"OK","",N(E826)*(H826*IF(G826="",1,G826)+I826))</f>
        <v/>
      </c>
      <c r="K826" s="66" t="str">
        <f>IF(M826&lt;&gt;"OK","",N(F826)/60*H826*IF(G826="",1,G826))</f>
        <v/>
      </c>
      <c r="L826" s="66" t="str">
        <f>IF(M826&lt;&gt;"OK","",N(F826)/60*I826)</f>
        <v/>
      </c>
      <c r="M826" s="69" t="str">
        <f>IF(AND(A826="",D826=""),"",IF(A826="","Produit manquant",IF(COUNTIF(prod_ref,A826)=0,"Produit inconnu",IF(D826="","Poste manquant",IF(ISNA(MATCH(D826,po_code,0)),"Poste inconnu",IF(INDEX(po_check,MATCH(D826,po_code,0))&lt;&gt;"OK","Poste à corriger",IF(AND(E826&lt;&gt;"",OR(NOT(ISNUMBER(E826)),N(E826)&lt;0)),"Réglage invalide",IF(AND(F826&lt;&gt;"",OR(NOT(ISNUMBER(F826)),N(F826)&lt;0)),"Temps par pièce invalide",IF(N(E826)+N(F826)=0,"Temps manquant",IF(AND(G826&lt;&gt;"",OR(NOT(ISNUMBER(G826)),N(G826)&lt;=0)),"Opérateurs invalide","OK"))))))))))</f>
        <v/>
      </c>
      <c r="N826" s="71" t="str">
        <f>IF(AND(fiche_sel&lt;&gt;"",A826=fiche_sel),COUNTIF(A$6:A826,fiche_sel),"")</f>
        <v/>
      </c>
    </row>
    <row r="827">
      <c r="A827" s="60" t="n"/>
      <c r="B827" s="73" t="n"/>
      <c r="C827" s="60" t="n"/>
      <c r="D827" s="61" t="n"/>
      <c r="E827" s="74" t="n"/>
      <c r="F827" s="74" t="n"/>
      <c r="G827" s="73" t="n"/>
      <c r="H827" s="66" t="str">
        <f>IF(M827&lt;&gt;"OK","",INDEX(po_mo,MATCH(D827,po_code,0)))</f>
        <v/>
      </c>
      <c r="I827" s="66" t="str">
        <f>IF(M827&lt;&gt;"OK","",INDEX(po_mac,MATCH(D827,po_code,0)))</f>
        <v/>
      </c>
      <c r="J827" s="66" t="str">
        <f>IF(M827&lt;&gt;"OK","",N(E827)*(H827*IF(G827="",1,G827)+I827))</f>
        <v/>
      </c>
      <c r="K827" s="66" t="str">
        <f>IF(M827&lt;&gt;"OK","",N(F827)/60*H827*IF(G827="",1,G827))</f>
        <v/>
      </c>
      <c r="L827" s="66" t="str">
        <f>IF(M827&lt;&gt;"OK","",N(F827)/60*I827)</f>
        <v/>
      </c>
      <c r="M827" s="69" t="str">
        <f>IF(AND(A827="",D827=""),"",IF(A827="","Produit manquant",IF(COUNTIF(prod_ref,A827)=0,"Produit inconnu",IF(D827="","Poste manquant",IF(ISNA(MATCH(D827,po_code,0)),"Poste inconnu",IF(INDEX(po_check,MATCH(D827,po_code,0))&lt;&gt;"OK","Poste à corriger",IF(AND(E827&lt;&gt;"",OR(NOT(ISNUMBER(E827)),N(E827)&lt;0)),"Réglage invalide",IF(AND(F827&lt;&gt;"",OR(NOT(ISNUMBER(F827)),N(F827)&lt;0)),"Temps par pièce invalide",IF(N(E827)+N(F827)=0,"Temps manquant",IF(AND(G827&lt;&gt;"",OR(NOT(ISNUMBER(G827)),N(G827)&lt;=0)),"Opérateurs invalide","OK"))))))))))</f>
        <v/>
      </c>
      <c r="N827" s="71" t="str">
        <f>IF(AND(fiche_sel&lt;&gt;"",A827=fiche_sel),COUNTIF(A$6:A827,fiche_sel),"")</f>
        <v/>
      </c>
    </row>
    <row r="828">
      <c r="A828" s="60" t="n"/>
      <c r="B828" s="73" t="n"/>
      <c r="C828" s="60" t="n"/>
      <c r="D828" s="61" t="n"/>
      <c r="E828" s="74" t="n"/>
      <c r="F828" s="74" t="n"/>
      <c r="G828" s="73" t="n"/>
      <c r="H828" s="66" t="str">
        <f>IF(M828&lt;&gt;"OK","",INDEX(po_mo,MATCH(D828,po_code,0)))</f>
        <v/>
      </c>
      <c r="I828" s="66" t="str">
        <f>IF(M828&lt;&gt;"OK","",INDEX(po_mac,MATCH(D828,po_code,0)))</f>
        <v/>
      </c>
      <c r="J828" s="66" t="str">
        <f>IF(M828&lt;&gt;"OK","",N(E828)*(H828*IF(G828="",1,G828)+I828))</f>
        <v/>
      </c>
      <c r="K828" s="66" t="str">
        <f>IF(M828&lt;&gt;"OK","",N(F828)/60*H828*IF(G828="",1,G828))</f>
        <v/>
      </c>
      <c r="L828" s="66" t="str">
        <f>IF(M828&lt;&gt;"OK","",N(F828)/60*I828)</f>
        <v/>
      </c>
      <c r="M828" s="69" t="str">
        <f>IF(AND(A828="",D828=""),"",IF(A828="","Produit manquant",IF(COUNTIF(prod_ref,A828)=0,"Produit inconnu",IF(D828="","Poste manquant",IF(ISNA(MATCH(D828,po_code,0)),"Poste inconnu",IF(INDEX(po_check,MATCH(D828,po_code,0))&lt;&gt;"OK","Poste à corriger",IF(AND(E828&lt;&gt;"",OR(NOT(ISNUMBER(E828)),N(E828)&lt;0)),"Réglage invalide",IF(AND(F828&lt;&gt;"",OR(NOT(ISNUMBER(F828)),N(F828)&lt;0)),"Temps par pièce invalide",IF(N(E828)+N(F828)=0,"Temps manquant",IF(AND(G828&lt;&gt;"",OR(NOT(ISNUMBER(G828)),N(G828)&lt;=0)),"Opérateurs invalide","OK"))))))))))</f>
        <v/>
      </c>
      <c r="N828" s="71" t="str">
        <f>IF(AND(fiche_sel&lt;&gt;"",A828=fiche_sel),COUNTIF(A$6:A828,fiche_sel),"")</f>
        <v/>
      </c>
    </row>
    <row r="829">
      <c r="A829" s="60" t="n"/>
      <c r="B829" s="73" t="n"/>
      <c r="C829" s="60" t="n"/>
      <c r="D829" s="61" t="n"/>
      <c r="E829" s="74" t="n"/>
      <c r="F829" s="74" t="n"/>
      <c r="G829" s="73" t="n"/>
      <c r="H829" s="66" t="str">
        <f>IF(M829&lt;&gt;"OK","",INDEX(po_mo,MATCH(D829,po_code,0)))</f>
        <v/>
      </c>
      <c r="I829" s="66" t="str">
        <f>IF(M829&lt;&gt;"OK","",INDEX(po_mac,MATCH(D829,po_code,0)))</f>
        <v/>
      </c>
      <c r="J829" s="66" t="str">
        <f>IF(M829&lt;&gt;"OK","",N(E829)*(H829*IF(G829="",1,G829)+I829))</f>
        <v/>
      </c>
      <c r="K829" s="66" t="str">
        <f>IF(M829&lt;&gt;"OK","",N(F829)/60*H829*IF(G829="",1,G829))</f>
        <v/>
      </c>
      <c r="L829" s="66" t="str">
        <f>IF(M829&lt;&gt;"OK","",N(F829)/60*I829)</f>
        <v/>
      </c>
      <c r="M829" s="69" t="str">
        <f>IF(AND(A829="",D829=""),"",IF(A829="","Produit manquant",IF(COUNTIF(prod_ref,A829)=0,"Produit inconnu",IF(D829="","Poste manquant",IF(ISNA(MATCH(D829,po_code,0)),"Poste inconnu",IF(INDEX(po_check,MATCH(D829,po_code,0))&lt;&gt;"OK","Poste à corriger",IF(AND(E829&lt;&gt;"",OR(NOT(ISNUMBER(E829)),N(E829)&lt;0)),"Réglage invalide",IF(AND(F829&lt;&gt;"",OR(NOT(ISNUMBER(F829)),N(F829)&lt;0)),"Temps par pièce invalide",IF(N(E829)+N(F829)=0,"Temps manquant",IF(AND(G829&lt;&gt;"",OR(NOT(ISNUMBER(G829)),N(G829)&lt;=0)),"Opérateurs invalide","OK"))))))))))</f>
        <v/>
      </c>
      <c r="N829" s="71" t="str">
        <f>IF(AND(fiche_sel&lt;&gt;"",A829=fiche_sel),COUNTIF(A$6:A829,fiche_sel),"")</f>
        <v/>
      </c>
    </row>
    <row r="830">
      <c r="A830" s="60" t="n"/>
      <c r="B830" s="73" t="n"/>
      <c r="C830" s="60" t="n"/>
      <c r="D830" s="61" t="n"/>
      <c r="E830" s="74" t="n"/>
      <c r="F830" s="74" t="n"/>
      <c r="G830" s="73" t="n"/>
      <c r="H830" s="66" t="str">
        <f>IF(M830&lt;&gt;"OK","",INDEX(po_mo,MATCH(D830,po_code,0)))</f>
        <v/>
      </c>
      <c r="I830" s="66" t="str">
        <f>IF(M830&lt;&gt;"OK","",INDEX(po_mac,MATCH(D830,po_code,0)))</f>
        <v/>
      </c>
      <c r="J830" s="66" t="str">
        <f>IF(M830&lt;&gt;"OK","",N(E830)*(H830*IF(G830="",1,G830)+I830))</f>
        <v/>
      </c>
      <c r="K830" s="66" t="str">
        <f>IF(M830&lt;&gt;"OK","",N(F830)/60*H830*IF(G830="",1,G830))</f>
        <v/>
      </c>
      <c r="L830" s="66" t="str">
        <f>IF(M830&lt;&gt;"OK","",N(F830)/60*I830)</f>
        <v/>
      </c>
      <c r="M830" s="69" t="str">
        <f>IF(AND(A830="",D830=""),"",IF(A830="","Produit manquant",IF(COUNTIF(prod_ref,A830)=0,"Produit inconnu",IF(D830="","Poste manquant",IF(ISNA(MATCH(D830,po_code,0)),"Poste inconnu",IF(INDEX(po_check,MATCH(D830,po_code,0))&lt;&gt;"OK","Poste à corriger",IF(AND(E830&lt;&gt;"",OR(NOT(ISNUMBER(E830)),N(E830)&lt;0)),"Réglage invalide",IF(AND(F830&lt;&gt;"",OR(NOT(ISNUMBER(F830)),N(F830)&lt;0)),"Temps par pièce invalide",IF(N(E830)+N(F830)=0,"Temps manquant",IF(AND(G830&lt;&gt;"",OR(NOT(ISNUMBER(G830)),N(G830)&lt;=0)),"Opérateurs invalide","OK"))))))))))</f>
        <v/>
      </c>
      <c r="N830" s="71" t="str">
        <f>IF(AND(fiche_sel&lt;&gt;"",A830=fiche_sel),COUNTIF(A$6:A830,fiche_sel),"")</f>
        <v/>
      </c>
    </row>
    <row r="831">
      <c r="A831" s="60" t="n"/>
      <c r="B831" s="73" t="n"/>
      <c r="C831" s="60" t="n"/>
      <c r="D831" s="61" t="n"/>
      <c r="E831" s="74" t="n"/>
      <c r="F831" s="74" t="n"/>
      <c r="G831" s="73" t="n"/>
      <c r="H831" s="66" t="str">
        <f>IF(M831&lt;&gt;"OK","",INDEX(po_mo,MATCH(D831,po_code,0)))</f>
        <v/>
      </c>
      <c r="I831" s="66" t="str">
        <f>IF(M831&lt;&gt;"OK","",INDEX(po_mac,MATCH(D831,po_code,0)))</f>
        <v/>
      </c>
      <c r="J831" s="66" t="str">
        <f>IF(M831&lt;&gt;"OK","",N(E831)*(H831*IF(G831="",1,G831)+I831))</f>
        <v/>
      </c>
      <c r="K831" s="66" t="str">
        <f>IF(M831&lt;&gt;"OK","",N(F831)/60*H831*IF(G831="",1,G831))</f>
        <v/>
      </c>
      <c r="L831" s="66" t="str">
        <f>IF(M831&lt;&gt;"OK","",N(F831)/60*I831)</f>
        <v/>
      </c>
      <c r="M831" s="69" t="str">
        <f>IF(AND(A831="",D831=""),"",IF(A831="","Produit manquant",IF(COUNTIF(prod_ref,A831)=0,"Produit inconnu",IF(D831="","Poste manquant",IF(ISNA(MATCH(D831,po_code,0)),"Poste inconnu",IF(INDEX(po_check,MATCH(D831,po_code,0))&lt;&gt;"OK","Poste à corriger",IF(AND(E831&lt;&gt;"",OR(NOT(ISNUMBER(E831)),N(E831)&lt;0)),"Réglage invalide",IF(AND(F831&lt;&gt;"",OR(NOT(ISNUMBER(F831)),N(F831)&lt;0)),"Temps par pièce invalide",IF(N(E831)+N(F831)=0,"Temps manquant",IF(AND(G831&lt;&gt;"",OR(NOT(ISNUMBER(G831)),N(G831)&lt;=0)),"Opérateurs invalide","OK"))))))))))</f>
        <v/>
      </c>
      <c r="N831" s="71" t="str">
        <f>IF(AND(fiche_sel&lt;&gt;"",A831=fiche_sel),COUNTIF(A$6:A831,fiche_sel),"")</f>
        <v/>
      </c>
    </row>
    <row r="832">
      <c r="A832" s="60" t="n"/>
      <c r="B832" s="73" t="n"/>
      <c r="C832" s="60" t="n"/>
      <c r="D832" s="61" t="n"/>
      <c r="E832" s="74" t="n"/>
      <c r="F832" s="74" t="n"/>
      <c r="G832" s="73" t="n"/>
      <c r="H832" s="66" t="str">
        <f>IF(M832&lt;&gt;"OK","",INDEX(po_mo,MATCH(D832,po_code,0)))</f>
        <v/>
      </c>
      <c r="I832" s="66" t="str">
        <f>IF(M832&lt;&gt;"OK","",INDEX(po_mac,MATCH(D832,po_code,0)))</f>
        <v/>
      </c>
      <c r="J832" s="66" t="str">
        <f>IF(M832&lt;&gt;"OK","",N(E832)*(H832*IF(G832="",1,G832)+I832))</f>
        <v/>
      </c>
      <c r="K832" s="66" t="str">
        <f>IF(M832&lt;&gt;"OK","",N(F832)/60*H832*IF(G832="",1,G832))</f>
        <v/>
      </c>
      <c r="L832" s="66" t="str">
        <f>IF(M832&lt;&gt;"OK","",N(F832)/60*I832)</f>
        <v/>
      </c>
      <c r="M832" s="69" t="str">
        <f>IF(AND(A832="",D832=""),"",IF(A832="","Produit manquant",IF(COUNTIF(prod_ref,A832)=0,"Produit inconnu",IF(D832="","Poste manquant",IF(ISNA(MATCH(D832,po_code,0)),"Poste inconnu",IF(INDEX(po_check,MATCH(D832,po_code,0))&lt;&gt;"OK","Poste à corriger",IF(AND(E832&lt;&gt;"",OR(NOT(ISNUMBER(E832)),N(E832)&lt;0)),"Réglage invalide",IF(AND(F832&lt;&gt;"",OR(NOT(ISNUMBER(F832)),N(F832)&lt;0)),"Temps par pièce invalide",IF(N(E832)+N(F832)=0,"Temps manquant",IF(AND(G832&lt;&gt;"",OR(NOT(ISNUMBER(G832)),N(G832)&lt;=0)),"Opérateurs invalide","OK"))))))))))</f>
        <v/>
      </c>
      <c r="N832" s="71" t="str">
        <f>IF(AND(fiche_sel&lt;&gt;"",A832=fiche_sel),COUNTIF(A$6:A832,fiche_sel),"")</f>
        <v/>
      </c>
    </row>
    <row r="833">
      <c r="A833" s="60" t="n"/>
      <c r="B833" s="73" t="n"/>
      <c r="C833" s="60" t="n"/>
      <c r="D833" s="61" t="n"/>
      <c r="E833" s="74" t="n"/>
      <c r="F833" s="74" t="n"/>
      <c r="G833" s="73" t="n"/>
      <c r="H833" s="66" t="str">
        <f>IF(M833&lt;&gt;"OK","",INDEX(po_mo,MATCH(D833,po_code,0)))</f>
        <v/>
      </c>
      <c r="I833" s="66" t="str">
        <f>IF(M833&lt;&gt;"OK","",INDEX(po_mac,MATCH(D833,po_code,0)))</f>
        <v/>
      </c>
      <c r="J833" s="66" t="str">
        <f>IF(M833&lt;&gt;"OK","",N(E833)*(H833*IF(G833="",1,G833)+I833))</f>
        <v/>
      </c>
      <c r="K833" s="66" t="str">
        <f>IF(M833&lt;&gt;"OK","",N(F833)/60*H833*IF(G833="",1,G833))</f>
        <v/>
      </c>
      <c r="L833" s="66" t="str">
        <f>IF(M833&lt;&gt;"OK","",N(F833)/60*I833)</f>
        <v/>
      </c>
      <c r="M833" s="69" t="str">
        <f>IF(AND(A833="",D833=""),"",IF(A833="","Produit manquant",IF(COUNTIF(prod_ref,A833)=0,"Produit inconnu",IF(D833="","Poste manquant",IF(ISNA(MATCH(D833,po_code,0)),"Poste inconnu",IF(INDEX(po_check,MATCH(D833,po_code,0))&lt;&gt;"OK","Poste à corriger",IF(AND(E833&lt;&gt;"",OR(NOT(ISNUMBER(E833)),N(E833)&lt;0)),"Réglage invalide",IF(AND(F833&lt;&gt;"",OR(NOT(ISNUMBER(F833)),N(F833)&lt;0)),"Temps par pièce invalide",IF(N(E833)+N(F833)=0,"Temps manquant",IF(AND(G833&lt;&gt;"",OR(NOT(ISNUMBER(G833)),N(G833)&lt;=0)),"Opérateurs invalide","OK"))))))))))</f>
        <v/>
      </c>
      <c r="N833" s="71" t="str">
        <f>IF(AND(fiche_sel&lt;&gt;"",A833=fiche_sel),COUNTIF(A$6:A833,fiche_sel),"")</f>
        <v/>
      </c>
    </row>
    <row r="834">
      <c r="A834" s="60" t="n"/>
      <c r="B834" s="73" t="n"/>
      <c r="C834" s="60" t="n"/>
      <c r="D834" s="61" t="n"/>
      <c r="E834" s="74" t="n"/>
      <c r="F834" s="74" t="n"/>
      <c r="G834" s="73" t="n"/>
      <c r="H834" s="66" t="str">
        <f>IF(M834&lt;&gt;"OK","",INDEX(po_mo,MATCH(D834,po_code,0)))</f>
        <v/>
      </c>
      <c r="I834" s="66" t="str">
        <f>IF(M834&lt;&gt;"OK","",INDEX(po_mac,MATCH(D834,po_code,0)))</f>
        <v/>
      </c>
      <c r="J834" s="66" t="str">
        <f>IF(M834&lt;&gt;"OK","",N(E834)*(H834*IF(G834="",1,G834)+I834))</f>
        <v/>
      </c>
      <c r="K834" s="66" t="str">
        <f>IF(M834&lt;&gt;"OK","",N(F834)/60*H834*IF(G834="",1,G834))</f>
        <v/>
      </c>
      <c r="L834" s="66" t="str">
        <f>IF(M834&lt;&gt;"OK","",N(F834)/60*I834)</f>
        <v/>
      </c>
      <c r="M834" s="69" t="str">
        <f>IF(AND(A834="",D834=""),"",IF(A834="","Produit manquant",IF(COUNTIF(prod_ref,A834)=0,"Produit inconnu",IF(D834="","Poste manquant",IF(ISNA(MATCH(D834,po_code,0)),"Poste inconnu",IF(INDEX(po_check,MATCH(D834,po_code,0))&lt;&gt;"OK","Poste à corriger",IF(AND(E834&lt;&gt;"",OR(NOT(ISNUMBER(E834)),N(E834)&lt;0)),"Réglage invalide",IF(AND(F834&lt;&gt;"",OR(NOT(ISNUMBER(F834)),N(F834)&lt;0)),"Temps par pièce invalide",IF(N(E834)+N(F834)=0,"Temps manquant",IF(AND(G834&lt;&gt;"",OR(NOT(ISNUMBER(G834)),N(G834)&lt;=0)),"Opérateurs invalide","OK"))))))))))</f>
        <v/>
      </c>
      <c r="N834" s="71" t="str">
        <f>IF(AND(fiche_sel&lt;&gt;"",A834=fiche_sel),COUNTIF(A$6:A834,fiche_sel),"")</f>
        <v/>
      </c>
    </row>
    <row r="835">
      <c r="A835" s="60" t="n"/>
      <c r="B835" s="73" t="n"/>
      <c r="C835" s="60" t="n"/>
      <c r="D835" s="61" t="n"/>
      <c r="E835" s="74" t="n"/>
      <c r="F835" s="74" t="n"/>
      <c r="G835" s="73" t="n"/>
      <c r="H835" s="66" t="str">
        <f>IF(M835&lt;&gt;"OK","",INDEX(po_mo,MATCH(D835,po_code,0)))</f>
        <v/>
      </c>
      <c r="I835" s="66" t="str">
        <f>IF(M835&lt;&gt;"OK","",INDEX(po_mac,MATCH(D835,po_code,0)))</f>
        <v/>
      </c>
      <c r="J835" s="66" t="str">
        <f>IF(M835&lt;&gt;"OK","",N(E835)*(H835*IF(G835="",1,G835)+I835))</f>
        <v/>
      </c>
      <c r="K835" s="66" t="str">
        <f>IF(M835&lt;&gt;"OK","",N(F835)/60*H835*IF(G835="",1,G835))</f>
        <v/>
      </c>
      <c r="L835" s="66" t="str">
        <f>IF(M835&lt;&gt;"OK","",N(F835)/60*I835)</f>
        <v/>
      </c>
      <c r="M835" s="69" t="str">
        <f>IF(AND(A835="",D835=""),"",IF(A835="","Produit manquant",IF(COUNTIF(prod_ref,A835)=0,"Produit inconnu",IF(D835="","Poste manquant",IF(ISNA(MATCH(D835,po_code,0)),"Poste inconnu",IF(INDEX(po_check,MATCH(D835,po_code,0))&lt;&gt;"OK","Poste à corriger",IF(AND(E835&lt;&gt;"",OR(NOT(ISNUMBER(E835)),N(E835)&lt;0)),"Réglage invalide",IF(AND(F835&lt;&gt;"",OR(NOT(ISNUMBER(F835)),N(F835)&lt;0)),"Temps par pièce invalide",IF(N(E835)+N(F835)=0,"Temps manquant",IF(AND(G835&lt;&gt;"",OR(NOT(ISNUMBER(G835)),N(G835)&lt;=0)),"Opérateurs invalide","OK"))))))))))</f>
        <v/>
      </c>
      <c r="N835" s="71" t="str">
        <f>IF(AND(fiche_sel&lt;&gt;"",A835=fiche_sel),COUNTIF(A$6:A835,fiche_sel),"")</f>
        <v/>
      </c>
    </row>
    <row r="836">
      <c r="A836" s="60" t="n"/>
      <c r="B836" s="73" t="n"/>
      <c r="C836" s="60" t="n"/>
      <c r="D836" s="61" t="n"/>
      <c r="E836" s="74" t="n"/>
      <c r="F836" s="74" t="n"/>
      <c r="G836" s="73" t="n"/>
      <c r="H836" s="66" t="str">
        <f>IF(M836&lt;&gt;"OK","",INDEX(po_mo,MATCH(D836,po_code,0)))</f>
        <v/>
      </c>
      <c r="I836" s="66" t="str">
        <f>IF(M836&lt;&gt;"OK","",INDEX(po_mac,MATCH(D836,po_code,0)))</f>
        <v/>
      </c>
      <c r="J836" s="66" t="str">
        <f>IF(M836&lt;&gt;"OK","",N(E836)*(H836*IF(G836="",1,G836)+I836))</f>
        <v/>
      </c>
      <c r="K836" s="66" t="str">
        <f>IF(M836&lt;&gt;"OK","",N(F836)/60*H836*IF(G836="",1,G836))</f>
        <v/>
      </c>
      <c r="L836" s="66" t="str">
        <f>IF(M836&lt;&gt;"OK","",N(F836)/60*I836)</f>
        <v/>
      </c>
      <c r="M836" s="69" t="str">
        <f>IF(AND(A836="",D836=""),"",IF(A836="","Produit manquant",IF(COUNTIF(prod_ref,A836)=0,"Produit inconnu",IF(D836="","Poste manquant",IF(ISNA(MATCH(D836,po_code,0)),"Poste inconnu",IF(INDEX(po_check,MATCH(D836,po_code,0))&lt;&gt;"OK","Poste à corriger",IF(AND(E836&lt;&gt;"",OR(NOT(ISNUMBER(E836)),N(E836)&lt;0)),"Réglage invalide",IF(AND(F836&lt;&gt;"",OR(NOT(ISNUMBER(F836)),N(F836)&lt;0)),"Temps par pièce invalide",IF(N(E836)+N(F836)=0,"Temps manquant",IF(AND(G836&lt;&gt;"",OR(NOT(ISNUMBER(G836)),N(G836)&lt;=0)),"Opérateurs invalide","OK"))))))))))</f>
        <v/>
      </c>
      <c r="N836" s="71" t="str">
        <f>IF(AND(fiche_sel&lt;&gt;"",A836=fiche_sel),COUNTIF(A$6:A836,fiche_sel),"")</f>
        <v/>
      </c>
    </row>
    <row r="837">
      <c r="A837" s="60" t="n"/>
      <c r="B837" s="73" t="n"/>
      <c r="C837" s="60" t="n"/>
      <c r="D837" s="61" t="n"/>
      <c r="E837" s="74" t="n"/>
      <c r="F837" s="74" t="n"/>
      <c r="G837" s="73" t="n"/>
      <c r="H837" s="66" t="str">
        <f>IF(M837&lt;&gt;"OK","",INDEX(po_mo,MATCH(D837,po_code,0)))</f>
        <v/>
      </c>
      <c r="I837" s="66" t="str">
        <f>IF(M837&lt;&gt;"OK","",INDEX(po_mac,MATCH(D837,po_code,0)))</f>
        <v/>
      </c>
      <c r="J837" s="66" t="str">
        <f>IF(M837&lt;&gt;"OK","",N(E837)*(H837*IF(G837="",1,G837)+I837))</f>
        <v/>
      </c>
      <c r="K837" s="66" t="str">
        <f>IF(M837&lt;&gt;"OK","",N(F837)/60*H837*IF(G837="",1,G837))</f>
        <v/>
      </c>
      <c r="L837" s="66" t="str">
        <f>IF(M837&lt;&gt;"OK","",N(F837)/60*I837)</f>
        <v/>
      </c>
      <c r="M837" s="69" t="str">
        <f>IF(AND(A837="",D837=""),"",IF(A837="","Produit manquant",IF(COUNTIF(prod_ref,A837)=0,"Produit inconnu",IF(D837="","Poste manquant",IF(ISNA(MATCH(D837,po_code,0)),"Poste inconnu",IF(INDEX(po_check,MATCH(D837,po_code,0))&lt;&gt;"OK","Poste à corriger",IF(AND(E837&lt;&gt;"",OR(NOT(ISNUMBER(E837)),N(E837)&lt;0)),"Réglage invalide",IF(AND(F837&lt;&gt;"",OR(NOT(ISNUMBER(F837)),N(F837)&lt;0)),"Temps par pièce invalide",IF(N(E837)+N(F837)=0,"Temps manquant",IF(AND(G837&lt;&gt;"",OR(NOT(ISNUMBER(G837)),N(G837)&lt;=0)),"Opérateurs invalide","OK"))))))))))</f>
        <v/>
      </c>
      <c r="N837" s="71" t="str">
        <f>IF(AND(fiche_sel&lt;&gt;"",A837=fiche_sel),COUNTIF(A$6:A837,fiche_sel),"")</f>
        <v/>
      </c>
    </row>
    <row r="838">
      <c r="A838" s="60" t="n"/>
      <c r="B838" s="73" t="n"/>
      <c r="C838" s="60" t="n"/>
      <c r="D838" s="61" t="n"/>
      <c r="E838" s="74" t="n"/>
      <c r="F838" s="74" t="n"/>
      <c r="G838" s="73" t="n"/>
      <c r="H838" s="66" t="str">
        <f>IF(M838&lt;&gt;"OK","",INDEX(po_mo,MATCH(D838,po_code,0)))</f>
        <v/>
      </c>
      <c r="I838" s="66" t="str">
        <f>IF(M838&lt;&gt;"OK","",INDEX(po_mac,MATCH(D838,po_code,0)))</f>
        <v/>
      </c>
      <c r="J838" s="66" t="str">
        <f>IF(M838&lt;&gt;"OK","",N(E838)*(H838*IF(G838="",1,G838)+I838))</f>
        <v/>
      </c>
      <c r="K838" s="66" t="str">
        <f>IF(M838&lt;&gt;"OK","",N(F838)/60*H838*IF(G838="",1,G838))</f>
        <v/>
      </c>
      <c r="L838" s="66" t="str">
        <f>IF(M838&lt;&gt;"OK","",N(F838)/60*I838)</f>
        <v/>
      </c>
      <c r="M838" s="69" t="str">
        <f>IF(AND(A838="",D838=""),"",IF(A838="","Produit manquant",IF(COUNTIF(prod_ref,A838)=0,"Produit inconnu",IF(D838="","Poste manquant",IF(ISNA(MATCH(D838,po_code,0)),"Poste inconnu",IF(INDEX(po_check,MATCH(D838,po_code,0))&lt;&gt;"OK","Poste à corriger",IF(AND(E838&lt;&gt;"",OR(NOT(ISNUMBER(E838)),N(E838)&lt;0)),"Réglage invalide",IF(AND(F838&lt;&gt;"",OR(NOT(ISNUMBER(F838)),N(F838)&lt;0)),"Temps par pièce invalide",IF(N(E838)+N(F838)=0,"Temps manquant",IF(AND(G838&lt;&gt;"",OR(NOT(ISNUMBER(G838)),N(G838)&lt;=0)),"Opérateurs invalide","OK"))))))))))</f>
        <v/>
      </c>
      <c r="N838" s="71" t="str">
        <f>IF(AND(fiche_sel&lt;&gt;"",A838=fiche_sel),COUNTIF(A$6:A838,fiche_sel),"")</f>
        <v/>
      </c>
    </row>
    <row r="839">
      <c r="A839" s="60" t="n"/>
      <c r="B839" s="73" t="n"/>
      <c r="C839" s="60" t="n"/>
      <c r="D839" s="61" t="n"/>
      <c r="E839" s="74" t="n"/>
      <c r="F839" s="74" t="n"/>
      <c r="G839" s="73" t="n"/>
      <c r="H839" s="66" t="str">
        <f>IF(M839&lt;&gt;"OK","",INDEX(po_mo,MATCH(D839,po_code,0)))</f>
        <v/>
      </c>
      <c r="I839" s="66" t="str">
        <f>IF(M839&lt;&gt;"OK","",INDEX(po_mac,MATCH(D839,po_code,0)))</f>
        <v/>
      </c>
      <c r="J839" s="66" t="str">
        <f>IF(M839&lt;&gt;"OK","",N(E839)*(H839*IF(G839="",1,G839)+I839))</f>
        <v/>
      </c>
      <c r="K839" s="66" t="str">
        <f>IF(M839&lt;&gt;"OK","",N(F839)/60*H839*IF(G839="",1,G839))</f>
        <v/>
      </c>
      <c r="L839" s="66" t="str">
        <f>IF(M839&lt;&gt;"OK","",N(F839)/60*I839)</f>
        <v/>
      </c>
      <c r="M839" s="69" t="str">
        <f>IF(AND(A839="",D839=""),"",IF(A839="","Produit manquant",IF(COUNTIF(prod_ref,A839)=0,"Produit inconnu",IF(D839="","Poste manquant",IF(ISNA(MATCH(D839,po_code,0)),"Poste inconnu",IF(INDEX(po_check,MATCH(D839,po_code,0))&lt;&gt;"OK","Poste à corriger",IF(AND(E839&lt;&gt;"",OR(NOT(ISNUMBER(E839)),N(E839)&lt;0)),"Réglage invalide",IF(AND(F839&lt;&gt;"",OR(NOT(ISNUMBER(F839)),N(F839)&lt;0)),"Temps par pièce invalide",IF(N(E839)+N(F839)=0,"Temps manquant",IF(AND(G839&lt;&gt;"",OR(NOT(ISNUMBER(G839)),N(G839)&lt;=0)),"Opérateurs invalide","OK"))))))))))</f>
        <v/>
      </c>
      <c r="N839" s="71" t="str">
        <f>IF(AND(fiche_sel&lt;&gt;"",A839=fiche_sel),COUNTIF(A$6:A839,fiche_sel),"")</f>
        <v/>
      </c>
    </row>
    <row r="840">
      <c r="A840" s="60" t="n"/>
      <c r="B840" s="73" t="n"/>
      <c r="C840" s="60" t="n"/>
      <c r="D840" s="61" t="n"/>
      <c r="E840" s="74" t="n"/>
      <c r="F840" s="74" t="n"/>
      <c r="G840" s="73" t="n"/>
      <c r="H840" s="66" t="str">
        <f>IF(M840&lt;&gt;"OK","",INDEX(po_mo,MATCH(D840,po_code,0)))</f>
        <v/>
      </c>
      <c r="I840" s="66" t="str">
        <f>IF(M840&lt;&gt;"OK","",INDEX(po_mac,MATCH(D840,po_code,0)))</f>
        <v/>
      </c>
      <c r="J840" s="66" t="str">
        <f>IF(M840&lt;&gt;"OK","",N(E840)*(H840*IF(G840="",1,G840)+I840))</f>
        <v/>
      </c>
      <c r="K840" s="66" t="str">
        <f>IF(M840&lt;&gt;"OK","",N(F840)/60*H840*IF(G840="",1,G840))</f>
        <v/>
      </c>
      <c r="L840" s="66" t="str">
        <f>IF(M840&lt;&gt;"OK","",N(F840)/60*I840)</f>
        <v/>
      </c>
      <c r="M840" s="69" t="str">
        <f>IF(AND(A840="",D840=""),"",IF(A840="","Produit manquant",IF(COUNTIF(prod_ref,A840)=0,"Produit inconnu",IF(D840="","Poste manquant",IF(ISNA(MATCH(D840,po_code,0)),"Poste inconnu",IF(INDEX(po_check,MATCH(D840,po_code,0))&lt;&gt;"OK","Poste à corriger",IF(AND(E840&lt;&gt;"",OR(NOT(ISNUMBER(E840)),N(E840)&lt;0)),"Réglage invalide",IF(AND(F840&lt;&gt;"",OR(NOT(ISNUMBER(F840)),N(F840)&lt;0)),"Temps par pièce invalide",IF(N(E840)+N(F840)=0,"Temps manquant",IF(AND(G840&lt;&gt;"",OR(NOT(ISNUMBER(G840)),N(G840)&lt;=0)),"Opérateurs invalide","OK"))))))))))</f>
        <v/>
      </c>
      <c r="N840" s="71" t="str">
        <f>IF(AND(fiche_sel&lt;&gt;"",A840=fiche_sel),COUNTIF(A$6:A840,fiche_sel),"")</f>
        <v/>
      </c>
    </row>
    <row r="841">
      <c r="A841" s="60" t="n"/>
      <c r="B841" s="73" t="n"/>
      <c r="C841" s="60" t="n"/>
      <c r="D841" s="61" t="n"/>
      <c r="E841" s="74" t="n"/>
      <c r="F841" s="74" t="n"/>
      <c r="G841" s="73" t="n"/>
      <c r="H841" s="66" t="str">
        <f>IF(M841&lt;&gt;"OK","",INDEX(po_mo,MATCH(D841,po_code,0)))</f>
        <v/>
      </c>
      <c r="I841" s="66" t="str">
        <f>IF(M841&lt;&gt;"OK","",INDEX(po_mac,MATCH(D841,po_code,0)))</f>
        <v/>
      </c>
      <c r="J841" s="66" t="str">
        <f>IF(M841&lt;&gt;"OK","",N(E841)*(H841*IF(G841="",1,G841)+I841))</f>
        <v/>
      </c>
      <c r="K841" s="66" t="str">
        <f>IF(M841&lt;&gt;"OK","",N(F841)/60*H841*IF(G841="",1,G841))</f>
        <v/>
      </c>
      <c r="L841" s="66" t="str">
        <f>IF(M841&lt;&gt;"OK","",N(F841)/60*I841)</f>
        <v/>
      </c>
      <c r="M841" s="69" t="str">
        <f>IF(AND(A841="",D841=""),"",IF(A841="","Produit manquant",IF(COUNTIF(prod_ref,A841)=0,"Produit inconnu",IF(D841="","Poste manquant",IF(ISNA(MATCH(D841,po_code,0)),"Poste inconnu",IF(INDEX(po_check,MATCH(D841,po_code,0))&lt;&gt;"OK","Poste à corriger",IF(AND(E841&lt;&gt;"",OR(NOT(ISNUMBER(E841)),N(E841)&lt;0)),"Réglage invalide",IF(AND(F841&lt;&gt;"",OR(NOT(ISNUMBER(F841)),N(F841)&lt;0)),"Temps par pièce invalide",IF(N(E841)+N(F841)=0,"Temps manquant",IF(AND(G841&lt;&gt;"",OR(NOT(ISNUMBER(G841)),N(G841)&lt;=0)),"Opérateurs invalide","OK"))))))))))</f>
        <v/>
      </c>
      <c r="N841" s="71" t="str">
        <f>IF(AND(fiche_sel&lt;&gt;"",A841=fiche_sel),COUNTIF(A$6:A841,fiche_sel),"")</f>
        <v/>
      </c>
    </row>
    <row r="842">
      <c r="A842" s="60" t="n"/>
      <c r="B842" s="73" t="n"/>
      <c r="C842" s="60" t="n"/>
      <c r="D842" s="61" t="n"/>
      <c r="E842" s="74" t="n"/>
      <c r="F842" s="74" t="n"/>
      <c r="G842" s="73" t="n"/>
      <c r="H842" s="66" t="str">
        <f>IF(M842&lt;&gt;"OK","",INDEX(po_mo,MATCH(D842,po_code,0)))</f>
        <v/>
      </c>
      <c r="I842" s="66" t="str">
        <f>IF(M842&lt;&gt;"OK","",INDEX(po_mac,MATCH(D842,po_code,0)))</f>
        <v/>
      </c>
      <c r="J842" s="66" t="str">
        <f>IF(M842&lt;&gt;"OK","",N(E842)*(H842*IF(G842="",1,G842)+I842))</f>
        <v/>
      </c>
      <c r="K842" s="66" t="str">
        <f>IF(M842&lt;&gt;"OK","",N(F842)/60*H842*IF(G842="",1,G842))</f>
        <v/>
      </c>
      <c r="L842" s="66" t="str">
        <f>IF(M842&lt;&gt;"OK","",N(F842)/60*I842)</f>
        <v/>
      </c>
      <c r="M842" s="69" t="str">
        <f>IF(AND(A842="",D842=""),"",IF(A842="","Produit manquant",IF(COUNTIF(prod_ref,A842)=0,"Produit inconnu",IF(D842="","Poste manquant",IF(ISNA(MATCH(D842,po_code,0)),"Poste inconnu",IF(INDEX(po_check,MATCH(D842,po_code,0))&lt;&gt;"OK","Poste à corriger",IF(AND(E842&lt;&gt;"",OR(NOT(ISNUMBER(E842)),N(E842)&lt;0)),"Réglage invalide",IF(AND(F842&lt;&gt;"",OR(NOT(ISNUMBER(F842)),N(F842)&lt;0)),"Temps par pièce invalide",IF(N(E842)+N(F842)=0,"Temps manquant",IF(AND(G842&lt;&gt;"",OR(NOT(ISNUMBER(G842)),N(G842)&lt;=0)),"Opérateurs invalide","OK"))))))))))</f>
        <v/>
      </c>
      <c r="N842" s="71" t="str">
        <f>IF(AND(fiche_sel&lt;&gt;"",A842=fiche_sel),COUNTIF(A$6:A842,fiche_sel),"")</f>
        <v/>
      </c>
    </row>
    <row r="843">
      <c r="A843" s="60" t="n"/>
      <c r="B843" s="73" t="n"/>
      <c r="C843" s="60" t="n"/>
      <c r="D843" s="61" t="n"/>
      <c r="E843" s="74" t="n"/>
      <c r="F843" s="74" t="n"/>
      <c r="G843" s="73" t="n"/>
      <c r="H843" s="66" t="str">
        <f>IF(M843&lt;&gt;"OK","",INDEX(po_mo,MATCH(D843,po_code,0)))</f>
        <v/>
      </c>
      <c r="I843" s="66" t="str">
        <f>IF(M843&lt;&gt;"OK","",INDEX(po_mac,MATCH(D843,po_code,0)))</f>
        <v/>
      </c>
      <c r="J843" s="66" t="str">
        <f>IF(M843&lt;&gt;"OK","",N(E843)*(H843*IF(G843="",1,G843)+I843))</f>
        <v/>
      </c>
      <c r="K843" s="66" t="str">
        <f>IF(M843&lt;&gt;"OK","",N(F843)/60*H843*IF(G843="",1,G843))</f>
        <v/>
      </c>
      <c r="L843" s="66" t="str">
        <f>IF(M843&lt;&gt;"OK","",N(F843)/60*I843)</f>
        <v/>
      </c>
      <c r="M843" s="69" t="str">
        <f>IF(AND(A843="",D843=""),"",IF(A843="","Produit manquant",IF(COUNTIF(prod_ref,A843)=0,"Produit inconnu",IF(D843="","Poste manquant",IF(ISNA(MATCH(D843,po_code,0)),"Poste inconnu",IF(INDEX(po_check,MATCH(D843,po_code,0))&lt;&gt;"OK","Poste à corriger",IF(AND(E843&lt;&gt;"",OR(NOT(ISNUMBER(E843)),N(E843)&lt;0)),"Réglage invalide",IF(AND(F843&lt;&gt;"",OR(NOT(ISNUMBER(F843)),N(F843)&lt;0)),"Temps par pièce invalide",IF(N(E843)+N(F843)=0,"Temps manquant",IF(AND(G843&lt;&gt;"",OR(NOT(ISNUMBER(G843)),N(G843)&lt;=0)),"Opérateurs invalide","OK"))))))))))</f>
        <v/>
      </c>
      <c r="N843" s="71" t="str">
        <f>IF(AND(fiche_sel&lt;&gt;"",A843=fiche_sel),COUNTIF(A$6:A843,fiche_sel),"")</f>
        <v/>
      </c>
    </row>
    <row r="844">
      <c r="A844" s="60" t="n"/>
      <c r="B844" s="73" t="n"/>
      <c r="C844" s="60" t="n"/>
      <c r="D844" s="61" t="n"/>
      <c r="E844" s="74" t="n"/>
      <c r="F844" s="74" t="n"/>
      <c r="G844" s="73" t="n"/>
      <c r="H844" s="66" t="str">
        <f>IF(M844&lt;&gt;"OK","",INDEX(po_mo,MATCH(D844,po_code,0)))</f>
        <v/>
      </c>
      <c r="I844" s="66" t="str">
        <f>IF(M844&lt;&gt;"OK","",INDEX(po_mac,MATCH(D844,po_code,0)))</f>
        <v/>
      </c>
      <c r="J844" s="66" t="str">
        <f>IF(M844&lt;&gt;"OK","",N(E844)*(H844*IF(G844="",1,G844)+I844))</f>
        <v/>
      </c>
      <c r="K844" s="66" t="str">
        <f>IF(M844&lt;&gt;"OK","",N(F844)/60*H844*IF(G844="",1,G844))</f>
        <v/>
      </c>
      <c r="L844" s="66" t="str">
        <f>IF(M844&lt;&gt;"OK","",N(F844)/60*I844)</f>
        <v/>
      </c>
      <c r="M844" s="69" t="str">
        <f>IF(AND(A844="",D844=""),"",IF(A844="","Produit manquant",IF(COUNTIF(prod_ref,A844)=0,"Produit inconnu",IF(D844="","Poste manquant",IF(ISNA(MATCH(D844,po_code,0)),"Poste inconnu",IF(INDEX(po_check,MATCH(D844,po_code,0))&lt;&gt;"OK","Poste à corriger",IF(AND(E844&lt;&gt;"",OR(NOT(ISNUMBER(E844)),N(E844)&lt;0)),"Réglage invalide",IF(AND(F844&lt;&gt;"",OR(NOT(ISNUMBER(F844)),N(F844)&lt;0)),"Temps par pièce invalide",IF(N(E844)+N(F844)=0,"Temps manquant",IF(AND(G844&lt;&gt;"",OR(NOT(ISNUMBER(G844)),N(G844)&lt;=0)),"Opérateurs invalide","OK"))))))))))</f>
        <v/>
      </c>
      <c r="N844" s="71" t="str">
        <f>IF(AND(fiche_sel&lt;&gt;"",A844=fiche_sel),COUNTIF(A$6:A844,fiche_sel),"")</f>
        <v/>
      </c>
    </row>
    <row r="845">
      <c r="A845" s="60" t="n"/>
      <c r="B845" s="73" t="n"/>
      <c r="C845" s="60" t="n"/>
      <c r="D845" s="61" t="n"/>
      <c r="E845" s="74" t="n"/>
      <c r="F845" s="74" t="n"/>
      <c r="G845" s="73" t="n"/>
      <c r="H845" s="66" t="str">
        <f>IF(M845&lt;&gt;"OK","",INDEX(po_mo,MATCH(D845,po_code,0)))</f>
        <v/>
      </c>
      <c r="I845" s="66" t="str">
        <f>IF(M845&lt;&gt;"OK","",INDEX(po_mac,MATCH(D845,po_code,0)))</f>
        <v/>
      </c>
      <c r="J845" s="66" t="str">
        <f>IF(M845&lt;&gt;"OK","",N(E845)*(H845*IF(G845="",1,G845)+I845))</f>
        <v/>
      </c>
      <c r="K845" s="66" t="str">
        <f>IF(M845&lt;&gt;"OK","",N(F845)/60*H845*IF(G845="",1,G845))</f>
        <v/>
      </c>
      <c r="L845" s="66" t="str">
        <f>IF(M845&lt;&gt;"OK","",N(F845)/60*I845)</f>
        <v/>
      </c>
      <c r="M845" s="69" t="str">
        <f>IF(AND(A845="",D845=""),"",IF(A845="","Produit manquant",IF(COUNTIF(prod_ref,A845)=0,"Produit inconnu",IF(D845="","Poste manquant",IF(ISNA(MATCH(D845,po_code,0)),"Poste inconnu",IF(INDEX(po_check,MATCH(D845,po_code,0))&lt;&gt;"OK","Poste à corriger",IF(AND(E845&lt;&gt;"",OR(NOT(ISNUMBER(E845)),N(E845)&lt;0)),"Réglage invalide",IF(AND(F845&lt;&gt;"",OR(NOT(ISNUMBER(F845)),N(F845)&lt;0)),"Temps par pièce invalide",IF(N(E845)+N(F845)=0,"Temps manquant",IF(AND(G845&lt;&gt;"",OR(NOT(ISNUMBER(G845)),N(G845)&lt;=0)),"Opérateurs invalide","OK"))))))))))</f>
        <v/>
      </c>
      <c r="N845" s="71" t="str">
        <f>IF(AND(fiche_sel&lt;&gt;"",A845=fiche_sel),COUNTIF(A$6:A845,fiche_sel),"")</f>
        <v/>
      </c>
    </row>
    <row r="846">
      <c r="A846" s="60" t="n"/>
      <c r="B846" s="73" t="n"/>
      <c r="C846" s="60" t="n"/>
      <c r="D846" s="61" t="n"/>
      <c r="E846" s="74" t="n"/>
      <c r="F846" s="74" t="n"/>
      <c r="G846" s="73" t="n"/>
      <c r="H846" s="66" t="str">
        <f>IF(M846&lt;&gt;"OK","",INDEX(po_mo,MATCH(D846,po_code,0)))</f>
        <v/>
      </c>
      <c r="I846" s="66" t="str">
        <f>IF(M846&lt;&gt;"OK","",INDEX(po_mac,MATCH(D846,po_code,0)))</f>
        <v/>
      </c>
      <c r="J846" s="66" t="str">
        <f>IF(M846&lt;&gt;"OK","",N(E846)*(H846*IF(G846="",1,G846)+I846))</f>
        <v/>
      </c>
      <c r="K846" s="66" t="str">
        <f>IF(M846&lt;&gt;"OK","",N(F846)/60*H846*IF(G846="",1,G846))</f>
        <v/>
      </c>
      <c r="L846" s="66" t="str">
        <f>IF(M846&lt;&gt;"OK","",N(F846)/60*I846)</f>
        <v/>
      </c>
      <c r="M846" s="69" t="str">
        <f>IF(AND(A846="",D846=""),"",IF(A846="","Produit manquant",IF(COUNTIF(prod_ref,A846)=0,"Produit inconnu",IF(D846="","Poste manquant",IF(ISNA(MATCH(D846,po_code,0)),"Poste inconnu",IF(INDEX(po_check,MATCH(D846,po_code,0))&lt;&gt;"OK","Poste à corriger",IF(AND(E846&lt;&gt;"",OR(NOT(ISNUMBER(E846)),N(E846)&lt;0)),"Réglage invalide",IF(AND(F846&lt;&gt;"",OR(NOT(ISNUMBER(F846)),N(F846)&lt;0)),"Temps par pièce invalide",IF(N(E846)+N(F846)=0,"Temps manquant",IF(AND(G846&lt;&gt;"",OR(NOT(ISNUMBER(G846)),N(G846)&lt;=0)),"Opérateurs invalide","OK"))))))))))</f>
        <v/>
      </c>
      <c r="N846" s="71" t="str">
        <f>IF(AND(fiche_sel&lt;&gt;"",A846=fiche_sel),COUNTIF(A$6:A846,fiche_sel),"")</f>
        <v/>
      </c>
    </row>
    <row r="847">
      <c r="A847" s="60" t="n"/>
      <c r="B847" s="73" t="n"/>
      <c r="C847" s="60" t="n"/>
      <c r="D847" s="61" t="n"/>
      <c r="E847" s="74" t="n"/>
      <c r="F847" s="74" t="n"/>
      <c r="G847" s="73" t="n"/>
      <c r="H847" s="66" t="str">
        <f>IF(M847&lt;&gt;"OK","",INDEX(po_mo,MATCH(D847,po_code,0)))</f>
        <v/>
      </c>
      <c r="I847" s="66" t="str">
        <f>IF(M847&lt;&gt;"OK","",INDEX(po_mac,MATCH(D847,po_code,0)))</f>
        <v/>
      </c>
      <c r="J847" s="66" t="str">
        <f>IF(M847&lt;&gt;"OK","",N(E847)*(H847*IF(G847="",1,G847)+I847))</f>
        <v/>
      </c>
      <c r="K847" s="66" t="str">
        <f>IF(M847&lt;&gt;"OK","",N(F847)/60*H847*IF(G847="",1,G847))</f>
        <v/>
      </c>
      <c r="L847" s="66" t="str">
        <f>IF(M847&lt;&gt;"OK","",N(F847)/60*I847)</f>
        <v/>
      </c>
      <c r="M847" s="69" t="str">
        <f>IF(AND(A847="",D847=""),"",IF(A847="","Produit manquant",IF(COUNTIF(prod_ref,A847)=0,"Produit inconnu",IF(D847="","Poste manquant",IF(ISNA(MATCH(D847,po_code,0)),"Poste inconnu",IF(INDEX(po_check,MATCH(D847,po_code,0))&lt;&gt;"OK","Poste à corriger",IF(AND(E847&lt;&gt;"",OR(NOT(ISNUMBER(E847)),N(E847)&lt;0)),"Réglage invalide",IF(AND(F847&lt;&gt;"",OR(NOT(ISNUMBER(F847)),N(F847)&lt;0)),"Temps par pièce invalide",IF(N(E847)+N(F847)=0,"Temps manquant",IF(AND(G847&lt;&gt;"",OR(NOT(ISNUMBER(G847)),N(G847)&lt;=0)),"Opérateurs invalide","OK"))))))))))</f>
        <v/>
      </c>
      <c r="N847" s="71" t="str">
        <f>IF(AND(fiche_sel&lt;&gt;"",A847=fiche_sel),COUNTIF(A$6:A847,fiche_sel),"")</f>
        <v/>
      </c>
    </row>
    <row r="848">
      <c r="A848" s="60" t="n"/>
      <c r="B848" s="73" t="n"/>
      <c r="C848" s="60" t="n"/>
      <c r="D848" s="61" t="n"/>
      <c r="E848" s="74" t="n"/>
      <c r="F848" s="74" t="n"/>
      <c r="G848" s="73" t="n"/>
      <c r="H848" s="66" t="str">
        <f>IF(M848&lt;&gt;"OK","",INDEX(po_mo,MATCH(D848,po_code,0)))</f>
        <v/>
      </c>
      <c r="I848" s="66" t="str">
        <f>IF(M848&lt;&gt;"OK","",INDEX(po_mac,MATCH(D848,po_code,0)))</f>
        <v/>
      </c>
      <c r="J848" s="66" t="str">
        <f>IF(M848&lt;&gt;"OK","",N(E848)*(H848*IF(G848="",1,G848)+I848))</f>
        <v/>
      </c>
      <c r="K848" s="66" t="str">
        <f>IF(M848&lt;&gt;"OK","",N(F848)/60*H848*IF(G848="",1,G848))</f>
        <v/>
      </c>
      <c r="L848" s="66" t="str">
        <f>IF(M848&lt;&gt;"OK","",N(F848)/60*I848)</f>
        <v/>
      </c>
      <c r="M848" s="69" t="str">
        <f>IF(AND(A848="",D848=""),"",IF(A848="","Produit manquant",IF(COUNTIF(prod_ref,A848)=0,"Produit inconnu",IF(D848="","Poste manquant",IF(ISNA(MATCH(D848,po_code,0)),"Poste inconnu",IF(INDEX(po_check,MATCH(D848,po_code,0))&lt;&gt;"OK","Poste à corriger",IF(AND(E848&lt;&gt;"",OR(NOT(ISNUMBER(E848)),N(E848)&lt;0)),"Réglage invalide",IF(AND(F848&lt;&gt;"",OR(NOT(ISNUMBER(F848)),N(F848)&lt;0)),"Temps par pièce invalide",IF(N(E848)+N(F848)=0,"Temps manquant",IF(AND(G848&lt;&gt;"",OR(NOT(ISNUMBER(G848)),N(G848)&lt;=0)),"Opérateurs invalide","OK"))))))))))</f>
        <v/>
      </c>
      <c r="N848" s="71" t="str">
        <f>IF(AND(fiche_sel&lt;&gt;"",A848=fiche_sel),COUNTIF(A$6:A848,fiche_sel),"")</f>
        <v/>
      </c>
    </row>
    <row r="849">
      <c r="A849" s="60" t="n"/>
      <c r="B849" s="73" t="n"/>
      <c r="C849" s="60" t="n"/>
      <c r="D849" s="61" t="n"/>
      <c r="E849" s="74" t="n"/>
      <c r="F849" s="74" t="n"/>
      <c r="G849" s="73" t="n"/>
      <c r="H849" s="66" t="str">
        <f>IF(M849&lt;&gt;"OK","",INDEX(po_mo,MATCH(D849,po_code,0)))</f>
        <v/>
      </c>
      <c r="I849" s="66" t="str">
        <f>IF(M849&lt;&gt;"OK","",INDEX(po_mac,MATCH(D849,po_code,0)))</f>
        <v/>
      </c>
      <c r="J849" s="66" t="str">
        <f>IF(M849&lt;&gt;"OK","",N(E849)*(H849*IF(G849="",1,G849)+I849))</f>
        <v/>
      </c>
      <c r="K849" s="66" t="str">
        <f>IF(M849&lt;&gt;"OK","",N(F849)/60*H849*IF(G849="",1,G849))</f>
        <v/>
      </c>
      <c r="L849" s="66" t="str">
        <f>IF(M849&lt;&gt;"OK","",N(F849)/60*I849)</f>
        <v/>
      </c>
      <c r="M849" s="69" t="str">
        <f>IF(AND(A849="",D849=""),"",IF(A849="","Produit manquant",IF(COUNTIF(prod_ref,A849)=0,"Produit inconnu",IF(D849="","Poste manquant",IF(ISNA(MATCH(D849,po_code,0)),"Poste inconnu",IF(INDEX(po_check,MATCH(D849,po_code,0))&lt;&gt;"OK","Poste à corriger",IF(AND(E849&lt;&gt;"",OR(NOT(ISNUMBER(E849)),N(E849)&lt;0)),"Réglage invalide",IF(AND(F849&lt;&gt;"",OR(NOT(ISNUMBER(F849)),N(F849)&lt;0)),"Temps par pièce invalide",IF(N(E849)+N(F849)=0,"Temps manquant",IF(AND(G849&lt;&gt;"",OR(NOT(ISNUMBER(G849)),N(G849)&lt;=0)),"Opérateurs invalide","OK"))))))))))</f>
        <v/>
      </c>
      <c r="N849" s="71" t="str">
        <f>IF(AND(fiche_sel&lt;&gt;"",A849=fiche_sel),COUNTIF(A$6:A849,fiche_sel),"")</f>
        <v/>
      </c>
    </row>
    <row r="850">
      <c r="A850" s="60" t="n"/>
      <c r="B850" s="73" t="n"/>
      <c r="C850" s="60" t="n"/>
      <c r="D850" s="61" t="n"/>
      <c r="E850" s="74" t="n"/>
      <c r="F850" s="74" t="n"/>
      <c r="G850" s="73" t="n"/>
      <c r="H850" s="66" t="str">
        <f>IF(M850&lt;&gt;"OK","",INDEX(po_mo,MATCH(D850,po_code,0)))</f>
        <v/>
      </c>
      <c r="I850" s="66" t="str">
        <f>IF(M850&lt;&gt;"OK","",INDEX(po_mac,MATCH(D850,po_code,0)))</f>
        <v/>
      </c>
      <c r="J850" s="66" t="str">
        <f>IF(M850&lt;&gt;"OK","",N(E850)*(H850*IF(G850="",1,G850)+I850))</f>
        <v/>
      </c>
      <c r="K850" s="66" t="str">
        <f>IF(M850&lt;&gt;"OK","",N(F850)/60*H850*IF(G850="",1,G850))</f>
        <v/>
      </c>
      <c r="L850" s="66" t="str">
        <f>IF(M850&lt;&gt;"OK","",N(F850)/60*I850)</f>
        <v/>
      </c>
      <c r="M850" s="69" t="str">
        <f>IF(AND(A850="",D850=""),"",IF(A850="","Produit manquant",IF(COUNTIF(prod_ref,A850)=0,"Produit inconnu",IF(D850="","Poste manquant",IF(ISNA(MATCH(D850,po_code,0)),"Poste inconnu",IF(INDEX(po_check,MATCH(D850,po_code,0))&lt;&gt;"OK","Poste à corriger",IF(AND(E850&lt;&gt;"",OR(NOT(ISNUMBER(E850)),N(E850)&lt;0)),"Réglage invalide",IF(AND(F850&lt;&gt;"",OR(NOT(ISNUMBER(F850)),N(F850)&lt;0)),"Temps par pièce invalide",IF(N(E850)+N(F850)=0,"Temps manquant",IF(AND(G850&lt;&gt;"",OR(NOT(ISNUMBER(G850)),N(G850)&lt;=0)),"Opérateurs invalide","OK"))))))))))</f>
        <v/>
      </c>
      <c r="N850" s="71" t="str">
        <f>IF(AND(fiche_sel&lt;&gt;"",A850=fiche_sel),COUNTIF(A$6:A850,fiche_sel),"")</f>
        <v/>
      </c>
    </row>
    <row r="851">
      <c r="A851" s="60" t="n"/>
      <c r="B851" s="73" t="n"/>
      <c r="C851" s="60" t="n"/>
      <c r="D851" s="61" t="n"/>
      <c r="E851" s="74" t="n"/>
      <c r="F851" s="74" t="n"/>
      <c r="G851" s="73" t="n"/>
      <c r="H851" s="66" t="str">
        <f>IF(M851&lt;&gt;"OK","",INDEX(po_mo,MATCH(D851,po_code,0)))</f>
        <v/>
      </c>
      <c r="I851" s="66" t="str">
        <f>IF(M851&lt;&gt;"OK","",INDEX(po_mac,MATCH(D851,po_code,0)))</f>
        <v/>
      </c>
      <c r="J851" s="66" t="str">
        <f>IF(M851&lt;&gt;"OK","",N(E851)*(H851*IF(G851="",1,G851)+I851))</f>
        <v/>
      </c>
      <c r="K851" s="66" t="str">
        <f>IF(M851&lt;&gt;"OK","",N(F851)/60*H851*IF(G851="",1,G851))</f>
        <v/>
      </c>
      <c r="L851" s="66" t="str">
        <f>IF(M851&lt;&gt;"OK","",N(F851)/60*I851)</f>
        <v/>
      </c>
      <c r="M851" s="69" t="str">
        <f>IF(AND(A851="",D851=""),"",IF(A851="","Produit manquant",IF(COUNTIF(prod_ref,A851)=0,"Produit inconnu",IF(D851="","Poste manquant",IF(ISNA(MATCH(D851,po_code,0)),"Poste inconnu",IF(INDEX(po_check,MATCH(D851,po_code,0))&lt;&gt;"OK","Poste à corriger",IF(AND(E851&lt;&gt;"",OR(NOT(ISNUMBER(E851)),N(E851)&lt;0)),"Réglage invalide",IF(AND(F851&lt;&gt;"",OR(NOT(ISNUMBER(F851)),N(F851)&lt;0)),"Temps par pièce invalide",IF(N(E851)+N(F851)=0,"Temps manquant",IF(AND(G851&lt;&gt;"",OR(NOT(ISNUMBER(G851)),N(G851)&lt;=0)),"Opérateurs invalide","OK"))))))))))</f>
        <v/>
      </c>
      <c r="N851" s="71" t="str">
        <f>IF(AND(fiche_sel&lt;&gt;"",A851=fiche_sel),COUNTIF(A$6:A851,fiche_sel),"")</f>
        <v/>
      </c>
    </row>
    <row r="852">
      <c r="A852" s="60" t="n"/>
      <c r="B852" s="73" t="n"/>
      <c r="C852" s="60" t="n"/>
      <c r="D852" s="61" t="n"/>
      <c r="E852" s="74" t="n"/>
      <c r="F852" s="74" t="n"/>
      <c r="G852" s="73" t="n"/>
      <c r="H852" s="66" t="str">
        <f>IF(M852&lt;&gt;"OK","",INDEX(po_mo,MATCH(D852,po_code,0)))</f>
        <v/>
      </c>
      <c r="I852" s="66" t="str">
        <f>IF(M852&lt;&gt;"OK","",INDEX(po_mac,MATCH(D852,po_code,0)))</f>
        <v/>
      </c>
      <c r="J852" s="66" t="str">
        <f>IF(M852&lt;&gt;"OK","",N(E852)*(H852*IF(G852="",1,G852)+I852))</f>
        <v/>
      </c>
      <c r="K852" s="66" t="str">
        <f>IF(M852&lt;&gt;"OK","",N(F852)/60*H852*IF(G852="",1,G852))</f>
        <v/>
      </c>
      <c r="L852" s="66" t="str">
        <f>IF(M852&lt;&gt;"OK","",N(F852)/60*I852)</f>
        <v/>
      </c>
      <c r="M852" s="69" t="str">
        <f>IF(AND(A852="",D852=""),"",IF(A852="","Produit manquant",IF(COUNTIF(prod_ref,A852)=0,"Produit inconnu",IF(D852="","Poste manquant",IF(ISNA(MATCH(D852,po_code,0)),"Poste inconnu",IF(INDEX(po_check,MATCH(D852,po_code,0))&lt;&gt;"OK","Poste à corriger",IF(AND(E852&lt;&gt;"",OR(NOT(ISNUMBER(E852)),N(E852)&lt;0)),"Réglage invalide",IF(AND(F852&lt;&gt;"",OR(NOT(ISNUMBER(F852)),N(F852)&lt;0)),"Temps par pièce invalide",IF(N(E852)+N(F852)=0,"Temps manquant",IF(AND(G852&lt;&gt;"",OR(NOT(ISNUMBER(G852)),N(G852)&lt;=0)),"Opérateurs invalide","OK"))))))))))</f>
        <v/>
      </c>
      <c r="N852" s="71" t="str">
        <f>IF(AND(fiche_sel&lt;&gt;"",A852=fiche_sel),COUNTIF(A$6:A852,fiche_sel),"")</f>
        <v/>
      </c>
    </row>
    <row r="853">
      <c r="A853" s="60" t="n"/>
      <c r="B853" s="73" t="n"/>
      <c r="C853" s="60" t="n"/>
      <c r="D853" s="61" t="n"/>
      <c r="E853" s="74" t="n"/>
      <c r="F853" s="74" t="n"/>
      <c r="G853" s="73" t="n"/>
      <c r="H853" s="66" t="str">
        <f>IF(M853&lt;&gt;"OK","",INDEX(po_mo,MATCH(D853,po_code,0)))</f>
        <v/>
      </c>
      <c r="I853" s="66" t="str">
        <f>IF(M853&lt;&gt;"OK","",INDEX(po_mac,MATCH(D853,po_code,0)))</f>
        <v/>
      </c>
      <c r="J853" s="66" t="str">
        <f>IF(M853&lt;&gt;"OK","",N(E853)*(H853*IF(G853="",1,G853)+I853))</f>
        <v/>
      </c>
      <c r="K853" s="66" t="str">
        <f>IF(M853&lt;&gt;"OK","",N(F853)/60*H853*IF(G853="",1,G853))</f>
        <v/>
      </c>
      <c r="L853" s="66" t="str">
        <f>IF(M853&lt;&gt;"OK","",N(F853)/60*I853)</f>
        <v/>
      </c>
      <c r="M853" s="69" t="str">
        <f>IF(AND(A853="",D853=""),"",IF(A853="","Produit manquant",IF(COUNTIF(prod_ref,A853)=0,"Produit inconnu",IF(D853="","Poste manquant",IF(ISNA(MATCH(D853,po_code,0)),"Poste inconnu",IF(INDEX(po_check,MATCH(D853,po_code,0))&lt;&gt;"OK","Poste à corriger",IF(AND(E853&lt;&gt;"",OR(NOT(ISNUMBER(E853)),N(E853)&lt;0)),"Réglage invalide",IF(AND(F853&lt;&gt;"",OR(NOT(ISNUMBER(F853)),N(F853)&lt;0)),"Temps par pièce invalide",IF(N(E853)+N(F853)=0,"Temps manquant",IF(AND(G853&lt;&gt;"",OR(NOT(ISNUMBER(G853)),N(G853)&lt;=0)),"Opérateurs invalide","OK"))))))))))</f>
        <v/>
      </c>
      <c r="N853" s="71" t="str">
        <f>IF(AND(fiche_sel&lt;&gt;"",A853=fiche_sel),COUNTIF(A$6:A853,fiche_sel),"")</f>
        <v/>
      </c>
    </row>
    <row r="854">
      <c r="A854" s="60" t="n"/>
      <c r="B854" s="73" t="n"/>
      <c r="C854" s="60" t="n"/>
      <c r="D854" s="61" t="n"/>
      <c r="E854" s="74" t="n"/>
      <c r="F854" s="74" t="n"/>
      <c r="G854" s="73" t="n"/>
      <c r="H854" s="66" t="str">
        <f>IF(M854&lt;&gt;"OK","",INDEX(po_mo,MATCH(D854,po_code,0)))</f>
        <v/>
      </c>
      <c r="I854" s="66" t="str">
        <f>IF(M854&lt;&gt;"OK","",INDEX(po_mac,MATCH(D854,po_code,0)))</f>
        <v/>
      </c>
      <c r="J854" s="66" t="str">
        <f>IF(M854&lt;&gt;"OK","",N(E854)*(H854*IF(G854="",1,G854)+I854))</f>
        <v/>
      </c>
      <c r="K854" s="66" t="str">
        <f>IF(M854&lt;&gt;"OK","",N(F854)/60*H854*IF(G854="",1,G854))</f>
        <v/>
      </c>
      <c r="L854" s="66" t="str">
        <f>IF(M854&lt;&gt;"OK","",N(F854)/60*I854)</f>
        <v/>
      </c>
      <c r="M854" s="69" t="str">
        <f>IF(AND(A854="",D854=""),"",IF(A854="","Produit manquant",IF(COUNTIF(prod_ref,A854)=0,"Produit inconnu",IF(D854="","Poste manquant",IF(ISNA(MATCH(D854,po_code,0)),"Poste inconnu",IF(INDEX(po_check,MATCH(D854,po_code,0))&lt;&gt;"OK","Poste à corriger",IF(AND(E854&lt;&gt;"",OR(NOT(ISNUMBER(E854)),N(E854)&lt;0)),"Réglage invalide",IF(AND(F854&lt;&gt;"",OR(NOT(ISNUMBER(F854)),N(F854)&lt;0)),"Temps par pièce invalide",IF(N(E854)+N(F854)=0,"Temps manquant",IF(AND(G854&lt;&gt;"",OR(NOT(ISNUMBER(G854)),N(G854)&lt;=0)),"Opérateurs invalide","OK"))))))))))</f>
        <v/>
      </c>
      <c r="N854" s="71" t="str">
        <f>IF(AND(fiche_sel&lt;&gt;"",A854=fiche_sel),COUNTIF(A$6:A854,fiche_sel),"")</f>
        <v/>
      </c>
    </row>
    <row r="855">
      <c r="A855" s="60" t="n"/>
      <c r="B855" s="73" t="n"/>
      <c r="C855" s="60" t="n"/>
      <c r="D855" s="61" t="n"/>
      <c r="E855" s="74" t="n"/>
      <c r="F855" s="74" t="n"/>
      <c r="G855" s="73" t="n"/>
      <c r="H855" s="66" t="str">
        <f>IF(M855&lt;&gt;"OK","",INDEX(po_mo,MATCH(D855,po_code,0)))</f>
        <v/>
      </c>
      <c r="I855" s="66" t="str">
        <f>IF(M855&lt;&gt;"OK","",INDEX(po_mac,MATCH(D855,po_code,0)))</f>
        <v/>
      </c>
      <c r="J855" s="66" t="str">
        <f>IF(M855&lt;&gt;"OK","",N(E855)*(H855*IF(G855="",1,G855)+I855))</f>
        <v/>
      </c>
      <c r="K855" s="66" t="str">
        <f>IF(M855&lt;&gt;"OK","",N(F855)/60*H855*IF(G855="",1,G855))</f>
        <v/>
      </c>
      <c r="L855" s="66" t="str">
        <f>IF(M855&lt;&gt;"OK","",N(F855)/60*I855)</f>
        <v/>
      </c>
      <c r="M855" s="69" t="str">
        <f>IF(AND(A855="",D855=""),"",IF(A855="","Produit manquant",IF(COUNTIF(prod_ref,A855)=0,"Produit inconnu",IF(D855="","Poste manquant",IF(ISNA(MATCH(D855,po_code,0)),"Poste inconnu",IF(INDEX(po_check,MATCH(D855,po_code,0))&lt;&gt;"OK","Poste à corriger",IF(AND(E855&lt;&gt;"",OR(NOT(ISNUMBER(E855)),N(E855)&lt;0)),"Réglage invalide",IF(AND(F855&lt;&gt;"",OR(NOT(ISNUMBER(F855)),N(F855)&lt;0)),"Temps par pièce invalide",IF(N(E855)+N(F855)=0,"Temps manquant",IF(AND(G855&lt;&gt;"",OR(NOT(ISNUMBER(G855)),N(G855)&lt;=0)),"Opérateurs invalide","OK"))))))))))</f>
        <v/>
      </c>
      <c r="N855" s="71" t="str">
        <f>IF(AND(fiche_sel&lt;&gt;"",A855=fiche_sel),COUNTIF(A$6:A855,fiche_sel),"")</f>
        <v/>
      </c>
    </row>
    <row r="856">
      <c r="A856" s="60" t="n"/>
      <c r="B856" s="73" t="n"/>
      <c r="C856" s="60" t="n"/>
      <c r="D856" s="61" t="n"/>
      <c r="E856" s="74" t="n"/>
      <c r="F856" s="74" t="n"/>
      <c r="G856" s="73" t="n"/>
      <c r="H856" s="66" t="str">
        <f>IF(M856&lt;&gt;"OK","",INDEX(po_mo,MATCH(D856,po_code,0)))</f>
        <v/>
      </c>
      <c r="I856" s="66" t="str">
        <f>IF(M856&lt;&gt;"OK","",INDEX(po_mac,MATCH(D856,po_code,0)))</f>
        <v/>
      </c>
      <c r="J856" s="66" t="str">
        <f>IF(M856&lt;&gt;"OK","",N(E856)*(H856*IF(G856="",1,G856)+I856))</f>
        <v/>
      </c>
      <c r="K856" s="66" t="str">
        <f>IF(M856&lt;&gt;"OK","",N(F856)/60*H856*IF(G856="",1,G856))</f>
        <v/>
      </c>
      <c r="L856" s="66" t="str">
        <f>IF(M856&lt;&gt;"OK","",N(F856)/60*I856)</f>
        <v/>
      </c>
      <c r="M856" s="69" t="str">
        <f>IF(AND(A856="",D856=""),"",IF(A856="","Produit manquant",IF(COUNTIF(prod_ref,A856)=0,"Produit inconnu",IF(D856="","Poste manquant",IF(ISNA(MATCH(D856,po_code,0)),"Poste inconnu",IF(INDEX(po_check,MATCH(D856,po_code,0))&lt;&gt;"OK","Poste à corriger",IF(AND(E856&lt;&gt;"",OR(NOT(ISNUMBER(E856)),N(E856)&lt;0)),"Réglage invalide",IF(AND(F856&lt;&gt;"",OR(NOT(ISNUMBER(F856)),N(F856)&lt;0)),"Temps par pièce invalide",IF(N(E856)+N(F856)=0,"Temps manquant",IF(AND(G856&lt;&gt;"",OR(NOT(ISNUMBER(G856)),N(G856)&lt;=0)),"Opérateurs invalide","OK"))))))))))</f>
        <v/>
      </c>
      <c r="N856" s="71" t="str">
        <f>IF(AND(fiche_sel&lt;&gt;"",A856=fiche_sel),COUNTIF(A$6:A856,fiche_sel),"")</f>
        <v/>
      </c>
    </row>
    <row r="857">
      <c r="A857" s="60" t="n"/>
      <c r="B857" s="73" t="n"/>
      <c r="C857" s="60" t="n"/>
      <c r="D857" s="61" t="n"/>
      <c r="E857" s="74" t="n"/>
      <c r="F857" s="74" t="n"/>
      <c r="G857" s="73" t="n"/>
      <c r="H857" s="66" t="str">
        <f>IF(M857&lt;&gt;"OK","",INDEX(po_mo,MATCH(D857,po_code,0)))</f>
        <v/>
      </c>
      <c r="I857" s="66" t="str">
        <f>IF(M857&lt;&gt;"OK","",INDEX(po_mac,MATCH(D857,po_code,0)))</f>
        <v/>
      </c>
      <c r="J857" s="66" t="str">
        <f>IF(M857&lt;&gt;"OK","",N(E857)*(H857*IF(G857="",1,G857)+I857))</f>
        <v/>
      </c>
      <c r="K857" s="66" t="str">
        <f>IF(M857&lt;&gt;"OK","",N(F857)/60*H857*IF(G857="",1,G857))</f>
        <v/>
      </c>
      <c r="L857" s="66" t="str">
        <f>IF(M857&lt;&gt;"OK","",N(F857)/60*I857)</f>
        <v/>
      </c>
      <c r="M857" s="69" t="str">
        <f>IF(AND(A857="",D857=""),"",IF(A857="","Produit manquant",IF(COUNTIF(prod_ref,A857)=0,"Produit inconnu",IF(D857="","Poste manquant",IF(ISNA(MATCH(D857,po_code,0)),"Poste inconnu",IF(INDEX(po_check,MATCH(D857,po_code,0))&lt;&gt;"OK","Poste à corriger",IF(AND(E857&lt;&gt;"",OR(NOT(ISNUMBER(E857)),N(E857)&lt;0)),"Réglage invalide",IF(AND(F857&lt;&gt;"",OR(NOT(ISNUMBER(F857)),N(F857)&lt;0)),"Temps par pièce invalide",IF(N(E857)+N(F857)=0,"Temps manquant",IF(AND(G857&lt;&gt;"",OR(NOT(ISNUMBER(G857)),N(G857)&lt;=0)),"Opérateurs invalide","OK"))))))))))</f>
        <v/>
      </c>
      <c r="N857" s="71" t="str">
        <f>IF(AND(fiche_sel&lt;&gt;"",A857=fiche_sel),COUNTIF(A$6:A857,fiche_sel),"")</f>
        <v/>
      </c>
    </row>
    <row r="858">
      <c r="A858" s="60" t="n"/>
      <c r="B858" s="73" t="n"/>
      <c r="C858" s="60" t="n"/>
      <c r="D858" s="61" t="n"/>
      <c r="E858" s="74" t="n"/>
      <c r="F858" s="74" t="n"/>
      <c r="G858" s="73" t="n"/>
      <c r="H858" s="66" t="str">
        <f>IF(M858&lt;&gt;"OK","",INDEX(po_mo,MATCH(D858,po_code,0)))</f>
        <v/>
      </c>
      <c r="I858" s="66" t="str">
        <f>IF(M858&lt;&gt;"OK","",INDEX(po_mac,MATCH(D858,po_code,0)))</f>
        <v/>
      </c>
      <c r="J858" s="66" t="str">
        <f>IF(M858&lt;&gt;"OK","",N(E858)*(H858*IF(G858="",1,G858)+I858))</f>
        <v/>
      </c>
      <c r="K858" s="66" t="str">
        <f>IF(M858&lt;&gt;"OK","",N(F858)/60*H858*IF(G858="",1,G858))</f>
        <v/>
      </c>
      <c r="L858" s="66" t="str">
        <f>IF(M858&lt;&gt;"OK","",N(F858)/60*I858)</f>
        <v/>
      </c>
      <c r="M858" s="69" t="str">
        <f>IF(AND(A858="",D858=""),"",IF(A858="","Produit manquant",IF(COUNTIF(prod_ref,A858)=0,"Produit inconnu",IF(D858="","Poste manquant",IF(ISNA(MATCH(D858,po_code,0)),"Poste inconnu",IF(INDEX(po_check,MATCH(D858,po_code,0))&lt;&gt;"OK","Poste à corriger",IF(AND(E858&lt;&gt;"",OR(NOT(ISNUMBER(E858)),N(E858)&lt;0)),"Réglage invalide",IF(AND(F858&lt;&gt;"",OR(NOT(ISNUMBER(F858)),N(F858)&lt;0)),"Temps par pièce invalide",IF(N(E858)+N(F858)=0,"Temps manquant",IF(AND(G858&lt;&gt;"",OR(NOT(ISNUMBER(G858)),N(G858)&lt;=0)),"Opérateurs invalide","OK"))))))))))</f>
        <v/>
      </c>
      <c r="N858" s="71" t="str">
        <f>IF(AND(fiche_sel&lt;&gt;"",A858=fiche_sel),COUNTIF(A$6:A858,fiche_sel),"")</f>
        <v/>
      </c>
    </row>
    <row r="859">
      <c r="A859" s="60" t="n"/>
      <c r="B859" s="73" t="n"/>
      <c r="C859" s="60" t="n"/>
      <c r="D859" s="61" t="n"/>
      <c r="E859" s="74" t="n"/>
      <c r="F859" s="74" t="n"/>
      <c r="G859" s="73" t="n"/>
      <c r="H859" s="66" t="str">
        <f>IF(M859&lt;&gt;"OK","",INDEX(po_mo,MATCH(D859,po_code,0)))</f>
        <v/>
      </c>
      <c r="I859" s="66" t="str">
        <f>IF(M859&lt;&gt;"OK","",INDEX(po_mac,MATCH(D859,po_code,0)))</f>
        <v/>
      </c>
      <c r="J859" s="66" t="str">
        <f>IF(M859&lt;&gt;"OK","",N(E859)*(H859*IF(G859="",1,G859)+I859))</f>
        <v/>
      </c>
      <c r="K859" s="66" t="str">
        <f>IF(M859&lt;&gt;"OK","",N(F859)/60*H859*IF(G859="",1,G859))</f>
        <v/>
      </c>
      <c r="L859" s="66" t="str">
        <f>IF(M859&lt;&gt;"OK","",N(F859)/60*I859)</f>
        <v/>
      </c>
      <c r="M859" s="69" t="str">
        <f>IF(AND(A859="",D859=""),"",IF(A859="","Produit manquant",IF(COUNTIF(prod_ref,A859)=0,"Produit inconnu",IF(D859="","Poste manquant",IF(ISNA(MATCH(D859,po_code,0)),"Poste inconnu",IF(INDEX(po_check,MATCH(D859,po_code,0))&lt;&gt;"OK","Poste à corriger",IF(AND(E859&lt;&gt;"",OR(NOT(ISNUMBER(E859)),N(E859)&lt;0)),"Réglage invalide",IF(AND(F859&lt;&gt;"",OR(NOT(ISNUMBER(F859)),N(F859)&lt;0)),"Temps par pièce invalide",IF(N(E859)+N(F859)=0,"Temps manquant",IF(AND(G859&lt;&gt;"",OR(NOT(ISNUMBER(G859)),N(G859)&lt;=0)),"Opérateurs invalide","OK"))))))))))</f>
        <v/>
      </c>
      <c r="N859" s="71" t="str">
        <f>IF(AND(fiche_sel&lt;&gt;"",A859=fiche_sel),COUNTIF(A$6:A859,fiche_sel),"")</f>
        <v/>
      </c>
    </row>
    <row r="860">
      <c r="A860" s="60" t="n"/>
      <c r="B860" s="73" t="n"/>
      <c r="C860" s="60" t="n"/>
      <c r="D860" s="61" t="n"/>
      <c r="E860" s="74" t="n"/>
      <c r="F860" s="74" t="n"/>
      <c r="G860" s="73" t="n"/>
      <c r="H860" s="66" t="str">
        <f>IF(M860&lt;&gt;"OK","",INDEX(po_mo,MATCH(D860,po_code,0)))</f>
        <v/>
      </c>
      <c r="I860" s="66" t="str">
        <f>IF(M860&lt;&gt;"OK","",INDEX(po_mac,MATCH(D860,po_code,0)))</f>
        <v/>
      </c>
      <c r="J860" s="66" t="str">
        <f>IF(M860&lt;&gt;"OK","",N(E860)*(H860*IF(G860="",1,G860)+I860))</f>
        <v/>
      </c>
      <c r="K860" s="66" t="str">
        <f>IF(M860&lt;&gt;"OK","",N(F860)/60*H860*IF(G860="",1,G860))</f>
        <v/>
      </c>
      <c r="L860" s="66" t="str">
        <f>IF(M860&lt;&gt;"OK","",N(F860)/60*I860)</f>
        <v/>
      </c>
      <c r="M860" s="69" t="str">
        <f>IF(AND(A860="",D860=""),"",IF(A860="","Produit manquant",IF(COUNTIF(prod_ref,A860)=0,"Produit inconnu",IF(D860="","Poste manquant",IF(ISNA(MATCH(D860,po_code,0)),"Poste inconnu",IF(INDEX(po_check,MATCH(D860,po_code,0))&lt;&gt;"OK","Poste à corriger",IF(AND(E860&lt;&gt;"",OR(NOT(ISNUMBER(E860)),N(E860)&lt;0)),"Réglage invalide",IF(AND(F860&lt;&gt;"",OR(NOT(ISNUMBER(F860)),N(F860)&lt;0)),"Temps par pièce invalide",IF(N(E860)+N(F860)=0,"Temps manquant",IF(AND(G860&lt;&gt;"",OR(NOT(ISNUMBER(G860)),N(G860)&lt;=0)),"Opérateurs invalide","OK"))))))))))</f>
        <v/>
      </c>
      <c r="N860" s="71" t="str">
        <f>IF(AND(fiche_sel&lt;&gt;"",A860=fiche_sel),COUNTIF(A$6:A860,fiche_sel),"")</f>
        <v/>
      </c>
    </row>
    <row r="861">
      <c r="A861" s="60" t="n"/>
      <c r="B861" s="73" t="n"/>
      <c r="C861" s="60" t="n"/>
      <c r="D861" s="61" t="n"/>
      <c r="E861" s="74" t="n"/>
      <c r="F861" s="74" t="n"/>
      <c r="G861" s="73" t="n"/>
      <c r="H861" s="66" t="str">
        <f>IF(M861&lt;&gt;"OK","",INDEX(po_mo,MATCH(D861,po_code,0)))</f>
        <v/>
      </c>
      <c r="I861" s="66" t="str">
        <f>IF(M861&lt;&gt;"OK","",INDEX(po_mac,MATCH(D861,po_code,0)))</f>
        <v/>
      </c>
      <c r="J861" s="66" t="str">
        <f>IF(M861&lt;&gt;"OK","",N(E861)*(H861*IF(G861="",1,G861)+I861))</f>
        <v/>
      </c>
      <c r="K861" s="66" t="str">
        <f>IF(M861&lt;&gt;"OK","",N(F861)/60*H861*IF(G861="",1,G861))</f>
        <v/>
      </c>
      <c r="L861" s="66" t="str">
        <f>IF(M861&lt;&gt;"OK","",N(F861)/60*I861)</f>
        <v/>
      </c>
      <c r="M861" s="69" t="str">
        <f>IF(AND(A861="",D861=""),"",IF(A861="","Produit manquant",IF(COUNTIF(prod_ref,A861)=0,"Produit inconnu",IF(D861="","Poste manquant",IF(ISNA(MATCH(D861,po_code,0)),"Poste inconnu",IF(INDEX(po_check,MATCH(D861,po_code,0))&lt;&gt;"OK","Poste à corriger",IF(AND(E861&lt;&gt;"",OR(NOT(ISNUMBER(E861)),N(E861)&lt;0)),"Réglage invalide",IF(AND(F861&lt;&gt;"",OR(NOT(ISNUMBER(F861)),N(F861)&lt;0)),"Temps par pièce invalide",IF(N(E861)+N(F861)=0,"Temps manquant",IF(AND(G861&lt;&gt;"",OR(NOT(ISNUMBER(G861)),N(G861)&lt;=0)),"Opérateurs invalide","OK"))))))))))</f>
        <v/>
      </c>
      <c r="N861" s="71" t="str">
        <f>IF(AND(fiche_sel&lt;&gt;"",A861=fiche_sel),COUNTIF(A$6:A861,fiche_sel),"")</f>
        <v/>
      </c>
    </row>
    <row r="862">
      <c r="A862" s="60" t="n"/>
      <c r="B862" s="73" t="n"/>
      <c r="C862" s="60" t="n"/>
      <c r="D862" s="61" t="n"/>
      <c r="E862" s="74" t="n"/>
      <c r="F862" s="74" t="n"/>
      <c r="G862" s="73" t="n"/>
      <c r="H862" s="66" t="str">
        <f>IF(M862&lt;&gt;"OK","",INDEX(po_mo,MATCH(D862,po_code,0)))</f>
        <v/>
      </c>
      <c r="I862" s="66" t="str">
        <f>IF(M862&lt;&gt;"OK","",INDEX(po_mac,MATCH(D862,po_code,0)))</f>
        <v/>
      </c>
      <c r="J862" s="66" t="str">
        <f>IF(M862&lt;&gt;"OK","",N(E862)*(H862*IF(G862="",1,G862)+I862))</f>
        <v/>
      </c>
      <c r="K862" s="66" t="str">
        <f>IF(M862&lt;&gt;"OK","",N(F862)/60*H862*IF(G862="",1,G862))</f>
        <v/>
      </c>
      <c r="L862" s="66" t="str">
        <f>IF(M862&lt;&gt;"OK","",N(F862)/60*I862)</f>
        <v/>
      </c>
      <c r="M862" s="69" t="str">
        <f>IF(AND(A862="",D862=""),"",IF(A862="","Produit manquant",IF(COUNTIF(prod_ref,A862)=0,"Produit inconnu",IF(D862="","Poste manquant",IF(ISNA(MATCH(D862,po_code,0)),"Poste inconnu",IF(INDEX(po_check,MATCH(D862,po_code,0))&lt;&gt;"OK","Poste à corriger",IF(AND(E862&lt;&gt;"",OR(NOT(ISNUMBER(E862)),N(E862)&lt;0)),"Réglage invalide",IF(AND(F862&lt;&gt;"",OR(NOT(ISNUMBER(F862)),N(F862)&lt;0)),"Temps par pièce invalide",IF(N(E862)+N(F862)=0,"Temps manquant",IF(AND(G862&lt;&gt;"",OR(NOT(ISNUMBER(G862)),N(G862)&lt;=0)),"Opérateurs invalide","OK"))))))))))</f>
        <v/>
      </c>
      <c r="N862" s="71" t="str">
        <f>IF(AND(fiche_sel&lt;&gt;"",A862=fiche_sel),COUNTIF(A$6:A862,fiche_sel),"")</f>
        <v/>
      </c>
    </row>
    <row r="863">
      <c r="A863" s="60" t="n"/>
      <c r="B863" s="73" t="n"/>
      <c r="C863" s="60" t="n"/>
      <c r="D863" s="61" t="n"/>
      <c r="E863" s="74" t="n"/>
      <c r="F863" s="74" t="n"/>
      <c r="G863" s="73" t="n"/>
      <c r="H863" s="66" t="str">
        <f>IF(M863&lt;&gt;"OK","",INDEX(po_mo,MATCH(D863,po_code,0)))</f>
        <v/>
      </c>
      <c r="I863" s="66" t="str">
        <f>IF(M863&lt;&gt;"OK","",INDEX(po_mac,MATCH(D863,po_code,0)))</f>
        <v/>
      </c>
      <c r="J863" s="66" t="str">
        <f>IF(M863&lt;&gt;"OK","",N(E863)*(H863*IF(G863="",1,G863)+I863))</f>
        <v/>
      </c>
      <c r="K863" s="66" t="str">
        <f>IF(M863&lt;&gt;"OK","",N(F863)/60*H863*IF(G863="",1,G863))</f>
        <v/>
      </c>
      <c r="L863" s="66" t="str">
        <f>IF(M863&lt;&gt;"OK","",N(F863)/60*I863)</f>
        <v/>
      </c>
      <c r="M863" s="69" t="str">
        <f>IF(AND(A863="",D863=""),"",IF(A863="","Produit manquant",IF(COUNTIF(prod_ref,A863)=0,"Produit inconnu",IF(D863="","Poste manquant",IF(ISNA(MATCH(D863,po_code,0)),"Poste inconnu",IF(INDEX(po_check,MATCH(D863,po_code,0))&lt;&gt;"OK","Poste à corriger",IF(AND(E863&lt;&gt;"",OR(NOT(ISNUMBER(E863)),N(E863)&lt;0)),"Réglage invalide",IF(AND(F863&lt;&gt;"",OR(NOT(ISNUMBER(F863)),N(F863)&lt;0)),"Temps par pièce invalide",IF(N(E863)+N(F863)=0,"Temps manquant",IF(AND(G863&lt;&gt;"",OR(NOT(ISNUMBER(G863)),N(G863)&lt;=0)),"Opérateurs invalide","OK"))))))))))</f>
        <v/>
      </c>
      <c r="N863" s="71" t="str">
        <f>IF(AND(fiche_sel&lt;&gt;"",A863=fiche_sel),COUNTIF(A$6:A863,fiche_sel),"")</f>
        <v/>
      </c>
    </row>
    <row r="864">
      <c r="A864" s="60" t="n"/>
      <c r="B864" s="73" t="n"/>
      <c r="C864" s="60" t="n"/>
      <c r="D864" s="61" t="n"/>
      <c r="E864" s="74" t="n"/>
      <c r="F864" s="74" t="n"/>
      <c r="G864" s="73" t="n"/>
      <c r="H864" s="66" t="str">
        <f>IF(M864&lt;&gt;"OK","",INDEX(po_mo,MATCH(D864,po_code,0)))</f>
        <v/>
      </c>
      <c r="I864" s="66" t="str">
        <f>IF(M864&lt;&gt;"OK","",INDEX(po_mac,MATCH(D864,po_code,0)))</f>
        <v/>
      </c>
      <c r="J864" s="66" t="str">
        <f>IF(M864&lt;&gt;"OK","",N(E864)*(H864*IF(G864="",1,G864)+I864))</f>
        <v/>
      </c>
      <c r="K864" s="66" t="str">
        <f>IF(M864&lt;&gt;"OK","",N(F864)/60*H864*IF(G864="",1,G864))</f>
        <v/>
      </c>
      <c r="L864" s="66" t="str">
        <f>IF(M864&lt;&gt;"OK","",N(F864)/60*I864)</f>
        <v/>
      </c>
      <c r="M864" s="69" t="str">
        <f>IF(AND(A864="",D864=""),"",IF(A864="","Produit manquant",IF(COUNTIF(prod_ref,A864)=0,"Produit inconnu",IF(D864="","Poste manquant",IF(ISNA(MATCH(D864,po_code,0)),"Poste inconnu",IF(INDEX(po_check,MATCH(D864,po_code,0))&lt;&gt;"OK","Poste à corriger",IF(AND(E864&lt;&gt;"",OR(NOT(ISNUMBER(E864)),N(E864)&lt;0)),"Réglage invalide",IF(AND(F864&lt;&gt;"",OR(NOT(ISNUMBER(F864)),N(F864)&lt;0)),"Temps par pièce invalide",IF(N(E864)+N(F864)=0,"Temps manquant",IF(AND(G864&lt;&gt;"",OR(NOT(ISNUMBER(G864)),N(G864)&lt;=0)),"Opérateurs invalide","OK"))))))))))</f>
        <v/>
      </c>
      <c r="N864" s="71" t="str">
        <f>IF(AND(fiche_sel&lt;&gt;"",A864=fiche_sel),COUNTIF(A$6:A864,fiche_sel),"")</f>
        <v/>
      </c>
    </row>
    <row r="865">
      <c r="A865" s="60" t="n"/>
      <c r="B865" s="73" t="n"/>
      <c r="C865" s="60" t="n"/>
      <c r="D865" s="61" t="n"/>
      <c r="E865" s="74" t="n"/>
      <c r="F865" s="74" t="n"/>
      <c r="G865" s="73" t="n"/>
      <c r="H865" s="66" t="str">
        <f>IF(M865&lt;&gt;"OK","",INDEX(po_mo,MATCH(D865,po_code,0)))</f>
        <v/>
      </c>
      <c r="I865" s="66" t="str">
        <f>IF(M865&lt;&gt;"OK","",INDEX(po_mac,MATCH(D865,po_code,0)))</f>
        <v/>
      </c>
      <c r="J865" s="66" t="str">
        <f>IF(M865&lt;&gt;"OK","",N(E865)*(H865*IF(G865="",1,G865)+I865))</f>
        <v/>
      </c>
      <c r="K865" s="66" t="str">
        <f>IF(M865&lt;&gt;"OK","",N(F865)/60*H865*IF(G865="",1,G865))</f>
        <v/>
      </c>
      <c r="L865" s="66" t="str">
        <f>IF(M865&lt;&gt;"OK","",N(F865)/60*I865)</f>
        <v/>
      </c>
      <c r="M865" s="69" t="str">
        <f>IF(AND(A865="",D865=""),"",IF(A865="","Produit manquant",IF(COUNTIF(prod_ref,A865)=0,"Produit inconnu",IF(D865="","Poste manquant",IF(ISNA(MATCH(D865,po_code,0)),"Poste inconnu",IF(INDEX(po_check,MATCH(D865,po_code,0))&lt;&gt;"OK","Poste à corriger",IF(AND(E865&lt;&gt;"",OR(NOT(ISNUMBER(E865)),N(E865)&lt;0)),"Réglage invalide",IF(AND(F865&lt;&gt;"",OR(NOT(ISNUMBER(F865)),N(F865)&lt;0)),"Temps par pièce invalide",IF(N(E865)+N(F865)=0,"Temps manquant",IF(AND(G865&lt;&gt;"",OR(NOT(ISNUMBER(G865)),N(G865)&lt;=0)),"Opérateurs invalide","OK"))))))))))</f>
        <v/>
      </c>
      <c r="N865" s="71" t="str">
        <f>IF(AND(fiche_sel&lt;&gt;"",A865=fiche_sel),COUNTIF(A$6:A865,fiche_sel),"")</f>
        <v/>
      </c>
    </row>
    <row r="866">
      <c r="A866" s="60" t="n"/>
      <c r="B866" s="73" t="n"/>
      <c r="C866" s="60" t="n"/>
      <c r="D866" s="61" t="n"/>
      <c r="E866" s="74" t="n"/>
      <c r="F866" s="74" t="n"/>
      <c r="G866" s="73" t="n"/>
      <c r="H866" s="66" t="str">
        <f>IF(M866&lt;&gt;"OK","",INDEX(po_mo,MATCH(D866,po_code,0)))</f>
        <v/>
      </c>
      <c r="I866" s="66" t="str">
        <f>IF(M866&lt;&gt;"OK","",INDEX(po_mac,MATCH(D866,po_code,0)))</f>
        <v/>
      </c>
      <c r="J866" s="66" t="str">
        <f>IF(M866&lt;&gt;"OK","",N(E866)*(H866*IF(G866="",1,G866)+I866))</f>
        <v/>
      </c>
      <c r="K866" s="66" t="str">
        <f>IF(M866&lt;&gt;"OK","",N(F866)/60*H866*IF(G866="",1,G866))</f>
        <v/>
      </c>
      <c r="L866" s="66" t="str">
        <f>IF(M866&lt;&gt;"OK","",N(F866)/60*I866)</f>
        <v/>
      </c>
      <c r="M866" s="69" t="str">
        <f>IF(AND(A866="",D866=""),"",IF(A866="","Produit manquant",IF(COUNTIF(prod_ref,A866)=0,"Produit inconnu",IF(D866="","Poste manquant",IF(ISNA(MATCH(D866,po_code,0)),"Poste inconnu",IF(INDEX(po_check,MATCH(D866,po_code,0))&lt;&gt;"OK","Poste à corriger",IF(AND(E866&lt;&gt;"",OR(NOT(ISNUMBER(E866)),N(E866)&lt;0)),"Réglage invalide",IF(AND(F866&lt;&gt;"",OR(NOT(ISNUMBER(F866)),N(F866)&lt;0)),"Temps par pièce invalide",IF(N(E866)+N(F866)=0,"Temps manquant",IF(AND(G866&lt;&gt;"",OR(NOT(ISNUMBER(G866)),N(G866)&lt;=0)),"Opérateurs invalide","OK"))))))))))</f>
        <v/>
      </c>
      <c r="N866" s="71" t="str">
        <f>IF(AND(fiche_sel&lt;&gt;"",A866=fiche_sel),COUNTIF(A$6:A866,fiche_sel),"")</f>
        <v/>
      </c>
    </row>
    <row r="867">
      <c r="A867" s="60" t="n"/>
      <c r="B867" s="73" t="n"/>
      <c r="C867" s="60" t="n"/>
      <c r="D867" s="61" t="n"/>
      <c r="E867" s="74" t="n"/>
      <c r="F867" s="74" t="n"/>
      <c r="G867" s="73" t="n"/>
      <c r="H867" s="66" t="str">
        <f>IF(M867&lt;&gt;"OK","",INDEX(po_mo,MATCH(D867,po_code,0)))</f>
        <v/>
      </c>
      <c r="I867" s="66" t="str">
        <f>IF(M867&lt;&gt;"OK","",INDEX(po_mac,MATCH(D867,po_code,0)))</f>
        <v/>
      </c>
      <c r="J867" s="66" t="str">
        <f>IF(M867&lt;&gt;"OK","",N(E867)*(H867*IF(G867="",1,G867)+I867))</f>
        <v/>
      </c>
      <c r="K867" s="66" t="str">
        <f>IF(M867&lt;&gt;"OK","",N(F867)/60*H867*IF(G867="",1,G867))</f>
        <v/>
      </c>
      <c r="L867" s="66" t="str">
        <f>IF(M867&lt;&gt;"OK","",N(F867)/60*I867)</f>
        <v/>
      </c>
      <c r="M867" s="69" t="str">
        <f>IF(AND(A867="",D867=""),"",IF(A867="","Produit manquant",IF(COUNTIF(prod_ref,A867)=0,"Produit inconnu",IF(D867="","Poste manquant",IF(ISNA(MATCH(D867,po_code,0)),"Poste inconnu",IF(INDEX(po_check,MATCH(D867,po_code,0))&lt;&gt;"OK","Poste à corriger",IF(AND(E867&lt;&gt;"",OR(NOT(ISNUMBER(E867)),N(E867)&lt;0)),"Réglage invalide",IF(AND(F867&lt;&gt;"",OR(NOT(ISNUMBER(F867)),N(F867)&lt;0)),"Temps par pièce invalide",IF(N(E867)+N(F867)=0,"Temps manquant",IF(AND(G867&lt;&gt;"",OR(NOT(ISNUMBER(G867)),N(G867)&lt;=0)),"Opérateurs invalide","OK"))))))))))</f>
        <v/>
      </c>
      <c r="N867" s="71" t="str">
        <f>IF(AND(fiche_sel&lt;&gt;"",A867=fiche_sel),COUNTIF(A$6:A867,fiche_sel),"")</f>
        <v/>
      </c>
    </row>
    <row r="868">
      <c r="A868" s="60" t="n"/>
      <c r="B868" s="73" t="n"/>
      <c r="C868" s="60" t="n"/>
      <c r="D868" s="61" t="n"/>
      <c r="E868" s="74" t="n"/>
      <c r="F868" s="74" t="n"/>
      <c r="G868" s="73" t="n"/>
      <c r="H868" s="66" t="str">
        <f>IF(M868&lt;&gt;"OK","",INDEX(po_mo,MATCH(D868,po_code,0)))</f>
        <v/>
      </c>
      <c r="I868" s="66" t="str">
        <f>IF(M868&lt;&gt;"OK","",INDEX(po_mac,MATCH(D868,po_code,0)))</f>
        <v/>
      </c>
      <c r="J868" s="66" t="str">
        <f>IF(M868&lt;&gt;"OK","",N(E868)*(H868*IF(G868="",1,G868)+I868))</f>
        <v/>
      </c>
      <c r="K868" s="66" t="str">
        <f>IF(M868&lt;&gt;"OK","",N(F868)/60*H868*IF(G868="",1,G868))</f>
        <v/>
      </c>
      <c r="L868" s="66" t="str">
        <f>IF(M868&lt;&gt;"OK","",N(F868)/60*I868)</f>
        <v/>
      </c>
      <c r="M868" s="69" t="str">
        <f>IF(AND(A868="",D868=""),"",IF(A868="","Produit manquant",IF(COUNTIF(prod_ref,A868)=0,"Produit inconnu",IF(D868="","Poste manquant",IF(ISNA(MATCH(D868,po_code,0)),"Poste inconnu",IF(INDEX(po_check,MATCH(D868,po_code,0))&lt;&gt;"OK","Poste à corriger",IF(AND(E868&lt;&gt;"",OR(NOT(ISNUMBER(E868)),N(E868)&lt;0)),"Réglage invalide",IF(AND(F868&lt;&gt;"",OR(NOT(ISNUMBER(F868)),N(F868)&lt;0)),"Temps par pièce invalide",IF(N(E868)+N(F868)=0,"Temps manquant",IF(AND(G868&lt;&gt;"",OR(NOT(ISNUMBER(G868)),N(G868)&lt;=0)),"Opérateurs invalide","OK"))))))))))</f>
        <v/>
      </c>
      <c r="N868" s="71" t="str">
        <f>IF(AND(fiche_sel&lt;&gt;"",A868=fiche_sel),COUNTIF(A$6:A868,fiche_sel),"")</f>
        <v/>
      </c>
    </row>
    <row r="869">
      <c r="A869" s="60" t="n"/>
      <c r="B869" s="73" t="n"/>
      <c r="C869" s="60" t="n"/>
      <c r="D869" s="61" t="n"/>
      <c r="E869" s="74" t="n"/>
      <c r="F869" s="74" t="n"/>
      <c r="G869" s="73" t="n"/>
      <c r="H869" s="66" t="str">
        <f>IF(M869&lt;&gt;"OK","",INDEX(po_mo,MATCH(D869,po_code,0)))</f>
        <v/>
      </c>
      <c r="I869" s="66" t="str">
        <f>IF(M869&lt;&gt;"OK","",INDEX(po_mac,MATCH(D869,po_code,0)))</f>
        <v/>
      </c>
      <c r="J869" s="66" t="str">
        <f>IF(M869&lt;&gt;"OK","",N(E869)*(H869*IF(G869="",1,G869)+I869))</f>
        <v/>
      </c>
      <c r="K869" s="66" t="str">
        <f>IF(M869&lt;&gt;"OK","",N(F869)/60*H869*IF(G869="",1,G869))</f>
        <v/>
      </c>
      <c r="L869" s="66" t="str">
        <f>IF(M869&lt;&gt;"OK","",N(F869)/60*I869)</f>
        <v/>
      </c>
      <c r="M869" s="69" t="str">
        <f>IF(AND(A869="",D869=""),"",IF(A869="","Produit manquant",IF(COUNTIF(prod_ref,A869)=0,"Produit inconnu",IF(D869="","Poste manquant",IF(ISNA(MATCH(D869,po_code,0)),"Poste inconnu",IF(INDEX(po_check,MATCH(D869,po_code,0))&lt;&gt;"OK","Poste à corriger",IF(AND(E869&lt;&gt;"",OR(NOT(ISNUMBER(E869)),N(E869)&lt;0)),"Réglage invalide",IF(AND(F869&lt;&gt;"",OR(NOT(ISNUMBER(F869)),N(F869)&lt;0)),"Temps par pièce invalide",IF(N(E869)+N(F869)=0,"Temps manquant",IF(AND(G869&lt;&gt;"",OR(NOT(ISNUMBER(G869)),N(G869)&lt;=0)),"Opérateurs invalide","OK"))))))))))</f>
        <v/>
      </c>
      <c r="N869" s="71" t="str">
        <f>IF(AND(fiche_sel&lt;&gt;"",A869=fiche_sel),COUNTIF(A$6:A869,fiche_sel),"")</f>
        <v/>
      </c>
    </row>
    <row r="870">
      <c r="A870" s="60" t="n"/>
      <c r="B870" s="73" t="n"/>
      <c r="C870" s="60" t="n"/>
      <c r="D870" s="61" t="n"/>
      <c r="E870" s="74" t="n"/>
      <c r="F870" s="74" t="n"/>
      <c r="G870" s="73" t="n"/>
      <c r="H870" s="66" t="str">
        <f>IF(M870&lt;&gt;"OK","",INDEX(po_mo,MATCH(D870,po_code,0)))</f>
        <v/>
      </c>
      <c r="I870" s="66" t="str">
        <f>IF(M870&lt;&gt;"OK","",INDEX(po_mac,MATCH(D870,po_code,0)))</f>
        <v/>
      </c>
      <c r="J870" s="66" t="str">
        <f>IF(M870&lt;&gt;"OK","",N(E870)*(H870*IF(G870="",1,G870)+I870))</f>
        <v/>
      </c>
      <c r="K870" s="66" t="str">
        <f>IF(M870&lt;&gt;"OK","",N(F870)/60*H870*IF(G870="",1,G870))</f>
        <v/>
      </c>
      <c r="L870" s="66" t="str">
        <f>IF(M870&lt;&gt;"OK","",N(F870)/60*I870)</f>
        <v/>
      </c>
      <c r="M870" s="69" t="str">
        <f>IF(AND(A870="",D870=""),"",IF(A870="","Produit manquant",IF(COUNTIF(prod_ref,A870)=0,"Produit inconnu",IF(D870="","Poste manquant",IF(ISNA(MATCH(D870,po_code,0)),"Poste inconnu",IF(INDEX(po_check,MATCH(D870,po_code,0))&lt;&gt;"OK","Poste à corriger",IF(AND(E870&lt;&gt;"",OR(NOT(ISNUMBER(E870)),N(E870)&lt;0)),"Réglage invalide",IF(AND(F870&lt;&gt;"",OR(NOT(ISNUMBER(F870)),N(F870)&lt;0)),"Temps par pièce invalide",IF(N(E870)+N(F870)=0,"Temps manquant",IF(AND(G870&lt;&gt;"",OR(NOT(ISNUMBER(G870)),N(G870)&lt;=0)),"Opérateurs invalide","OK"))))))))))</f>
        <v/>
      </c>
      <c r="N870" s="71" t="str">
        <f>IF(AND(fiche_sel&lt;&gt;"",A870=fiche_sel),COUNTIF(A$6:A870,fiche_sel),"")</f>
        <v/>
      </c>
    </row>
    <row r="871">
      <c r="A871" s="60" t="n"/>
      <c r="B871" s="73" t="n"/>
      <c r="C871" s="60" t="n"/>
      <c r="D871" s="61" t="n"/>
      <c r="E871" s="74" t="n"/>
      <c r="F871" s="74" t="n"/>
      <c r="G871" s="73" t="n"/>
      <c r="H871" s="66" t="str">
        <f>IF(M871&lt;&gt;"OK","",INDEX(po_mo,MATCH(D871,po_code,0)))</f>
        <v/>
      </c>
      <c r="I871" s="66" t="str">
        <f>IF(M871&lt;&gt;"OK","",INDEX(po_mac,MATCH(D871,po_code,0)))</f>
        <v/>
      </c>
      <c r="J871" s="66" t="str">
        <f>IF(M871&lt;&gt;"OK","",N(E871)*(H871*IF(G871="",1,G871)+I871))</f>
        <v/>
      </c>
      <c r="K871" s="66" t="str">
        <f>IF(M871&lt;&gt;"OK","",N(F871)/60*H871*IF(G871="",1,G871))</f>
        <v/>
      </c>
      <c r="L871" s="66" t="str">
        <f>IF(M871&lt;&gt;"OK","",N(F871)/60*I871)</f>
        <v/>
      </c>
      <c r="M871" s="69" t="str">
        <f>IF(AND(A871="",D871=""),"",IF(A871="","Produit manquant",IF(COUNTIF(prod_ref,A871)=0,"Produit inconnu",IF(D871="","Poste manquant",IF(ISNA(MATCH(D871,po_code,0)),"Poste inconnu",IF(INDEX(po_check,MATCH(D871,po_code,0))&lt;&gt;"OK","Poste à corriger",IF(AND(E871&lt;&gt;"",OR(NOT(ISNUMBER(E871)),N(E871)&lt;0)),"Réglage invalide",IF(AND(F871&lt;&gt;"",OR(NOT(ISNUMBER(F871)),N(F871)&lt;0)),"Temps par pièce invalide",IF(N(E871)+N(F871)=0,"Temps manquant",IF(AND(G871&lt;&gt;"",OR(NOT(ISNUMBER(G871)),N(G871)&lt;=0)),"Opérateurs invalide","OK"))))))))))</f>
        <v/>
      </c>
      <c r="N871" s="71" t="str">
        <f>IF(AND(fiche_sel&lt;&gt;"",A871=fiche_sel),COUNTIF(A$6:A871,fiche_sel),"")</f>
        <v/>
      </c>
    </row>
    <row r="872">
      <c r="A872" s="60" t="n"/>
      <c r="B872" s="73" t="n"/>
      <c r="C872" s="60" t="n"/>
      <c r="D872" s="61" t="n"/>
      <c r="E872" s="74" t="n"/>
      <c r="F872" s="74" t="n"/>
      <c r="G872" s="73" t="n"/>
      <c r="H872" s="66" t="str">
        <f>IF(M872&lt;&gt;"OK","",INDEX(po_mo,MATCH(D872,po_code,0)))</f>
        <v/>
      </c>
      <c r="I872" s="66" t="str">
        <f>IF(M872&lt;&gt;"OK","",INDEX(po_mac,MATCH(D872,po_code,0)))</f>
        <v/>
      </c>
      <c r="J872" s="66" t="str">
        <f>IF(M872&lt;&gt;"OK","",N(E872)*(H872*IF(G872="",1,G872)+I872))</f>
        <v/>
      </c>
      <c r="K872" s="66" t="str">
        <f>IF(M872&lt;&gt;"OK","",N(F872)/60*H872*IF(G872="",1,G872))</f>
        <v/>
      </c>
      <c r="L872" s="66" t="str">
        <f>IF(M872&lt;&gt;"OK","",N(F872)/60*I872)</f>
        <v/>
      </c>
      <c r="M872" s="69" t="str">
        <f>IF(AND(A872="",D872=""),"",IF(A872="","Produit manquant",IF(COUNTIF(prod_ref,A872)=0,"Produit inconnu",IF(D872="","Poste manquant",IF(ISNA(MATCH(D872,po_code,0)),"Poste inconnu",IF(INDEX(po_check,MATCH(D872,po_code,0))&lt;&gt;"OK","Poste à corriger",IF(AND(E872&lt;&gt;"",OR(NOT(ISNUMBER(E872)),N(E872)&lt;0)),"Réglage invalide",IF(AND(F872&lt;&gt;"",OR(NOT(ISNUMBER(F872)),N(F872)&lt;0)),"Temps par pièce invalide",IF(N(E872)+N(F872)=0,"Temps manquant",IF(AND(G872&lt;&gt;"",OR(NOT(ISNUMBER(G872)),N(G872)&lt;=0)),"Opérateurs invalide","OK"))))))))))</f>
        <v/>
      </c>
      <c r="N872" s="71" t="str">
        <f>IF(AND(fiche_sel&lt;&gt;"",A872=fiche_sel),COUNTIF(A$6:A872,fiche_sel),"")</f>
        <v/>
      </c>
    </row>
    <row r="873">
      <c r="A873" s="60" t="n"/>
      <c r="B873" s="73" t="n"/>
      <c r="C873" s="60" t="n"/>
      <c r="D873" s="61" t="n"/>
      <c r="E873" s="74" t="n"/>
      <c r="F873" s="74" t="n"/>
      <c r="G873" s="73" t="n"/>
      <c r="H873" s="66" t="str">
        <f>IF(M873&lt;&gt;"OK","",INDEX(po_mo,MATCH(D873,po_code,0)))</f>
        <v/>
      </c>
      <c r="I873" s="66" t="str">
        <f>IF(M873&lt;&gt;"OK","",INDEX(po_mac,MATCH(D873,po_code,0)))</f>
        <v/>
      </c>
      <c r="J873" s="66" t="str">
        <f>IF(M873&lt;&gt;"OK","",N(E873)*(H873*IF(G873="",1,G873)+I873))</f>
        <v/>
      </c>
      <c r="K873" s="66" t="str">
        <f>IF(M873&lt;&gt;"OK","",N(F873)/60*H873*IF(G873="",1,G873))</f>
        <v/>
      </c>
      <c r="L873" s="66" t="str">
        <f>IF(M873&lt;&gt;"OK","",N(F873)/60*I873)</f>
        <v/>
      </c>
      <c r="M873" s="69" t="str">
        <f>IF(AND(A873="",D873=""),"",IF(A873="","Produit manquant",IF(COUNTIF(prod_ref,A873)=0,"Produit inconnu",IF(D873="","Poste manquant",IF(ISNA(MATCH(D873,po_code,0)),"Poste inconnu",IF(INDEX(po_check,MATCH(D873,po_code,0))&lt;&gt;"OK","Poste à corriger",IF(AND(E873&lt;&gt;"",OR(NOT(ISNUMBER(E873)),N(E873)&lt;0)),"Réglage invalide",IF(AND(F873&lt;&gt;"",OR(NOT(ISNUMBER(F873)),N(F873)&lt;0)),"Temps par pièce invalide",IF(N(E873)+N(F873)=0,"Temps manquant",IF(AND(G873&lt;&gt;"",OR(NOT(ISNUMBER(G873)),N(G873)&lt;=0)),"Opérateurs invalide","OK"))))))))))</f>
        <v/>
      </c>
      <c r="N873" s="71" t="str">
        <f>IF(AND(fiche_sel&lt;&gt;"",A873=fiche_sel),COUNTIF(A$6:A873,fiche_sel),"")</f>
        <v/>
      </c>
    </row>
    <row r="874">
      <c r="A874" s="60" t="n"/>
      <c r="B874" s="73" t="n"/>
      <c r="C874" s="60" t="n"/>
      <c r="D874" s="61" t="n"/>
      <c r="E874" s="74" t="n"/>
      <c r="F874" s="74" t="n"/>
      <c r="G874" s="73" t="n"/>
      <c r="H874" s="66" t="str">
        <f>IF(M874&lt;&gt;"OK","",INDEX(po_mo,MATCH(D874,po_code,0)))</f>
        <v/>
      </c>
      <c r="I874" s="66" t="str">
        <f>IF(M874&lt;&gt;"OK","",INDEX(po_mac,MATCH(D874,po_code,0)))</f>
        <v/>
      </c>
      <c r="J874" s="66" t="str">
        <f>IF(M874&lt;&gt;"OK","",N(E874)*(H874*IF(G874="",1,G874)+I874))</f>
        <v/>
      </c>
      <c r="K874" s="66" t="str">
        <f>IF(M874&lt;&gt;"OK","",N(F874)/60*H874*IF(G874="",1,G874))</f>
        <v/>
      </c>
      <c r="L874" s="66" t="str">
        <f>IF(M874&lt;&gt;"OK","",N(F874)/60*I874)</f>
        <v/>
      </c>
      <c r="M874" s="69" t="str">
        <f>IF(AND(A874="",D874=""),"",IF(A874="","Produit manquant",IF(COUNTIF(prod_ref,A874)=0,"Produit inconnu",IF(D874="","Poste manquant",IF(ISNA(MATCH(D874,po_code,0)),"Poste inconnu",IF(INDEX(po_check,MATCH(D874,po_code,0))&lt;&gt;"OK","Poste à corriger",IF(AND(E874&lt;&gt;"",OR(NOT(ISNUMBER(E874)),N(E874)&lt;0)),"Réglage invalide",IF(AND(F874&lt;&gt;"",OR(NOT(ISNUMBER(F874)),N(F874)&lt;0)),"Temps par pièce invalide",IF(N(E874)+N(F874)=0,"Temps manquant",IF(AND(G874&lt;&gt;"",OR(NOT(ISNUMBER(G874)),N(G874)&lt;=0)),"Opérateurs invalide","OK"))))))))))</f>
        <v/>
      </c>
      <c r="N874" s="71" t="str">
        <f>IF(AND(fiche_sel&lt;&gt;"",A874=fiche_sel),COUNTIF(A$6:A874,fiche_sel),"")</f>
        <v/>
      </c>
    </row>
    <row r="875">
      <c r="A875" s="60" t="n"/>
      <c r="B875" s="73" t="n"/>
      <c r="C875" s="60" t="n"/>
      <c r="D875" s="61" t="n"/>
      <c r="E875" s="74" t="n"/>
      <c r="F875" s="74" t="n"/>
      <c r="G875" s="73" t="n"/>
      <c r="H875" s="66" t="str">
        <f>IF(M875&lt;&gt;"OK","",INDEX(po_mo,MATCH(D875,po_code,0)))</f>
        <v/>
      </c>
      <c r="I875" s="66" t="str">
        <f>IF(M875&lt;&gt;"OK","",INDEX(po_mac,MATCH(D875,po_code,0)))</f>
        <v/>
      </c>
      <c r="J875" s="66" t="str">
        <f>IF(M875&lt;&gt;"OK","",N(E875)*(H875*IF(G875="",1,G875)+I875))</f>
        <v/>
      </c>
      <c r="K875" s="66" t="str">
        <f>IF(M875&lt;&gt;"OK","",N(F875)/60*H875*IF(G875="",1,G875))</f>
        <v/>
      </c>
      <c r="L875" s="66" t="str">
        <f>IF(M875&lt;&gt;"OK","",N(F875)/60*I875)</f>
        <v/>
      </c>
      <c r="M875" s="69" t="str">
        <f>IF(AND(A875="",D875=""),"",IF(A875="","Produit manquant",IF(COUNTIF(prod_ref,A875)=0,"Produit inconnu",IF(D875="","Poste manquant",IF(ISNA(MATCH(D875,po_code,0)),"Poste inconnu",IF(INDEX(po_check,MATCH(D875,po_code,0))&lt;&gt;"OK","Poste à corriger",IF(AND(E875&lt;&gt;"",OR(NOT(ISNUMBER(E875)),N(E875)&lt;0)),"Réglage invalide",IF(AND(F875&lt;&gt;"",OR(NOT(ISNUMBER(F875)),N(F875)&lt;0)),"Temps par pièce invalide",IF(N(E875)+N(F875)=0,"Temps manquant",IF(AND(G875&lt;&gt;"",OR(NOT(ISNUMBER(G875)),N(G875)&lt;=0)),"Opérateurs invalide","OK"))))))))))</f>
        <v/>
      </c>
      <c r="N875" s="71" t="str">
        <f>IF(AND(fiche_sel&lt;&gt;"",A875=fiche_sel),COUNTIF(A$6:A875,fiche_sel),"")</f>
        <v/>
      </c>
    </row>
    <row r="876">
      <c r="A876" s="60" t="n"/>
      <c r="B876" s="73" t="n"/>
      <c r="C876" s="60" t="n"/>
      <c r="D876" s="61" t="n"/>
      <c r="E876" s="74" t="n"/>
      <c r="F876" s="74" t="n"/>
      <c r="G876" s="73" t="n"/>
      <c r="H876" s="66" t="str">
        <f>IF(M876&lt;&gt;"OK","",INDEX(po_mo,MATCH(D876,po_code,0)))</f>
        <v/>
      </c>
      <c r="I876" s="66" t="str">
        <f>IF(M876&lt;&gt;"OK","",INDEX(po_mac,MATCH(D876,po_code,0)))</f>
        <v/>
      </c>
      <c r="J876" s="66" t="str">
        <f>IF(M876&lt;&gt;"OK","",N(E876)*(H876*IF(G876="",1,G876)+I876))</f>
        <v/>
      </c>
      <c r="K876" s="66" t="str">
        <f>IF(M876&lt;&gt;"OK","",N(F876)/60*H876*IF(G876="",1,G876))</f>
        <v/>
      </c>
      <c r="L876" s="66" t="str">
        <f>IF(M876&lt;&gt;"OK","",N(F876)/60*I876)</f>
        <v/>
      </c>
      <c r="M876" s="69" t="str">
        <f>IF(AND(A876="",D876=""),"",IF(A876="","Produit manquant",IF(COUNTIF(prod_ref,A876)=0,"Produit inconnu",IF(D876="","Poste manquant",IF(ISNA(MATCH(D876,po_code,0)),"Poste inconnu",IF(INDEX(po_check,MATCH(D876,po_code,0))&lt;&gt;"OK","Poste à corriger",IF(AND(E876&lt;&gt;"",OR(NOT(ISNUMBER(E876)),N(E876)&lt;0)),"Réglage invalide",IF(AND(F876&lt;&gt;"",OR(NOT(ISNUMBER(F876)),N(F876)&lt;0)),"Temps par pièce invalide",IF(N(E876)+N(F876)=0,"Temps manquant",IF(AND(G876&lt;&gt;"",OR(NOT(ISNUMBER(G876)),N(G876)&lt;=0)),"Opérateurs invalide","OK"))))))))))</f>
        <v/>
      </c>
      <c r="N876" s="71" t="str">
        <f>IF(AND(fiche_sel&lt;&gt;"",A876=fiche_sel),COUNTIF(A$6:A876,fiche_sel),"")</f>
        <v/>
      </c>
    </row>
    <row r="877">
      <c r="A877" s="60" t="n"/>
      <c r="B877" s="73" t="n"/>
      <c r="C877" s="60" t="n"/>
      <c r="D877" s="61" t="n"/>
      <c r="E877" s="74" t="n"/>
      <c r="F877" s="74" t="n"/>
      <c r="G877" s="73" t="n"/>
      <c r="H877" s="66" t="str">
        <f>IF(M877&lt;&gt;"OK","",INDEX(po_mo,MATCH(D877,po_code,0)))</f>
        <v/>
      </c>
      <c r="I877" s="66" t="str">
        <f>IF(M877&lt;&gt;"OK","",INDEX(po_mac,MATCH(D877,po_code,0)))</f>
        <v/>
      </c>
      <c r="J877" s="66" t="str">
        <f>IF(M877&lt;&gt;"OK","",N(E877)*(H877*IF(G877="",1,G877)+I877))</f>
        <v/>
      </c>
      <c r="K877" s="66" t="str">
        <f>IF(M877&lt;&gt;"OK","",N(F877)/60*H877*IF(G877="",1,G877))</f>
        <v/>
      </c>
      <c r="L877" s="66" t="str">
        <f>IF(M877&lt;&gt;"OK","",N(F877)/60*I877)</f>
        <v/>
      </c>
      <c r="M877" s="69" t="str">
        <f>IF(AND(A877="",D877=""),"",IF(A877="","Produit manquant",IF(COUNTIF(prod_ref,A877)=0,"Produit inconnu",IF(D877="","Poste manquant",IF(ISNA(MATCH(D877,po_code,0)),"Poste inconnu",IF(INDEX(po_check,MATCH(D877,po_code,0))&lt;&gt;"OK","Poste à corriger",IF(AND(E877&lt;&gt;"",OR(NOT(ISNUMBER(E877)),N(E877)&lt;0)),"Réglage invalide",IF(AND(F877&lt;&gt;"",OR(NOT(ISNUMBER(F877)),N(F877)&lt;0)),"Temps par pièce invalide",IF(N(E877)+N(F877)=0,"Temps manquant",IF(AND(G877&lt;&gt;"",OR(NOT(ISNUMBER(G877)),N(G877)&lt;=0)),"Opérateurs invalide","OK"))))))))))</f>
        <v/>
      </c>
      <c r="N877" s="71" t="str">
        <f>IF(AND(fiche_sel&lt;&gt;"",A877=fiche_sel),COUNTIF(A$6:A877,fiche_sel),"")</f>
        <v/>
      </c>
    </row>
    <row r="878">
      <c r="A878" s="60" t="n"/>
      <c r="B878" s="73" t="n"/>
      <c r="C878" s="60" t="n"/>
      <c r="D878" s="61" t="n"/>
      <c r="E878" s="74" t="n"/>
      <c r="F878" s="74" t="n"/>
      <c r="G878" s="73" t="n"/>
      <c r="H878" s="66" t="str">
        <f>IF(M878&lt;&gt;"OK","",INDEX(po_mo,MATCH(D878,po_code,0)))</f>
        <v/>
      </c>
      <c r="I878" s="66" t="str">
        <f>IF(M878&lt;&gt;"OK","",INDEX(po_mac,MATCH(D878,po_code,0)))</f>
        <v/>
      </c>
      <c r="J878" s="66" t="str">
        <f>IF(M878&lt;&gt;"OK","",N(E878)*(H878*IF(G878="",1,G878)+I878))</f>
        <v/>
      </c>
      <c r="K878" s="66" t="str">
        <f>IF(M878&lt;&gt;"OK","",N(F878)/60*H878*IF(G878="",1,G878))</f>
        <v/>
      </c>
      <c r="L878" s="66" t="str">
        <f>IF(M878&lt;&gt;"OK","",N(F878)/60*I878)</f>
        <v/>
      </c>
      <c r="M878" s="69" t="str">
        <f>IF(AND(A878="",D878=""),"",IF(A878="","Produit manquant",IF(COUNTIF(prod_ref,A878)=0,"Produit inconnu",IF(D878="","Poste manquant",IF(ISNA(MATCH(D878,po_code,0)),"Poste inconnu",IF(INDEX(po_check,MATCH(D878,po_code,0))&lt;&gt;"OK","Poste à corriger",IF(AND(E878&lt;&gt;"",OR(NOT(ISNUMBER(E878)),N(E878)&lt;0)),"Réglage invalide",IF(AND(F878&lt;&gt;"",OR(NOT(ISNUMBER(F878)),N(F878)&lt;0)),"Temps par pièce invalide",IF(N(E878)+N(F878)=0,"Temps manquant",IF(AND(G878&lt;&gt;"",OR(NOT(ISNUMBER(G878)),N(G878)&lt;=0)),"Opérateurs invalide","OK"))))))))))</f>
        <v/>
      </c>
      <c r="N878" s="71" t="str">
        <f>IF(AND(fiche_sel&lt;&gt;"",A878=fiche_sel),COUNTIF(A$6:A878,fiche_sel),"")</f>
        <v/>
      </c>
    </row>
    <row r="879">
      <c r="A879" s="60" t="n"/>
      <c r="B879" s="73" t="n"/>
      <c r="C879" s="60" t="n"/>
      <c r="D879" s="61" t="n"/>
      <c r="E879" s="74" t="n"/>
      <c r="F879" s="74" t="n"/>
      <c r="G879" s="73" t="n"/>
      <c r="H879" s="66" t="str">
        <f>IF(M879&lt;&gt;"OK","",INDEX(po_mo,MATCH(D879,po_code,0)))</f>
        <v/>
      </c>
      <c r="I879" s="66" t="str">
        <f>IF(M879&lt;&gt;"OK","",INDEX(po_mac,MATCH(D879,po_code,0)))</f>
        <v/>
      </c>
      <c r="J879" s="66" t="str">
        <f>IF(M879&lt;&gt;"OK","",N(E879)*(H879*IF(G879="",1,G879)+I879))</f>
        <v/>
      </c>
      <c r="K879" s="66" t="str">
        <f>IF(M879&lt;&gt;"OK","",N(F879)/60*H879*IF(G879="",1,G879))</f>
        <v/>
      </c>
      <c r="L879" s="66" t="str">
        <f>IF(M879&lt;&gt;"OK","",N(F879)/60*I879)</f>
        <v/>
      </c>
      <c r="M879" s="69" t="str">
        <f>IF(AND(A879="",D879=""),"",IF(A879="","Produit manquant",IF(COUNTIF(prod_ref,A879)=0,"Produit inconnu",IF(D879="","Poste manquant",IF(ISNA(MATCH(D879,po_code,0)),"Poste inconnu",IF(INDEX(po_check,MATCH(D879,po_code,0))&lt;&gt;"OK","Poste à corriger",IF(AND(E879&lt;&gt;"",OR(NOT(ISNUMBER(E879)),N(E879)&lt;0)),"Réglage invalide",IF(AND(F879&lt;&gt;"",OR(NOT(ISNUMBER(F879)),N(F879)&lt;0)),"Temps par pièce invalide",IF(N(E879)+N(F879)=0,"Temps manquant",IF(AND(G879&lt;&gt;"",OR(NOT(ISNUMBER(G879)),N(G879)&lt;=0)),"Opérateurs invalide","OK"))))))))))</f>
        <v/>
      </c>
      <c r="N879" s="71" t="str">
        <f>IF(AND(fiche_sel&lt;&gt;"",A879=fiche_sel),COUNTIF(A$6:A879,fiche_sel),"")</f>
        <v/>
      </c>
    </row>
    <row r="880">
      <c r="A880" s="60" t="n"/>
      <c r="B880" s="73" t="n"/>
      <c r="C880" s="60" t="n"/>
      <c r="D880" s="61" t="n"/>
      <c r="E880" s="74" t="n"/>
      <c r="F880" s="74" t="n"/>
      <c r="G880" s="73" t="n"/>
      <c r="H880" s="66" t="str">
        <f>IF(M880&lt;&gt;"OK","",INDEX(po_mo,MATCH(D880,po_code,0)))</f>
        <v/>
      </c>
      <c r="I880" s="66" t="str">
        <f>IF(M880&lt;&gt;"OK","",INDEX(po_mac,MATCH(D880,po_code,0)))</f>
        <v/>
      </c>
      <c r="J880" s="66" t="str">
        <f>IF(M880&lt;&gt;"OK","",N(E880)*(H880*IF(G880="",1,G880)+I880))</f>
        <v/>
      </c>
      <c r="K880" s="66" t="str">
        <f>IF(M880&lt;&gt;"OK","",N(F880)/60*H880*IF(G880="",1,G880))</f>
        <v/>
      </c>
      <c r="L880" s="66" t="str">
        <f>IF(M880&lt;&gt;"OK","",N(F880)/60*I880)</f>
        <v/>
      </c>
      <c r="M880" s="69" t="str">
        <f>IF(AND(A880="",D880=""),"",IF(A880="","Produit manquant",IF(COUNTIF(prod_ref,A880)=0,"Produit inconnu",IF(D880="","Poste manquant",IF(ISNA(MATCH(D880,po_code,0)),"Poste inconnu",IF(INDEX(po_check,MATCH(D880,po_code,0))&lt;&gt;"OK","Poste à corriger",IF(AND(E880&lt;&gt;"",OR(NOT(ISNUMBER(E880)),N(E880)&lt;0)),"Réglage invalide",IF(AND(F880&lt;&gt;"",OR(NOT(ISNUMBER(F880)),N(F880)&lt;0)),"Temps par pièce invalide",IF(N(E880)+N(F880)=0,"Temps manquant",IF(AND(G880&lt;&gt;"",OR(NOT(ISNUMBER(G880)),N(G880)&lt;=0)),"Opérateurs invalide","OK"))))))))))</f>
        <v/>
      </c>
      <c r="N880" s="71" t="str">
        <f>IF(AND(fiche_sel&lt;&gt;"",A880=fiche_sel),COUNTIF(A$6:A880,fiche_sel),"")</f>
        <v/>
      </c>
    </row>
    <row r="881">
      <c r="A881" s="60" t="n"/>
      <c r="B881" s="73" t="n"/>
      <c r="C881" s="60" t="n"/>
      <c r="D881" s="61" t="n"/>
      <c r="E881" s="74" t="n"/>
      <c r="F881" s="74" t="n"/>
      <c r="G881" s="73" t="n"/>
      <c r="H881" s="66" t="str">
        <f>IF(M881&lt;&gt;"OK","",INDEX(po_mo,MATCH(D881,po_code,0)))</f>
        <v/>
      </c>
      <c r="I881" s="66" t="str">
        <f>IF(M881&lt;&gt;"OK","",INDEX(po_mac,MATCH(D881,po_code,0)))</f>
        <v/>
      </c>
      <c r="J881" s="66" t="str">
        <f>IF(M881&lt;&gt;"OK","",N(E881)*(H881*IF(G881="",1,G881)+I881))</f>
        <v/>
      </c>
      <c r="K881" s="66" t="str">
        <f>IF(M881&lt;&gt;"OK","",N(F881)/60*H881*IF(G881="",1,G881))</f>
        <v/>
      </c>
      <c r="L881" s="66" t="str">
        <f>IF(M881&lt;&gt;"OK","",N(F881)/60*I881)</f>
        <v/>
      </c>
      <c r="M881" s="69" t="str">
        <f>IF(AND(A881="",D881=""),"",IF(A881="","Produit manquant",IF(COUNTIF(prod_ref,A881)=0,"Produit inconnu",IF(D881="","Poste manquant",IF(ISNA(MATCH(D881,po_code,0)),"Poste inconnu",IF(INDEX(po_check,MATCH(D881,po_code,0))&lt;&gt;"OK","Poste à corriger",IF(AND(E881&lt;&gt;"",OR(NOT(ISNUMBER(E881)),N(E881)&lt;0)),"Réglage invalide",IF(AND(F881&lt;&gt;"",OR(NOT(ISNUMBER(F881)),N(F881)&lt;0)),"Temps par pièce invalide",IF(N(E881)+N(F881)=0,"Temps manquant",IF(AND(G881&lt;&gt;"",OR(NOT(ISNUMBER(G881)),N(G881)&lt;=0)),"Opérateurs invalide","OK"))))))))))</f>
        <v/>
      </c>
      <c r="N881" s="71" t="str">
        <f>IF(AND(fiche_sel&lt;&gt;"",A881=fiche_sel),COUNTIF(A$6:A881,fiche_sel),"")</f>
        <v/>
      </c>
    </row>
    <row r="882">
      <c r="A882" s="60" t="n"/>
      <c r="B882" s="73" t="n"/>
      <c r="C882" s="60" t="n"/>
      <c r="D882" s="61" t="n"/>
      <c r="E882" s="74" t="n"/>
      <c r="F882" s="74" t="n"/>
      <c r="G882" s="73" t="n"/>
      <c r="H882" s="66" t="str">
        <f>IF(M882&lt;&gt;"OK","",INDEX(po_mo,MATCH(D882,po_code,0)))</f>
        <v/>
      </c>
      <c r="I882" s="66" t="str">
        <f>IF(M882&lt;&gt;"OK","",INDEX(po_mac,MATCH(D882,po_code,0)))</f>
        <v/>
      </c>
      <c r="J882" s="66" t="str">
        <f>IF(M882&lt;&gt;"OK","",N(E882)*(H882*IF(G882="",1,G882)+I882))</f>
        <v/>
      </c>
      <c r="K882" s="66" t="str">
        <f>IF(M882&lt;&gt;"OK","",N(F882)/60*H882*IF(G882="",1,G882))</f>
        <v/>
      </c>
      <c r="L882" s="66" t="str">
        <f>IF(M882&lt;&gt;"OK","",N(F882)/60*I882)</f>
        <v/>
      </c>
      <c r="M882" s="69" t="str">
        <f>IF(AND(A882="",D882=""),"",IF(A882="","Produit manquant",IF(COUNTIF(prod_ref,A882)=0,"Produit inconnu",IF(D882="","Poste manquant",IF(ISNA(MATCH(D882,po_code,0)),"Poste inconnu",IF(INDEX(po_check,MATCH(D882,po_code,0))&lt;&gt;"OK","Poste à corriger",IF(AND(E882&lt;&gt;"",OR(NOT(ISNUMBER(E882)),N(E882)&lt;0)),"Réglage invalide",IF(AND(F882&lt;&gt;"",OR(NOT(ISNUMBER(F882)),N(F882)&lt;0)),"Temps par pièce invalide",IF(N(E882)+N(F882)=0,"Temps manquant",IF(AND(G882&lt;&gt;"",OR(NOT(ISNUMBER(G882)),N(G882)&lt;=0)),"Opérateurs invalide","OK"))))))))))</f>
        <v/>
      </c>
      <c r="N882" s="71" t="str">
        <f>IF(AND(fiche_sel&lt;&gt;"",A882=fiche_sel),COUNTIF(A$6:A882,fiche_sel),"")</f>
        <v/>
      </c>
    </row>
    <row r="883">
      <c r="A883" s="60" t="n"/>
      <c r="B883" s="73" t="n"/>
      <c r="C883" s="60" t="n"/>
      <c r="D883" s="61" t="n"/>
      <c r="E883" s="74" t="n"/>
      <c r="F883" s="74" t="n"/>
      <c r="G883" s="73" t="n"/>
      <c r="H883" s="66" t="str">
        <f>IF(M883&lt;&gt;"OK","",INDEX(po_mo,MATCH(D883,po_code,0)))</f>
        <v/>
      </c>
      <c r="I883" s="66" t="str">
        <f>IF(M883&lt;&gt;"OK","",INDEX(po_mac,MATCH(D883,po_code,0)))</f>
        <v/>
      </c>
      <c r="J883" s="66" t="str">
        <f>IF(M883&lt;&gt;"OK","",N(E883)*(H883*IF(G883="",1,G883)+I883))</f>
        <v/>
      </c>
      <c r="K883" s="66" t="str">
        <f>IF(M883&lt;&gt;"OK","",N(F883)/60*H883*IF(G883="",1,G883))</f>
        <v/>
      </c>
      <c r="L883" s="66" t="str">
        <f>IF(M883&lt;&gt;"OK","",N(F883)/60*I883)</f>
        <v/>
      </c>
      <c r="M883" s="69" t="str">
        <f>IF(AND(A883="",D883=""),"",IF(A883="","Produit manquant",IF(COUNTIF(prod_ref,A883)=0,"Produit inconnu",IF(D883="","Poste manquant",IF(ISNA(MATCH(D883,po_code,0)),"Poste inconnu",IF(INDEX(po_check,MATCH(D883,po_code,0))&lt;&gt;"OK","Poste à corriger",IF(AND(E883&lt;&gt;"",OR(NOT(ISNUMBER(E883)),N(E883)&lt;0)),"Réglage invalide",IF(AND(F883&lt;&gt;"",OR(NOT(ISNUMBER(F883)),N(F883)&lt;0)),"Temps par pièce invalide",IF(N(E883)+N(F883)=0,"Temps manquant",IF(AND(G883&lt;&gt;"",OR(NOT(ISNUMBER(G883)),N(G883)&lt;=0)),"Opérateurs invalide","OK"))))))))))</f>
        <v/>
      </c>
      <c r="N883" s="71" t="str">
        <f>IF(AND(fiche_sel&lt;&gt;"",A883=fiche_sel),COUNTIF(A$6:A883,fiche_sel),"")</f>
        <v/>
      </c>
    </row>
    <row r="884">
      <c r="A884" s="60" t="n"/>
      <c r="B884" s="73" t="n"/>
      <c r="C884" s="60" t="n"/>
      <c r="D884" s="61" t="n"/>
      <c r="E884" s="74" t="n"/>
      <c r="F884" s="74" t="n"/>
      <c r="G884" s="73" t="n"/>
      <c r="H884" s="66" t="str">
        <f>IF(M884&lt;&gt;"OK","",INDEX(po_mo,MATCH(D884,po_code,0)))</f>
        <v/>
      </c>
      <c r="I884" s="66" t="str">
        <f>IF(M884&lt;&gt;"OK","",INDEX(po_mac,MATCH(D884,po_code,0)))</f>
        <v/>
      </c>
      <c r="J884" s="66" t="str">
        <f>IF(M884&lt;&gt;"OK","",N(E884)*(H884*IF(G884="",1,G884)+I884))</f>
        <v/>
      </c>
      <c r="K884" s="66" t="str">
        <f>IF(M884&lt;&gt;"OK","",N(F884)/60*H884*IF(G884="",1,G884))</f>
        <v/>
      </c>
      <c r="L884" s="66" t="str">
        <f>IF(M884&lt;&gt;"OK","",N(F884)/60*I884)</f>
        <v/>
      </c>
      <c r="M884" s="69" t="str">
        <f>IF(AND(A884="",D884=""),"",IF(A884="","Produit manquant",IF(COUNTIF(prod_ref,A884)=0,"Produit inconnu",IF(D884="","Poste manquant",IF(ISNA(MATCH(D884,po_code,0)),"Poste inconnu",IF(INDEX(po_check,MATCH(D884,po_code,0))&lt;&gt;"OK","Poste à corriger",IF(AND(E884&lt;&gt;"",OR(NOT(ISNUMBER(E884)),N(E884)&lt;0)),"Réglage invalide",IF(AND(F884&lt;&gt;"",OR(NOT(ISNUMBER(F884)),N(F884)&lt;0)),"Temps par pièce invalide",IF(N(E884)+N(F884)=0,"Temps manquant",IF(AND(G884&lt;&gt;"",OR(NOT(ISNUMBER(G884)),N(G884)&lt;=0)),"Opérateurs invalide","OK"))))))))))</f>
        <v/>
      </c>
      <c r="N884" s="71" t="str">
        <f>IF(AND(fiche_sel&lt;&gt;"",A884=fiche_sel),COUNTIF(A$6:A884,fiche_sel),"")</f>
        <v/>
      </c>
    </row>
    <row r="885">
      <c r="A885" s="60" t="n"/>
      <c r="B885" s="73" t="n"/>
      <c r="C885" s="60" t="n"/>
      <c r="D885" s="61" t="n"/>
      <c r="E885" s="74" t="n"/>
      <c r="F885" s="74" t="n"/>
      <c r="G885" s="73" t="n"/>
      <c r="H885" s="66" t="str">
        <f>IF(M885&lt;&gt;"OK","",INDEX(po_mo,MATCH(D885,po_code,0)))</f>
        <v/>
      </c>
      <c r="I885" s="66" t="str">
        <f>IF(M885&lt;&gt;"OK","",INDEX(po_mac,MATCH(D885,po_code,0)))</f>
        <v/>
      </c>
      <c r="J885" s="66" t="str">
        <f>IF(M885&lt;&gt;"OK","",N(E885)*(H885*IF(G885="",1,G885)+I885))</f>
        <v/>
      </c>
      <c r="K885" s="66" t="str">
        <f>IF(M885&lt;&gt;"OK","",N(F885)/60*H885*IF(G885="",1,G885))</f>
        <v/>
      </c>
      <c r="L885" s="66" t="str">
        <f>IF(M885&lt;&gt;"OK","",N(F885)/60*I885)</f>
        <v/>
      </c>
      <c r="M885" s="69" t="str">
        <f>IF(AND(A885="",D885=""),"",IF(A885="","Produit manquant",IF(COUNTIF(prod_ref,A885)=0,"Produit inconnu",IF(D885="","Poste manquant",IF(ISNA(MATCH(D885,po_code,0)),"Poste inconnu",IF(INDEX(po_check,MATCH(D885,po_code,0))&lt;&gt;"OK","Poste à corriger",IF(AND(E885&lt;&gt;"",OR(NOT(ISNUMBER(E885)),N(E885)&lt;0)),"Réglage invalide",IF(AND(F885&lt;&gt;"",OR(NOT(ISNUMBER(F885)),N(F885)&lt;0)),"Temps par pièce invalide",IF(N(E885)+N(F885)=0,"Temps manquant",IF(AND(G885&lt;&gt;"",OR(NOT(ISNUMBER(G885)),N(G885)&lt;=0)),"Opérateurs invalide","OK"))))))))))</f>
        <v/>
      </c>
      <c r="N885" s="71" t="str">
        <f>IF(AND(fiche_sel&lt;&gt;"",A885=fiche_sel),COUNTIF(A$6:A885,fiche_sel),"")</f>
        <v/>
      </c>
    </row>
    <row r="886">
      <c r="A886" s="60" t="n"/>
      <c r="B886" s="73" t="n"/>
      <c r="C886" s="60" t="n"/>
      <c r="D886" s="61" t="n"/>
      <c r="E886" s="74" t="n"/>
      <c r="F886" s="74" t="n"/>
      <c r="G886" s="73" t="n"/>
      <c r="H886" s="66" t="str">
        <f>IF(M886&lt;&gt;"OK","",INDEX(po_mo,MATCH(D886,po_code,0)))</f>
        <v/>
      </c>
      <c r="I886" s="66" t="str">
        <f>IF(M886&lt;&gt;"OK","",INDEX(po_mac,MATCH(D886,po_code,0)))</f>
        <v/>
      </c>
      <c r="J886" s="66" t="str">
        <f>IF(M886&lt;&gt;"OK","",N(E886)*(H886*IF(G886="",1,G886)+I886))</f>
        <v/>
      </c>
      <c r="K886" s="66" t="str">
        <f>IF(M886&lt;&gt;"OK","",N(F886)/60*H886*IF(G886="",1,G886))</f>
        <v/>
      </c>
      <c r="L886" s="66" t="str">
        <f>IF(M886&lt;&gt;"OK","",N(F886)/60*I886)</f>
        <v/>
      </c>
      <c r="M886" s="69" t="str">
        <f>IF(AND(A886="",D886=""),"",IF(A886="","Produit manquant",IF(COUNTIF(prod_ref,A886)=0,"Produit inconnu",IF(D886="","Poste manquant",IF(ISNA(MATCH(D886,po_code,0)),"Poste inconnu",IF(INDEX(po_check,MATCH(D886,po_code,0))&lt;&gt;"OK","Poste à corriger",IF(AND(E886&lt;&gt;"",OR(NOT(ISNUMBER(E886)),N(E886)&lt;0)),"Réglage invalide",IF(AND(F886&lt;&gt;"",OR(NOT(ISNUMBER(F886)),N(F886)&lt;0)),"Temps par pièce invalide",IF(N(E886)+N(F886)=0,"Temps manquant",IF(AND(G886&lt;&gt;"",OR(NOT(ISNUMBER(G886)),N(G886)&lt;=0)),"Opérateurs invalide","OK"))))))))))</f>
        <v/>
      </c>
      <c r="N886" s="71" t="str">
        <f>IF(AND(fiche_sel&lt;&gt;"",A886=fiche_sel),COUNTIF(A$6:A886,fiche_sel),"")</f>
        <v/>
      </c>
    </row>
    <row r="887">
      <c r="A887" s="60" t="n"/>
      <c r="B887" s="73" t="n"/>
      <c r="C887" s="60" t="n"/>
      <c r="D887" s="61" t="n"/>
      <c r="E887" s="74" t="n"/>
      <c r="F887" s="74" t="n"/>
      <c r="G887" s="73" t="n"/>
      <c r="H887" s="66" t="str">
        <f>IF(M887&lt;&gt;"OK","",INDEX(po_mo,MATCH(D887,po_code,0)))</f>
        <v/>
      </c>
      <c r="I887" s="66" t="str">
        <f>IF(M887&lt;&gt;"OK","",INDEX(po_mac,MATCH(D887,po_code,0)))</f>
        <v/>
      </c>
      <c r="J887" s="66" t="str">
        <f>IF(M887&lt;&gt;"OK","",N(E887)*(H887*IF(G887="",1,G887)+I887))</f>
        <v/>
      </c>
      <c r="K887" s="66" t="str">
        <f>IF(M887&lt;&gt;"OK","",N(F887)/60*H887*IF(G887="",1,G887))</f>
        <v/>
      </c>
      <c r="L887" s="66" t="str">
        <f>IF(M887&lt;&gt;"OK","",N(F887)/60*I887)</f>
        <v/>
      </c>
      <c r="M887" s="69" t="str">
        <f>IF(AND(A887="",D887=""),"",IF(A887="","Produit manquant",IF(COUNTIF(prod_ref,A887)=0,"Produit inconnu",IF(D887="","Poste manquant",IF(ISNA(MATCH(D887,po_code,0)),"Poste inconnu",IF(INDEX(po_check,MATCH(D887,po_code,0))&lt;&gt;"OK","Poste à corriger",IF(AND(E887&lt;&gt;"",OR(NOT(ISNUMBER(E887)),N(E887)&lt;0)),"Réglage invalide",IF(AND(F887&lt;&gt;"",OR(NOT(ISNUMBER(F887)),N(F887)&lt;0)),"Temps par pièce invalide",IF(N(E887)+N(F887)=0,"Temps manquant",IF(AND(G887&lt;&gt;"",OR(NOT(ISNUMBER(G887)),N(G887)&lt;=0)),"Opérateurs invalide","OK"))))))))))</f>
        <v/>
      </c>
      <c r="N887" s="71" t="str">
        <f>IF(AND(fiche_sel&lt;&gt;"",A887=fiche_sel),COUNTIF(A$6:A887,fiche_sel),"")</f>
        <v/>
      </c>
    </row>
    <row r="888">
      <c r="A888" s="60" t="n"/>
      <c r="B888" s="73" t="n"/>
      <c r="C888" s="60" t="n"/>
      <c r="D888" s="61" t="n"/>
      <c r="E888" s="74" t="n"/>
      <c r="F888" s="74" t="n"/>
      <c r="G888" s="73" t="n"/>
      <c r="H888" s="66" t="str">
        <f>IF(M888&lt;&gt;"OK","",INDEX(po_mo,MATCH(D888,po_code,0)))</f>
        <v/>
      </c>
      <c r="I888" s="66" t="str">
        <f>IF(M888&lt;&gt;"OK","",INDEX(po_mac,MATCH(D888,po_code,0)))</f>
        <v/>
      </c>
      <c r="J888" s="66" t="str">
        <f>IF(M888&lt;&gt;"OK","",N(E888)*(H888*IF(G888="",1,G888)+I888))</f>
        <v/>
      </c>
      <c r="K888" s="66" t="str">
        <f>IF(M888&lt;&gt;"OK","",N(F888)/60*H888*IF(G888="",1,G888))</f>
        <v/>
      </c>
      <c r="L888" s="66" t="str">
        <f>IF(M888&lt;&gt;"OK","",N(F888)/60*I888)</f>
        <v/>
      </c>
      <c r="M888" s="69" t="str">
        <f>IF(AND(A888="",D888=""),"",IF(A888="","Produit manquant",IF(COUNTIF(prod_ref,A888)=0,"Produit inconnu",IF(D888="","Poste manquant",IF(ISNA(MATCH(D888,po_code,0)),"Poste inconnu",IF(INDEX(po_check,MATCH(D888,po_code,0))&lt;&gt;"OK","Poste à corriger",IF(AND(E888&lt;&gt;"",OR(NOT(ISNUMBER(E888)),N(E888)&lt;0)),"Réglage invalide",IF(AND(F888&lt;&gt;"",OR(NOT(ISNUMBER(F888)),N(F888)&lt;0)),"Temps par pièce invalide",IF(N(E888)+N(F888)=0,"Temps manquant",IF(AND(G888&lt;&gt;"",OR(NOT(ISNUMBER(G888)),N(G888)&lt;=0)),"Opérateurs invalide","OK"))))))))))</f>
        <v/>
      </c>
      <c r="N888" s="71" t="str">
        <f>IF(AND(fiche_sel&lt;&gt;"",A888=fiche_sel),COUNTIF(A$6:A888,fiche_sel),"")</f>
        <v/>
      </c>
    </row>
    <row r="889">
      <c r="A889" s="60" t="n"/>
      <c r="B889" s="73" t="n"/>
      <c r="C889" s="60" t="n"/>
      <c r="D889" s="61" t="n"/>
      <c r="E889" s="74" t="n"/>
      <c r="F889" s="74" t="n"/>
      <c r="G889" s="73" t="n"/>
      <c r="H889" s="66" t="str">
        <f>IF(M889&lt;&gt;"OK","",INDEX(po_mo,MATCH(D889,po_code,0)))</f>
        <v/>
      </c>
      <c r="I889" s="66" t="str">
        <f>IF(M889&lt;&gt;"OK","",INDEX(po_mac,MATCH(D889,po_code,0)))</f>
        <v/>
      </c>
      <c r="J889" s="66" t="str">
        <f>IF(M889&lt;&gt;"OK","",N(E889)*(H889*IF(G889="",1,G889)+I889))</f>
        <v/>
      </c>
      <c r="K889" s="66" t="str">
        <f>IF(M889&lt;&gt;"OK","",N(F889)/60*H889*IF(G889="",1,G889))</f>
        <v/>
      </c>
      <c r="L889" s="66" t="str">
        <f>IF(M889&lt;&gt;"OK","",N(F889)/60*I889)</f>
        <v/>
      </c>
      <c r="M889" s="69" t="str">
        <f>IF(AND(A889="",D889=""),"",IF(A889="","Produit manquant",IF(COUNTIF(prod_ref,A889)=0,"Produit inconnu",IF(D889="","Poste manquant",IF(ISNA(MATCH(D889,po_code,0)),"Poste inconnu",IF(INDEX(po_check,MATCH(D889,po_code,0))&lt;&gt;"OK","Poste à corriger",IF(AND(E889&lt;&gt;"",OR(NOT(ISNUMBER(E889)),N(E889)&lt;0)),"Réglage invalide",IF(AND(F889&lt;&gt;"",OR(NOT(ISNUMBER(F889)),N(F889)&lt;0)),"Temps par pièce invalide",IF(N(E889)+N(F889)=0,"Temps manquant",IF(AND(G889&lt;&gt;"",OR(NOT(ISNUMBER(G889)),N(G889)&lt;=0)),"Opérateurs invalide","OK"))))))))))</f>
        <v/>
      </c>
      <c r="N889" s="71" t="str">
        <f>IF(AND(fiche_sel&lt;&gt;"",A889=fiche_sel),COUNTIF(A$6:A889,fiche_sel),"")</f>
        <v/>
      </c>
    </row>
    <row r="890">
      <c r="A890" s="60" t="n"/>
      <c r="B890" s="73" t="n"/>
      <c r="C890" s="60" t="n"/>
      <c r="D890" s="61" t="n"/>
      <c r="E890" s="74" t="n"/>
      <c r="F890" s="74" t="n"/>
      <c r="G890" s="73" t="n"/>
      <c r="H890" s="66" t="str">
        <f>IF(M890&lt;&gt;"OK","",INDEX(po_mo,MATCH(D890,po_code,0)))</f>
        <v/>
      </c>
      <c r="I890" s="66" t="str">
        <f>IF(M890&lt;&gt;"OK","",INDEX(po_mac,MATCH(D890,po_code,0)))</f>
        <v/>
      </c>
      <c r="J890" s="66" t="str">
        <f>IF(M890&lt;&gt;"OK","",N(E890)*(H890*IF(G890="",1,G890)+I890))</f>
        <v/>
      </c>
      <c r="K890" s="66" t="str">
        <f>IF(M890&lt;&gt;"OK","",N(F890)/60*H890*IF(G890="",1,G890))</f>
        <v/>
      </c>
      <c r="L890" s="66" t="str">
        <f>IF(M890&lt;&gt;"OK","",N(F890)/60*I890)</f>
        <v/>
      </c>
      <c r="M890" s="69" t="str">
        <f>IF(AND(A890="",D890=""),"",IF(A890="","Produit manquant",IF(COUNTIF(prod_ref,A890)=0,"Produit inconnu",IF(D890="","Poste manquant",IF(ISNA(MATCH(D890,po_code,0)),"Poste inconnu",IF(INDEX(po_check,MATCH(D890,po_code,0))&lt;&gt;"OK","Poste à corriger",IF(AND(E890&lt;&gt;"",OR(NOT(ISNUMBER(E890)),N(E890)&lt;0)),"Réglage invalide",IF(AND(F890&lt;&gt;"",OR(NOT(ISNUMBER(F890)),N(F890)&lt;0)),"Temps par pièce invalide",IF(N(E890)+N(F890)=0,"Temps manquant",IF(AND(G890&lt;&gt;"",OR(NOT(ISNUMBER(G890)),N(G890)&lt;=0)),"Opérateurs invalide","OK"))))))))))</f>
        <v/>
      </c>
      <c r="N890" s="71" t="str">
        <f>IF(AND(fiche_sel&lt;&gt;"",A890=fiche_sel),COUNTIF(A$6:A890,fiche_sel),"")</f>
        <v/>
      </c>
    </row>
    <row r="891">
      <c r="A891" s="60" t="n"/>
      <c r="B891" s="73" t="n"/>
      <c r="C891" s="60" t="n"/>
      <c r="D891" s="61" t="n"/>
      <c r="E891" s="74" t="n"/>
      <c r="F891" s="74" t="n"/>
      <c r="G891" s="73" t="n"/>
      <c r="H891" s="66" t="str">
        <f>IF(M891&lt;&gt;"OK","",INDEX(po_mo,MATCH(D891,po_code,0)))</f>
        <v/>
      </c>
      <c r="I891" s="66" t="str">
        <f>IF(M891&lt;&gt;"OK","",INDEX(po_mac,MATCH(D891,po_code,0)))</f>
        <v/>
      </c>
      <c r="J891" s="66" t="str">
        <f>IF(M891&lt;&gt;"OK","",N(E891)*(H891*IF(G891="",1,G891)+I891))</f>
        <v/>
      </c>
      <c r="K891" s="66" t="str">
        <f>IF(M891&lt;&gt;"OK","",N(F891)/60*H891*IF(G891="",1,G891))</f>
        <v/>
      </c>
      <c r="L891" s="66" t="str">
        <f>IF(M891&lt;&gt;"OK","",N(F891)/60*I891)</f>
        <v/>
      </c>
      <c r="M891" s="69" t="str">
        <f>IF(AND(A891="",D891=""),"",IF(A891="","Produit manquant",IF(COUNTIF(prod_ref,A891)=0,"Produit inconnu",IF(D891="","Poste manquant",IF(ISNA(MATCH(D891,po_code,0)),"Poste inconnu",IF(INDEX(po_check,MATCH(D891,po_code,0))&lt;&gt;"OK","Poste à corriger",IF(AND(E891&lt;&gt;"",OR(NOT(ISNUMBER(E891)),N(E891)&lt;0)),"Réglage invalide",IF(AND(F891&lt;&gt;"",OR(NOT(ISNUMBER(F891)),N(F891)&lt;0)),"Temps par pièce invalide",IF(N(E891)+N(F891)=0,"Temps manquant",IF(AND(G891&lt;&gt;"",OR(NOT(ISNUMBER(G891)),N(G891)&lt;=0)),"Opérateurs invalide","OK"))))))))))</f>
        <v/>
      </c>
      <c r="N891" s="71" t="str">
        <f>IF(AND(fiche_sel&lt;&gt;"",A891=fiche_sel),COUNTIF(A$6:A891,fiche_sel),"")</f>
        <v/>
      </c>
    </row>
    <row r="892">
      <c r="A892" s="60" t="n"/>
      <c r="B892" s="73" t="n"/>
      <c r="C892" s="60" t="n"/>
      <c r="D892" s="61" t="n"/>
      <c r="E892" s="74" t="n"/>
      <c r="F892" s="74" t="n"/>
      <c r="G892" s="73" t="n"/>
      <c r="H892" s="66" t="str">
        <f>IF(M892&lt;&gt;"OK","",INDEX(po_mo,MATCH(D892,po_code,0)))</f>
        <v/>
      </c>
      <c r="I892" s="66" t="str">
        <f>IF(M892&lt;&gt;"OK","",INDEX(po_mac,MATCH(D892,po_code,0)))</f>
        <v/>
      </c>
      <c r="J892" s="66" t="str">
        <f>IF(M892&lt;&gt;"OK","",N(E892)*(H892*IF(G892="",1,G892)+I892))</f>
        <v/>
      </c>
      <c r="K892" s="66" t="str">
        <f>IF(M892&lt;&gt;"OK","",N(F892)/60*H892*IF(G892="",1,G892))</f>
        <v/>
      </c>
      <c r="L892" s="66" t="str">
        <f>IF(M892&lt;&gt;"OK","",N(F892)/60*I892)</f>
        <v/>
      </c>
      <c r="M892" s="69" t="str">
        <f>IF(AND(A892="",D892=""),"",IF(A892="","Produit manquant",IF(COUNTIF(prod_ref,A892)=0,"Produit inconnu",IF(D892="","Poste manquant",IF(ISNA(MATCH(D892,po_code,0)),"Poste inconnu",IF(INDEX(po_check,MATCH(D892,po_code,0))&lt;&gt;"OK","Poste à corriger",IF(AND(E892&lt;&gt;"",OR(NOT(ISNUMBER(E892)),N(E892)&lt;0)),"Réglage invalide",IF(AND(F892&lt;&gt;"",OR(NOT(ISNUMBER(F892)),N(F892)&lt;0)),"Temps par pièce invalide",IF(N(E892)+N(F892)=0,"Temps manquant",IF(AND(G892&lt;&gt;"",OR(NOT(ISNUMBER(G892)),N(G892)&lt;=0)),"Opérateurs invalide","OK"))))))))))</f>
        <v/>
      </c>
      <c r="N892" s="71" t="str">
        <f>IF(AND(fiche_sel&lt;&gt;"",A892=fiche_sel),COUNTIF(A$6:A892,fiche_sel),"")</f>
        <v/>
      </c>
    </row>
    <row r="893">
      <c r="A893" s="60" t="n"/>
      <c r="B893" s="73" t="n"/>
      <c r="C893" s="60" t="n"/>
      <c r="D893" s="61" t="n"/>
      <c r="E893" s="74" t="n"/>
      <c r="F893" s="74" t="n"/>
      <c r="G893" s="73" t="n"/>
      <c r="H893" s="66" t="str">
        <f>IF(M893&lt;&gt;"OK","",INDEX(po_mo,MATCH(D893,po_code,0)))</f>
        <v/>
      </c>
      <c r="I893" s="66" t="str">
        <f>IF(M893&lt;&gt;"OK","",INDEX(po_mac,MATCH(D893,po_code,0)))</f>
        <v/>
      </c>
      <c r="J893" s="66" t="str">
        <f>IF(M893&lt;&gt;"OK","",N(E893)*(H893*IF(G893="",1,G893)+I893))</f>
        <v/>
      </c>
      <c r="K893" s="66" t="str">
        <f>IF(M893&lt;&gt;"OK","",N(F893)/60*H893*IF(G893="",1,G893))</f>
        <v/>
      </c>
      <c r="L893" s="66" t="str">
        <f>IF(M893&lt;&gt;"OK","",N(F893)/60*I893)</f>
        <v/>
      </c>
      <c r="M893" s="69" t="str">
        <f>IF(AND(A893="",D893=""),"",IF(A893="","Produit manquant",IF(COUNTIF(prod_ref,A893)=0,"Produit inconnu",IF(D893="","Poste manquant",IF(ISNA(MATCH(D893,po_code,0)),"Poste inconnu",IF(INDEX(po_check,MATCH(D893,po_code,0))&lt;&gt;"OK","Poste à corriger",IF(AND(E893&lt;&gt;"",OR(NOT(ISNUMBER(E893)),N(E893)&lt;0)),"Réglage invalide",IF(AND(F893&lt;&gt;"",OR(NOT(ISNUMBER(F893)),N(F893)&lt;0)),"Temps par pièce invalide",IF(N(E893)+N(F893)=0,"Temps manquant",IF(AND(G893&lt;&gt;"",OR(NOT(ISNUMBER(G893)),N(G893)&lt;=0)),"Opérateurs invalide","OK"))))))))))</f>
        <v/>
      </c>
      <c r="N893" s="71" t="str">
        <f>IF(AND(fiche_sel&lt;&gt;"",A893=fiche_sel),COUNTIF(A$6:A893,fiche_sel),"")</f>
        <v/>
      </c>
    </row>
    <row r="894">
      <c r="A894" s="60" t="n"/>
      <c r="B894" s="73" t="n"/>
      <c r="C894" s="60" t="n"/>
      <c r="D894" s="61" t="n"/>
      <c r="E894" s="74" t="n"/>
      <c r="F894" s="74" t="n"/>
      <c r="G894" s="73" t="n"/>
      <c r="H894" s="66" t="str">
        <f>IF(M894&lt;&gt;"OK","",INDEX(po_mo,MATCH(D894,po_code,0)))</f>
        <v/>
      </c>
      <c r="I894" s="66" t="str">
        <f>IF(M894&lt;&gt;"OK","",INDEX(po_mac,MATCH(D894,po_code,0)))</f>
        <v/>
      </c>
      <c r="J894" s="66" t="str">
        <f>IF(M894&lt;&gt;"OK","",N(E894)*(H894*IF(G894="",1,G894)+I894))</f>
        <v/>
      </c>
      <c r="K894" s="66" t="str">
        <f>IF(M894&lt;&gt;"OK","",N(F894)/60*H894*IF(G894="",1,G894))</f>
        <v/>
      </c>
      <c r="L894" s="66" t="str">
        <f>IF(M894&lt;&gt;"OK","",N(F894)/60*I894)</f>
        <v/>
      </c>
      <c r="M894" s="69" t="str">
        <f>IF(AND(A894="",D894=""),"",IF(A894="","Produit manquant",IF(COUNTIF(prod_ref,A894)=0,"Produit inconnu",IF(D894="","Poste manquant",IF(ISNA(MATCH(D894,po_code,0)),"Poste inconnu",IF(INDEX(po_check,MATCH(D894,po_code,0))&lt;&gt;"OK","Poste à corriger",IF(AND(E894&lt;&gt;"",OR(NOT(ISNUMBER(E894)),N(E894)&lt;0)),"Réglage invalide",IF(AND(F894&lt;&gt;"",OR(NOT(ISNUMBER(F894)),N(F894)&lt;0)),"Temps par pièce invalide",IF(N(E894)+N(F894)=0,"Temps manquant",IF(AND(G894&lt;&gt;"",OR(NOT(ISNUMBER(G894)),N(G894)&lt;=0)),"Opérateurs invalide","OK"))))))))))</f>
        <v/>
      </c>
      <c r="N894" s="71" t="str">
        <f>IF(AND(fiche_sel&lt;&gt;"",A894=fiche_sel),COUNTIF(A$6:A894,fiche_sel),"")</f>
        <v/>
      </c>
    </row>
    <row r="895">
      <c r="A895" s="60" t="n"/>
      <c r="B895" s="73" t="n"/>
      <c r="C895" s="60" t="n"/>
      <c r="D895" s="61" t="n"/>
      <c r="E895" s="74" t="n"/>
      <c r="F895" s="74" t="n"/>
      <c r="G895" s="73" t="n"/>
      <c r="H895" s="66" t="str">
        <f>IF(M895&lt;&gt;"OK","",INDEX(po_mo,MATCH(D895,po_code,0)))</f>
        <v/>
      </c>
      <c r="I895" s="66" t="str">
        <f>IF(M895&lt;&gt;"OK","",INDEX(po_mac,MATCH(D895,po_code,0)))</f>
        <v/>
      </c>
      <c r="J895" s="66" t="str">
        <f>IF(M895&lt;&gt;"OK","",N(E895)*(H895*IF(G895="",1,G895)+I895))</f>
        <v/>
      </c>
      <c r="K895" s="66" t="str">
        <f>IF(M895&lt;&gt;"OK","",N(F895)/60*H895*IF(G895="",1,G895))</f>
        <v/>
      </c>
      <c r="L895" s="66" t="str">
        <f>IF(M895&lt;&gt;"OK","",N(F895)/60*I895)</f>
        <v/>
      </c>
      <c r="M895" s="69" t="str">
        <f>IF(AND(A895="",D895=""),"",IF(A895="","Produit manquant",IF(COUNTIF(prod_ref,A895)=0,"Produit inconnu",IF(D895="","Poste manquant",IF(ISNA(MATCH(D895,po_code,0)),"Poste inconnu",IF(INDEX(po_check,MATCH(D895,po_code,0))&lt;&gt;"OK","Poste à corriger",IF(AND(E895&lt;&gt;"",OR(NOT(ISNUMBER(E895)),N(E895)&lt;0)),"Réglage invalide",IF(AND(F895&lt;&gt;"",OR(NOT(ISNUMBER(F895)),N(F895)&lt;0)),"Temps par pièce invalide",IF(N(E895)+N(F895)=0,"Temps manquant",IF(AND(G895&lt;&gt;"",OR(NOT(ISNUMBER(G895)),N(G895)&lt;=0)),"Opérateurs invalide","OK"))))))))))</f>
        <v/>
      </c>
      <c r="N895" s="71" t="str">
        <f>IF(AND(fiche_sel&lt;&gt;"",A895=fiche_sel),COUNTIF(A$6:A895,fiche_sel),"")</f>
        <v/>
      </c>
    </row>
    <row r="896">
      <c r="A896" s="60" t="n"/>
      <c r="B896" s="73" t="n"/>
      <c r="C896" s="60" t="n"/>
      <c r="D896" s="61" t="n"/>
      <c r="E896" s="74" t="n"/>
      <c r="F896" s="74" t="n"/>
      <c r="G896" s="73" t="n"/>
      <c r="H896" s="66" t="str">
        <f>IF(M896&lt;&gt;"OK","",INDEX(po_mo,MATCH(D896,po_code,0)))</f>
        <v/>
      </c>
      <c r="I896" s="66" t="str">
        <f>IF(M896&lt;&gt;"OK","",INDEX(po_mac,MATCH(D896,po_code,0)))</f>
        <v/>
      </c>
      <c r="J896" s="66" t="str">
        <f>IF(M896&lt;&gt;"OK","",N(E896)*(H896*IF(G896="",1,G896)+I896))</f>
        <v/>
      </c>
      <c r="K896" s="66" t="str">
        <f>IF(M896&lt;&gt;"OK","",N(F896)/60*H896*IF(G896="",1,G896))</f>
        <v/>
      </c>
      <c r="L896" s="66" t="str">
        <f>IF(M896&lt;&gt;"OK","",N(F896)/60*I896)</f>
        <v/>
      </c>
      <c r="M896" s="69" t="str">
        <f>IF(AND(A896="",D896=""),"",IF(A896="","Produit manquant",IF(COUNTIF(prod_ref,A896)=0,"Produit inconnu",IF(D896="","Poste manquant",IF(ISNA(MATCH(D896,po_code,0)),"Poste inconnu",IF(INDEX(po_check,MATCH(D896,po_code,0))&lt;&gt;"OK","Poste à corriger",IF(AND(E896&lt;&gt;"",OR(NOT(ISNUMBER(E896)),N(E896)&lt;0)),"Réglage invalide",IF(AND(F896&lt;&gt;"",OR(NOT(ISNUMBER(F896)),N(F896)&lt;0)),"Temps par pièce invalide",IF(N(E896)+N(F896)=0,"Temps manquant",IF(AND(G896&lt;&gt;"",OR(NOT(ISNUMBER(G896)),N(G896)&lt;=0)),"Opérateurs invalide","OK"))))))))))</f>
        <v/>
      </c>
      <c r="N896" s="71" t="str">
        <f>IF(AND(fiche_sel&lt;&gt;"",A896=fiche_sel),COUNTIF(A$6:A896,fiche_sel),"")</f>
        <v/>
      </c>
    </row>
    <row r="897">
      <c r="A897" s="60" t="n"/>
      <c r="B897" s="73" t="n"/>
      <c r="C897" s="60" t="n"/>
      <c r="D897" s="61" t="n"/>
      <c r="E897" s="74" t="n"/>
      <c r="F897" s="74" t="n"/>
      <c r="G897" s="73" t="n"/>
      <c r="H897" s="66" t="str">
        <f>IF(M897&lt;&gt;"OK","",INDEX(po_mo,MATCH(D897,po_code,0)))</f>
        <v/>
      </c>
      <c r="I897" s="66" t="str">
        <f>IF(M897&lt;&gt;"OK","",INDEX(po_mac,MATCH(D897,po_code,0)))</f>
        <v/>
      </c>
      <c r="J897" s="66" t="str">
        <f>IF(M897&lt;&gt;"OK","",N(E897)*(H897*IF(G897="",1,G897)+I897))</f>
        <v/>
      </c>
      <c r="K897" s="66" t="str">
        <f>IF(M897&lt;&gt;"OK","",N(F897)/60*H897*IF(G897="",1,G897))</f>
        <v/>
      </c>
      <c r="L897" s="66" t="str">
        <f>IF(M897&lt;&gt;"OK","",N(F897)/60*I897)</f>
        <v/>
      </c>
      <c r="M897" s="69" t="str">
        <f>IF(AND(A897="",D897=""),"",IF(A897="","Produit manquant",IF(COUNTIF(prod_ref,A897)=0,"Produit inconnu",IF(D897="","Poste manquant",IF(ISNA(MATCH(D897,po_code,0)),"Poste inconnu",IF(INDEX(po_check,MATCH(D897,po_code,0))&lt;&gt;"OK","Poste à corriger",IF(AND(E897&lt;&gt;"",OR(NOT(ISNUMBER(E897)),N(E897)&lt;0)),"Réglage invalide",IF(AND(F897&lt;&gt;"",OR(NOT(ISNUMBER(F897)),N(F897)&lt;0)),"Temps par pièce invalide",IF(N(E897)+N(F897)=0,"Temps manquant",IF(AND(G897&lt;&gt;"",OR(NOT(ISNUMBER(G897)),N(G897)&lt;=0)),"Opérateurs invalide","OK"))))))))))</f>
        <v/>
      </c>
      <c r="N897" s="71" t="str">
        <f>IF(AND(fiche_sel&lt;&gt;"",A897=fiche_sel),COUNTIF(A$6:A897,fiche_sel),"")</f>
        <v/>
      </c>
    </row>
    <row r="898">
      <c r="A898" s="60" t="n"/>
      <c r="B898" s="73" t="n"/>
      <c r="C898" s="60" t="n"/>
      <c r="D898" s="61" t="n"/>
      <c r="E898" s="74" t="n"/>
      <c r="F898" s="74" t="n"/>
      <c r="G898" s="73" t="n"/>
      <c r="H898" s="66" t="str">
        <f>IF(M898&lt;&gt;"OK","",INDEX(po_mo,MATCH(D898,po_code,0)))</f>
        <v/>
      </c>
      <c r="I898" s="66" t="str">
        <f>IF(M898&lt;&gt;"OK","",INDEX(po_mac,MATCH(D898,po_code,0)))</f>
        <v/>
      </c>
      <c r="J898" s="66" t="str">
        <f>IF(M898&lt;&gt;"OK","",N(E898)*(H898*IF(G898="",1,G898)+I898))</f>
        <v/>
      </c>
      <c r="K898" s="66" t="str">
        <f>IF(M898&lt;&gt;"OK","",N(F898)/60*H898*IF(G898="",1,G898))</f>
        <v/>
      </c>
      <c r="L898" s="66" t="str">
        <f>IF(M898&lt;&gt;"OK","",N(F898)/60*I898)</f>
        <v/>
      </c>
      <c r="M898" s="69" t="str">
        <f>IF(AND(A898="",D898=""),"",IF(A898="","Produit manquant",IF(COUNTIF(prod_ref,A898)=0,"Produit inconnu",IF(D898="","Poste manquant",IF(ISNA(MATCH(D898,po_code,0)),"Poste inconnu",IF(INDEX(po_check,MATCH(D898,po_code,0))&lt;&gt;"OK","Poste à corriger",IF(AND(E898&lt;&gt;"",OR(NOT(ISNUMBER(E898)),N(E898)&lt;0)),"Réglage invalide",IF(AND(F898&lt;&gt;"",OR(NOT(ISNUMBER(F898)),N(F898)&lt;0)),"Temps par pièce invalide",IF(N(E898)+N(F898)=0,"Temps manquant",IF(AND(G898&lt;&gt;"",OR(NOT(ISNUMBER(G898)),N(G898)&lt;=0)),"Opérateurs invalide","OK"))))))))))</f>
        <v/>
      </c>
      <c r="N898" s="71" t="str">
        <f>IF(AND(fiche_sel&lt;&gt;"",A898=fiche_sel),COUNTIF(A$6:A898,fiche_sel),"")</f>
        <v/>
      </c>
    </row>
    <row r="899">
      <c r="A899" s="60" t="n"/>
      <c r="B899" s="73" t="n"/>
      <c r="C899" s="60" t="n"/>
      <c r="D899" s="61" t="n"/>
      <c r="E899" s="74" t="n"/>
      <c r="F899" s="74" t="n"/>
      <c r="G899" s="73" t="n"/>
      <c r="H899" s="66" t="str">
        <f>IF(M899&lt;&gt;"OK","",INDEX(po_mo,MATCH(D899,po_code,0)))</f>
        <v/>
      </c>
      <c r="I899" s="66" t="str">
        <f>IF(M899&lt;&gt;"OK","",INDEX(po_mac,MATCH(D899,po_code,0)))</f>
        <v/>
      </c>
      <c r="J899" s="66" t="str">
        <f>IF(M899&lt;&gt;"OK","",N(E899)*(H899*IF(G899="",1,G899)+I899))</f>
        <v/>
      </c>
      <c r="K899" s="66" t="str">
        <f>IF(M899&lt;&gt;"OK","",N(F899)/60*H899*IF(G899="",1,G899))</f>
        <v/>
      </c>
      <c r="L899" s="66" t="str">
        <f>IF(M899&lt;&gt;"OK","",N(F899)/60*I899)</f>
        <v/>
      </c>
      <c r="M899" s="69" t="str">
        <f>IF(AND(A899="",D899=""),"",IF(A899="","Produit manquant",IF(COUNTIF(prod_ref,A899)=0,"Produit inconnu",IF(D899="","Poste manquant",IF(ISNA(MATCH(D899,po_code,0)),"Poste inconnu",IF(INDEX(po_check,MATCH(D899,po_code,0))&lt;&gt;"OK","Poste à corriger",IF(AND(E899&lt;&gt;"",OR(NOT(ISNUMBER(E899)),N(E899)&lt;0)),"Réglage invalide",IF(AND(F899&lt;&gt;"",OR(NOT(ISNUMBER(F899)),N(F899)&lt;0)),"Temps par pièce invalide",IF(N(E899)+N(F899)=0,"Temps manquant",IF(AND(G899&lt;&gt;"",OR(NOT(ISNUMBER(G899)),N(G899)&lt;=0)),"Opérateurs invalide","OK"))))))))))</f>
        <v/>
      </c>
      <c r="N899" s="71" t="str">
        <f>IF(AND(fiche_sel&lt;&gt;"",A899=fiche_sel),COUNTIF(A$6:A899,fiche_sel),"")</f>
        <v/>
      </c>
    </row>
    <row r="900">
      <c r="A900" s="60" t="n"/>
      <c r="B900" s="73" t="n"/>
      <c r="C900" s="60" t="n"/>
      <c r="D900" s="61" t="n"/>
      <c r="E900" s="74" t="n"/>
      <c r="F900" s="74" t="n"/>
      <c r="G900" s="73" t="n"/>
      <c r="H900" s="66" t="str">
        <f>IF(M900&lt;&gt;"OK","",INDEX(po_mo,MATCH(D900,po_code,0)))</f>
        <v/>
      </c>
      <c r="I900" s="66" t="str">
        <f>IF(M900&lt;&gt;"OK","",INDEX(po_mac,MATCH(D900,po_code,0)))</f>
        <v/>
      </c>
      <c r="J900" s="66" t="str">
        <f>IF(M900&lt;&gt;"OK","",N(E900)*(H900*IF(G900="",1,G900)+I900))</f>
        <v/>
      </c>
      <c r="K900" s="66" t="str">
        <f>IF(M900&lt;&gt;"OK","",N(F900)/60*H900*IF(G900="",1,G900))</f>
        <v/>
      </c>
      <c r="L900" s="66" t="str">
        <f>IF(M900&lt;&gt;"OK","",N(F900)/60*I900)</f>
        <v/>
      </c>
      <c r="M900" s="69" t="str">
        <f>IF(AND(A900="",D900=""),"",IF(A900="","Produit manquant",IF(COUNTIF(prod_ref,A900)=0,"Produit inconnu",IF(D900="","Poste manquant",IF(ISNA(MATCH(D900,po_code,0)),"Poste inconnu",IF(INDEX(po_check,MATCH(D900,po_code,0))&lt;&gt;"OK","Poste à corriger",IF(AND(E900&lt;&gt;"",OR(NOT(ISNUMBER(E900)),N(E900)&lt;0)),"Réglage invalide",IF(AND(F900&lt;&gt;"",OR(NOT(ISNUMBER(F900)),N(F900)&lt;0)),"Temps par pièce invalide",IF(N(E900)+N(F900)=0,"Temps manquant",IF(AND(G900&lt;&gt;"",OR(NOT(ISNUMBER(G900)),N(G900)&lt;=0)),"Opérateurs invalide","OK"))))))))))</f>
        <v/>
      </c>
      <c r="N900" s="71" t="str">
        <f>IF(AND(fiche_sel&lt;&gt;"",A900=fiche_sel),COUNTIF(A$6:A900,fiche_sel),"")</f>
        <v/>
      </c>
    </row>
    <row r="901">
      <c r="A901" s="60" t="n"/>
      <c r="B901" s="73" t="n"/>
      <c r="C901" s="60" t="n"/>
      <c r="D901" s="61" t="n"/>
      <c r="E901" s="74" t="n"/>
      <c r="F901" s="74" t="n"/>
      <c r="G901" s="73" t="n"/>
      <c r="H901" s="66" t="str">
        <f>IF(M901&lt;&gt;"OK","",INDEX(po_mo,MATCH(D901,po_code,0)))</f>
        <v/>
      </c>
      <c r="I901" s="66" t="str">
        <f>IF(M901&lt;&gt;"OK","",INDEX(po_mac,MATCH(D901,po_code,0)))</f>
        <v/>
      </c>
      <c r="J901" s="66" t="str">
        <f>IF(M901&lt;&gt;"OK","",N(E901)*(H901*IF(G901="",1,G901)+I901))</f>
        <v/>
      </c>
      <c r="K901" s="66" t="str">
        <f>IF(M901&lt;&gt;"OK","",N(F901)/60*H901*IF(G901="",1,G901))</f>
        <v/>
      </c>
      <c r="L901" s="66" t="str">
        <f>IF(M901&lt;&gt;"OK","",N(F901)/60*I901)</f>
        <v/>
      </c>
      <c r="M901" s="69" t="str">
        <f>IF(AND(A901="",D901=""),"",IF(A901="","Produit manquant",IF(COUNTIF(prod_ref,A901)=0,"Produit inconnu",IF(D901="","Poste manquant",IF(ISNA(MATCH(D901,po_code,0)),"Poste inconnu",IF(INDEX(po_check,MATCH(D901,po_code,0))&lt;&gt;"OK","Poste à corriger",IF(AND(E901&lt;&gt;"",OR(NOT(ISNUMBER(E901)),N(E901)&lt;0)),"Réglage invalide",IF(AND(F901&lt;&gt;"",OR(NOT(ISNUMBER(F901)),N(F901)&lt;0)),"Temps par pièce invalide",IF(N(E901)+N(F901)=0,"Temps manquant",IF(AND(G901&lt;&gt;"",OR(NOT(ISNUMBER(G901)),N(G901)&lt;=0)),"Opérateurs invalide","OK"))))))))))</f>
        <v/>
      </c>
      <c r="N901" s="71" t="str">
        <f>IF(AND(fiche_sel&lt;&gt;"",A901=fiche_sel),COUNTIF(A$6:A901,fiche_sel),"")</f>
        <v/>
      </c>
    </row>
    <row r="902">
      <c r="A902" s="60" t="n"/>
      <c r="B902" s="73" t="n"/>
      <c r="C902" s="60" t="n"/>
      <c r="D902" s="61" t="n"/>
      <c r="E902" s="74" t="n"/>
      <c r="F902" s="74" t="n"/>
      <c r="G902" s="73" t="n"/>
      <c r="H902" s="66" t="str">
        <f>IF(M902&lt;&gt;"OK","",INDEX(po_mo,MATCH(D902,po_code,0)))</f>
        <v/>
      </c>
      <c r="I902" s="66" t="str">
        <f>IF(M902&lt;&gt;"OK","",INDEX(po_mac,MATCH(D902,po_code,0)))</f>
        <v/>
      </c>
      <c r="J902" s="66" t="str">
        <f>IF(M902&lt;&gt;"OK","",N(E902)*(H902*IF(G902="",1,G902)+I902))</f>
        <v/>
      </c>
      <c r="K902" s="66" t="str">
        <f>IF(M902&lt;&gt;"OK","",N(F902)/60*H902*IF(G902="",1,G902))</f>
        <v/>
      </c>
      <c r="L902" s="66" t="str">
        <f>IF(M902&lt;&gt;"OK","",N(F902)/60*I902)</f>
        <v/>
      </c>
      <c r="M902" s="69" t="str">
        <f>IF(AND(A902="",D902=""),"",IF(A902="","Produit manquant",IF(COUNTIF(prod_ref,A902)=0,"Produit inconnu",IF(D902="","Poste manquant",IF(ISNA(MATCH(D902,po_code,0)),"Poste inconnu",IF(INDEX(po_check,MATCH(D902,po_code,0))&lt;&gt;"OK","Poste à corriger",IF(AND(E902&lt;&gt;"",OR(NOT(ISNUMBER(E902)),N(E902)&lt;0)),"Réglage invalide",IF(AND(F902&lt;&gt;"",OR(NOT(ISNUMBER(F902)),N(F902)&lt;0)),"Temps par pièce invalide",IF(N(E902)+N(F902)=0,"Temps manquant",IF(AND(G902&lt;&gt;"",OR(NOT(ISNUMBER(G902)),N(G902)&lt;=0)),"Opérateurs invalide","OK"))))))))))</f>
        <v/>
      </c>
      <c r="N902" s="71" t="str">
        <f>IF(AND(fiche_sel&lt;&gt;"",A902=fiche_sel),COUNTIF(A$6:A902,fiche_sel),"")</f>
        <v/>
      </c>
    </row>
    <row r="903">
      <c r="A903" s="60" t="n"/>
      <c r="B903" s="73" t="n"/>
      <c r="C903" s="60" t="n"/>
      <c r="D903" s="61" t="n"/>
      <c r="E903" s="74" t="n"/>
      <c r="F903" s="74" t="n"/>
      <c r="G903" s="73" t="n"/>
      <c r="H903" s="66" t="str">
        <f>IF(M903&lt;&gt;"OK","",INDEX(po_mo,MATCH(D903,po_code,0)))</f>
        <v/>
      </c>
      <c r="I903" s="66" t="str">
        <f>IF(M903&lt;&gt;"OK","",INDEX(po_mac,MATCH(D903,po_code,0)))</f>
        <v/>
      </c>
      <c r="J903" s="66" t="str">
        <f>IF(M903&lt;&gt;"OK","",N(E903)*(H903*IF(G903="",1,G903)+I903))</f>
        <v/>
      </c>
      <c r="K903" s="66" t="str">
        <f>IF(M903&lt;&gt;"OK","",N(F903)/60*H903*IF(G903="",1,G903))</f>
        <v/>
      </c>
      <c r="L903" s="66" t="str">
        <f>IF(M903&lt;&gt;"OK","",N(F903)/60*I903)</f>
        <v/>
      </c>
      <c r="M903" s="69" t="str">
        <f>IF(AND(A903="",D903=""),"",IF(A903="","Produit manquant",IF(COUNTIF(prod_ref,A903)=0,"Produit inconnu",IF(D903="","Poste manquant",IF(ISNA(MATCH(D903,po_code,0)),"Poste inconnu",IF(INDEX(po_check,MATCH(D903,po_code,0))&lt;&gt;"OK","Poste à corriger",IF(AND(E903&lt;&gt;"",OR(NOT(ISNUMBER(E903)),N(E903)&lt;0)),"Réglage invalide",IF(AND(F903&lt;&gt;"",OR(NOT(ISNUMBER(F903)),N(F903)&lt;0)),"Temps par pièce invalide",IF(N(E903)+N(F903)=0,"Temps manquant",IF(AND(G903&lt;&gt;"",OR(NOT(ISNUMBER(G903)),N(G903)&lt;=0)),"Opérateurs invalide","OK"))))))))))</f>
        <v/>
      </c>
      <c r="N903" s="71" t="str">
        <f>IF(AND(fiche_sel&lt;&gt;"",A903=fiche_sel),COUNTIF(A$6:A903,fiche_sel),"")</f>
        <v/>
      </c>
    </row>
    <row r="904">
      <c r="A904" s="60" t="n"/>
      <c r="B904" s="73" t="n"/>
      <c r="C904" s="60" t="n"/>
      <c r="D904" s="61" t="n"/>
      <c r="E904" s="74" t="n"/>
      <c r="F904" s="74" t="n"/>
      <c r="G904" s="73" t="n"/>
      <c r="H904" s="66" t="str">
        <f>IF(M904&lt;&gt;"OK","",INDEX(po_mo,MATCH(D904,po_code,0)))</f>
        <v/>
      </c>
      <c r="I904" s="66" t="str">
        <f>IF(M904&lt;&gt;"OK","",INDEX(po_mac,MATCH(D904,po_code,0)))</f>
        <v/>
      </c>
      <c r="J904" s="66" t="str">
        <f>IF(M904&lt;&gt;"OK","",N(E904)*(H904*IF(G904="",1,G904)+I904))</f>
        <v/>
      </c>
      <c r="K904" s="66" t="str">
        <f>IF(M904&lt;&gt;"OK","",N(F904)/60*H904*IF(G904="",1,G904))</f>
        <v/>
      </c>
      <c r="L904" s="66" t="str">
        <f>IF(M904&lt;&gt;"OK","",N(F904)/60*I904)</f>
        <v/>
      </c>
      <c r="M904" s="69" t="str">
        <f>IF(AND(A904="",D904=""),"",IF(A904="","Produit manquant",IF(COUNTIF(prod_ref,A904)=0,"Produit inconnu",IF(D904="","Poste manquant",IF(ISNA(MATCH(D904,po_code,0)),"Poste inconnu",IF(INDEX(po_check,MATCH(D904,po_code,0))&lt;&gt;"OK","Poste à corriger",IF(AND(E904&lt;&gt;"",OR(NOT(ISNUMBER(E904)),N(E904)&lt;0)),"Réglage invalide",IF(AND(F904&lt;&gt;"",OR(NOT(ISNUMBER(F904)),N(F904)&lt;0)),"Temps par pièce invalide",IF(N(E904)+N(F904)=0,"Temps manquant",IF(AND(G904&lt;&gt;"",OR(NOT(ISNUMBER(G904)),N(G904)&lt;=0)),"Opérateurs invalide","OK"))))))))))</f>
        <v/>
      </c>
      <c r="N904" s="71" t="str">
        <f>IF(AND(fiche_sel&lt;&gt;"",A904=fiche_sel),COUNTIF(A$6:A904,fiche_sel),"")</f>
        <v/>
      </c>
    </row>
    <row r="905">
      <c r="A905" s="60" t="n"/>
      <c r="B905" s="73" t="n"/>
      <c r="C905" s="60" t="n"/>
      <c r="D905" s="61" t="n"/>
      <c r="E905" s="74" t="n"/>
      <c r="F905" s="74" t="n"/>
      <c r="G905" s="73" t="n"/>
      <c r="H905" s="66" t="str">
        <f>IF(M905&lt;&gt;"OK","",INDEX(po_mo,MATCH(D905,po_code,0)))</f>
        <v/>
      </c>
      <c r="I905" s="66" t="str">
        <f>IF(M905&lt;&gt;"OK","",INDEX(po_mac,MATCH(D905,po_code,0)))</f>
        <v/>
      </c>
      <c r="J905" s="66" t="str">
        <f>IF(M905&lt;&gt;"OK","",N(E905)*(H905*IF(G905="",1,G905)+I905))</f>
        <v/>
      </c>
      <c r="K905" s="66" t="str">
        <f>IF(M905&lt;&gt;"OK","",N(F905)/60*H905*IF(G905="",1,G905))</f>
        <v/>
      </c>
      <c r="L905" s="66" t="str">
        <f>IF(M905&lt;&gt;"OK","",N(F905)/60*I905)</f>
        <v/>
      </c>
      <c r="M905" s="69" t="str">
        <f>IF(AND(A905="",D905=""),"",IF(A905="","Produit manquant",IF(COUNTIF(prod_ref,A905)=0,"Produit inconnu",IF(D905="","Poste manquant",IF(ISNA(MATCH(D905,po_code,0)),"Poste inconnu",IF(INDEX(po_check,MATCH(D905,po_code,0))&lt;&gt;"OK","Poste à corriger",IF(AND(E905&lt;&gt;"",OR(NOT(ISNUMBER(E905)),N(E905)&lt;0)),"Réglage invalide",IF(AND(F905&lt;&gt;"",OR(NOT(ISNUMBER(F905)),N(F905)&lt;0)),"Temps par pièce invalide",IF(N(E905)+N(F905)=0,"Temps manquant",IF(AND(G905&lt;&gt;"",OR(NOT(ISNUMBER(G905)),N(G905)&lt;=0)),"Opérateurs invalide","OK"))))))))))</f>
        <v/>
      </c>
      <c r="N905" s="71" t="str">
        <f>IF(AND(fiche_sel&lt;&gt;"",A905=fiche_sel),COUNTIF(A$6:A905,fiche_sel),"")</f>
        <v/>
      </c>
    </row>
    <row r="906">
      <c r="A906" s="60" t="n"/>
      <c r="B906" s="73" t="n"/>
      <c r="C906" s="60" t="n"/>
      <c r="D906" s="61" t="n"/>
      <c r="E906" s="74" t="n"/>
      <c r="F906" s="74" t="n"/>
      <c r="G906" s="73" t="n"/>
      <c r="H906" s="66" t="str">
        <f>IF(M906&lt;&gt;"OK","",INDEX(po_mo,MATCH(D906,po_code,0)))</f>
        <v/>
      </c>
      <c r="I906" s="66" t="str">
        <f>IF(M906&lt;&gt;"OK","",INDEX(po_mac,MATCH(D906,po_code,0)))</f>
        <v/>
      </c>
      <c r="J906" s="66" t="str">
        <f>IF(M906&lt;&gt;"OK","",N(E906)*(H906*IF(G906="",1,G906)+I906))</f>
        <v/>
      </c>
      <c r="K906" s="66" t="str">
        <f>IF(M906&lt;&gt;"OK","",N(F906)/60*H906*IF(G906="",1,G906))</f>
        <v/>
      </c>
      <c r="L906" s="66" t="str">
        <f>IF(M906&lt;&gt;"OK","",N(F906)/60*I906)</f>
        <v/>
      </c>
      <c r="M906" s="69" t="str">
        <f>IF(AND(A906="",D906=""),"",IF(A906="","Produit manquant",IF(COUNTIF(prod_ref,A906)=0,"Produit inconnu",IF(D906="","Poste manquant",IF(ISNA(MATCH(D906,po_code,0)),"Poste inconnu",IF(INDEX(po_check,MATCH(D906,po_code,0))&lt;&gt;"OK","Poste à corriger",IF(AND(E906&lt;&gt;"",OR(NOT(ISNUMBER(E906)),N(E906)&lt;0)),"Réglage invalide",IF(AND(F906&lt;&gt;"",OR(NOT(ISNUMBER(F906)),N(F906)&lt;0)),"Temps par pièce invalide",IF(N(E906)+N(F906)=0,"Temps manquant",IF(AND(G906&lt;&gt;"",OR(NOT(ISNUMBER(G906)),N(G906)&lt;=0)),"Opérateurs invalide","OK"))))))))))</f>
        <v/>
      </c>
      <c r="N906" s="71" t="str">
        <f>IF(AND(fiche_sel&lt;&gt;"",A906=fiche_sel),COUNTIF(A$6:A906,fiche_sel),"")</f>
        <v/>
      </c>
    </row>
    <row r="907">
      <c r="A907" s="60" t="n"/>
      <c r="B907" s="73" t="n"/>
      <c r="C907" s="60" t="n"/>
      <c r="D907" s="61" t="n"/>
      <c r="E907" s="74" t="n"/>
      <c r="F907" s="74" t="n"/>
      <c r="G907" s="73" t="n"/>
      <c r="H907" s="66" t="str">
        <f>IF(M907&lt;&gt;"OK","",INDEX(po_mo,MATCH(D907,po_code,0)))</f>
        <v/>
      </c>
      <c r="I907" s="66" t="str">
        <f>IF(M907&lt;&gt;"OK","",INDEX(po_mac,MATCH(D907,po_code,0)))</f>
        <v/>
      </c>
      <c r="J907" s="66" t="str">
        <f>IF(M907&lt;&gt;"OK","",N(E907)*(H907*IF(G907="",1,G907)+I907))</f>
        <v/>
      </c>
      <c r="K907" s="66" t="str">
        <f>IF(M907&lt;&gt;"OK","",N(F907)/60*H907*IF(G907="",1,G907))</f>
        <v/>
      </c>
      <c r="L907" s="66" t="str">
        <f>IF(M907&lt;&gt;"OK","",N(F907)/60*I907)</f>
        <v/>
      </c>
      <c r="M907" s="69" t="str">
        <f>IF(AND(A907="",D907=""),"",IF(A907="","Produit manquant",IF(COUNTIF(prod_ref,A907)=0,"Produit inconnu",IF(D907="","Poste manquant",IF(ISNA(MATCH(D907,po_code,0)),"Poste inconnu",IF(INDEX(po_check,MATCH(D907,po_code,0))&lt;&gt;"OK","Poste à corriger",IF(AND(E907&lt;&gt;"",OR(NOT(ISNUMBER(E907)),N(E907)&lt;0)),"Réglage invalide",IF(AND(F907&lt;&gt;"",OR(NOT(ISNUMBER(F907)),N(F907)&lt;0)),"Temps par pièce invalide",IF(N(E907)+N(F907)=0,"Temps manquant",IF(AND(G907&lt;&gt;"",OR(NOT(ISNUMBER(G907)),N(G907)&lt;=0)),"Opérateurs invalide","OK"))))))))))</f>
        <v/>
      </c>
      <c r="N907" s="71" t="str">
        <f>IF(AND(fiche_sel&lt;&gt;"",A907=fiche_sel),COUNTIF(A$6:A907,fiche_sel),"")</f>
        <v/>
      </c>
    </row>
    <row r="908">
      <c r="A908" s="60" t="n"/>
      <c r="B908" s="73" t="n"/>
      <c r="C908" s="60" t="n"/>
      <c r="D908" s="61" t="n"/>
      <c r="E908" s="74" t="n"/>
      <c r="F908" s="74" t="n"/>
      <c r="G908" s="73" t="n"/>
      <c r="H908" s="66" t="str">
        <f>IF(M908&lt;&gt;"OK","",INDEX(po_mo,MATCH(D908,po_code,0)))</f>
        <v/>
      </c>
      <c r="I908" s="66" t="str">
        <f>IF(M908&lt;&gt;"OK","",INDEX(po_mac,MATCH(D908,po_code,0)))</f>
        <v/>
      </c>
      <c r="J908" s="66" t="str">
        <f>IF(M908&lt;&gt;"OK","",N(E908)*(H908*IF(G908="",1,G908)+I908))</f>
        <v/>
      </c>
      <c r="K908" s="66" t="str">
        <f>IF(M908&lt;&gt;"OK","",N(F908)/60*H908*IF(G908="",1,G908))</f>
        <v/>
      </c>
      <c r="L908" s="66" t="str">
        <f>IF(M908&lt;&gt;"OK","",N(F908)/60*I908)</f>
        <v/>
      </c>
      <c r="M908" s="69" t="str">
        <f>IF(AND(A908="",D908=""),"",IF(A908="","Produit manquant",IF(COUNTIF(prod_ref,A908)=0,"Produit inconnu",IF(D908="","Poste manquant",IF(ISNA(MATCH(D908,po_code,0)),"Poste inconnu",IF(INDEX(po_check,MATCH(D908,po_code,0))&lt;&gt;"OK","Poste à corriger",IF(AND(E908&lt;&gt;"",OR(NOT(ISNUMBER(E908)),N(E908)&lt;0)),"Réglage invalide",IF(AND(F908&lt;&gt;"",OR(NOT(ISNUMBER(F908)),N(F908)&lt;0)),"Temps par pièce invalide",IF(N(E908)+N(F908)=0,"Temps manquant",IF(AND(G908&lt;&gt;"",OR(NOT(ISNUMBER(G908)),N(G908)&lt;=0)),"Opérateurs invalide","OK"))))))))))</f>
        <v/>
      </c>
      <c r="N908" s="71" t="str">
        <f>IF(AND(fiche_sel&lt;&gt;"",A908=fiche_sel),COUNTIF(A$6:A908,fiche_sel),"")</f>
        <v/>
      </c>
    </row>
    <row r="909">
      <c r="A909" s="60" t="n"/>
      <c r="B909" s="73" t="n"/>
      <c r="C909" s="60" t="n"/>
      <c r="D909" s="61" t="n"/>
      <c r="E909" s="74" t="n"/>
      <c r="F909" s="74" t="n"/>
      <c r="G909" s="73" t="n"/>
      <c r="H909" s="66" t="str">
        <f>IF(M909&lt;&gt;"OK","",INDEX(po_mo,MATCH(D909,po_code,0)))</f>
        <v/>
      </c>
      <c r="I909" s="66" t="str">
        <f>IF(M909&lt;&gt;"OK","",INDEX(po_mac,MATCH(D909,po_code,0)))</f>
        <v/>
      </c>
      <c r="J909" s="66" t="str">
        <f>IF(M909&lt;&gt;"OK","",N(E909)*(H909*IF(G909="",1,G909)+I909))</f>
        <v/>
      </c>
      <c r="K909" s="66" t="str">
        <f>IF(M909&lt;&gt;"OK","",N(F909)/60*H909*IF(G909="",1,G909))</f>
        <v/>
      </c>
      <c r="L909" s="66" t="str">
        <f>IF(M909&lt;&gt;"OK","",N(F909)/60*I909)</f>
        <v/>
      </c>
      <c r="M909" s="69" t="str">
        <f>IF(AND(A909="",D909=""),"",IF(A909="","Produit manquant",IF(COUNTIF(prod_ref,A909)=0,"Produit inconnu",IF(D909="","Poste manquant",IF(ISNA(MATCH(D909,po_code,0)),"Poste inconnu",IF(INDEX(po_check,MATCH(D909,po_code,0))&lt;&gt;"OK","Poste à corriger",IF(AND(E909&lt;&gt;"",OR(NOT(ISNUMBER(E909)),N(E909)&lt;0)),"Réglage invalide",IF(AND(F909&lt;&gt;"",OR(NOT(ISNUMBER(F909)),N(F909)&lt;0)),"Temps par pièce invalide",IF(N(E909)+N(F909)=0,"Temps manquant",IF(AND(G909&lt;&gt;"",OR(NOT(ISNUMBER(G909)),N(G909)&lt;=0)),"Opérateurs invalide","OK"))))))))))</f>
        <v/>
      </c>
      <c r="N909" s="71" t="str">
        <f>IF(AND(fiche_sel&lt;&gt;"",A909=fiche_sel),COUNTIF(A$6:A909,fiche_sel),"")</f>
        <v/>
      </c>
    </row>
    <row r="910">
      <c r="A910" s="60" t="n"/>
      <c r="B910" s="73" t="n"/>
      <c r="C910" s="60" t="n"/>
      <c r="D910" s="61" t="n"/>
      <c r="E910" s="74" t="n"/>
      <c r="F910" s="74" t="n"/>
      <c r="G910" s="73" t="n"/>
      <c r="H910" s="66" t="str">
        <f>IF(M910&lt;&gt;"OK","",INDEX(po_mo,MATCH(D910,po_code,0)))</f>
        <v/>
      </c>
      <c r="I910" s="66" t="str">
        <f>IF(M910&lt;&gt;"OK","",INDEX(po_mac,MATCH(D910,po_code,0)))</f>
        <v/>
      </c>
      <c r="J910" s="66" t="str">
        <f>IF(M910&lt;&gt;"OK","",N(E910)*(H910*IF(G910="",1,G910)+I910))</f>
        <v/>
      </c>
      <c r="K910" s="66" t="str">
        <f>IF(M910&lt;&gt;"OK","",N(F910)/60*H910*IF(G910="",1,G910))</f>
        <v/>
      </c>
      <c r="L910" s="66" t="str">
        <f>IF(M910&lt;&gt;"OK","",N(F910)/60*I910)</f>
        <v/>
      </c>
      <c r="M910" s="69" t="str">
        <f>IF(AND(A910="",D910=""),"",IF(A910="","Produit manquant",IF(COUNTIF(prod_ref,A910)=0,"Produit inconnu",IF(D910="","Poste manquant",IF(ISNA(MATCH(D910,po_code,0)),"Poste inconnu",IF(INDEX(po_check,MATCH(D910,po_code,0))&lt;&gt;"OK","Poste à corriger",IF(AND(E910&lt;&gt;"",OR(NOT(ISNUMBER(E910)),N(E910)&lt;0)),"Réglage invalide",IF(AND(F910&lt;&gt;"",OR(NOT(ISNUMBER(F910)),N(F910)&lt;0)),"Temps par pièce invalide",IF(N(E910)+N(F910)=0,"Temps manquant",IF(AND(G910&lt;&gt;"",OR(NOT(ISNUMBER(G910)),N(G910)&lt;=0)),"Opérateurs invalide","OK"))))))))))</f>
        <v/>
      </c>
      <c r="N910" s="71" t="str">
        <f>IF(AND(fiche_sel&lt;&gt;"",A910=fiche_sel),COUNTIF(A$6:A910,fiche_sel),"")</f>
        <v/>
      </c>
    </row>
    <row r="911">
      <c r="A911" s="60" t="n"/>
      <c r="B911" s="73" t="n"/>
      <c r="C911" s="60" t="n"/>
      <c r="D911" s="61" t="n"/>
      <c r="E911" s="74" t="n"/>
      <c r="F911" s="74" t="n"/>
      <c r="G911" s="73" t="n"/>
      <c r="H911" s="66" t="str">
        <f>IF(M911&lt;&gt;"OK","",INDEX(po_mo,MATCH(D911,po_code,0)))</f>
        <v/>
      </c>
      <c r="I911" s="66" t="str">
        <f>IF(M911&lt;&gt;"OK","",INDEX(po_mac,MATCH(D911,po_code,0)))</f>
        <v/>
      </c>
      <c r="J911" s="66" t="str">
        <f>IF(M911&lt;&gt;"OK","",N(E911)*(H911*IF(G911="",1,G911)+I911))</f>
        <v/>
      </c>
      <c r="K911" s="66" t="str">
        <f>IF(M911&lt;&gt;"OK","",N(F911)/60*H911*IF(G911="",1,G911))</f>
        <v/>
      </c>
      <c r="L911" s="66" t="str">
        <f>IF(M911&lt;&gt;"OK","",N(F911)/60*I911)</f>
        <v/>
      </c>
      <c r="M911" s="69" t="str">
        <f>IF(AND(A911="",D911=""),"",IF(A911="","Produit manquant",IF(COUNTIF(prod_ref,A911)=0,"Produit inconnu",IF(D911="","Poste manquant",IF(ISNA(MATCH(D911,po_code,0)),"Poste inconnu",IF(INDEX(po_check,MATCH(D911,po_code,0))&lt;&gt;"OK","Poste à corriger",IF(AND(E911&lt;&gt;"",OR(NOT(ISNUMBER(E911)),N(E911)&lt;0)),"Réglage invalide",IF(AND(F911&lt;&gt;"",OR(NOT(ISNUMBER(F911)),N(F911)&lt;0)),"Temps par pièce invalide",IF(N(E911)+N(F911)=0,"Temps manquant",IF(AND(G911&lt;&gt;"",OR(NOT(ISNUMBER(G911)),N(G911)&lt;=0)),"Opérateurs invalide","OK"))))))))))</f>
        <v/>
      </c>
      <c r="N911" s="71" t="str">
        <f>IF(AND(fiche_sel&lt;&gt;"",A911=fiche_sel),COUNTIF(A$6:A911,fiche_sel),"")</f>
        <v/>
      </c>
    </row>
    <row r="912">
      <c r="A912" s="60" t="n"/>
      <c r="B912" s="73" t="n"/>
      <c r="C912" s="60" t="n"/>
      <c r="D912" s="61" t="n"/>
      <c r="E912" s="74" t="n"/>
      <c r="F912" s="74" t="n"/>
      <c r="G912" s="73" t="n"/>
      <c r="H912" s="66" t="str">
        <f>IF(M912&lt;&gt;"OK","",INDEX(po_mo,MATCH(D912,po_code,0)))</f>
        <v/>
      </c>
      <c r="I912" s="66" t="str">
        <f>IF(M912&lt;&gt;"OK","",INDEX(po_mac,MATCH(D912,po_code,0)))</f>
        <v/>
      </c>
      <c r="J912" s="66" t="str">
        <f>IF(M912&lt;&gt;"OK","",N(E912)*(H912*IF(G912="",1,G912)+I912))</f>
        <v/>
      </c>
      <c r="K912" s="66" t="str">
        <f>IF(M912&lt;&gt;"OK","",N(F912)/60*H912*IF(G912="",1,G912))</f>
        <v/>
      </c>
      <c r="L912" s="66" t="str">
        <f>IF(M912&lt;&gt;"OK","",N(F912)/60*I912)</f>
        <v/>
      </c>
      <c r="M912" s="69" t="str">
        <f>IF(AND(A912="",D912=""),"",IF(A912="","Produit manquant",IF(COUNTIF(prod_ref,A912)=0,"Produit inconnu",IF(D912="","Poste manquant",IF(ISNA(MATCH(D912,po_code,0)),"Poste inconnu",IF(INDEX(po_check,MATCH(D912,po_code,0))&lt;&gt;"OK","Poste à corriger",IF(AND(E912&lt;&gt;"",OR(NOT(ISNUMBER(E912)),N(E912)&lt;0)),"Réglage invalide",IF(AND(F912&lt;&gt;"",OR(NOT(ISNUMBER(F912)),N(F912)&lt;0)),"Temps par pièce invalide",IF(N(E912)+N(F912)=0,"Temps manquant",IF(AND(G912&lt;&gt;"",OR(NOT(ISNUMBER(G912)),N(G912)&lt;=0)),"Opérateurs invalide","OK"))))))))))</f>
        <v/>
      </c>
      <c r="N912" s="71" t="str">
        <f>IF(AND(fiche_sel&lt;&gt;"",A912=fiche_sel),COUNTIF(A$6:A912,fiche_sel),"")</f>
        <v/>
      </c>
    </row>
    <row r="913">
      <c r="A913" s="60" t="n"/>
      <c r="B913" s="73" t="n"/>
      <c r="C913" s="60" t="n"/>
      <c r="D913" s="61" t="n"/>
      <c r="E913" s="74" t="n"/>
      <c r="F913" s="74" t="n"/>
      <c r="G913" s="73" t="n"/>
      <c r="H913" s="66" t="str">
        <f>IF(M913&lt;&gt;"OK","",INDEX(po_mo,MATCH(D913,po_code,0)))</f>
        <v/>
      </c>
      <c r="I913" s="66" t="str">
        <f>IF(M913&lt;&gt;"OK","",INDEX(po_mac,MATCH(D913,po_code,0)))</f>
        <v/>
      </c>
      <c r="J913" s="66" t="str">
        <f>IF(M913&lt;&gt;"OK","",N(E913)*(H913*IF(G913="",1,G913)+I913))</f>
        <v/>
      </c>
      <c r="K913" s="66" t="str">
        <f>IF(M913&lt;&gt;"OK","",N(F913)/60*H913*IF(G913="",1,G913))</f>
        <v/>
      </c>
      <c r="L913" s="66" t="str">
        <f>IF(M913&lt;&gt;"OK","",N(F913)/60*I913)</f>
        <v/>
      </c>
      <c r="M913" s="69" t="str">
        <f>IF(AND(A913="",D913=""),"",IF(A913="","Produit manquant",IF(COUNTIF(prod_ref,A913)=0,"Produit inconnu",IF(D913="","Poste manquant",IF(ISNA(MATCH(D913,po_code,0)),"Poste inconnu",IF(INDEX(po_check,MATCH(D913,po_code,0))&lt;&gt;"OK","Poste à corriger",IF(AND(E913&lt;&gt;"",OR(NOT(ISNUMBER(E913)),N(E913)&lt;0)),"Réglage invalide",IF(AND(F913&lt;&gt;"",OR(NOT(ISNUMBER(F913)),N(F913)&lt;0)),"Temps par pièce invalide",IF(N(E913)+N(F913)=0,"Temps manquant",IF(AND(G913&lt;&gt;"",OR(NOT(ISNUMBER(G913)),N(G913)&lt;=0)),"Opérateurs invalide","OK"))))))))))</f>
        <v/>
      </c>
      <c r="N913" s="71" t="str">
        <f>IF(AND(fiche_sel&lt;&gt;"",A913=fiche_sel),COUNTIF(A$6:A913,fiche_sel),"")</f>
        <v/>
      </c>
    </row>
    <row r="914">
      <c r="A914" s="60" t="n"/>
      <c r="B914" s="73" t="n"/>
      <c r="C914" s="60" t="n"/>
      <c r="D914" s="61" t="n"/>
      <c r="E914" s="74" t="n"/>
      <c r="F914" s="74" t="n"/>
      <c r="G914" s="73" t="n"/>
      <c r="H914" s="66" t="str">
        <f>IF(M914&lt;&gt;"OK","",INDEX(po_mo,MATCH(D914,po_code,0)))</f>
        <v/>
      </c>
      <c r="I914" s="66" t="str">
        <f>IF(M914&lt;&gt;"OK","",INDEX(po_mac,MATCH(D914,po_code,0)))</f>
        <v/>
      </c>
      <c r="J914" s="66" t="str">
        <f>IF(M914&lt;&gt;"OK","",N(E914)*(H914*IF(G914="",1,G914)+I914))</f>
        <v/>
      </c>
      <c r="K914" s="66" t="str">
        <f>IF(M914&lt;&gt;"OK","",N(F914)/60*H914*IF(G914="",1,G914))</f>
        <v/>
      </c>
      <c r="L914" s="66" t="str">
        <f>IF(M914&lt;&gt;"OK","",N(F914)/60*I914)</f>
        <v/>
      </c>
      <c r="M914" s="69" t="str">
        <f>IF(AND(A914="",D914=""),"",IF(A914="","Produit manquant",IF(COUNTIF(prod_ref,A914)=0,"Produit inconnu",IF(D914="","Poste manquant",IF(ISNA(MATCH(D914,po_code,0)),"Poste inconnu",IF(INDEX(po_check,MATCH(D914,po_code,0))&lt;&gt;"OK","Poste à corriger",IF(AND(E914&lt;&gt;"",OR(NOT(ISNUMBER(E914)),N(E914)&lt;0)),"Réglage invalide",IF(AND(F914&lt;&gt;"",OR(NOT(ISNUMBER(F914)),N(F914)&lt;0)),"Temps par pièce invalide",IF(N(E914)+N(F914)=0,"Temps manquant",IF(AND(G914&lt;&gt;"",OR(NOT(ISNUMBER(G914)),N(G914)&lt;=0)),"Opérateurs invalide","OK"))))))))))</f>
        <v/>
      </c>
      <c r="N914" s="71" t="str">
        <f>IF(AND(fiche_sel&lt;&gt;"",A914=fiche_sel),COUNTIF(A$6:A914,fiche_sel),"")</f>
        <v/>
      </c>
    </row>
    <row r="915">
      <c r="A915" s="60" t="n"/>
      <c r="B915" s="73" t="n"/>
      <c r="C915" s="60" t="n"/>
      <c r="D915" s="61" t="n"/>
      <c r="E915" s="74" t="n"/>
      <c r="F915" s="74" t="n"/>
      <c r="G915" s="73" t="n"/>
      <c r="H915" s="66" t="str">
        <f>IF(M915&lt;&gt;"OK","",INDEX(po_mo,MATCH(D915,po_code,0)))</f>
        <v/>
      </c>
      <c r="I915" s="66" t="str">
        <f>IF(M915&lt;&gt;"OK","",INDEX(po_mac,MATCH(D915,po_code,0)))</f>
        <v/>
      </c>
      <c r="J915" s="66" t="str">
        <f>IF(M915&lt;&gt;"OK","",N(E915)*(H915*IF(G915="",1,G915)+I915))</f>
        <v/>
      </c>
      <c r="K915" s="66" t="str">
        <f>IF(M915&lt;&gt;"OK","",N(F915)/60*H915*IF(G915="",1,G915))</f>
        <v/>
      </c>
      <c r="L915" s="66" t="str">
        <f>IF(M915&lt;&gt;"OK","",N(F915)/60*I915)</f>
        <v/>
      </c>
      <c r="M915" s="69" t="str">
        <f>IF(AND(A915="",D915=""),"",IF(A915="","Produit manquant",IF(COUNTIF(prod_ref,A915)=0,"Produit inconnu",IF(D915="","Poste manquant",IF(ISNA(MATCH(D915,po_code,0)),"Poste inconnu",IF(INDEX(po_check,MATCH(D915,po_code,0))&lt;&gt;"OK","Poste à corriger",IF(AND(E915&lt;&gt;"",OR(NOT(ISNUMBER(E915)),N(E915)&lt;0)),"Réglage invalide",IF(AND(F915&lt;&gt;"",OR(NOT(ISNUMBER(F915)),N(F915)&lt;0)),"Temps par pièce invalide",IF(N(E915)+N(F915)=0,"Temps manquant",IF(AND(G915&lt;&gt;"",OR(NOT(ISNUMBER(G915)),N(G915)&lt;=0)),"Opérateurs invalide","OK"))))))))))</f>
        <v/>
      </c>
      <c r="N915" s="71" t="str">
        <f>IF(AND(fiche_sel&lt;&gt;"",A915=fiche_sel),COUNTIF(A$6:A915,fiche_sel),"")</f>
        <v/>
      </c>
    </row>
    <row r="916">
      <c r="A916" s="60" t="n"/>
      <c r="B916" s="73" t="n"/>
      <c r="C916" s="60" t="n"/>
      <c r="D916" s="61" t="n"/>
      <c r="E916" s="74" t="n"/>
      <c r="F916" s="74" t="n"/>
      <c r="G916" s="73" t="n"/>
      <c r="H916" s="66" t="str">
        <f>IF(M916&lt;&gt;"OK","",INDEX(po_mo,MATCH(D916,po_code,0)))</f>
        <v/>
      </c>
      <c r="I916" s="66" t="str">
        <f>IF(M916&lt;&gt;"OK","",INDEX(po_mac,MATCH(D916,po_code,0)))</f>
        <v/>
      </c>
      <c r="J916" s="66" t="str">
        <f>IF(M916&lt;&gt;"OK","",N(E916)*(H916*IF(G916="",1,G916)+I916))</f>
        <v/>
      </c>
      <c r="K916" s="66" t="str">
        <f>IF(M916&lt;&gt;"OK","",N(F916)/60*H916*IF(G916="",1,G916))</f>
        <v/>
      </c>
      <c r="L916" s="66" t="str">
        <f>IF(M916&lt;&gt;"OK","",N(F916)/60*I916)</f>
        <v/>
      </c>
      <c r="M916" s="69" t="str">
        <f>IF(AND(A916="",D916=""),"",IF(A916="","Produit manquant",IF(COUNTIF(prod_ref,A916)=0,"Produit inconnu",IF(D916="","Poste manquant",IF(ISNA(MATCH(D916,po_code,0)),"Poste inconnu",IF(INDEX(po_check,MATCH(D916,po_code,0))&lt;&gt;"OK","Poste à corriger",IF(AND(E916&lt;&gt;"",OR(NOT(ISNUMBER(E916)),N(E916)&lt;0)),"Réglage invalide",IF(AND(F916&lt;&gt;"",OR(NOT(ISNUMBER(F916)),N(F916)&lt;0)),"Temps par pièce invalide",IF(N(E916)+N(F916)=0,"Temps manquant",IF(AND(G916&lt;&gt;"",OR(NOT(ISNUMBER(G916)),N(G916)&lt;=0)),"Opérateurs invalide","OK"))))))))))</f>
        <v/>
      </c>
      <c r="N916" s="71" t="str">
        <f>IF(AND(fiche_sel&lt;&gt;"",A916=fiche_sel),COUNTIF(A$6:A916,fiche_sel),"")</f>
        <v/>
      </c>
    </row>
    <row r="917">
      <c r="A917" s="60" t="n"/>
      <c r="B917" s="73" t="n"/>
      <c r="C917" s="60" t="n"/>
      <c r="D917" s="61" t="n"/>
      <c r="E917" s="74" t="n"/>
      <c r="F917" s="74" t="n"/>
      <c r="G917" s="73" t="n"/>
      <c r="H917" s="66" t="str">
        <f>IF(M917&lt;&gt;"OK","",INDEX(po_mo,MATCH(D917,po_code,0)))</f>
        <v/>
      </c>
      <c r="I917" s="66" t="str">
        <f>IF(M917&lt;&gt;"OK","",INDEX(po_mac,MATCH(D917,po_code,0)))</f>
        <v/>
      </c>
      <c r="J917" s="66" t="str">
        <f>IF(M917&lt;&gt;"OK","",N(E917)*(H917*IF(G917="",1,G917)+I917))</f>
        <v/>
      </c>
      <c r="K917" s="66" t="str">
        <f>IF(M917&lt;&gt;"OK","",N(F917)/60*H917*IF(G917="",1,G917))</f>
        <v/>
      </c>
      <c r="L917" s="66" t="str">
        <f>IF(M917&lt;&gt;"OK","",N(F917)/60*I917)</f>
        <v/>
      </c>
      <c r="M917" s="69" t="str">
        <f>IF(AND(A917="",D917=""),"",IF(A917="","Produit manquant",IF(COUNTIF(prod_ref,A917)=0,"Produit inconnu",IF(D917="","Poste manquant",IF(ISNA(MATCH(D917,po_code,0)),"Poste inconnu",IF(INDEX(po_check,MATCH(D917,po_code,0))&lt;&gt;"OK","Poste à corriger",IF(AND(E917&lt;&gt;"",OR(NOT(ISNUMBER(E917)),N(E917)&lt;0)),"Réglage invalide",IF(AND(F917&lt;&gt;"",OR(NOT(ISNUMBER(F917)),N(F917)&lt;0)),"Temps par pièce invalide",IF(N(E917)+N(F917)=0,"Temps manquant",IF(AND(G917&lt;&gt;"",OR(NOT(ISNUMBER(G917)),N(G917)&lt;=0)),"Opérateurs invalide","OK"))))))))))</f>
        <v/>
      </c>
      <c r="N917" s="71" t="str">
        <f>IF(AND(fiche_sel&lt;&gt;"",A917=fiche_sel),COUNTIF(A$6:A917,fiche_sel),"")</f>
        <v/>
      </c>
    </row>
    <row r="918">
      <c r="A918" s="60" t="n"/>
      <c r="B918" s="73" t="n"/>
      <c r="C918" s="60" t="n"/>
      <c r="D918" s="61" t="n"/>
      <c r="E918" s="74" t="n"/>
      <c r="F918" s="74" t="n"/>
      <c r="G918" s="73" t="n"/>
      <c r="H918" s="66" t="str">
        <f>IF(M918&lt;&gt;"OK","",INDEX(po_mo,MATCH(D918,po_code,0)))</f>
        <v/>
      </c>
      <c r="I918" s="66" t="str">
        <f>IF(M918&lt;&gt;"OK","",INDEX(po_mac,MATCH(D918,po_code,0)))</f>
        <v/>
      </c>
      <c r="J918" s="66" t="str">
        <f>IF(M918&lt;&gt;"OK","",N(E918)*(H918*IF(G918="",1,G918)+I918))</f>
        <v/>
      </c>
      <c r="K918" s="66" t="str">
        <f>IF(M918&lt;&gt;"OK","",N(F918)/60*H918*IF(G918="",1,G918))</f>
        <v/>
      </c>
      <c r="L918" s="66" t="str">
        <f>IF(M918&lt;&gt;"OK","",N(F918)/60*I918)</f>
        <v/>
      </c>
      <c r="M918" s="69" t="str">
        <f>IF(AND(A918="",D918=""),"",IF(A918="","Produit manquant",IF(COUNTIF(prod_ref,A918)=0,"Produit inconnu",IF(D918="","Poste manquant",IF(ISNA(MATCH(D918,po_code,0)),"Poste inconnu",IF(INDEX(po_check,MATCH(D918,po_code,0))&lt;&gt;"OK","Poste à corriger",IF(AND(E918&lt;&gt;"",OR(NOT(ISNUMBER(E918)),N(E918)&lt;0)),"Réglage invalide",IF(AND(F918&lt;&gt;"",OR(NOT(ISNUMBER(F918)),N(F918)&lt;0)),"Temps par pièce invalide",IF(N(E918)+N(F918)=0,"Temps manquant",IF(AND(G918&lt;&gt;"",OR(NOT(ISNUMBER(G918)),N(G918)&lt;=0)),"Opérateurs invalide","OK"))))))))))</f>
        <v/>
      </c>
      <c r="N918" s="71" t="str">
        <f>IF(AND(fiche_sel&lt;&gt;"",A918=fiche_sel),COUNTIF(A$6:A918,fiche_sel),"")</f>
        <v/>
      </c>
    </row>
    <row r="919">
      <c r="A919" s="60" t="n"/>
      <c r="B919" s="73" t="n"/>
      <c r="C919" s="60" t="n"/>
      <c r="D919" s="61" t="n"/>
      <c r="E919" s="74" t="n"/>
      <c r="F919" s="74" t="n"/>
      <c r="G919" s="73" t="n"/>
      <c r="H919" s="66" t="str">
        <f>IF(M919&lt;&gt;"OK","",INDEX(po_mo,MATCH(D919,po_code,0)))</f>
        <v/>
      </c>
      <c r="I919" s="66" t="str">
        <f>IF(M919&lt;&gt;"OK","",INDEX(po_mac,MATCH(D919,po_code,0)))</f>
        <v/>
      </c>
      <c r="J919" s="66" t="str">
        <f>IF(M919&lt;&gt;"OK","",N(E919)*(H919*IF(G919="",1,G919)+I919))</f>
        <v/>
      </c>
      <c r="K919" s="66" t="str">
        <f>IF(M919&lt;&gt;"OK","",N(F919)/60*H919*IF(G919="",1,G919))</f>
        <v/>
      </c>
      <c r="L919" s="66" t="str">
        <f>IF(M919&lt;&gt;"OK","",N(F919)/60*I919)</f>
        <v/>
      </c>
      <c r="M919" s="69" t="str">
        <f>IF(AND(A919="",D919=""),"",IF(A919="","Produit manquant",IF(COUNTIF(prod_ref,A919)=0,"Produit inconnu",IF(D919="","Poste manquant",IF(ISNA(MATCH(D919,po_code,0)),"Poste inconnu",IF(INDEX(po_check,MATCH(D919,po_code,0))&lt;&gt;"OK","Poste à corriger",IF(AND(E919&lt;&gt;"",OR(NOT(ISNUMBER(E919)),N(E919)&lt;0)),"Réglage invalide",IF(AND(F919&lt;&gt;"",OR(NOT(ISNUMBER(F919)),N(F919)&lt;0)),"Temps par pièce invalide",IF(N(E919)+N(F919)=0,"Temps manquant",IF(AND(G919&lt;&gt;"",OR(NOT(ISNUMBER(G919)),N(G919)&lt;=0)),"Opérateurs invalide","OK"))))))))))</f>
        <v/>
      </c>
      <c r="N919" s="71" t="str">
        <f>IF(AND(fiche_sel&lt;&gt;"",A919=fiche_sel),COUNTIF(A$6:A919,fiche_sel),"")</f>
        <v/>
      </c>
    </row>
    <row r="920">
      <c r="A920" s="60" t="n"/>
      <c r="B920" s="73" t="n"/>
      <c r="C920" s="60" t="n"/>
      <c r="D920" s="61" t="n"/>
      <c r="E920" s="74" t="n"/>
      <c r="F920" s="74" t="n"/>
      <c r="G920" s="73" t="n"/>
      <c r="H920" s="66" t="str">
        <f>IF(M920&lt;&gt;"OK","",INDEX(po_mo,MATCH(D920,po_code,0)))</f>
        <v/>
      </c>
      <c r="I920" s="66" t="str">
        <f>IF(M920&lt;&gt;"OK","",INDEX(po_mac,MATCH(D920,po_code,0)))</f>
        <v/>
      </c>
      <c r="J920" s="66" t="str">
        <f>IF(M920&lt;&gt;"OK","",N(E920)*(H920*IF(G920="",1,G920)+I920))</f>
        <v/>
      </c>
      <c r="K920" s="66" t="str">
        <f>IF(M920&lt;&gt;"OK","",N(F920)/60*H920*IF(G920="",1,G920))</f>
        <v/>
      </c>
      <c r="L920" s="66" t="str">
        <f>IF(M920&lt;&gt;"OK","",N(F920)/60*I920)</f>
        <v/>
      </c>
      <c r="M920" s="69" t="str">
        <f>IF(AND(A920="",D920=""),"",IF(A920="","Produit manquant",IF(COUNTIF(prod_ref,A920)=0,"Produit inconnu",IF(D920="","Poste manquant",IF(ISNA(MATCH(D920,po_code,0)),"Poste inconnu",IF(INDEX(po_check,MATCH(D920,po_code,0))&lt;&gt;"OK","Poste à corriger",IF(AND(E920&lt;&gt;"",OR(NOT(ISNUMBER(E920)),N(E920)&lt;0)),"Réglage invalide",IF(AND(F920&lt;&gt;"",OR(NOT(ISNUMBER(F920)),N(F920)&lt;0)),"Temps par pièce invalide",IF(N(E920)+N(F920)=0,"Temps manquant",IF(AND(G920&lt;&gt;"",OR(NOT(ISNUMBER(G920)),N(G920)&lt;=0)),"Opérateurs invalide","OK"))))))))))</f>
        <v/>
      </c>
      <c r="N920" s="71" t="str">
        <f>IF(AND(fiche_sel&lt;&gt;"",A920=fiche_sel),COUNTIF(A$6:A920,fiche_sel),"")</f>
        <v/>
      </c>
    </row>
    <row r="921">
      <c r="A921" s="60" t="n"/>
      <c r="B921" s="73" t="n"/>
      <c r="C921" s="60" t="n"/>
      <c r="D921" s="61" t="n"/>
      <c r="E921" s="74" t="n"/>
      <c r="F921" s="74" t="n"/>
      <c r="G921" s="73" t="n"/>
      <c r="H921" s="66" t="str">
        <f>IF(M921&lt;&gt;"OK","",INDEX(po_mo,MATCH(D921,po_code,0)))</f>
        <v/>
      </c>
      <c r="I921" s="66" t="str">
        <f>IF(M921&lt;&gt;"OK","",INDEX(po_mac,MATCH(D921,po_code,0)))</f>
        <v/>
      </c>
      <c r="J921" s="66" t="str">
        <f>IF(M921&lt;&gt;"OK","",N(E921)*(H921*IF(G921="",1,G921)+I921))</f>
        <v/>
      </c>
      <c r="K921" s="66" t="str">
        <f>IF(M921&lt;&gt;"OK","",N(F921)/60*H921*IF(G921="",1,G921))</f>
        <v/>
      </c>
      <c r="L921" s="66" t="str">
        <f>IF(M921&lt;&gt;"OK","",N(F921)/60*I921)</f>
        <v/>
      </c>
      <c r="M921" s="69" t="str">
        <f>IF(AND(A921="",D921=""),"",IF(A921="","Produit manquant",IF(COUNTIF(prod_ref,A921)=0,"Produit inconnu",IF(D921="","Poste manquant",IF(ISNA(MATCH(D921,po_code,0)),"Poste inconnu",IF(INDEX(po_check,MATCH(D921,po_code,0))&lt;&gt;"OK","Poste à corriger",IF(AND(E921&lt;&gt;"",OR(NOT(ISNUMBER(E921)),N(E921)&lt;0)),"Réglage invalide",IF(AND(F921&lt;&gt;"",OR(NOT(ISNUMBER(F921)),N(F921)&lt;0)),"Temps par pièce invalide",IF(N(E921)+N(F921)=0,"Temps manquant",IF(AND(G921&lt;&gt;"",OR(NOT(ISNUMBER(G921)),N(G921)&lt;=0)),"Opérateurs invalide","OK"))))))))))</f>
        <v/>
      </c>
      <c r="N921" s="71" t="str">
        <f>IF(AND(fiche_sel&lt;&gt;"",A921=fiche_sel),COUNTIF(A$6:A921,fiche_sel),"")</f>
        <v/>
      </c>
    </row>
    <row r="922">
      <c r="A922" s="60" t="n"/>
      <c r="B922" s="73" t="n"/>
      <c r="C922" s="60" t="n"/>
      <c r="D922" s="61" t="n"/>
      <c r="E922" s="74" t="n"/>
      <c r="F922" s="74" t="n"/>
      <c r="G922" s="73" t="n"/>
      <c r="H922" s="66" t="str">
        <f>IF(M922&lt;&gt;"OK","",INDEX(po_mo,MATCH(D922,po_code,0)))</f>
        <v/>
      </c>
      <c r="I922" s="66" t="str">
        <f>IF(M922&lt;&gt;"OK","",INDEX(po_mac,MATCH(D922,po_code,0)))</f>
        <v/>
      </c>
      <c r="J922" s="66" t="str">
        <f>IF(M922&lt;&gt;"OK","",N(E922)*(H922*IF(G922="",1,G922)+I922))</f>
        <v/>
      </c>
      <c r="K922" s="66" t="str">
        <f>IF(M922&lt;&gt;"OK","",N(F922)/60*H922*IF(G922="",1,G922))</f>
        <v/>
      </c>
      <c r="L922" s="66" t="str">
        <f>IF(M922&lt;&gt;"OK","",N(F922)/60*I922)</f>
        <v/>
      </c>
      <c r="M922" s="69" t="str">
        <f>IF(AND(A922="",D922=""),"",IF(A922="","Produit manquant",IF(COUNTIF(prod_ref,A922)=0,"Produit inconnu",IF(D922="","Poste manquant",IF(ISNA(MATCH(D922,po_code,0)),"Poste inconnu",IF(INDEX(po_check,MATCH(D922,po_code,0))&lt;&gt;"OK","Poste à corriger",IF(AND(E922&lt;&gt;"",OR(NOT(ISNUMBER(E922)),N(E922)&lt;0)),"Réglage invalide",IF(AND(F922&lt;&gt;"",OR(NOT(ISNUMBER(F922)),N(F922)&lt;0)),"Temps par pièce invalide",IF(N(E922)+N(F922)=0,"Temps manquant",IF(AND(G922&lt;&gt;"",OR(NOT(ISNUMBER(G922)),N(G922)&lt;=0)),"Opérateurs invalide","OK"))))))))))</f>
        <v/>
      </c>
      <c r="N922" s="71" t="str">
        <f>IF(AND(fiche_sel&lt;&gt;"",A922=fiche_sel),COUNTIF(A$6:A922,fiche_sel),"")</f>
        <v/>
      </c>
    </row>
    <row r="923">
      <c r="A923" s="60" t="n"/>
      <c r="B923" s="73" t="n"/>
      <c r="C923" s="60" t="n"/>
      <c r="D923" s="61" t="n"/>
      <c r="E923" s="74" t="n"/>
      <c r="F923" s="74" t="n"/>
      <c r="G923" s="73" t="n"/>
      <c r="H923" s="66" t="str">
        <f>IF(M923&lt;&gt;"OK","",INDEX(po_mo,MATCH(D923,po_code,0)))</f>
        <v/>
      </c>
      <c r="I923" s="66" t="str">
        <f>IF(M923&lt;&gt;"OK","",INDEX(po_mac,MATCH(D923,po_code,0)))</f>
        <v/>
      </c>
      <c r="J923" s="66" t="str">
        <f>IF(M923&lt;&gt;"OK","",N(E923)*(H923*IF(G923="",1,G923)+I923))</f>
        <v/>
      </c>
      <c r="K923" s="66" t="str">
        <f>IF(M923&lt;&gt;"OK","",N(F923)/60*H923*IF(G923="",1,G923))</f>
        <v/>
      </c>
      <c r="L923" s="66" t="str">
        <f>IF(M923&lt;&gt;"OK","",N(F923)/60*I923)</f>
        <v/>
      </c>
      <c r="M923" s="69" t="str">
        <f>IF(AND(A923="",D923=""),"",IF(A923="","Produit manquant",IF(COUNTIF(prod_ref,A923)=0,"Produit inconnu",IF(D923="","Poste manquant",IF(ISNA(MATCH(D923,po_code,0)),"Poste inconnu",IF(INDEX(po_check,MATCH(D923,po_code,0))&lt;&gt;"OK","Poste à corriger",IF(AND(E923&lt;&gt;"",OR(NOT(ISNUMBER(E923)),N(E923)&lt;0)),"Réglage invalide",IF(AND(F923&lt;&gt;"",OR(NOT(ISNUMBER(F923)),N(F923)&lt;0)),"Temps par pièce invalide",IF(N(E923)+N(F923)=0,"Temps manquant",IF(AND(G923&lt;&gt;"",OR(NOT(ISNUMBER(G923)),N(G923)&lt;=0)),"Opérateurs invalide","OK"))))))))))</f>
        <v/>
      </c>
      <c r="N923" s="71" t="str">
        <f>IF(AND(fiche_sel&lt;&gt;"",A923=fiche_sel),COUNTIF(A$6:A923,fiche_sel),"")</f>
        <v/>
      </c>
    </row>
    <row r="924">
      <c r="A924" s="60" t="n"/>
      <c r="B924" s="73" t="n"/>
      <c r="C924" s="60" t="n"/>
      <c r="D924" s="61" t="n"/>
      <c r="E924" s="74" t="n"/>
      <c r="F924" s="74" t="n"/>
      <c r="G924" s="73" t="n"/>
      <c r="H924" s="66" t="str">
        <f>IF(M924&lt;&gt;"OK","",INDEX(po_mo,MATCH(D924,po_code,0)))</f>
        <v/>
      </c>
      <c r="I924" s="66" t="str">
        <f>IF(M924&lt;&gt;"OK","",INDEX(po_mac,MATCH(D924,po_code,0)))</f>
        <v/>
      </c>
      <c r="J924" s="66" t="str">
        <f>IF(M924&lt;&gt;"OK","",N(E924)*(H924*IF(G924="",1,G924)+I924))</f>
        <v/>
      </c>
      <c r="K924" s="66" t="str">
        <f>IF(M924&lt;&gt;"OK","",N(F924)/60*H924*IF(G924="",1,G924))</f>
        <v/>
      </c>
      <c r="L924" s="66" t="str">
        <f>IF(M924&lt;&gt;"OK","",N(F924)/60*I924)</f>
        <v/>
      </c>
      <c r="M924" s="69" t="str">
        <f>IF(AND(A924="",D924=""),"",IF(A924="","Produit manquant",IF(COUNTIF(prod_ref,A924)=0,"Produit inconnu",IF(D924="","Poste manquant",IF(ISNA(MATCH(D924,po_code,0)),"Poste inconnu",IF(INDEX(po_check,MATCH(D924,po_code,0))&lt;&gt;"OK","Poste à corriger",IF(AND(E924&lt;&gt;"",OR(NOT(ISNUMBER(E924)),N(E924)&lt;0)),"Réglage invalide",IF(AND(F924&lt;&gt;"",OR(NOT(ISNUMBER(F924)),N(F924)&lt;0)),"Temps par pièce invalide",IF(N(E924)+N(F924)=0,"Temps manquant",IF(AND(G924&lt;&gt;"",OR(NOT(ISNUMBER(G924)),N(G924)&lt;=0)),"Opérateurs invalide","OK"))))))))))</f>
        <v/>
      </c>
      <c r="N924" s="71" t="str">
        <f>IF(AND(fiche_sel&lt;&gt;"",A924=fiche_sel),COUNTIF(A$6:A924,fiche_sel),"")</f>
        <v/>
      </c>
    </row>
    <row r="925">
      <c r="A925" s="60" t="n"/>
      <c r="B925" s="73" t="n"/>
      <c r="C925" s="60" t="n"/>
      <c r="D925" s="61" t="n"/>
      <c r="E925" s="74" t="n"/>
      <c r="F925" s="74" t="n"/>
      <c r="G925" s="73" t="n"/>
      <c r="H925" s="66" t="str">
        <f>IF(M925&lt;&gt;"OK","",INDEX(po_mo,MATCH(D925,po_code,0)))</f>
        <v/>
      </c>
      <c r="I925" s="66" t="str">
        <f>IF(M925&lt;&gt;"OK","",INDEX(po_mac,MATCH(D925,po_code,0)))</f>
        <v/>
      </c>
      <c r="J925" s="66" t="str">
        <f>IF(M925&lt;&gt;"OK","",N(E925)*(H925*IF(G925="",1,G925)+I925))</f>
        <v/>
      </c>
      <c r="K925" s="66" t="str">
        <f>IF(M925&lt;&gt;"OK","",N(F925)/60*H925*IF(G925="",1,G925))</f>
        <v/>
      </c>
      <c r="L925" s="66" t="str">
        <f>IF(M925&lt;&gt;"OK","",N(F925)/60*I925)</f>
        <v/>
      </c>
      <c r="M925" s="69" t="str">
        <f>IF(AND(A925="",D925=""),"",IF(A925="","Produit manquant",IF(COUNTIF(prod_ref,A925)=0,"Produit inconnu",IF(D925="","Poste manquant",IF(ISNA(MATCH(D925,po_code,0)),"Poste inconnu",IF(INDEX(po_check,MATCH(D925,po_code,0))&lt;&gt;"OK","Poste à corriger",IF(AND(E925&lt;&gt;"",OR(NOT(ISNUMBER(E925)),N(E925)&lt;0)),"Réglage invalide",IF(AND(F925&lt;&gt;"",OR(NOT(ISNUMBER(F925)),N(F925)&lt;0)),"Temps par pièce invalide",IF(N(E925)+N(F925)=0,"Temps manquant",IF(AND(G925&lt;&gt;"",OR(NOT(ISNUMBER(G925)),N(G925)&lt;=0)),"Opérateurs invalide","OK"))))))))))</f>
        <v/>
      </c>
      <c r="N925" s="71" t="str">
        <f>IF(AND(fiche_sel&lt;&gt;"",A925=fiche_sel),COUNTIF(A$6:A925,fiche_sel),"")</f>
        <v/>
      </c>
    </row>
    <row r="926">
      <c r="A926" s="60" t="n"/>
      <c r="B926" s="73" t="n"/>
      <c r="C926" s="60" t="n"/>
      <c r="D926" s="61" t="n"/>
      <c r="E926" s="74" t="n"/>
      <c r="F926" s="74" t="n"/>
      <c r="G926" s="73" t="n"/>
      <c r="H926" s="66" t="str">
        <f>IF(M926&lt;&gt;"OK","",INDEX(po_mo,MATCH(D926,po_code,0)))</f>
        <v/>
      </c>
      <c r="I926" s="66" t="str">
        <f>IF(M926&lt;&gt;"OK","",INDEX(po_mac,MATCH(D926,po_code,0)))</f>
        <v/>
      </c>
      <c r="J926" s="66" t="str">
        <f>IF(M926&lt;&gt;"OK","",N(E926)*(H926*IF(G926="",1,G926)+I926))</f>
        <v/>
      </c>
      <c r="K926" s="66" t="str">
        <f>IF(M926&lt;&gt;"OK","",N(F926)/60*H926*IF(G926="",1,G926))</f>
        <v/>
      </c>
      <c r="L926" s="66" t="str">
        <f>IF(M926&lt;&gt;"OK","",N(F926)/60*I926)</f>
        <v/>
      </c>
      <c r="M926" s="69" t="str">
        <f>IF(AND(A926="",D926=""),"",IF(A926="","Produit manquant",IF(COUNTIF(prod_ref,A926)=0,"Produit inconnu",IF(D926="","Poste manquant",IF(ISNA(MATCH(D926,po_code,0)),"Poste inconnu",IF(INDEX(po_check,MATCH(D926,po_code,0))&lt;&gt;"OK","Poste à corriger",IF(AND(E926&lt;&gt;"",OR(NOT(ISNUMBER(E926)),N(E926)&lt;0)),"Réglage invalide",IF(AND(F926&lt;&gt;"",OR(NOT(ISNUMBER(F926)),N(F926)&lt;0)),"Temps par pièce invalide",IF(N(E926)+N(F926)=0,"Temps manquant",IF(AND(G926&lt;&gt;"",OR(NOT(ISNUMBER(G926)),N(G926)&lt;=0)),"Opérateurs invalide","OK"))))))))))</f>
        <v/>
      </c>
      <c r="N926" s="71" t="str">
        <f>IF(AND(fiche_sel&lt;&gt;"",A926=fiche_sel),COUNTIF(A$6:A926,fiche_sel),"")</f>
        <v/>
      </c>
    </row>
    <row r="927">
      <c r="A927" s="60" t="n"/>
      <c r="B927" s="73" t="n"/>
      <c r="C927" s="60" t="n"/>
      <c r="D927" s="61" t="n"/>
      <c r="E927" s="74" t="n"/>
      <c r="F927" s="74" t="n"/>
      <c r="G927" s="73" t="n"/>
      <c r="H927" s="66" t="str">
        <f>IF(M927&lt;&gt;"OK","",INDEX(po_mo,MATCH(D927,po_code,0)))</f>
        <v/>
      </c>
      <c r="I927" s="66" t="str">
        <f>IF(M927&lt;&gt;"OK","",INDEX(po_mac,MATCH(D927,po_code,0)))</f>
        <v/>
      </c>
      <c r="J927" s="66" t="str">
        <f>IF(M927&lt;&gt;"OK","",N(E927)*(H927*IF(G927="",1,G927)+I927))</f>
        <v/>
      </c>
      <c r="K927" s="66" t="str">
        <f>IF(M927&lt;&gt;"OK","",N(F927)/60*H927*IF(G927="",1,G927))</f>
        <v/>
      </c>
      <c r="L927" s="66" t="str">
        <f>IF(M927&lt;&gt;"OK","",N(F927)/60*I927)</f>
        <v/>
      </c>
      <c r="M927" s="69" t="str">
        <f>IF(AND(A927="",D927=""),"",IF(A927="","Produit manquant",IF(COUNTIF(prod_ref,A927)=0,"Produit inconnu",IF(D927="","Poste manquant",IF(ISNA(MATCH(D927,po_code,0)),"Poste inconnu",IF(INDEX(po_check,MATCH(D927,po_code,0))&lt;&gt;"OK","Poste à corriger",IF(AND(E927&lt;&gt;"",OR(NOT(ISNUMBER(E927)),N(E927)&lt;0)),"Réglage invalide",IF(AND(F927&lt;&gt;"",OR(NOT(ISNUMBER(F927)),N(F927)&lt;0)),"Temps par pièce invalide",IF(N(E927)+N(F927)=0,"Temps manquant",IF(AND(G927&lt;&gt;"",OR(NOT(ISNUMBER(G927)),N(G927)&lt;=0)),"Opérateurs invalide","OK"))))))))))</f>
        <v/>
      </c>
      <c r="N927" s="71" t="str">
        <f>IF(AND(fiche_sel&lt;&gt;"",A927=fiche_sel),COUNTIF(A$6:A927,fiche_sel),"")</f>
        <v/>
      </c>
    </row>
    <row r="928">
      <c r="A928" s="60" t="n"/>
      <c r="B928" s="73" t="n"/>
      <c r="C928" s="60" t="n"/>
      <c r="D928" s="61" t="n"/>
      <c r="E928" s="74" t="n"/>
      <c r="F928" s="74" t="n"/>
      <c r="G928" s="73" t="n"/>
      <c r="H928" s="66" t="str">
        <f>IF(M928&lt;&gt;"OK","",INDEX(po_mo,MATCH(D928,po_code,0)))</f>
        <v/>
      </c>
      <c r="I928" s="66" t="str">
        <f>IF(M928&lt;&gt;"OK","",INDEX(po_mac,MATCH(D928,po_code,0)))</f>
        <v/>
      </c>
      <c r="J928" s="66" t="str">
        <f>IF(M928&lt;&gt;"OK","",N(E928)*(H928*IF(G928="",1,G928)+I928))</f>
        <v/>
      </c>
      <c r="K928" s="66" t="str">
        <f>IF(M928&lt;&gt;"OK","",N(F928)/60*H928*IF(G928="",1,G928))</f>
        <v/>
      </c>
      <c r="L928" s="66" t="str">
        <f>IF(M928&lt;&gt;"OK","",N(F928)/60*I928)</f>
        <v/>
      </c>
      <c r="M928" s="69" t="str">
        <f>IF(AND(A928="",D928=""),"",IF(A928="","Produit manquant",IF(COUNTIF(prod_ref,A928)=0,"Produit inconnu",IF(D928="","Poste manquant",IF(ISNA(MATCH(D928,po_code,0)),"Poste inconnu",IF(INDEX(po_check,MATCH(D928,po_code,0))&lt;&gt;"OK","Poste à corriger",IF(AND(E928&lt;&gt;"",OR(NOT(ISNUMBER(E928)),N(E928)&lt;0)),"Réglage invalide",IF(AND(F928&lt;&gt;"",OR(NOT(ISNUMBER(F928)),N(F928)&lt;0)),"Temps par pièce invalide",IF(N(E928)+N(F928)=0,"Temps manquant",IF(AND(G928&lt;&gt;"",OR(NOT(ISNUMBER(G928)),N(G928)&lt;=0)),"Opérateurs invalide","OK"))))))))))</f>
        <v/>
      </c>
      <c r="N928" s="71" t="str">
        <f>IF(AND(fiche_sel&lt;&gt;"",A928=fiche_sel),COUNTIF(A$6:A928,fiche_sel),"")</f>
        <v/>
      </c>
    </row>
    <row r="929">
      <c r="A929" s="60" t="n"/>
      <c r="B929" s="73" t="n"/>
      <c r="C929" s="60" t="n"/>
      <c r="D929" s="61" t="n"/>
      <c r="E929" s="74" t="n"/>
      <c r="F929" s="74" t="n"/>
      <c r="G929" s="73" t="n"/>
      <c r="H929" s="66" t="str">
        <f>IF(M929&lt;&gt;"OK","",INDEX(po_mo,MATCH(D929,po_code,0)))</f>
        <v/>
      </c>
      <c r="I929" s="66" t="str">
        <f>IF(M929&lt;&gt;"OK","",INDEX(po_mac,MATCH(D929,po_code,0)))</f>
        <v/>
      </c>
      <c r="J929" s="66" t="str">
        <f>IF(M929&lt;&gt;"OK","",N(E929)*(H929*IF(G929="",1,G929)+I929))</f>
        <v/>
      </c>
      <c r="K929" s="66" t="str">
        <f>IF(M929&lt;&gt;"OK","",N(F929)/60*H929*IF(G929="",1,G929))</f>
        <v/>
      </c>
      <c r="L929" s="66" t="str">
        <f>IF(M929&lt;&gt;"OK","",N(F929)/60*I929)</f>
        <v/>
      </c>
      <c r="M929" s="69" t="str">
        <f>IF(AND(A929="",D929=""),"",IF(A929="","Produit manquant",IF(COUNTIF(prod_ref,A929)=0,"Produit inconnu",IF(D929="","Poste manquant",IF(ISNA(MATCH(D929,po_code,0)),"Poste inconnu",IF(INDEX(po_check,MATCH(D929,po_code,0))&lt;&gt;"OK","Poste à corriger",IF(AND(E929&lt;&gt;"",OR(NOT(ISNUMBER(E929)),N(E929)&lt;0)),"Réglage invalide",IF(AND(F929&lt;&gt;"",OR(NOT(ISNUMBER(F929)),N(F929)&lt;0)),"Temps par pièce invalide",IF(N(E929)+N(F929)=0,"Temps manquant",IF(AND(G929&lt;&gt;"",OR(NOT(ISNUMBER(G929)),N(G929)&lt;=0)),"Opérateurs invalide","OK"))))))))))</f>
        <v/>
      </c>
      <c r="N929" s="71" t="str">
        <f>IF(AND(fiche_sel&lt;&gt;"",A929=fiche_sel),COUNTIF(A$6:A929,fiche_sel),"")</f>
        <v/>
      </c>
    </row>
    <row r="930">
      <c r="A930" s="60" t="n"/>
      <c r="B930" s="73" t="n"/>
      <c r="C930" s="60" t="n"/>
      <c r="D930" s="61" t="n"/>
      <c r="E930" s="74" t="n"/>
      <c r="F930" s="74" t="n"/>
      <c r="G930" s="73" t="n"/>
      <c r="H930" s="66" t="str">
        <f>IF(M930&lt;&gt;"OK","",INDEX(po_mo,MATCH(D930,po_code,0)))</f>
        <v/>
      </c>
      <c r="I930" s="66" t="str">
        <f>IF(M930&lt;&gt;"OK","",INDEX(po_mac,MATCH(D930,po_code,0)))</f>
        <v/>
      </c>
      <c r="J930" s="66" t="str">
        <f>IF(M930&lt;&gt;"OK","",N(E930)*(H930*IF(G930="",1,G930)+I930))</f>
        <v/>
      </c>
      <c r="K930" s="66" t="str">
        <f>IF(M930&lt;&gt;"OK","",N(F930)/60*H930*IF(G930="",1,G930))</f>
        <v/>
      </c>
      <c r="L930" s="66" t="str">
        <f>IF(M930&lt;&gt;"OK","",N(F930)/60*I930)</f>
        <v/>
      </c>
      <c r="M930" s="69" t="str">
        <f>IF(AND(A930="",D930=""),"",IF(A930="","Produit manquant",IF(COUNTIF(prod_ref,A930)=0,"Produit inconnu",IF(D930="","Poste manquant",IF(ISNA(MATCH(D930,po_code,0)),"Poste inconnu",IF(INDEX(po_check,MATCH(D930,po_code,0))&lt;&gt;"OK","Poste à corriger",IF(AND(E930&lt;&gt;"",OR(NOT(ISNUMBER(E930)),N(E930)&lt;0)),"Réglage invalide",IF(AND(F930&lt;&gt;"",OR(NOT(ISNUMBER(F930)),N(F930)&lt;0)),"Temps par pièce invalide",IF(N(E930)+N(F930)=0,"Temps manquant",IF(AND(G930&lt;&gt;"",OR(NOT(ISNUMBER(G930)),N(G930)&lt;=0)),"Opérateurs invalide","OK"))))))))))</f>
        <v/>
      </c>
      <c r="N930" s="71" t="str">
        <f>IF(AND(fiche_sel&lt;&gt;"",A930=fiche_sel),COUNTIF(A$6:A930,fiche_sel),"")</f>
        <v/>
      </c>
    </row>
    <row r="931">
      <c r="A931" s="60" t="n"/>
      <c r="B931" s="73" t="n"/>
      <c r="C931" s="60" t="n"/>
      <c r="D931" s="61" t="n"/>
      <c r="E931" s="74" t="n"/>
      <c r="F931" s="74" t="n"/>
      <c r="G931" s="73" t="n"/>
      <c r="H931" s="66" t="str">
        <f>IF(M931&lt;&gt;"OK","",INDEX(po_mo,MATCH(D931,po_code,0)))</f>
        <v/>
      </c>
      <c r="I931" s="66" t="str">
        <f>IF(M931&lt;&gt;"OK","",INDEX(po_mac,MATCH(D931,po_code,0)))</f>
        <v/>
      </c>
      <c r="J931" s="66" t="str">
        <f>IF(M931&lt;&gt;"OK","",N(E931)*(H931*IF(G931="",1,G931)+I931))</f>
        <v/>
      </c>
      <c r="K931" s="66" t="str">
        <f>IF(M931&lt;&gt;"OK","",N(F931)/60*H931*IF(G931="",1,G931))</f>
        <v/>
      </c>
      <c r="L931" s="66" t="str">
        <f>IF(M931&lt;&gt;"OK","",N(F931)/60*I931)</f>
        <v/>
      </c>
      <c r="M931" s="69" t="str">
        <f>IF(AND(A931="",D931=""),"",IF(A931="","Produit manquant",IF(COUNTIF(prod_ref,A931)=0,"Produit inconnu",IF(D931="","Poste manquant",IF(ISNA(MATCH(D931,po_code,0)),"Poste inconnu",IF(INDEX(po_check,MATCH(D931,po_code,0))&lt;&gt;"OK","Poste à corriger",IF(AND(E931&lt;&gt;"",OR(NOT(ISNUMBER(E931)),N(E931)&lt;0)),"Réglage invalide",IF(AND(F931&lt;&gt;"",OR(NOT(ISNUMBER(F931)),N(F931)&lt;0)),"Temps par pièce invalide",IF(N(E931)+N(F931)=0,"Temps manquant",IF(AND(G931&lt;&gt;"",OR(NOT(ISNUMBER(G931)),N(G931)&lt;=0)),"Opérateurs invalide","OK"))))))))))</f>
        <v/>
      </c>
      <c r="N931" s="71" t="str">
        <f>IF(AND(fiche_sel&lt;&gt;"",A931=fiche_sel),COUNTIF(A$6:A931,fiche_sel),"")</f>
        <v/>
      </c>
    </row>
    <row r="932">
      <c r="A932" s="60" t="n"/>
      <c r="B932" s="73" t="n"/>
      <c r="C932" s="60" t="n"/>
      <c r="D932" s="61" t="n"/>
      <c r="E932" s="74" t="n"/>
      <c r="F932" s="74" t="n"/>
      <c r="G932" s="73" t="n"/>
      <c r="H932" s="66" t="str">
        <f>IF(M932&lt;&gt;"OK","",INDEX(po_mo,MATCH(D932,po_code,0)))</f>
        <v/>
      </c>
      <c r="I932" s="66" t="str">
        <f>IF(M932&lt;&gt;"OK","",INDEX(po_mac,MATCH(D932,po_code,0)))</f>
        <v/>
      </c>
      <c r="J932" s="66" t="str">
        <f>IF(M932&lt;&gt;"OK","",N(E932)*(H932*IF(G932="",1,G932)+I932))</f>
        <v/>
      </c>
      <c r="K932" s="66" t="str">
        <f>IF(M932&lt;&gt;"OK","",N(F932)/60*H932*IF(G932="",1,G932))</f>
        <v/>
      </c>
      <c r="L932" s="66" t="str">
        <f>IF(M932&lt;&gt;"OK","",N(F932)/60*I932)</f>
        <v/>
      </c>
      <c r="M932" s="69" t="str">
        <f>IF(AND(A932="",D932=""),"",IF(A932="","Produit manquant",IF(COUNTIF(prod_ref,A932)=0,"Produit inconnu",IF(D932="","Poste manquant",IF(ISNA(MATCH(D932,po_code,0)),"Poste inconnu",IF(INDEX(po_check,MATCH(D932,po_code,0))&lt;&gt;"OK","Poste à corriger",IF(AND(E932&lt;&gt;"",OR(NOT(ISNUMBER(E932)),N(E932)&lt;0)),"Réglage invalide",IF(AND(F932&lt;&gt;"",OR(NOT(ISNUMBER(F932)),N(F932)&lt;0)),"Temps par pièce invalide",IF(N(E932)+N(F932)=0,"Temps manquant",IF(AND(G932&lt;&gt;"",OR(NOT(ISNUMBER(G932)),N(G932)&lt;=0)),"Opérateurs invalide","OK"))))))))))</f>
        <v/>
      </c>
      <c r="N932" s="71" t="str">
        <f>IF(AND(fiche_sel&lt;&gt;"",A932=fiche_sel),COUNTIF(A$6:A932,fiche_sel),"")</f>
        <v/>
      </c>
    </row>
    <row r="933">
      <c r="A933" s="60" t="n"/>
      <c r="B933" s="73" t="n"/>
      <c r="C933" s="60" t="n"/>
      <c r="D933" s="61" t="n"/>
      <c r="E933" s="74" t="n"/>
      <c r="F933" s="74" t="n"/>
      <c r="G933" s="73" t="n"/>
      <c r="H933" s="66" t="str">
        <f>IF(M933&lt;&gt;"OK","",INDEX(po_mo,MATCH(D933,po_code,0)))</f>
        <v/>
      </c>
      <c r="I933" s="66" t="str">
        <f>IF(M933&lt;&gt;"OK","",INDEX(po_mac,MATCH(D933,po_code,0)))</f>
        <v/>
      </c>
      <c r="J933" s="66" t="str">
        <f>IF(M933&lt;&gt;"OK","",N(E933)*(H933*IF(G933="",1,G933)+I933))</f>
        <v/>
      </c>
      <c r="K933" s="66" t="str">
        <f>IF(M933&lt;&gt;"OK","",N(F933)/60*H933*IF(G933="",1,G933))</f>
        <v/>
      </c>
      <c r="L933" s="66" t="str">
        <f>IF(M933&lt;&gt;"OK","",N(F933)/60*I933)</f>
        <v/>
      </c>
      <c r="M933" s="69" t="str">
        <f>IF(AND(A933="",D933=""),"",IF(A933="","Produit manquant",IF(COUNTIF(prod_ref,A933)=0,"Produit inconnu",IF(D933="","Poste manquant",IF(ISNA(MATCH(D933,po_code,0)),"Poste inconnu",IF(INDEX(po_check,MATCH(D933,po_code,0))&lt;&gt;"OK","Poste à corriger",IF(AND(E933&lt;&gt;"",OR(NOT(ISNUMBER(E933)),N(E933)&lt;0)),"Réglage invalide",IF(AND(F933&lt;&gt;"",OR(NOT(ISNUMBER(F933)),N(F933)&lt;0)),"Temps par pièce invalide",IF(N(E933)+N(F933)=0,"Temps manquant",IF(AND(G933&lt;&gt;"",OR(NOT(ISNUMBER(G933)),N(G933)&lt;=0)),"Opérateurs invalide","OK"))))))))))</f>
        <v/>
      </c>
      <c r="N933" s="71" t="str">
        <f>IF(AND(fiche_sel&lt;&gt;"",A933=fiche_sel),COUNTIF(A$6:A933,fiche_sel),"")</f>
        <v/>
      </c>
    </row>
    <row r="934">
      <c r="A934" s="60" t="n"/>
      <c r="B934" s="73" t="n"/>
      <c r="C934" s="60" t="n"/>
      <c r="D934" s="61" t="n"/>
      <c r="E934" s="74" t="n"/>
      <c r="F934" s="74" t="n"/>
      <c r="G934" s="73" t="n"/>
      <c r="H934" s="66" t="str">
        <f>IF(M934&lt;&gt;"OK","",INDEX(po_mo,MATCH(D934,po_code,0)))</f>
        <v/>
      </c>
      <c r="I934" s="66" t="str">
        <f>IF(M934&lt;&gt;"OK","",INDEX(po_mac,MATCH(D934,po_code,0)))</f>
        <v/>
      </c>
      <c r="J934" s="66" t="str">
        <f>IF(M934&lt;&gt;"OK","",N(E934)*(H934*IF(G934="",1,G934)+I934))</f>
        <v/>
      </c>
      <c r="K934" s="66" t="str">
        <f>IF(M934&lt;&gt;"OK","",N(F934)/60*H934*IF(G934="",1,G934))</f>
        <v/>
      </c>
      <c r="L934" s="66" t="str">
        <f>IF(M934&lt;&gt;"OK","",N(F934)/60*I934)</f>
        <v/>
      </c>
      <c r="M934" s="69" t="str">
        <f>IF(AND(A934="",D934=""),"",IF(A934="","Produit manquant",IF(COUNTIF(prod_ref,A934)=0,"Produit inconnu",IF(D934="","Poste manquant",IF(ISNA(MATCH(D934,po_code,0)),"Poste inconnu",IF(INDEX(po_check,MATCH(D934,po_code,0))&lt;&gt;"OK","Poste à corriger",IF(AND(E934&lt;&gt;"",OR(NOT(ISNUMBER(E934)),N(E934)&lt;0)),"Réglage invalide",IF(AND(F934&lt;&gt;"",OR(NOT(ISNUMBER(F934)),N(F934)&lt;0)),"Temps par pièce invalide",IF(N(E934)+N(F934)=0,"Temps manquant",IF(AND(G934&lt;&gt;"",OR(NOT(ISNUMBER(G934)),N(G934)&lt;=0)),"Opérateurs invalide","OK"))))))))))</f>
        <v/>
      </c>
      <c r="N934" s="71" t="str">
        <f>IF(AND(fiche_sel&lt;&gt;"",A934=fiche_sel),COUNTIF(A$6:A934,fiche_sel),"")</f>
        <v/>
      </c>
    </row>
    <row r="935">
      <c r="A935" s="60" t="n"/>
      <c r="B935" s="73" t="n"/>
      <c r="C935" s="60" t="n"/>
      <c r="D935" s="61" t="n"/>
      <c r="E935" s="74" t="n"/>
      <c r="F935" s="74" t="n"/>
      <c r="G935" s="73" t="n"/>
      <c r="H935" s="66" t="str">
        <f>IF(M935&lt;&gt;"OK","",INDEX(po_mo,MATCH(D935,po_code,0)))</f>
        <v/>
      </c>
      <c r="I935" s="66" t="str">
        <f>IF(M935&lt;&gt;"OK","",INDEX(po_mac,MATCH(D935,po_code,0)))</f>
        <v/>
      </c>
      <c r="J935" s="66" t="str">
        <f>IF(M935&lt;&gt;"OK","",N(E935)*(H935*IF(G935="",1,G935)+I935))</f>
        <v/>
      </c>
      <c r="K935" s="66" t="str">
        <f>IF(M935&lt;&gt;"OK","",N(F935)/60*H935*IF(G935="",1,G935))</f>
        <v/>
      </c>
      <c r="L935" s="66" t="str">
        <f>IF(M935&lt;&gt;"OK","",N(F935)/60*I935)</f>
        <v/>
      </c>
      <c r="M935" s="69" t="str">
        <f>IF(AND(A935="",D935=""),"",IF(A935="","Produit manquant",IF(COUNTIF(prod_ref,A935)=0,"Produit inconnu",IF(D935="","Poste manquant",IF(ISNA(MATCH(D935,po_code,0)),"Poste inconnu",IF(INDEX(po_check,MATCH(D935,po_code,0))&lt;&gt;"OK","Poste à corriger",IF(AND(E935&lt;&gt;"",OR(NOT(ISNUMBER(E935)),N(E935)&lt;0)),"Réglage invalide",IF(AND(F935&lt;&gt;"",OR(NOT(ISNUMBER(F935)),N(F935)&lt;0)),"Temps par pièce invalide",IF(N(E935)+N(F935)=0,"Temps manquant",IF(AND(G935&lt;&gt;"",OR(NOT(ISNUMBER(G935)),N(G935)&lt;=0)),"Opérateurs invalide","OK"))))))))))</f>
        <v/>
      </c>
      <c r="N935" s="71" t="str">
        <f>IF(AND(fiche_sel&lt;&gt;"",A935=fiche_sel),COUNTIF(A$6:A935,fiche_sel),"")</f>
        <v/>
      </c>
    </row>
    <row r="936">
      <c r="A936" s="60" t="n"/>
      <c r="B936" s="73" t="n"/>
      <c r="C936" s="60" t="n"/>
      <c r="D936" s="61" t="n"/>
      <c r="E936" s="74" t="n"/>
      <c r="F936" s="74" t="n"/>
      <c r="G936" s="73" t="n"/>
      <c r="H936" s="66" t="str">
        <f>IF(M936&lt;&gt;"OK","",INDEX(po_mo,MATCH(D936,po_code,0)))</f>
        <v/>
      </c>
      <c r="I936" s="66" t="str">
        <f>IF(M936&lt;&gt;"OK","",INDEX(po_mac,MATCH(D936,po_code,0)))</f>
        <v/>
      </c>
      <c r="J936" s="66" t="str">
        <f>IF(M936&lt;&gt;"OK","",N(E936)*(H936*IF(G936="",1,G936)+I936))</f>
        <v/>
      </c>
      <c r="K936" s="66" t="str">
        <f>IF(M936&lt;&gt;"OK","",N(F936)/60*H936*IF(G936="",1,G936))</f>
        <v/>
      </c>
      <c r="L936" s="66" t="str">
        <f>IF(M936&lt;&gt;"OK","",N(F936)/60*I936)</f>
        <v/>
      </c>
      <c r="M936" s="69" t="str">
        <f>IF(AND(A936="",D936=""),"",IF(A936="","Produit manquant",IF(COUNTIF(prod_ref,A936)=0,"Produit inconnu",IF(D936="","Poste manquant",IF(ISNA(MATCH(D936,po_code,0)),"Poste inconnu",IF(INDEX(po_check,MATCH(D936,po_code,0))&lt;&gt;"OK","Poste à corriger",IF(AND(E936&lt;&gt;"",OR(NOT(ISNUMBER(E936)),N(E936)&lt;0)),"Réglage invalide",IF(AND(F936&lt;&gt;"",OR(NOT(ISNUMBER(F936)),N(F936)&lt;0)),"Temps par pièce invalide",IF(N(E936)+N(F936)=0,"Temps manquant",IF(AND(G936&lt;&gt;"",OR(NOT(ISNUMBER(G936)),N(G936)&lt;=0)),"Opérateurs invalide","OK"))))))))))</f>
        <v/>
      </c>
      <c r="N936" s="71" t="str">
        <f>IF(AND(fiche_sel&lt;&gt;"",A936=fiche_sel),COUNTIF(A$6:A936,fiche_sel),"")</f>
        <v/>
      </c>
    </row>
    <row r="937">
      <c r="A937" s="60" t="n"/>
      <c r="B937" s="73" t="n"/>
      <c r="C937" s="60" t="n"/>
      <c r="D937" s="61" t="n"/>
      <c r="E937" s="74" t="n"/>
      <c r="F937" s="74" t="n"/>
      <c r="G937" s="73" t="n"/>
      <c r="H937" s="66" t="str">
        <f>IF(M937&lt;&gt;"OK","",INDEX(po_mo,MATCH(D937,po_code,0)))</f>
        <v/>
      </c>
      <c r="I937" s="66" t="str">
        <f>IF(M937&lt;&gt;"OK","",INDEX(po_mac,MATCH(D937,po_code,0)))</f>
        <v/>
      </c>
      <c r="J937" s="66" t="str">
        <f>IF(M937&lt;&gt;"OK","",N(E937)*(H937*IF(G937="",1,G937)+I937))</f>
        <v/>
      </c>
      <c r="K937" s="66" t="str">
        <f>IF(M937&lt;&gt;"OK","",N(F937)/60*H937*IF(G937="",1,G937))</f>
        <v/>
      </c>
      <c r="L937" s="66" t="str">
        <f>IF(M937&lt;&gt;"OK","",N(F937)/60*I937)</f>
        <v/>
      </c>
      <c r="M937" s="69" t="str">
        <f>IF(AND(A937="",D937=""),"",IF(A937="","Produit manquant",IF(COUNTIF(prod_ref,A937)=0,"Produit inconnu",IF(D937="","Poste manquant",IF(ISNA(MATCH(D937,po_code,0)),"Poste inconnu",IF(INDEX(po_check,MATCH(D937,po_code,0))&lt;&gt;"OK","Poste à corriger",IF(AND(E937&lt;&gt;"",OR(NOT(ISNUMBER(E937)),N(E937)&lt;0)),"Réglage invalide",IF(AND(F937&lt;&gt;"",OR(NOT(ISNUMBER(F937)),N(F937)&lt;0)),"Temps par pièce invalide",IF(N(E937)+N(F937)=0,"Temps manquant",IF(AND(G937&lt;&gt;"",OR(NOT(ISNUMBER(G937)),N(G937)&lt;=0)),"Opérateurs invalide","OK"))))))))))</f>
        <v/>
      </c>
      <c r="N937" s="71" t="str">
        <f>IF(AND(fiche_sel&lt;&gt;"",A937=fiche_sel),COUNTIF(A$6:A937,fiche_sel),"")</f>
        <v/>
      </c>
    </row>
    <row r="938">
      <c r="A938" s="60" t="n"/>
      <c r="B938" s="73" t="n"/>
      <c r="C938" s="60" t="n"/>
      <c r="D938" s="61" t="n"/>
      <c r="E938" s="74" t="n"/>
      <c r="F938" s="74" t="n"/>
      <c r="G938" s="73" t="n"/>
      <c r="H938" s="66" t="str">
        <f>IF(M938&lt;&gt;"OK","",INDEX(po_mo,MATCH(D938,po_code,0)))</f>
        <v/>
      </c>
      <c r="I938" s="66" t="str">
        <f>IF(M938&lt;&gt;"OK","",INDEX(po_mac,MATCH(D938,po_code,0)))</f>
        <v/>
      </c>
      <c r="J938" s="66" t="str">
        <f>IF(M938&lt;&gt;"OK","",N(E938)*(H938*IF(G938="",1,G938)+I938))</f>
        <v/>
      </c>
      <c r="K938" s="66" t="str">
        <f>IF(M938&lt;&gt;"OK","",N(F938)/60*H938*IF(G938="",1,G938))</f>
        <v/>
      </c>
      <c r="L938" s="66" t="str">
        <f>IF(M938&lt;&gt;"OK","",N(F938)/60*I938)</f>
        <v/>
      </c>
      <c r="M938" s="69" t="str">
        <f>IF(AND(A938="",D938=""),"",IF(A938="","Produit manquant",IF(COUNTIF(prod_ref,A938)=0,"Produit inconnu",IF(D938="","Poste manquant",IF(ISNA(MATCH(D938,po_code,0)),"Poste inconnu",IF(INDEX(po_check,MATCH(D938,po_code,0))&lt;&gt;"OK","Poste à corriger",IF(AND(E938&lt;&gt;"",OR(NOT(ISNUMBER(E938)),N(E938)&lt;0)),"Réglage invalide",IF(AND(F938&lt;&gt;"",OR(NOT(ISNUMBER(F938)),N(F938)&lt;0)),"Temps par pièce invalide",IF(N(E938)+N(F938)=0,"Temps manquant",IF(AND(G938&lt;&gt;"",OR(NOT(ISNUMBER(G938)),N(G938)&lt;=0)),"Opérateurs invalide","OK"))))))))))</f>
        <v/>
      </c>
      <c r="N938" s="71" t="str">
        <f>IF(AND(fiche_sel&lt;&gt;"",A938=fiche_sel),COUNTIF(A$6:A938,fiche_sel),"")</f>
        <v/>
      </c>
    </row>
    <row r="939">
      <c r="A939" s="60" t="n"/>
      <c r="B939" s="73" t="n"/>
      <c r="C939" s="60" t="n"/>
      <c r="D939" s="61" t="n"/>
      <c r="E939" s="74" t="n"/>
      <c r="F939" s="74" t="n"/>
      <c r="G939" s="73" t="n"/>
      <c r="H939" s="66" t="str">
        <f>IF(M939&lt;&gt;"OK","",INDEX(po_mo,MATCH(D939,po_code,0)))</f>
        <v/>
      </c>
      <c r="I939" s="66" t="str">
        <f>IF(M939&lt;&gt;"OK","",INDEX(po_mac,MATCH(D939,po_code,0)))</f>
        <v/>
      </c>
      <c r="J939" s="66" t="str">
        <f>IF(M939&lt;&gt;"OK","",N(E939)*(H939*IF(G939="",1,G939)+I939))</f>
        <v/>
      </c>
      <c r="K939" s="66" t="str">
        <f>IF(M939&lt;&gt;"OK","",N(F939)/60*H939*IF(G939="",1,G939))</f>
        <v/>
      </c>
      <c r="L939" s="66" t="str">
        <f>IF(M939&lt;&gt;"OK","",N(F939)/60*I939)</f>
        <v/>
      </c>
      <c r="M939" s="69" t="str">
        <f>IF(AND(A939="",D939=""),"",IF(A939="","Produit manquant",IF(COUNTIF(prod_ref,A939)=0,"Produit inconnu",IF(D939="","Poste manquant",IF(ISNA(MATCH(D939,po_code,0)),"Poste inconnu",IF(INDEX(po_check,MATCH(D939,po_code,0))&lt;&gt;"OK","Poste à corriger",IF(AND(E939&lt;&gt;"",OR(NOT(ISNUMBER(E939)),N(E939)&lt;0)),"Réglage invalide",IF(AND(F939&lt;&gt;"",OR(NOT(ISNUMBER(F939)),N(F939)&lt;0)),"Temps par pièce invalide",IF(N(E939)+N(F939)=0,"Temps manquant",IF(AND(G939&lt;&gt;"",OR(NOT(ISNUMBER(G939)),N(G939)&lt;=0)),"Opérateurs invalide","OK"))))))))))</f>
        <v/>
      </c>
      <c r="N939" s="71" t="str">
        <f>IF(AND(fiche_sel&lt;&gt;"",A939=fiche_sel),COUNTIF(A$6:A939,fiche_sel),"")</f>
        <v/>
      </c>
    </row>
    <row r="940">
      <c r="A940" s="60" t="n"/>
      <c r="B940" s="73" t="n"/>
      <c r="C940" s="60" t="n"/>
      <c r="D940" s="61" t="n"/>
      <c r="E940" s="74" t="n"/>
      <c r="F940" s="74" t="n"/>
      <c r="G940" s="73" t="n"/>
      <c r="H940" s="66" t="str">
        <f>IF(M940&lt;&gt;"OK","",INDEX(po_mo,MATCH(D940,po_code,0)))</f>
        <v/>
      </c>
      <c r="I940" s="66" t="str">
        <f>IF(M940&lt;&gt;"OK","",INDEX(po_mac,MATCH(D940,po_code,0)))</f>
        <v/>
      </c>
      <c r="J940" s="66" t="str">
        <f>IF(M940&lt;&gt;"OK","",N(E940)*(H940*IF(G940="",1,G940)+I940))</f>
        <v/>
      </c>
      <c r="K940" s="66" t="str">
        <f>IF(M940&lt;&gt;"OK","",N(F940)/60*H940*IF(G940="",1,G940))</f>
        <v/>
      </c>
      <c r="L940" s="66" t="str">
        <f>IF(M940&lt;&gt;"OK","",N(F940)/60*I940)</f>
        <v/>
      </c>
      <c r="M940" s="69" t="str">
        <f>IF(AND(A940="",D940=""),"",IF(A940="","Produit manquant",IF(COUNTIF(prod_ref,A940)=0,"Produit inconnu",IF(D940="","Poste manquant",IF(ISNA(MATCH(D940,po_code,0)),"Poste inconnu",IF(INDEX(po_check,MATCH(D940,po_code,0))&lt;&gt;"OK","Poste à corriger",IF(AND(E940&lt;&gt;"",OR(NOT(ISNUMBER(E940)),N(E940)&lt;0)),"Réglage invalide",IF(AND(F940&lt;&gt;"",OR(NOT(ISNUMBER(F940)),N(F940)&lt;0)),"Temps par pièce invalide",IF(N(E940)+N(F940)=0,"Temps manquant",IF(AND(G940&lt;&gt;"",OR(NOT(ISNUMBER(G940)),N(G940)&lt;=0)),"Opérateurs invalide","OK"))))))))))</f>
        <v/>
      </c>
      <c r="N940" s="71" t="str">
        <f>IF(AND(fiche_sel&lt;&gt;"",A940=fiche_sel),COUNTIF(A$6:A940,fiche_sel),"")</f>
        <v/>
      </c>
    </row>
    <row r="941">
      <c r="A941" s="60" t="n"/>
      <c r="B941" s="73" t="n"/>
      <c r="C941" s="60" t="n"/>
      <c r="D941" s="61" t="n"/>
      <c r="E941" s="74" t="n"/>
      <c r="F941" s="74" t="n"/>
      <c r="G941" s="73" t="n"/>
      <c r="H941" s="66" t="str">
        <f>IF(M941&lt;&gt;"OK","",INDEX(po_mo,MATCH(D941,po_code,0)))</f>
        <v/>
      </c>
      <c r="I941" s="66" t="str">
        <f>IF(M941&lt;&gt;"OK","",INDEX(po_mac,MATCH(D941,po_code,0)))</f>
        <v/>
      </c>
      <c r="J941" s="66" t="str">
        <f>IF(M941&lt;&gt;"OK","",N(E941)*(H941*IF(G941="",1,G941)+I941))</f>
        <v/>
      </c>
      <c r="K941" s="66" t="str">
        <f>IF(M941&lt;&gt;"OK","",N(F941)/60*H941*IF(G941="",1,G941))</f>
        <v/>
      </c>
      <c r="L941" s="66" t="str">
        <f>IF(M941&lt;&gt;"OK","",N(F941)/60*I941)</f>
        <v/>
      </c>
      <c r="M941" s="69" t="str">
        <f>IF(AND(A941="",D941=""),"",IF(A941="","Produit manquant",IF(COUNTIF(prod_ref,A941)=0,"Produit inconnu",IF(D941="","Poste manquant",IF(ISNA(MATCH(D941,po_code,0)),"Poste inconnu",IF(INDEX(po_check,MATCH(D941,po_code,0))&lt;&gt;"OK","Poste à corriger",IF(AND(E941&lt;&gt;"",OR(NOT(ISNUMBER(E941)),N(E941)&lt;0)),"Réglage invalide",IF(AND(F941&lt;&gt;"",OR(NOT(ISNUMBER(F941)),N(F941)&lt;0)),"Temps par pièce invalide",IF(N(E941)+N(F941)=0,"Temps manquant",IF(AND(G941&lt;&gt;"",OR(NOT(ISNUMBER(G941)),N(G941)&lt;=0)),"Opérateurs invalide","OK"))))))))))</f>
        <v/>
      </c>
      <c r="N941" s="71" t="str">
        <f>IF(AND(fiche_sel&lt;&gt;"",A941=fiche_sel),COUNTIF(A$6:A941,fiche_sel),"")</f>
        <v/>
      </c>
    </row>
    <row r="942">
      <c r="A942" s="60" t="n"/>
      <c r="B942" s="73" t="n"/>
      <c r="C942" s="60" t="n"/>
      <c r="D942" s="61" t="n"/>
      <c r="E942" s="74" t="n"/>
      <c r="F942" s="74" t="n"/>
      <c r="G942" s="73" t="n"/>
      <c r="H942" s="66" t="str">
        <f>IF(M942&lt;&gt;"OK","",INDEX(po_mo,MATCH(D942,po_code,0)))</f>
        <v/>
      </c>
      <c r="I942" s="66" t="str">
        <f>IF(M942&lt;&gt;"OK","",INDEX(po_mac,MATCH(D942,po_code,0)))</f>
        <v/>
      </c>
      <c r="J942" s="66" t="str">
        <f>IF(M942&lt;&gt;"OK","",N(E942)*(H942*IF(G942="",1,G942)+I942))</f>
        <v/>
      </c>
      <c r="K942" s="66" t="str">
        <f>IF(M942&lt;&gt;"OK","",N(F942)/60*H942*IF(G942="",1,G942))</f>
        <v/>
      </c>
      <c r="L942" s="66" t="str">
        <f>IF(M942&lt;&gt;"OK","",N(F942)/60*I942)</f>
        <v/>
      </c>
      <c r="M942" s="69" t="str">
        <f>IF(AND(A942="",D942=""),"",IF(A942="","Produit manquant",IF(COUNTIF(prod_ref,A942)=0,"Produit inconnu",IF(D942="","Poste manquant",IF(ISNA(MATCH(D942,po_code,0)),"Poste inconnu",IF(INDEX(po_check,MATCH(D942,po_code,0))&lt;&gt;"OK","Poste à corriger",IF(AND(E942&lt;&gt;"",OR(NOT(ISNUMBER(E942)),N(E942)&lt;0)),"Réglage invalide",IF(AND(F942&lt;&gt;"",OR(NOT(ISNUMBER(F942)),N(F942)&lt;0)),"Temps par pièce invalide",IF(N(E942)+N(F942)=0,"Temps manquant",IF(AND(G942&lt;&gt;"",OR(NOT(ISNUMBER(G942)),N(G942)&lt;=0)),"Opérateurs invalide","OK"))))))))))</f>
        <v/>
      </c>
      <c r="N942" s="71" t="str">
        <f>IF(AND(fiche_sel&lt;&gt;"",A942=fiche_sel),COUNTIF(A$6:A942,fiche_sel),"")</f>
        <v/>
      </c>
    </row>
    <row r="943">
      <c r="A943" s="60" t="n"/>
      <c r="B943" s="73" t="n"/>
      <c r="C943" s="60" t="n"/>
      <c r="D943" s="61" t="n"/>
      <c r="E943" s="74" t="n"/>
      <c r="F943" s="74" t="n"/>
      <c r="G943" s="73" t="n"/>
      <c r="H943" s="66" t="str">
        <f>IF(M943&lt;&gt;"OK","",INDEX(po_mo,MATCH(D943,po_code,0)))</f>
        <v/>
      </c>
      <c r="I943" s="66" t="str">
        <f>IF(M943&lt;&gt;"OK","",INDEX(po_mac,MATCH(D943,po_code,0)))</f>
        <v/>
      </c>
      <c r="J943" s="66" t="str">
        <f>IF(M943&lt;&gt;"OK","",N(E943)*(H943*IF(G943="",1,G943)+I943))</f>
        <v/>
      </c>
      <c r="K943" s="66" t="str">
        <f>IF(M943&lt;&gt;"OK","",N(F943)/60*H943*IF(G943="",1,G943))</f>
        <v/>
      </c>
      <c r="L943" s="66" t="str">
        <f>IF(M943&lt;&gt;"OK","",N(F943)/60*I943)</f>
        <v/>
      </c>
      <c r="M943" s="69" t="str">
        <f>IF(AND(A943="",D943=""),"",IF(A943="","Produit manquant",IF(COUNTIF(prod_ref,A943)=0,"Produit inconnu",IF(D943="","Poste manquant",IF(ISNA(MATCH(D943,po_code,0)),"Poste inconnu",IF(INDEX(po_check,MATCH(D943,po_code,0))&lt;&gt;"OK","Poste à corriger",IF(AND(E943&lt;&gt;"",OR(NOT(ISNUMBER(E943)),N(E943)&lt;0)),"Réglage invalide",IF(AND(F943&lt;&gt;"",OR(NOT(ISNUMBER(F943)),N(F943)&lt;0)),"Temps par pièce invalide",IF(N(E943)+N(F943)=0,"Temps manquant",IF(AND(G943&lt;&gt;"",OR(NOT(ISNUMBER(G943)),N(G943)&lt;=0)),"Opérateurs invalide","OK"))))))))))</f>
        <v/>
      </c>
      <c r="N943" s="71" t="str">
        <f>IF(AND(fiche_sel&lt;&gt;"",A943=fiche_sel),COUNTIF(A$6:A943,fiche_sel),"")</f>
        <v/>
      </c>
    </row>
    <row r="944">
      <c r="A944" s="60" t="n"/>
      <c r="B944" s="73" t="n"/>
      <c r="C944" s="60" t="n"/>
      <c r="D944" s="61" t="n"/>
      <c r="E944" s="74" t="n"/>
      <c r="F944" s="74" t="n"/>
      <c r="G944" s="73" t="n"/>
      <c r="H944" s="66" t="str">
        <f>IF(M944&lt;&gt;"OK","",INDEX(po_mo,MATCH(D944,po_code,0)))</f>
        <v/>
      </c>
      <c r="I944" s="66" t="str">
        <f>IF(M944&lt;&gt;"OK","",INDEX(po_mac,MATCH(D944,po_code,0)))</f>
        <v/>
      </c>
      <c r="J944" s="66" t="str">
        <f>IF(M944&lt;&gt;"OK","",N(E944)*(H944*IF(G944="",1,G944)+I944))</f>
        <v/>
      </c>
      <c r="K944" s="66" t="str">
        <f>IF(M944&lt;&gt;"OK","",N(F944)/60*H944*IF(G944="",1,G944))</f>
        <v/>
      </c>
      <c r="L944" s="66" t="str">
        <f>IF(M944&lt;&gt;"OK","",N(F944)/60*I944)</f>
        <v/>
      </c>
      <c r="M944" s="69" t="str">
        <f>IF(AND(A944="",D944=""),"",IF(A944="","Produit manquant",IF(COUNTIF(prod_ref,A944)=0,"Produit inconnu",IF(D944="","Poste manquant",IF(ISNA(MATCH(D944,po_code,0)),"Poste inconnu",IF(INDEX(po_check,MATCH(D944,po_code,0))&lt;&gt;"OK","Poste à corriger",IF(AND(E944&lt;&gt;"",OR(NOT(ISNUMBER(E944)),N(E944)&lt;0)),"Réglage invalide",IF(AND(F944&lt;&gt;"",OR(NOT(ISNUMBER(F944)),N(F944)&lt;0)),"Temps par pièce invalide",IF(N(E944)+N(F944)=0,"Temps manquant",IF(AND(G944&lt;&gt;"",OR(NOT(ISNUMBER(G944)),N(G944)&lt;=0)),"Opérateurs invalide","OK"))))))))))</f>
        <v/>
      </c>
      <c r="N944" s="71" t="str">
        <f>IF(AND(fiche_sel&lt;&gt;"",A944=fiche_sel),COUNTIF(A$6:A944,fiche_sel),"")</f>
        <v/>
      </c>
    </row>
    <row r="945">
      <c r="A945" s="60" t="n"/>
      <c r="B945" s="73" t="n"/>
      <c r="C945" s="60" t="n"/>
      <c r="D945" s="61" t="n"/>
      <c r="E945" s="74" t="n"/>
      <c r="F945" s="74" t="n"/>
      <c r="G945" s="73" t="n"/>
      <c r="H945" s="66" t="str">
        <f>IF(M945&lt;&gt;"OK","",INDEX(po_mo,MATCH(D945,po_code,0)))</f>
        <v/>
      </c>
      <c r="I945" s="66" t="str">
        <f>IF(M945&lt;&gt;"OK","",INDEX(po_mac,MATCH(D945,po_code,0)))</f>
        <v/>
      </c>
      <c r="J945" s="66" t="str">
        <f>IF(M945&lt;&gt;"OK","",N(E945)*(H945*IF(G945="",1,G945)+I945))</f>
        <v/>
      </c>
      <c r="K945" s="66" t="str">
        <f>IF(M945&lt;&gt;"OK","",N(F945)/60*H945*IF(G945="",1,G945))</f>
        <v/>
      </c>
      <c r="L945" s="66" t="str">
        <f>IF(M945&lt;&gt;"OK","",N(F945)/60*I945)</f>
        <v/>
      </c>
      <c r="M945" s="69" t="str">
        <f>IF(AND(A945="",D945=""),"",IF(A945="","Produit manquant",IF(COUNTIF(prod_ref,A945)=0,"Produit inconnu",IF(D945="","Poste manquant",IF(ISNA(MATCH(D945,po_code,0)),"Poste inconnu",IF(INDEX(po_check,MATCH(D945,po_code,0))&lt;&gt;"OK","Poste à corriger",IF(AND(E945&lt;&gt;"",OR(NOT(ISNUMBER(E945)),N(E945)&lt;0)),"Réglage invalide",IF(AND(F945&lt;&gt;"",OR(NOT(ISNUMBER(F945)),N(F945)&lt;0)),"Temps par pièce invalide",IF(N(E945)+N(F945)=0,"Temps manquant",IF(AND(G945&lt;&gt;"",OR(NOT(ISNUMBER(G945)),N(G945)&lt;=0)),"Opérateurs invalide","OK"))))))))))</f>
        <v/>
      </c>
      <c r="N945" s="71" t="str">
        <f>IF(AND(fiche_sel&lt;&gt;"",A945=fiche_sel),COUNTIF(A$6:A945,fiche_sel),"")</f>
        <v/>
      </c>
    </row>
    <row r="946">
      <c r="A946" s="60" t="n"/>
      <c r="B946" s="73" t="n"/>
      <c r="C946" s="60" t="n"/>
      <c r="D946" s="61" t="n"/>
      <c r="E946" s="74" t="n"/>
      <c r="F946" s="74" t="n"/>
      <c r="G946" s="73" t="n"/>
      <c r="H946" s="66" t="str">
        <f>IF(M946&lt;&gt;"OK","",INDEX(po_mo,MATCH(D946,po_code,0)))</f>
        <v/>
      </c>
      <c r="I946" s="66" t="str">
        <f>IF(M946&lt;&gt;"OK","",INDEX(po_mac,MATCH(D946,po_code,0)))</f>
        <v/>
      </c>
      <c r="J946" s="66" t="str">
        <f>IF(M946&lt;&gt;"OK","",N(E946)*(H946*IF(G946="",1,G946)+I946))</f>
        <v/>
      </c>
      <c r="K946" s="66" t="str">
        <f>IF(M946&lt;&gt;"OK","",N(F946)/60*H946*IF(G946="",1,G946))</f>
        <v/>
      </c>
      <c r="L946" s="66" t="str">
        <f>IF(M946&lt;&gt;"OK","",N(F946)/60*I946)</f>
        <v/>
      </c>
      <c r="M946" s="69" t="str">
        <f>IF(AND(A946="",D946=""),"",IF(A946="","Produit manquant",IF(COUNTIF(prod_ref,A946)=0,"Produit inconnu",IF(D946="","Poste manquant",IF(ISNA(MATCH(D946,po_code,0)),"Poste inconnu",IF(INDEX(po_check,MATCH(D946,po_code,0))&lt;&gt;"OK","Poste à corriger",IF(AND(E946&lt;&gt;"",OR(NOT(ISNUMBER(E946)),N(E946)&lt;0)),"Réglage invalide",IF(AND(F946&lt;&gt;"",OR(NOT(ISNUMBER(F946)),N(F946)&lt;0)),"Temps par pièce invalide",IF(N(E946)+N(F946)=0,"Temps manquant",IF(AND(G946&lt;&gt;"",OR(NOT(ISNUMBER(G946)),N(G946)&lt;=0)),"Opérateurs invalide","OK"))))))))))</f>
        <v/>
      </c>
      <c r="N946" s="71" t="str">
        <f>IF(AND(fiche_sel&lt;&gt;"",A946=fiche_sel),COUNTIF(A$6:A946,fiche_sel),"")</f>
        <v/>
      </c>
    </row>
    <row r="947">
      <c r="A947" s="60" t="n"/>
      <c r="B947" s="73" t="n"/>
      <c r="C947" s="60" t="n"/>
      <c r="D947" s="61" t="n"/>
      <c r="E947" s="74" t="n"/>
      <c r="F947" s="74" t="n"/>
      <c r="G947" s="73" t="n"/>
      <c r="H947" s="66" t="str">
        <f>IF(M947&lt;&gt;"OK","",INDEX(po_mo,MATCH(D947,po_code,0)))</f>
        <v/>
      </c>
      <c r="I947" s="66" t="str">
        <f>IF(M947&lt;&gt;"OK","",INDEX(po_mac,MATCH(D947,po_code,0)))</f>
        <v/>
      </c>
      <c r="J947" s="66" t="str">
        <f>IF(M947&lt;&gt;"OK","",N(E947)*(H947*IF(G947="",1,G947)+I947))</f>
        <v/>
      </c>
      <c r="K947" s="66" t="str">
        <f>IF(M947&lt;&gt;"OK","",N(F947)/60*H947*IF(G947="",1,G947))</f>
        <v/>
      </c>
      <c r="L947" s="66" t="str">
        <f>IF(M947&lt;&gt;"OK","",N(F947)/60*I947)</f>
        <v/>
      </c>
      <c r="M947" s="69" t="str">
        <f>IF(AND(A947="",D947=""),"",IF(A947="","Produit manquant",IF(COUNTIF(prod_ref,A947)=0,"Produit inconnu",IF(D947="","Poste manquant",IF(ISNA(MATCH(D947,po_code,0)),"Poste inconnu",IF(INDEX(po_check,MATCH(D947,po_code,0))&lt;&gt;"OK","Poste à corriger",IF(AND(E947&lt;&gt;"",OR(NOT(ISNUMBER(E947)),N(E947)&lt;0)),"Réglage invalide",IF(AND(F947&lt;&gt;"",OR(NOT(ISNUMBER(F947)),N(F947)&lt;0)),"Temps par pièce invalide",IF(N(E947)+N(F947)=0,"Temps manquant",IF(AND(G947&lt;&gt;"",OR(NOT(ISNUMBER(G947)),N(G947)&lt;=0)),"Opérateurs invalide","OK"))))))))))</f>
        <v/>
      </c>
      <c r="N947" s="71" t="str">
        <f>IF(AND(fiche_sel&lt;&gt;"",A947=fiche_sel),COUNTIF(A$6:A947,fiche_sel),"")</f>
        <v/>
      </c>
    </row>
    <row r="948">
      <c r="A948" s="60" t="n"/>
      <c r="B948" s="73" t="n"/>
      <c r="C948" s="60" t="n"/>
      <c r="D948" s="61" t="n"/>
      <c r="E948" s="74" t="n"/>
      <c r="F948" s="74" t="n"/>
      <c r="G948" s="73" t="n"/>
      <c r="H948" s="66" t="str">
        <f>IF(M948&lt;&gt;"OK","",INDEX(po_mo,MATCH(D948,po_code,0)))</f>
        <v/>
      </c>
      <c r="I948" s="66" t="str">
        <f>IF(M948&lt;&gt;"OK","",INDEX(po_mac,MATCH(D948,po_code,0)))</f>
        <v/>
      </c>
      <c r="J948" s="66" t="str">
        <f>IF(M948&lt;&gt;"OK","",N(E948)*(H948*IF(G948="",1,G948)+I948))</f>
        <v/>
      </c>
      <c r="K948" s="66" t="str">
        <f>IF(M948&lt;&gt;"OK","",N(F948)/60*H948*IF(G948="",1,G948))</f>
        <v/>
      </c>
      <c r="L948" s="66" t="str">
        <f>IF(M948&lt;&gt;"OK","",N(F948)/60*I948)</f>
        <v/>
      </c>
      <c r="M948" s="69" t="str">
        <f>IF(AND(A948="",D948=""),"",IF(A948="","Produit manquant",IF(COUNTIF(prod_ref,A948)=0,"Produit inconnu",IF(D948="","Poste manquant",IF(ISNA(MATCH(D948,po_code,0)),"Poste inconnu",IF(INDEX(po_check,MATCH(D948,po_code,0))&lt;&gt;"OK","Poste à corriger",IF(AND(E948&lt;&gt;"",OR(NOT(ISNUMBER(E948)),N(E948)&lt;0)),"Réglage invalide",IF(AND(F948&lt;&gt;"",OR(NOT(ISNUMBER(F948)),N(F948)&lt;0)),"Temps par pièce invalide",IF(N(E948)+N(F948)=0,"Temps manquant",IF(AND(G948&lt;&gt;"",OR(NOT(ISNUMBER(G948)),N(G948)&lt;=0)),"Opérateurs invalide","OK"))))))))))</f>
        <v/>
      </c>
      <c r="N948" s="71" t="str">
        <f>IF(AND(fiche_sel&lt;&gt;"",A948=fiche_sel),COUNTIF(A$6:A948,fiche_sel),"")</f>
        <v/>
      </c>
    </row>
    <row r="949">
      <c r="A949" s="60" t="n"/>
      <c r="B949" s="73" t="n"/>
      <c r="C949" s="60" t="n"/>
      <c r="D949" s="61" t="n"/>
      <c r="E949" s="74" t="n"/>
      <c r="F949" s="74" t="n"/>
      <c r="G949" s="73" t="n"/>
      <c r="H949" s="66" t="str">
        <f>IF(M949&lt;&gt;"OK","",INDEX(po_mo,MATCH(D949,po_code,0)))</f>
        <v/>
      </c>
      <c r="I949" s="66" t="str">
        <f>IF(M949&lt;&gt;"OK","",INDEX(po_mac,MATCH(D949,po_code,0)))</f>
        <v/>
      </c>
      <c r="J949" s="66" t="str">
        <f>IF(M949&lt;&gt;"OK","",N(E949)*(H949*IF(G949="",1,G949)+I949))</f>
        <v/>
      </c>
      <c r="K949" s="66" t="str">
        <f>IF(M949&lt;&gt;"OK","",N(F949)/60*H949*IF(G949="",1,G949))</f>
        <v/>
      </c>
      <c r="L949" s="66" t="str">
        <f>IF(M949&lt;&gt;"OK","",N(F949)/60*I949)</f>
        <v/>
      </c>
      <c r="M949" s="69" t="str">
        <f>IF(AND(A949="",D949=""),"",IF(A949="","Produit manquant",IF(COUNTIF(prod_ref,A949)=0,"Produit inconnu",IF(D949="","Poste manquant",IF(ISNA(MATCH(D949,po_code,0)),"Poste inconnu",IF(INDEX(po_check,MATCH(D949,po_code,0))&lt;&gt;"OK","Poste à corriger",IF(AND(E949&lt;&gt;"",OR(NOT(ISNUMBER(E949)),N(E949)&lt;0)),"Réglage invalide",IF(AND(F949&lt;&gt;"",OR(NOT(ISNUMBER(F949)),N(F949)&lt;0)),"Temps par pièce invalide",IF(N(E949)+N(F949)=0,"Temps manquant",IF(AND(G949&lt;&gt;"",OR(NOT(ISNUMBER(G949)),N(G949)&lt;=0)),"Opérateurs invalide","OK"))))))))))</f>
        <v/>
      </c>
      <c r="N949" s="71" t="str">
        <f>IF(AND(fiche_sel&lt;&gt;"",A949=fiche_sel),COUNTIF(A$6:A949,fiche_sel),"")</f>
        <v/>
      </c>
    </row>
    <row r="950">
      <c r="A950" s="60" t="n"/>
      <c r="B950" s="73" t="n"/>
      <c r="C950" s="60" t="n"/>
      <c r="D950" s="61" t="n"/>
      <c r="E950" s="74" t="n"/>
      <c r="F950" s="74" t="n"/>
      <c r="G950" s="73" t="n"/>
      <c r="H950" s="66" t="str">
        <f>IF(M950&lt;&gt;"OK","",INDEX(po_mo,MATCH(D950,po_code,0)))</f>
        <v/>
      </c>
      <c r="I950" s="66" t="str">
        <f>IF(M950&lt;&gt;"OK","",INDEX(po_mac,MATCH(D950,po_code,0)))</f>
        <v/>
      </c>
      <c r="J950" s="66" t="str">
        <f>IF(M950&lt;&gt;"OK","",N(E950)*(H950*IF(G950="",1,G950)+I950))</f>
        <v/>
      </c>
      <c r="K950" s="66" t="str">
        <f>IF(M950&lt;&gt;"OK","",N(F950)/60*H950*IF(G950="",1,G950))</f>
        <v/>
      </c>
      <c r="L950" s="66" t="str">
        <f>IF(M950&lt;&gt;"OK","",N(F950)/60*I950)</f>
        <v/>
      </c>
      <c r="M950" s="69" t="str">
        <f>IF(AND(A950="",D950=""),"",IF(A950="","Produit manquant",IF(COUNTIF(prod_ref,A950)=0,"Produit inconnu",IF(D950="","Poste manquant",IF(ISNA(MATCH(D950,po_code,0)),"Poste inconnu",IF(INDEX(po_check,MATCH(D950,po_code,0))&lt;&gt;"OK","Poste à corriger",IF(AND(E950&lt;&gt;"",OR(NOT(ISNUMBER(E950)),N(E950)&lt;0)),"Réglage invalide",IF(AND(F950&lt;&gt;"",OR(NOT(ISNUMBER(F950)),N(F950)&lt;0)),"Temps par pièce invalide",IF(N(E950)+N(F950)=0,"Temps manquant",IF(AND(G950&lt;&gt;"",OR(NOT(ISNUMBER(G950)),N(G950)&lt;=0)),"Opérateurs invalide","OK"))))))))))</f>
        <v/>
      </c>
      <c r="N950" s="71" t="str">
        <f>IF(AND(fiche_sel&lt;&gt;"",A950=fiche_sel),COUNTIF(A$6:A950,fiche_sel),"")</f>
        <v/>
      </c>
    </row>
    <row r="951">
      <c r="A951" s="60" t="n"/>
      <c r="B951" s="73" t="n"/>
      <c r="C951" s="60" t="n"/>
      <c r="D951" s="61" t="n"/>
      <c r="E951" s="74" t="n"/>
      <c r="F951" s="74" t="n"/>
      <c r="G951" s="73" t="n"/>
      <c r="H951" s="66" t="str">
        <f>IF(M951&lt;&gt;"OK","",INDEX(po_mo,MATCH(D951,po_code,0)))</f>
        <v/>
      </c>
      <c r="I951" s="66" t="str">
        <f>IF(M951&lt;&gt;"OK","",INDEX(po_mac,MATCH(D951,po_code,0)))</f>
        <v/>
      </c>
      <c r="J951" s="66" t="str">
        <f>IF(M951&lt;&gt;"OK","",N(E951)*(H951*IF(G951="",1,G951)+I951))</f>
        <v/>
      </c>
      <c r="K951" s="66" t="str">
        <f>IF(M951&lt;&gt;"OK","",N(F951)/60*H951*IF(G951="",1,G951))</f>
        <v/>
      </c>
      <c r="L951" s="66" t="str">
        <f>IF(M951&lt;&gt;"OK","",N(F951)/60*I951)</f>
        <v/>
      </c>
      <c r="M951" s="69" t="str">
        <f>IF(AND(A951="",D951=""),"",IF(A951="","Produit manquant",IF(COUNTIF(prod_ref,A951)=0,"Produit inconnu",IF(D951="","Poste manquant",IF(ISNA(MATCH(D951,po_code,0)),"Poste inconnu",IF(INDEX(po_check,MATCH(D951,po_code,0))&lt;&gt;"OK","Poste à corriger",IF(AND(E951&lt;&gt;"",OR(NOT(ISNUMBER(E951)),N(E951)&lt;0)),"Réglage invalide",IF(AND(F951&lt;&gt;"",OR(NOT(ISNUMBER(F951)),N(F951)&lt;0)),"Temps par pièce invalide",IF(N(E951)+N(F951)=0,"Temps manquant",IF(AND(G951&lt;&gt;"",OR(NOT(ISNUMBER(G951)),N(G951)&lt;=0)),"Opérateurs invalide","OK"))))))))))</f>
        <v/>
      </c>
      <c r="N951" s="71" t="str">
        <f>IF(AND(fiche_sel&lt;&gt;"",A951=fiche_sel),COUNTIF(A$6:A951,fiche_sel),"")</f>
        <v/>
      </c>
    </row>
    <row r="952">
      <c r="A952" s="60" t="n"/>
      <c r="B952" s="73" t="n"/>
      <c r="C952" s="60" t="n"/>
      <c r="D952" s="61" t="n"/>
      <c r="E952" s="74" t="n"/>
      <c r="F952" s="74" t="n"/>
      <c r="G952" s="73" t="n"/>
      <c r="H952" s="66" t="str">
        <f>IF(M952&lt;&gt;"OK","",INDEX(po_mo,MATCH(D952,po_code,0)))</f>
        <v/>
      </c>
      <c r="I952" s="66" t="str">
        <f>IF(M952&lt;&gt;"OK","",INDEX(po_mac,MATCH(D952,po_code,0)))</f>
        <v/>
      </c>
      <c r="J952" s="66" t="str">
        <f>IF(M952&lt;&gt;"OK","",N(E952)*(H952*IF(G952="",1,G952)+I952))</f>
        <v/>
      </c>
      <c r="K952" s="66" t="str">
        <f>IF(M952&lt;&gt;"OK","",N(F952)/60*H952*IF(G952="",1,G952))</f>
        <v/>
      </c>
      <c r="L952" s="66" t="str">
        <f>IF(M952&lt;&gt;"OK","",N(F952)/60*I952)</f>
        <v/>
      </c>
      <c r="M952" s="69" t="str">
        <f>IF(AND(A952="",D952=""),"",IF(A952="","Produit manquant",IF(COUNTIF(prod_ref,A952)=0,"Produit inconnu",IF(D952="","Poste manquant",IF(ISNA(MATCH(D952,po_code,0)),"Poste inconnu",IF(INDEX(po_check,MATCH(D952,po_code,0))&lt;&gt;"OK","Poste à corriger",IF(AND(E952&lt;&gt;"",OR(NOT(ISNUMBER(E952)),N(E952)&lt;0)),"Réglage invalide",IF(AND(F952&lt;&gt;"",OR(NOT(ISNUMBER(F952)),N(F952)&lt;0)),"Temps par pièce invalide",IF(N(E952)+N(F952)=0,"Temps manquant",IF(AND(G952&lt;&gt;"",OR(NOT(ISNUMBER(G952)),N(G952)&lt;=0)),"Opérateurs invalide","OK"))))))))))</f>
        <v/>
      </c>
      <c r="N952" s="71" t="str">
        <f>IF(AND(fiche_sel&lt;&gt;"",A952=fiche_sel),COUNTIF(A$6:A952,fiche_sel),"")</f>
        <v/>
      </c>
    </row>
    <row r="953">
      <c r="A953" s="60" t="n"/>
      <c r="B953" s="73" t="n"/>
      <c r="C953" s="60" t="n"/>
      <c r="D953" s="61" t="n"/>
      <c r="E953" s="74" t="n"/>
      <c r="F953" s="74" t="n"/>
      <c r="G953" s="73" t="n"/>
      <c r="H953" s="66" t="str">
        <f>IF(M953&lt;&gt;"OK","",INDEX(po_mo,MATCH(D953,po_code,0)))</f>
        <v/>
      </c>
      <c r="I953" s="66" t="str">
        <f>IF(M953&lt;&gt;"OK","",INDEX(po_mac,MATCH(D953,po_code,0)))</f>
        <v/>
      </c>
      <c r="J953" s="66" t="str">
        <f>IF(M953&lt;&gt;"OK","",N(E953)*(H953*IF(G953="",1,G953)+I953))</f>
        <v/>
      </c>
      <c r="K953" s="66" t="str">
        <f>IF(M953&lt;&gt;"OK","",N(F953)/60*H953*IF(G953="",1,G953))</f>
        <v/>
      </c>
      <c r="L953" s="66" t="str">
        <f>IF(M953&lt;&gt;"OK","",N(F953)/60*I953)</f>
        <v/>
      </c>
      <c r="M953" s="69" t="str">
        <f>IF(AND(A953="",D953=""),"",IF(A953="","Produit manquant",IF(COUNTIF(prod_ref,A953)=0,"Produit inconnu",IF(D953="","Poste manquant",IF(ISNA(MATCH(D953,po_code,0)),"Poste inconnu",IF(INDEX(po_check,MATCH(D953,po_code,0))&lt;&gt;"OK","Poste à corriger",IF(AND(E953&lt;&gt;"",OR(NOT(ISNUMBER(E953)),N(E953)&lt;0)),"Réglage invalide",IF(AND(F953&lt;&gt;"",OR(NOT(ISNUMBER(F953)),N(F953)&lt;0)),"Temps par pièce invalide",IF(N(E953)+N(F953)=0,"Temps manquant",IF(AND(G953&lt;&gt;"",OR(NOT(ISNUMBER(G953)),N(G953)&lt;=0)),"Opérateurs invalide","OK"))))))))))</f>
        <v/>
      </c>
      <c r="N953" s="71" t="str">
        <f>IF(AND(fiche_sel&lt;&gt;"",A953=fiche_sel),COUNTIF(A$6:A953,fiche_sel),"")</f>
        <v/>
      </c>
    </row>
    <row r="954">
      <c r="A954" s="60" t="n"/>
      <c r="B954" s="73" t="n"/>
      <c r="C954" s="60" t="n"/>
      <c r="D954" s="61" t="n"/>
      <c r="E954" s="74" t="n"/>
      <c r="F954" s="74" t="n"/>
      <c r="G954" s="73" t="n"/>
      <c r="H954" s="66" t="str">
        <f>IF(M954&lt;&gt;"OK","",INDEX(po_mo,MATCH(D954,po_code,0)))</f>
        <v/>
      </c>
      <c r="I954" s="66" t="str">
        <f>IF(M954&lt;&gt;"OK","",INDEX(po_mac,MATCH(D954,po_code,0)))</f>
        <v/>
      </c>
      <c r="J954" s="66" t="str">
        <f>IF(M954&lt;&gt;"OK","",N(E954)*(H954*IF(G954="",1,G954)+I954))</f>
        <v/>
      </c>
      <c r="K954" s="66" t="str">
        <f>IF(M954&lt;&gt;"OK","",N(F954)/60*H954*IF(G954="",1,G954))</f>
        <v/>
      </c>
      <c r="L954" s="66" t="str">
        <f>IF(M954&lt;&gt;"OK","",N(F954)/60*I954)</f>
        <v/>
      </c>
      <c r="M954" s="69" t="str">
        <f>IF(AND(A954="",D954=""),"",IF(A954="","Produit manquant",IF(COUNTIF(prod_ref,A954)=0,"Produit inconnu",IF(D954="","Poste manquant",IF(ISNA(MATCH(D954,po_code,0)),"Poste inconnu",IF(INDEX(po_check,MATCH(D954,po_code,0))&lt;&gt;"OK","Poste à corriger",IF(AND(E954&lt;&gt;"",OR(NOT(ISNUMBER(E954)),N(E954)&lt;0)),"Réglage invalide",IF(AND(F954&lt;&gt;"",OR(NOT(ISNUMBER(F954)),N(F954)&lt;0)),"Temps par pièce invalide",IF(N(E954)+N(F954)=0,"Temps manquant",IF(AND(G954&lt;&gt;"",OR(NOT(ISNUMBER(G954)),N(G954)&lt;=0)),"Opérateurs invalide","OK"))))))))))</f>
        <v/>
      </c>
      <c r="N954" s="71" t="str">
        <f>IF(AND(fiche_sel&lt;&gt;"",A954=fiche_sel),COUNTIF(A$6:A954,fiche_sel),"")</f>
        <v/>
      </c>
    </row>
    <row r="955">
      <c r="A955" s="60" t="n"/>
      <c r="B955" s="73" t="n"/>
      <c r="C955" s="60" t="n"/>
      <c r="D955" s="61" t="n"/>
      <c r="E955" s="74" t="n"/>
      <c r="F955" s="74" t="n"/>
      <c r="G955" s="73" t="n"/>
      <c r="H955" s="66" t="str">
        <f>IF(M955&lt;&gt;"OK","",INDEX(po_mo,MATCH(D955,po_code,0)))</f>
        <v/>
      </c>
      <c r="I955" s="66" t="str">
        <f>IF(M955&lt;&gt;"OK","",INDEX(po_mac,MATCH(D955,po_code,0)))</f>
        <v/>
      </c>
      <c r="J955" s="66" t="str">
        <f>IF(M955&lt;&gt;"OK","",N(E955)*(H955*IF(G955="",1,G955)+I955))</f>
        <v/>
      </c>
      <c r="K955" s="66" t="str">
        <f>IF(M955&lt;&gt;"OK","",N(F955)/60*H955*IF(G955="",1,G955))</f>
        <v/>
      </c>
      <c r="L955" s="66" t="str">
        <f>IF(M955&lt;&gt;"OK","",N(F955)/60*I955)</f>
        <v/>
      </c>
      <c r="M955" s="69" t="str">
        <f>IF(AND(A955="",D955=""),"",IF(A955="","Produit manquant",IF(COUNTIF(prod_ref,A955)=0,"Produit inconnu",IF(D955="","Poste manquant",IF(ISNA(MATCH(D955,po_code,0)),"Poste inconnu",IF(INDEX(po_check,MATCH(D955,po_code,0))&lt;&gt;"OK","Poste à corriger",IF(AND(E955&lt;&gt;"",OR(NOT(ISNUMBER(E955)),N(E955)&lt;0)),"Réglage invalide",IF(AND(F955&lt;&gt;"",OR(NOT(ISNUMBER(F955)),N(F955)&lt;0)),"Temps par pièce invalide",IF(N(E955)+N(F955)=0,"Temps manquant",IF(AND(G955&lt;&gt;"",OR(NOT(ISNUMBER(G955)),N(G955)&lt;=0)),"Opérateurs invalide","OK"))))))))))</f>
        <v/>
      </c>
      <c r="N955" s="71" t="str">
        <f>IF(AND(fiche_sel&lt;&gt;"",A955=fiche_sel),COUNTIF(A$6:A955,fiche_sel),"")</f>
        <v/>
      </c>
    </row>
    <row r="956">
      <c r="A956" s="60" t="n"/>
      <c r="B956" s="73" t="n"/>
      <c r="C956" s="60" t="n"/>
      <c r="D956" s="61" t="n"/>
      <c r="E956" s="74" t="n"/>
      <c r="F956" s="74" t="n"/>
      <c r="G956" s="73" t="n"/>
      <c r="H956" s="66" t="str">
        <f>IF(M956&lt;&gt;"OK","",INDEX(po_mo,MATCH(D956,po_code,0)))</f>
        <v/>
      </c>
      <c r="I956" s="66" t="str">
        <f>IF(M956&lt;&gt;"OK","",INDEX(po_mac,MATCH(D956,po_code,0)))</f>
        <v/>
      </c>
      <c r="J956" s="66" t="str">
        <f>IF(M956&lt;&gt;"OK","",N(E956)*(H956*IF(G956="",1,G956)+I956))</f>
        <v/>
      </c>
      <c r="K956" s="66" t="str">
        <f>IF(M956&lt;&gt;"OK","",N(F956)/60*H956*IF(G956="",1,G956))</f>
        <v/>
      </c>
      <c r="L956" s="66" t="str">
        <f>IF(M956&lt;&gt;"OK","",N(F956)/60*I956)</f>
        <v/>
      </c>
      <c r="M956" s="69" t="str">
        <f>IF(AND(A956="",D956=""),"",IF(A956="","Produit manquant",IF(COUNTIF(prod_ref,A956)=0,"Produit inconnu",IF(D956="","Poste manquant",IF(ISNA(MATCH(D956,po_code,0)),"Poste inconnu",IF(INDEX(po_check,MATCH(D956,po_code,0))&lt;&gt;"OK","Poste à corriger",IF(AND(E956&lt;&gt;"",OR(NOT(ISNUMBER(E956)),N(E956)&lt;0)),"Réglage invalide",IF(AND(F956&lt;&gt;"",OR(NOT(ISNUMBER(F956)),N(F956)&lt;0)),"Temps par pièce invalide",IF(N(E956)+N(F956)=0,"Temps manquant",IF(AND(G956&lt;&gt;"",OR(NOT(ISNUMBER(G956)),N(G956)&lt;=0)),"Opérateurs invalide","OK"))))))))))</f>
        <v/>
      </c>
      <c r="N956" s="71" t="str">
        <f>IF(AND(fiche_sel&lt;&gt;"",A956=fiche_sel),COUNTIF(A$6:A956,fiche_sel),"")</f>
        <v/>
      </c>
    </row>
    <row r="957">
      <c r="A957" s="60" t="n"/>
      <c r="B957" s="73" t="n"/>
      <c r="C957" s="60" t="n"/>
      <c r="D957" s="61" t="n"/>
      <c r="E957" s="74" t="n"/>
      <c r="F957" s="74" t="n"/>
      <c r="G957" s="73" t="n"/>
      <c r="H957" s="66" t="str">
        <f>IF(M957&lt;&gt;"OK","",INDEX(po_mo,MATCH(D957,po_code,0)))</f>
        <v/>
      </c>
      <c r="I957" s="66" t="str">
        <f>IF(M957&lt;&gt;"OK","",INDEX(po_mac,MATCH(D957,po_code,0)))</f>
        <v/>
      </c>
      <c r="J957" s="66" t="str">
        <f>IF(M957&lt;&gt;"OK","",N(E957)*(H957*IF(G957="",1,G957)+I957))</f>
        <v/>
      </c>
      <c r="K957" s="66" t="str">
        <f>IF(M957&lt;&gt;"OK","",N(F957)/60*H957*IF(G957="",1,G957))</f>
        <v/>
      </c>
      <c r="L957" s="66" t="str">
        <f>IF(M957&lt;&gt;"OK","",N(F957)/60*I957)</f>
        <v/>
      </c>
      <c r="M957" s="69" t="str">
        <f>IF(AND(A957="",D957=""),"",IF(A957="","Produit manquant",IF(COUNTIF(prod_ref,A957)=0,"Produit inconnu",IF(D957="","Poste manquant",IF(ISNA(MATCH(D957,po_code,0)),"Poste inconnu",IF(INDEX(po_check,MATCH(D957,po_code,0))&lt;&gt;"OK","Poste à corriger",IF(AND(E957&lt;&gt;"",OR(NOT(ISNUMBER(E957)),N(E957)&lt;0)),"Réglage invalide",IF(AND(F957&lt;&gt;"",OR(NOT(ISNUMBER(F957)),N(F957)&lt;0)),"Temps par pièce invalide",IF(N(E957)+N(F957)=0,"Temps manquant",IF(AND(G957&lt;&gt;"",OR(NOT(ISNUMBER(G957)),N(G957)&lt;=0)),"Opérateurs invalide","OK"))))))))))</f>
        <v/>
      </c>
      <c r="N957" s="71" t="str">
        <f>IF(AND(fiche_sel&lt;&gt;"",A957=fiche_sel),COUNTIF(A$6:A957,fiche_sel),"")</f>
        <v/>
      </c>
    </row>
    <row r="958">
      <c r="A958" s="60" t="n"/>
      <c r="B958" s="73" t="n"/>
      <c r="C958" s="60" t="n"/>
      <c r="D958" s="61" t="n"/>
      <c r="E958" s="74" t="n"/>
      <c r="F958" s="74" t="n"/>
      <c r="G958" s="73" t="n"/>
      <c r="H958" s="66" t="str">
        <f>IF(M958&lt;&gt;"OK","",INDEX(po_mo,MATCH(D958,po_code,0)))</f>
        <v/>
      </c>
      <c r="I958" s="66" t="str">
        <f>IF(M958&lt;&gt;"OK","",INDEX(po_mac,MATCH(D958,po_code,0)))</f>
        <v/>
      </c>
      <c r="J958" s="66" t="str">
        <f>IF(M958&lt;&gt;"OK","",N(E958)*(H958*IF(G958="",1,G958)+I958))</f>
        <v/>
      </c>
      <c r="K958" s="66" t="str">
        <f>IF(M958&lt;&gt;"OK","",N(F958)/60*H958*IF(G958="",1,G958))</f>
        <v/>
      </c>
      <c r="L958" s="66" t="str">
        <f>IF(M958&lt;&gt;"OK","",N(F958)/60*I958)</f>
        <v/>
      </c>
      <c r="M958" s="69" t="str">
        <f>IF(AND(A958="",D958=""),"",IF(A958="","Produit manquant",IF(COUNTIF(prod_ref,A958)=0,"Produit inconnu",IF(D958="","Poste manquant",IF(ISNA(MATCH(D958,po_code,0)),"Poste inconnu",IF(INDEX(po_check,MATCH(D958,po_code,0))&lt;&gt;"OK","Poste à corriger",IF(AND(E958&lt;&gt;"",OR(NOT(ISNUMBER(E958)),N(E958)&lt;0)),"Réglage invalide",IF(AND(F958&lt;&gt;"",OR(NOT(ISNUMBER(F958)),N(F958)&lt;0)),"Temps par pièce invalide",IF(N(E958)+N(F958)=0,"Temps manquant",IF(AND(G958&lt;&gt;"",OR(NOT(ISNUMBER(G958)),N(G958)&lt;=0)),"Opérateurs invalide","OK"))))))))))</f>
        <v/>
      </c>
      <c r="N958" s="71" t="str">
        <f>IF(AND(fiche_sel&lt;&gt;"",A958=fiche_sel),COUNTIF(A$6:A958,fiche_sel),"")</f>
        <v/>
      </c>
    </row>
    <row r="959">
      <c r="A959" s="60" t="n"/>
      <c r="B959" s="73" t="n"/>
      <c r="C959" s="60" t="n"/>
      <c r="D959" s="61" t="n"/>
      <c r="E959" s="74" t="n"/>
      <c r="F959" s="74" t="n"/>
      <c r="G959" s="73" t="n"/>
      <c r="H959" s="66" t="str">
        <f>IF(M959&lt;&gt;"OK","",INDEX(po_mo,MATCH(D959,po_code,0)))</f>
        <v/>
      </c>
      <c r="I959" s="66" t="str">
        <f>IF(M959&lt;&gt;"OK","",INDEX(po_mac,MATCH(D959,po_code,0)))</f>
        <v/>
      </c>
      <c r="J959" s="66" t="str">
        <f>IF(M959&lt;&gt;"OK","",N(E959)*(H959*IF(G959="",1,G959)+I959))</f>
        <v/>
      </c>
      <c r="K959" s="66" t="str">
        <f>IF(M959&lt;&gt;"OK","",N(F959)/60*H959*IF(G959="",1,G959))</f>
        <v/>
      </c>
      <c r="L959" s="66" t="str">
        <f>IF(M959&lt;&gt;"OK","",N(F959)/60*I959)</f>
        <v/>
      </c>
      <c r="M959" s="69" t="str">
        <f>IF(AND(A959="",D959=""),"",IF(A959="","Produit manquant",IF(COUNTIF(prod_ref,A959)=0,"Produit inconnu",IF(D959="","Poste manquant",IF(ISNA(MATCH(D959,po_code,0)),"Poste inconnu",IF(INDEX(po_check,MATCH(D959,po_code,0))&lt;&gt;"OK","Poste à corriger",IF(AND(E959&lt;&gt;"",OR(NOT(ISNUMBER(E959)),N(E959)&lt;0)),"Réglage invalide",IF(AND(F959&lt;&gt;"",OR(NOT(ISNUMBER(F959)),N(F959)&lt;0)),"Temps par pièce invalide",IF(N(E959)+N(F959)=0,"Temps manquant",IF(AND(G959&lt;&gt;"",OR(NOT(ISNUMBER(G959)),N(G959)&lt;=0)),"Opérateurs invalide","OK"))))))))))</f>
        <v/>
      </c>
      <c r="N959" s="71" t="str">
        <f>IF(AND(fiche_sel&lt;&gt;"",A959=fiche_sel),COUNTIF(A$6:A959,fiche_sel),"")</f>
        <v/>
      </c>
    </row>
    <row r="960">
      <c r="A960" s="60" t="n"/>
      <c r="B960" s="73" t="n"/>
      <c r="C960" s="60" t="n"/>
      <c r="D960" s="61" t="n"/>
      <c r="E960" s="74" t="n"/>
      <c r="F960" s="74" t="n"/>
      <c r="G960" s="73" t="n"/>
      <c r="H960" s="66" t="str">
        <f>IF(M960&lt;&gt;"OK","",INDEX(po_mo,MATCH(D960,po_code,0)))</f>
        <v/>
      </c>
      <c r="I960" s="66" t="str">
        <f>IF(M960&lt;&gt;"OK","",INDEX(po_mac,MATCH(D960,po_code,0)))</f>
        <v/>
      </c>
      <c r="J960" s="66" t="str">
        <f>IF(M960&lt;&gt;"OK","",N(E960)*(H960*IF(G960="",1,G960)+I960))</f>
        <v/>
      </c>
      <c r="K960" s="66" t="str">
        <f>IF(M960&lt;&gt;"OK","",N(F960)/60*H960*IF(G960="",1,G960))</f>
        <v/>
      </c>
      <c r="L960" s="66" t="str">
        <f>IF(M960&lt;&gt;"OK","",N(F960)/60*I960)</f>
        <v/>
      </c>
      <c r="M960" s="69" t="str">
        <f>IF(AND(A960="",D960=""),"",IF(A960="","Produit manquant",IF(COUNTIF(prod_ref,A960)=0,"Produit inconnu",IF(D960="","Poste manquant",IF(ISNA(MATCH(D960,po_code,0)),"Poste inconnu",IF(INDEX(po_check,MATCH(D960,po_code,0))&lt;&gt;"OK","Poste à corriger",IF(AND(E960&lt;&gt;"",OR(NOT(ISNUMBER(E960)),N(E960)&lt;0)),"Réglage invalide",IF(AND(F960&lt;&gt;"",OR(NOT(ISNUMBER(F960)),N(F960)&lt;0)),"Temps par pièce invalide",IF(N(E960)+N(F960)=0,"Temps manquant",IF(AND(G960&lt;&gt;"",OR(NOT(ISNUMBER(G960)),N(G960)&lt;=0)),"Opérateurs invalide","OK"))))))))))</f>
        <v/>
      </c>
      <c r="N960" s="71" t="str">
        <f>IF(AND(fiche_sel&lt;&gt;"",A960=fiche_sel),COUNTIF(A$6:A960,fiche_sel),"")</f>
        <v/>
      </c>
    </row>
    <row r="961">
      <c r="A961" s="60" t="n"/>
      <c r="B961" s="73" t="n"/>
      <c r="C961" s="60" t="n"/>
      <c r="D961" s="61" t="n"/>
      <c r="E961" s="74" t="n"/>
      <c r="F961" s="74" t="n"/>
      <c r="G961" s="73" t="n"/>
      <c r="H961" s="66" t="str">
        <f>IF(M961&lt;&gt;"OK","",INDEX(po_mo,MATCH(D961,po_code,0)))</f>
        <v/>
      </c>
      <c r="I961" s="66" t="str">
        <f>IF(M961&lt;&gt;"OK","",INDEX(po_mac,MATCH(D961,po_code,0)))</f>
        <v/>
      </c>
      <c r="J961" s="66" t="str">
        <f>IF(M961&lt;&gt;"OK","",N(E961)*(H961*IF(G961="",1,G961)+I961))</f>
        <v/>
      </c>
      <c r="K961" s="66" t="str">
        <f>IF(M961&lt;&gt;"OK","",N(F961)/60*H961*IF(G961="",1,G961))</f>
        <v/>
      </c>
      <c r="L961" s="66" t="str">
        <f>IF(M961&lt;&gt;"OK","",N(F961)/60*I961)</f>
        <v/>
      </c>
      <c r="M961" s="69" t="str">
        <f>IF(AND(A961="",D961=""),"",IF(A961="","Produit manquant",IF(COUNTIF(prod_ref,A961)=0,"Produit inconnu",IF(D961="","Poste manquant",IF(ISNA(MATCH(D961,po_code,0)),"Poste inconnu",IF(INDEX(po_check,MATCH(D961,po_code,0))&lt;&gt;"OK","Poste à corriger",IF(AND(E961&lt;&gt;"",OR(NOT(ISNUMBER(E961)),N(E961)&lt;0)),"Réglage invalide",IF(AND(F961&lt;&gt;"",OR(NOT(ISNUMBER(F961)),N(F961)&lt;0)),"Temps par pièce invalide",IF(N(E961)+N(F961)=0,"Temps manquant",IF(AND(G961&lt;&gt;"",OR(NOT(ISNUMBER(G961)),N(G961)&lt;=0)),"Opérateurs invalide","OK"))))))))))</f>
        <v/>
      </c>
      <c r="N961" s="71" t="str">
        <f>IF(AND(fiche_sel&lt;&gt;"",A961=fiche_sel),COUNTIF(A$6:A961,fiche_sel),"")</f>
        <v/>
      </c>
    </row>
    <row r="962">
      <c r="A962" s="60" t="n"/>
      <c r="B962" s="73" t="n"/>
      <c r="C962" s="60" t="n"/>
      <c r="D962" s="61" t="n"/>
      <c r="E962" s="74" t="n"/>
      <c r="F962" s="74" t="n"/>
      <c r="G962" s="73" t="n"/>
      <c r="H962" s="66" t="str">
        <f>IF(M962&lt;&gt;"OK","",INDEX(po_mo,MATCH(D962,po_code,0)))</f>
        <v/>
      </c>
      <c r="I962" s="66" t="str">
        <f>IF(M962&lt;&gt;"OK","",INDEX(po_mac,MATCH(D962,po_code,0)))</f>
        <v/>
      </c>
      <c r="J962" s="66" t="str">
        <f>IF(M962&lt;&gt;"OK","",N(E962)*(H962*IF(G962="",1,G962)+I962))</f>
        <v/>
      </c>
      <c r="K962" s="66" t="str">
        <f>IF(M962&lt;&gt;"OK","",N(F962)/60*H962*IF(G962="",1,G962))</f>
        <v/>
      </c>
      <c r="L962" s="66" t="str">
        <f>IF(M962&lt;&gt;"OK","",N(F962)/60*I962)</f>
        <v/>
      </c>
      <c r="M962" s="69" t="str">
        <f>IF(AND(A962="",D962=""),"",IF(A962="","Produit manquant",IF(COUNTIF(prod_ref,A962)=0,"Produit inconnu",IF(D962="","Poste manquant",IF(ISNA(MATCH(D962,po_code,0)),"Poste inconnu",IF(INDEX(po_check,MATCH(D962,po_code,0))&lt;&gt;"OK","Poste à corriger",IF(AND(E962&lt;&gt;"",OR(NOT(ISNUMBER(E962)),N(E962)&lt;0)),"Réglage invalide",IF(AND(F962&lt;&gt;"",OR(NOT(ISNUMBER(F962)),N(F962)&lt;0)),"Temps par pièce invalide",IF(N(E962)+N(F962)=0,"Temps manquant",IF(AND(G962&lt;&gt;"",OR(NOT(ISNUMBER(G962)),N(G962)&lt;=0)),"Opérateurs invalide","OK"))))))))))</f>
        <v/>
      </c>
      <c r="N962" s="71" t="str">
        <f>IF(AND(fiche_sel&lt;&gt;"",A962=fiche_sel),COUNTIF(A$6:A962,fiche_sel),"")</f>
        <v/>
      </c>
    </row>
    <row r="963">
      <c r="A963" s="60" t="n"/>
      <c r="B963" s="73" t="n"/>
      <c r="C963" s="60" t="n"/>
      <c r="D963" s="61" t="n"/>
      <c r="E963" s="74" t="n"/>
      <c r="F963" s="74" t="n"/>
      <c r="G963" s="73" t="n"/>
      <c r="H963" s="66" t="str">
        <f>IF(M963&lt;&gt;"OK","",INDEX(po_mo,MATCH(D963,po_code,0)))</f>
        <v/>
      </c>
      <c r="I963" s="66" t="str">
        <f>IF(M963&lt;&gt;"OK","",INDEX(po_mac,MATCH(D963,po_code,0)))</f>
        <v/>
      </c>
      <c r="J963" s="66" t="str">
        <f>IF(M963&lt;&gt;"OK","",N(E963)*(H963*IF(G963="",1,G963)+I963))</f>
        <v/>
      </c>
      <c r="K963" s="66" t="str">
        <f>IF(M963&lt;&gt;"OK","",N(F963)/60*H963*IF(G963="",1,G963))</f>
        <v/>
      </c>
      <c r="L963" s="66" t="str">
        <f>IF(M963&lt;&gt;"OK","",N(F963)/60*I963)</f>
        <v/>
      </c>
      <c r="M963" s="69" t="str">
        <f>IF(AND(A963="",D963=""),"",IF(A963="","Produit manquant",IF(COUNTIF(prod_ref,A963)=0,"Produit inconnu",IF(D963="","Poste manquant",IF(ISNA(MATCH(D963,po_code,0)),"Poste inconnu",IF(INDEX(po_check,MATCH(D963,po_code,0))&lt;&gt;"OK","Poste à corriger",IF(AND(E963&lt;&gt;"",OR(NOT(ISNUMBER(E963)),N(E963)&lt;0)),"Réglage invalide",IF(AND(F963&lt;&gt;"",OR(NOT(ISNUMBER(F963)),N(F963)&lt;0)),"Temps par pièce invalide",IF(N(E963)+N(F963)=0,"Temps manquant",IF(AND(G963&lt;&gt;"",OR(NOT(ISNUMBER(G963)),N(G963)&lt;=0)),"Opérateurs invalide","OK"))))))))))</f>
        <v/>
      </c>
      <c r="N963" s="71" t="str">
        <f>IF(AND(fiche_sel&lt;&gt;"",A963=fiche_sel),COUNTIF(A$6:A963,fiche_sel),"")</f>
        <v/>
      </c>
    </row>
    <row r="964">
      <c r="A964" s="60" t="n"/>
      <c r="B964" s="73" t="n"/>
      <c r="C964" s="60" t="n"/>
      <c r="D964" s="61" t="n"/>
      <c r="E964" s="74" t="n"/>
      <c r="F964" s="74" t="n"/>
      <c r="G964" s="73" t="n"/>
      <c r="H964" s="66" t="str">
        <f>IF(M964&lt;&gt;"OK","",INDEX(po_mo,MATCH(D964,po_code,0)))</f>
        <v/>
      </c>
      <c r="I964" s="66" t="str">
        <f>IF(M964&lt;&gt;"OK","",INDEX(po_mac,MATCH(D964,po_code,0)))</f>
        <v/>
      </c>
      <c r="J964" s="66" t="str">
        <f>IF(M964&lt;&gt;"OK","",N(E964)*(H964*IF(G964="",1,G964)+I964))</f>
        <v/>
      </c>
      <c r="K964" s="66" t="str">
        <f>IF(M964&lt;&gt;"OK","",N(F964)/60*H964*IF(G964="",1,G964))</f>
        <v/>
      </c>
      <c r="L964" s="66" t="str">
        <f>IF(M964&lt;&gt;"OK","",N(F964)/60*I964)</f>
        <v/>
      </c>
      <c r="M964" s="69" t="str">
        <f>IF(AND(A964="",D964=""),"",IF(A964="","Produit manquant",IF(COUNTIF(prod_ref,A964)=0,"Produit inconnu",IF(D964="","Poste manquant",IF(ISNA(MATCH(D964,po_code,0)),"Poste inconnu",IF(INDEX(po_check,MATCH(D964,po_code,0))&lt;&gt;"OK","Poste à corriger",IF(AND(E964&lt;&gt;"",OR(NOT(ISNUMBER(E964)),N(E964)&lt;0)),"Réglage invalide",IF(AND(F964&lt;&gt;"",OR(NOT(ISNUMBER(F964)),N(F964)&lt;0)),"Temps par pièce invalide",IF(N(E964)+N(F964)=0,"Temps manquant",IF(AND(G964&lt;&gt;"",OR(NOT(ISNUMBER(G964)),N(G964)&lt;=0)),"Opérateurs invalide","OK"))))))))))</f>
        <v/>
      </c>
      <c r="N964" s="71" t="str">
        <f>IF(AND(fiche_sel&lt;&gt;"",A964=fiche_sel),COUNTIF(A$6:A964,fiche_sel),"")</f>
        <v/>
      </c>
    </row>
    <row r="965">
      <c r="A965" s="60" t="n"/>
      <c r="B965" s="73" t="n"/>
      <c r="C965" s="60" t="n"/>
      <c r="D965" s="61" t="n"/>
      <c r="E965" s="74" t="n"/>
      <c r="F965" s="74" t="n"/>
      <c r="G965" s="73" t="n"/>
      <c r="H965" s="66" t="str">
        <f>IF(M965&lt;&gt;"OK","",INDEX(po_mo,MATCH(D965,po_code,0)))</f>
        <v/>
      </c>
      <c r="I965" s="66" t="str">
        <f>IF(M965&lt;&gt;"OK","",INDEX(po_mac,MATCH(D965,po_code,0)))</f>
        <v/>
      </c>
      <c r="J965" s="66" t="str">
        <f>IF(M965&lt;&gt;"OK","",N(E965)*(H965*IF(G965="",1,G965)+I965))</f>
        <v/>
      </c>
      <c r="K965" s="66" t="str">
        <f>IF(M965&lt;&gt;"OK","",N(F965)/60*H965*IF(G965="",1,G965))</f>
        <v/>
      </c>
      <c r="L965" s="66" t="str">
        <f>IF(M965&lt;&gt;"OK","",N(F965)/60*I965)</f>
        <v/>
      </c>
      <c r="M965" s="69" t="str">
        <f>IF(AND(A965="",D965=""),"",IF(A965="","Produit manquant",IF(COUNTIF(prod_ref,A965)=0,"Produit inconnu",IF(D965="","Poste manquant",IF(ISNA(MATCH(D965,po_code,0)),"Poste inconnu",IF(INDEX(po_check,MATCH(D965,po_code,0))&lt;&gt;"OK","Poste à corriger",IF(AND(E965&lt;&gt;"",OR(NOT(ISNUMBER(E965)),N(E965)&lt;0)),"Réglage invalide",IF(AND(F965&lt;&gt;"",OR(NOT(ISNUMBER(F965)),N(F965)&lt;0)),"Temps par pièce invalide",IF(N(E965)+N(F965)=0,"Temps manquant",IF(AND(G965&lt;&gt;"",OR(NOT(ISNUMBER(G965)),N(G965)&lt;=0)),"Opérateurs invalide","OK"))))))))))</f>
        <v/>
      </c>
      <c r="N965" s="71" t="str">
        <f>IF(AND(fiche_sel&lt;&gt;"",A965=fiche_sel),COUNTIF(A$6:A965,fiche_sel),"")</f>
        <v/>
      </c>
    </row>
    <row r="966">
      <c r="A966" s="60" t="n"/>
      <c r="B966" s="73" t="n"/>
      <c r="C966" s="60" t="n"/>
      <c r="D966" s="61" t="n"/>
      <c r="E966" s="74" t="n"/>
      <c r="F966" s="74" t="n"/>
      <c r="G966" s="73" t="n"/>
      <c r="H966" s="66" t="str">
        <f>IF(M966&lt;&gt;"OK","",INDEX(po_mo,MATCH(D966,po_code,0)))</f>
        <v/>
      </c>
      <c r="I966" s="66" t="str">
        <f>IF(M966&lt;&gt;"OK","",INDEX(po_mac,MATCH(D966,po_code,0)))</f>
        <v/>
      </c>
      <c r="J966" s="66" t="str">
        <f>IF(M966&lt;&gt;"OK","",N(E966)*(H966*IF(G966="",1,G966)+I966))</f>
        <v/>
      </c>
      <c r="K966" s="66" t="str">
        <f>IF(M966&lt;&gt;"OK","",N(F966)/60*H966*IF(G966="",1,G966))</f>
        <v/>
      </c>
      <c r="L966" s="66" t="str">
        <f>IF(M966&lt;&gt;"OK","",N(F966)/60*I966)</f>
        <v/>
      </c>
      <c r="M966" s="69" t="str">
        <f>IF(AND(A966="",D966=""),"",IF(A966="","Produit manquant",IF(COUNTIF(prod_ref,A966)=0,"Produit inconnu",IF(D966="","Poste manquant",IF(ISNA(MATCH(D966,po_code,0)),"Poste inconnu",IF(INDEX(po_check,MATCH(D966,po_code,0))&lt;&gt;"OK","Poste à corriger",IF(AND(E966&lt;&gt;"",OR(NOT(ISNUMBER(E966)),N(E966)&lt;0)),"Réglage invalide",IF(AND(F966&lt;&gt;"",OR(NOT(ISNUMBER(F966)),N(F966)&lt;0)),"Temps par pièce invalide",IF(N(E966)+N(F966)=0,"Temps manquant",IF(AND(G966&lt;&gt;"",OR(NOT(ISNUMBER(G966)),N(G966)&lt;=0)),"Opérateurs invalide","OK"))))))))))</f>
        <v/>
      </c>
      <c r="N966" s="71" t="str">
        <f>IF(AND(fiche_sel&lt;&gt;"",A966=fiche_sel),COUNTIF(A$6:A966,fiche_sel),"")</f>
        <v/>
      </c>
    </row>
    <row r="967">
      <c r="A967" s="60" t="n"/>
      <c r="B967" s="73" t="n"/>
      <c r="C967" s="60" t="n"/>
      <c r="D967" s="61" t="n"/>
      <c r="E967" s="74" t="n"/>
      <c r="F967" s="74" t="n"/>
      <c r="G967" s="73" t="n"/>
      <c r="H967" s="66" t="str">
        <f>IF(M967&lt;&gt;"OK","",INDEX(po_mo,MATCH(D967,po_code,0)))</f>
        <v/>
      </c>
      <c r="I967" s="66" t="str">
        <f>IF(M967&lt;&gt;"OK","",INDEX(po_mac,MATCH(D967,po_code,0)))</f>
        <v/>
      </c>
      <c r="J967" s="66" t="str">
        <f>IF(M967&lt;&gt;"OK","",N(E967)*(H967*IF(G967="",1,G967)+I967))</f>
        <v/>
      </c>
      <c r="K967" s="66" t="str">
        <f>IF(M967&lt;&gt;"OK","",N(F967)/60*H967*IF(G967="",1,G967))</f>
        <v/>
      </c>
      <c r="L967" s="66" t="str">
        <f>IF(M967&lt;&gt;"OK","",N(F967)/60*I967)</f>
        <v/>
      </c>
      <c r="M967" s="69" t="str">
        <f>IF(AND(A967="",D967=""),"",IF(A967="","Produit manquant",IF(COUNTIF(prod_ref,A967)=0,"Produit inconnu",IF(D967="","Poste manquant",IF(ISNA(MATCH(D967,po_code,0)),"Poste inconnu",IF(INDEX(po_check,MATCH(D967,po_code,0))&lt;&gt;"OK","Poste à corriger",IF(AND(E967&lt;&gt;"",OR(NOT(ISNUMBER(E967)),N(E967)&lt;0)),"Réglage invalide",IF(AND(F967&lt;&gt;"",OR(NOT(ISNUMBER(F967)),N(F967)&lt;0)),"Temps par pièce invalide",IF(N(E967)+N(F967)=0,"Temps manquant",IF(AND(G967&lt;&gt;"",OR(NOT(ISNUMBER(G967)),N(G967)&lt;=0)),"Opérateurs invalide","OK"))))))))))</f>
        <v/>
      </c>
      <c r="N967" s="71" t="str">
        <f>IF(AND(fiche_sel&lt;&gt;"",A967=fiche_sel),COUNTIF(A$6:A967,fiche_sel),"")</f>
        <v/>
      </c>
    </row>
    <row r="968">
      <c r="A968" s="60" t="n"/>
      <c r="B968" s="73" t="n"/>
      <c r="C968" s="60" t="n"/>
      <c r="D968" s="61" t="n"/>
      <c r="E968" s="74" t="n"/>
      <c r="F968" s="74" t="n"/>
      <c r="G968" s="73" t="n"/>
      <c r="H968" s="66" t="str">
        <f>IF(M968&lt;&gt;"OK","",INDEX(po_mo,MATCH(D968,po_code,0)))</f>
        <v/>
      </c>
      <c r="I968" s="66" t="str">
        <f>IF(M968&lt;&gt;"OK","",INDEX(po_mac,MATCH(D968,po_code,0)))</f>
        <v/>
      </c>
      <c r="J968" s="66" t="str">
        <f>IF(M968&lt;&gt;"OK","",N(E968)*(H968*IF(G968="",1,G968)+I968))</f>
        <v/>
      </c>
      <c r="K968" s="66" t="str">
        <f>IF(M968&lt;&gt;"OK","",N(F968)/60*H968*IF(G968="",1,G968))</f>
        <v/>
      </c>
      <c r="L968" s="66" t="str">
        <f>IF(M968&lt;&gt;"OK","",N(F968)/60*I968)</f>
        <v/>
      </c>
      <c r="M968" s="69" t="str">
        <f>IF(AND(A968="",D968=""),"",IF(A968="","Produit manquant",IF(COUNTIF(prod_ref,A968)=0,"Produit inconnu",IF(D968="","Poste manquant",IF(ISNA(MATCH(D968,po_code,0)),"Poste inconnu",IF(INDEX(po_check,MATCH(D968,po_code,0))&lt;&gt;"OK","Poste à corriger",IF(AND(E968&lt;&gt;"",OR(NOT(ISNUMBER(E968)),N(E968)&lt;0)),"Réglage invalide",IF(AND(F968&lt;&gt;"",OR(NOT(ISNUMBER(F968)),N(F968)&lt;0)),"Temps par pièce invalide",IF(N(E968)+N(F968)=0,"Temps manquant",IF(AND(G968&lt;&gt;"",OR(NOT(ISNUMBER(G968)),N(G968)&lt;=0)),"Opérateurs invalide","OK"))))))))))</f>
        <v/>
      </c>
      <c r="N968" s="71" t="str">
        <f>IF(AND(fiche_sel&lt;&gt;"",A968=fiche_sel),COUNTIF(A$6:A968,fiche_sel),"")</f>
        <v/>
      </c>
    </row>
    <row r="969">
      <c r="A969" s="60" t="n"/>
      <c r="B969" s="73" t="n"/>
      <c r="C969" s="60" t="n"/>
      <c r="D969" s="61" t="n"/>
      <c r="E969" s="74" t="n"/>
      <c r="F969" s="74" t="n"/>
      <c r="G969" s="73" t="n"/>
      <c r="H969" s="66" t="str">
        <f>IF(M969&lt;&gt;"OK","",INDEX(po_mo,MATCH(D969,po_code,0)))</f>
        <v/>
      </c>
      <c r="I969" s="66" t="str">
        <f>IF(M969&lt;&gt;"OK","",INDEX(po_mac,MATCH(D969,po_code,0)))</f>
        <v/>
      </c>
      <c r="J969" s="66" t="str">
        <f>IF(M969&lt;&gt;"OK","",N(E969)*(H969*IF(G969="",1,G969)+I969))</f>
        <v/>
      </c>
      <c r="K969" s="66" t="str">
        <f>IF(M969&lt;&gt;"OK","",N(F969)/60*H969*IF(G969="",1,G969))</f>
        <v/>
      </c>
      <c r="L969" s="66" t="str">
        <f>IF(M969&lt;&gt;"OK","",N(F969)/60*I969)</f>
        <v/>
      </c>
      <c r="M969" s="69" t="str">
        <f>IF(AND(A969="",D969=""),"",IF(A969="","Produit manquant",IF(COUNTIF(prod_ref,A969)=0,"Produit inconnu",IF(D969="","Poste manquant",IF(ISNA(MATCH(D969,po_code,0)),"Poste inconnu",IF(INDEX(po_check,MATCH(D969,po_code,0))&lt;&gt;"OK","Poste à corriger",IF(AND(E969&lt;&gt;"",OR(NOT(ISNUMBER(E969)),N(E969)&lt;0)),"Réglage invalide",IF(AND(F969&lt;&gt;"",OR(NOT(ISNUMBER(F969)),N(F969)&lt;0)),"Temps par pièce invalide",IF(N(E969)+N(F969)=0,"Temps manquant",IF(AND(G969&lt;&gt;"",OR(NOT(ISNUMBER(G969)),N(G969)&lt;=0)),"Opérateurs invalide","OK"))))))))))</f>
        <v/>
      </c>
      <c r="N969" s="71" t="str">
        <f>IF(AND(fiche_sel&lt;&gt;"",A969=fiche_sel),COUNTIF(A$6:A969,fiche_sel),"")</f>
        <v/>
      </c>
    </row>
    <row r="970">
      <c r="A970" s="60" t="n"/>
      <c r="B970" s="73" t="n"/>
      <c r="C970" s="60" t="n"/>
      <c r="D970" s="61" t="n"/>
      <c r="E970" s="74" t="n"/>
      <c r="F970" s="74" t="n"/>
      <c r="G970" s="73" t="n"/>
      <c r="H970" s="66" t="str">
        <f>IF(M970&lt;&gt;"OK","",INDEX(po_mo,MATCH(D970,po_code,0)))</f>
        <v/>
      </c>
      <c r="I970" s="66" t="str">
        <f>IF(M970&lt;&gt;"OK","",INDEX(po_mac,MATCH(D970,po_code,0)))</f>
        <v/>
      </c>
      <c r="J970" s="66" t="str">
        <f>IF(M970&lt;&gt;"OK","",N(E970)*(H970*IF(G970="",1,G970)+I970))</f>
        <v/>
      </c>
      <c r="K970" s="66" t="str">
        <f>IF(M970&lt;&gt;"OK","",N(F970)/60*H970*IF(G970="",1,G970))</f>
        <v/>
      </c>
      <c r="L970" s="66" t="str">
        <f>IF(M970&lt;&gt;"OK","",N(F970)/60*I970)</f>
        <v/>
      </c>
      <c r="M970" s="69" t="str">
        <f>IF(AND(A970="",D970=""),"",IF(A970="","Produit manquant",IF(COUNTIF(prod_ref,A970)=0,"Produit inconnu",IF(D970="","Poste manquant",IF(ISNA(MATCH(D970,po_code,0)),"Poste inconnu",IF(INDEX(po_check,MATCH(D970,po_code,0))&lt;&gt;"OK","Poste à corriger",IF(AND(E970&lt;&gt;"",OR(NOT(ISNUMBER(E970)),N(E970)&lt;0)),"Réglage invalide",IF(AND(F970&lt;&gt;"",OR(NOT(ISNUMBER(F970)),N(F970)&lt;0)),"Temps par pièce invalide",IF(N(E970)+N(F970)=0,"Temps manquant",IF(AND(G970&lt;&gt;"",OR(NOT(ISNUMBER(G970)),N(G970)&lt;=0)),"Opérateurs invalide","OK"))))))))))</f>
        <v/>
      </c>
      <c r="N970" s="71" t="str">
        <f>IF(AND(fiche_sel&lt;&gt;"",A970=fiche_sel),COUNTIF(A$6:A970,fiche_sel),"")</f>
        <v/>
      </c>
    </row>
    <row r="971">
      <c r="A971" s="60" t="n"/>
      <c r="B971" s="73" t="n"/>
      <c r="C971" s="60" t="n"/>
      <c r="D971" s="61" t="n"/>
      <c r="E971" s="74" t="n"/>
      <c r="F971" s="74" t="n"/>
      <c r="G971" s="73" t="n"/>
      <c r="H971" s="66" t="str">
        <f>IF(M971&lt;&gt;"OK","",INDEX(po_mo,MATCH(D971,po_code,0)))</f>
        <v/>
      </c>
      <c r="I971" s="66" t="str">
        <f>IF(M971&lt;&gt;"OK","",INDEX(po_mac,MATCH(D971,po_code,0)))</f>
        <v/>
      </c>
      <c r="J971" s="66" t="str">
        <f>IF(M971&lt;&gt;"OK","",N(E971)*(H971*IF(G971="",1,G971)+I971))</f>
        <v/>
      </c>
      <c r="K971" s="66" t="str">
        <f>IF(M971&lt;&gt;"OK","",N(F971)/60*H971*IF(G971="",1,G971))</f>
        <v/>
      </c>
      <c r="L971" s="66" t="str">
        <f>IF(M971&lt;&gt;"OK","",N(F971)/60*I971)</f>
        <v/>
      </c>
      <c r="M971" s="69" t="str">
        <f>IF(AND(A971="",D971=""),"",IF(A971="","Produit manquant",IF(COUNTIF(prod_ref,A971)=0,"Produit inconnu",IF(D971="","Poste manquant",IF(ISNA(MATCH(D971,po_code,0)),"Poste inconnu",IF(INDEX(po_check,MATCH(D971,po_code,0))&lt;&gt;"OK","Poste à corriger",IF(AND(E971&lt;&gt;"",OR(NOT(ISNUMBER(E971)),N(E971)&lt;0)),"Réglage invalide",IF(AND(F971&lt;&gt;"",OR(NOT(ISNUMBER(F971)),N(F971)&lt;0)),"Temps par pièce invalide",IF(N(E971)+N(F971)=0,"Temps manquant",IF(AND(G971&lt;&gt;"",OR(NOT(ISNUMBER(G971)),N(G971)&lt;=0)),"Opérateurs invalide","OK"))))))))))</f>
        <v/>
      </c>
      <c r="N971" s="71" t="str">
        <f>IF(AND(fiche_sel&lt;&gt;"",A971=fiche_sel),COUNTIF(A$6:A971,fiche_sel),"")</f>
        <v/>
      </c>
    </row>
    <row r="972">
      <c r="A972" s="60" t="n"/>
      <c r="B972" s="73" t="n"/>
      <c r="C972" s="60" t="n"/>
      <c r="D972" s="61" t="n"/>
      <c r="E972" s="74" t="n"/>
      <c r="F972" s="74" t="n"/>
      <c r="G972" s="73" t="n"/>
      <c r="H972" s="66" t="str">
        <f>IF(M972&lt;&gt;"OK","",INDEX(po_mo,MATCH(D972,po_code,0)))</f>
        <v/>
      </c>
      <c r="I972" s="66" t="str">
        <f>IF(M972&lt;&gt;"OK","",INDEX(po_mac,MATCH(D972,po_code,0)))</f>
        <v/>
      </c>
      <c r="J972" s="66" t="str">
        <f>IF(M972&lt;&gt;"OK","",N(E972)*(H972*IF(G972="",1,G972)+I972))</f>
        <v/>
      </c>
      <c r="K972" s="66" t="str">
        <f>IF(M972&lt;&gt;"OK","",N(F972)/60*H972*IF(G972="",1,G972))</f>
        <v/>
      </c>
      <c r="L972" s="66" t="str">
        <f>IF(M972&lt;&gt;"OK","",N(F972)/60*I972)</f>
        <v/>
      </c>
      <c r="M972" s="69" t="str">
        <f>IF(AND(A972="",D972=""),"",IF(A972="","Produit manquant",IF(COUNTIF(prod_ref,A972)=0,"Produit inconnu",IF(D972="","Poste manquant",IF(ISNA(MATCH(D972,po_code,0)),"Poste inconnu",IF(INDEX(po_check,MATCH(D972,po_code,0))&lt;&gt;"OK","Poste à corriger",IF(AND(E972&lt;&gt;"",OR(NOT(ISNUMBER(E972)),N(E972)&lt;0)),"Réglage invalide",IF(AND(F972&lt;&gt;"",OR(NOT(ISNUMBER(F972)),N(F972)&lt;0)),"Temps par pièce invalide",IF(N(E972)+N(F972)=0,"Temps manquant",IF(AND(G972&lt;&gt;"",OR(NOT(ISNUMBER(G972)),N(G972)&lt;=0)),"Opérateurs invalide","OK"))))))))))</f>
        <v/>
      </c>
      <c r="N972" s="71" t="str">
        <f>IF(AND(fiche_sel&lt;&gt;"",A972=fiche_sel),COUNTIF(A$6:A972,fiche_sel),"")</f>
        <v/>
      </c>
    </row>
    <row r="973">
      <c r="A973" s="60" t="n"/>
      <c r="B973" s="73" t="n"/>
      <c r="C973" s="60" t="n"/>
      <c r="D973" s="61" t="n"/>
      <c r="E973" s="74" t="n"/>
      <c r="F973" s="74" t="n"/>
      <c r="G973" s="73" t="n"/>
      <c r="H973" s="66" t="str">
        <f>IF(M973&lt;&gt;"OK","",INDEX(po_mo,MATCH(D973,po_code,0)))</f>
        <v/>
      </c>
      <c r="I973" s="66" t="str">
        <f>IF(M973&lt;&gt;"OK","",INDEX(po_mac,MATCH(D973,po_code,0)))</f>
        <v/>
      </c>
      <c r="J973" s="66" t="str">
        <f>IF(M973&lt;&gt;"OK","",N(E973)*(H973*IF(G973="",1,G973)+I973))</f>
        <v/>
      </c>
      <c r="K973" s="66" t="str">
        <f>IF(M973&lt;&gt;"OK","",N(F973)/60*H973*IF(G973="",1,G973))</f>
        <v/>
      </c>
      <c r="L973" s="66" t="str">
        <f>IF(M973&lt;&gt;"OK","",N(F973)/60*I973)</f>
        <v/>
      </c>
      <c r="M973" s="69" t="str">
        <f>IF(AND(A973="",D973=""),"",IF(A973="","Produit manquant",IF(COUNTIF(prod_ref,A973)=0,"Produit inconnu",IF(D973="","Poste manquant",IF(ISNA(MATCH(D973,po_code,0)),"Poste inconnu",IF(INDEX(po_check,MATCH(D973,po_code,0))&lt;&gt;"OK","Poste à corriger",IF(AND(E973&lt;&gt;"",OR(NOT(ISNUMBER(E973)),N(E973)&lt;0)),"Réglage invalide",IF(AND(F973&lt;&gt;"",OR(NOT(ISNUMBER(F973)),N(F973)&lt;0)),"Temps par pièce invalide",IF(N(E973)+N(F973)=0,"Temps manquant",IF(AND(G973&lt;&gt;"",OR(NOT(ISNUMBER(G973)),N(G973)&lt;=0)),"Opérateurs invalide","OK"))))))))))</f>
        <v/>
      </c>
      <c r="N973" s="71" t="str">
        <f>IF(AND(fiche_sel&lt;&gt;"",A973=fiche_sel),COUNTIF(A$6:A973,fiche_sel),"")</f>
        <v/>
      </c>
    </row>
    <row r="974">
      <c r="A974" s="60" t="n"/>
      <c r="B974" s="73" t="n"/>
      <c r="C974" s="60" t="n"/>
      <c r="D974" s="61" t="n"/>
      <c r="E974" s="74" t="n"/>
      <c r="F974" s="74" t="n"/>
      <c r="G974" s="73" t="n"/>
      <c r="H974" s="66" t="str">
        <f>IF(M974&lt;&gt;"OK","",INDEX(po_mo,MATCH(D974,po_code,0)))</f>
        <v/>
      </c>
      <c r="I974" s="66" t="str">
        <f>IF(M974&lt;&gt;"OK","",INDEX(po_mac,MATCH(D974,po_code,0)))</f>
        <v/>
      </c>
      <c r="J974" s="66" t="str">
        <f>IF(M974&lt;&gt;"OK","",N(E974)*(H974*IF(G974="",1,G974)+I974))</f>
        <v/>
      </c>
      <c r="K974" s="66" t="str">
        <f>IF(M974&lt;&gt;"OK","",N(F974)/60*H974*IF(G974="",1,G974))</f>
        <v/>
      </c>
      <c r="L974" s="66" t="str">
        <f>IF(M974&lt;&gt;"OK","",N(F974)/60*I974)</f>
        <v/>
      </c>
      <c r="M974" s="69" t="str">
        <f>IF(AND(A974="",D974=""),"",IF(A974="","Produit manquant",IF(COUNTIF(prod_ref,A974)=0,"Produit inconnu",IF(D974="","Poste manquant",IF(ISNA(MATCH(D974,po_code,0)),"Poste inconnu",IF(INDEX(po_check,MATCH(D974,po_code,0))&lt;&gt;"OK","Poste à corriger",IF(AND(E974&lt;&gt;"",OR(NOT(ISNUMBER(E974)),N(E974)&lt;0)),"Réglage invalide",IF(AND(F974&lt;&gt;"",OR(NOT(ISNUMBER(F974)),N(F974)&lt;0)),"Temps par pièce invalide",IF(N(E974)+N(F974)=0,"Temps manquant",IF(AND(G974&lt;&gt;"",OR(NOT(ISNUMBER(G974)),N(G974)&lt;=0)),"Opérateurs invalide","OK"))))))))))</f>
        <v/>
      </c>
      <c r="N974" s="71" t="str">
        <f>IF(AND(fiche_sel&lt;&gt;"",A974=fiche_sel),COUNTIF(A$6:A974,fiche_sel),"")</f>
        <v/>
      </c>
    </row>
    <row r="975">
      <c r="A975" s="60" t="n"/>
      <c r="B975" s="73" t="n"/>
      <c r="C975" s="60" t="n"/>
      <c r="D975" s="61" t="n"/>
      <c r="E975" s="74" t="n"/>
      <c r="F975" s="74" t="n"/>
      <c r="G975" s="73" t="n"/>
      <c r="H975" s="66" t="str">
        <f>IF(M975&lt;&gt;"OK","",INDEX(po_mo,MATCH(D975,po_code,0)))</f>
        <v/>
      </c>
      <c r="I975" s="66" t="str">
        <f>IF(M975&lt;&gt;"OK","",INDEX(po_mac,MATCH(D975,po_code,0)))</f>
        <v/>
      </c>
      <c r="J975" s="66" t="str">
        <f>IF(M975&lt;&gt;"OK","",N(E975)*(H975*IF(G975="",1,G975)+I975))</f>
        <v/>
      </c>
      <c r="K975" s="66" t="str">
        <f>IF(M975&lt;&gt;"OK","",N(F975)/60*H975*IF(G975="",1,G975))</f>
        <v/>
      </c>
      <c r="L975" s="66" t="str">
        <f>IF(M975&lt;&gt;"OK","",N(F975)/60*I975)</f>
        <v/>
      </c>
      <c r="M975" s="69" t="str">
        <f>IF(AND(A975="",D975=""),"",IF(A975="","Produit manquant",IF(COUNTIF(prod_ref,A975)=0,"Produit inconnu",IF(D975="","Poste manquant",IF(ISNA(MATCH(D975,po_code,0)),"Poste inconnu",IF(INDEX(po_check,MATCH(D975,po_code,0))&lt;&gt;"OK","Poste à corriger",IF(AND(E975&lt;&gt;"",OR(NOT(ISNUMBER(E975)),N(E975)&lt;0)),"Réglage invalide",IF(AND(F975&lt;&gt;"",OR(NOT(ISNUMBER(F975)),N(F975)&lt;0)),"Temps par pièce invalide",IF(N(E975)+N(F975)=0,"Temps manquant",IF(AND(G975&lt;&gt;"",OR(NOT(ISNUMBER(G975)),N(G975)&lt;=0)),"Opérateurs invalide","OK"))))))))))</f>
        <v/>
      </c>
      <c r="N975" s="71" t="str">
        <f>IF(AND(fiche_sel&lt;&gt;"",A975=fiche_sel),COUNTIF(A$6:A975,fiche_sel),"")</f>
        <v/>
      </c>
    </row>
    <row r="976">
      <c r="A976" s="60" t="n"/>
      <c r="B976" s="73" t="n"/>
      <c r="C976" s="60" t="n"/>
      <c r="D976" s="61" t="n"/>
      <c r="E976" s="74" t="n"/>
      <c r="F976" s="74" t="n"/>
      <c r="G976" s="73" t="n"/>
      <c r="H976" s="66" t="str">
        <f>IF(M976&lt;&gt;"OK","",INDEX(po_mo,MATCH(D976,po_code,0)))</f>
        <v/>
      </c>
      <c r="I976" s="66" t="str">
        <f>IF(M976&lt;&gt;"OK","",INDEX(po_mac,MATCH(D976,po_code,0)))</f>
        <v/>
      </c>
      <c r="J976" s="66" t="str">
        <f>IF(M976&lt;&gt;"OK","",N(E976)*(H976*IF(G976="",1,G976)+I976))</f>
        <v/>
      </c>
      <c r="K976" s="66" t="str">
        <f>IF(M976&lt;&gt;"OK","",N(F976)/60*H976*IF(G976="",1,G976))</f>
        <v/>
      </c>
      <c r="L976" s="66" t="str">
        <f>IF(M976&lt;&gt;"OK","",N(F976)/60*I976)</f>
        <v/>
      </c>
      <c r="M976" s="69" t="str">
        <f>IF(AND(A976="",D976=""),"",IF(A976="","Produit manquant",IF(COUNTIF(prod_ref,A976)=0,"Produit inconnu",IF(D976="","Poste manquant",IF(ISNA(MATCH(D976,po_code,0)),"Poste inconnu",IF(INDEX(po_check,MATCH(D976,po_code,0))&lt;&gt;"OK","Poste à corriger",IF(AND(E976&lt;&gt;"",OR(NOT(ISNUMBER(E976)),N(E976)&lt;0)),"Réglage invalide",IF(AND(F976&lt;&gt;"",OR(NOT(ISNUMBER(F976)),N(F976)&lt;0)),"Temps par pièce invalide",IF(N(E976)+N(F976)=0,"Temps manquant",IF(AND(G976&lt;&gt;"",OR(NOT(ISNUMBER(G976)),N(G976)&lt;=0)),"Opérateurs invalide","OK"))))))))))</f>
        <v/>
      </c>
      <c r="N976" s="71" t="str">
        <f>IF(AND(fiche_sel&lt;&gt;"",A976=fiche_sel),COUNTIF(A$6:A976,fiche_sel),"")</f>
        <v/>
      </c>
    </row>
    <row r="977">
      <c r="A977" s="60" t="n"/>
      <c r="B977" s="73" t="n"/>
      <c r="C977" s="60" t="n"/>
      <c r="D977" s="61" t="n"/>
      <c r="E977" s="74" t="n"/>
      <c r="F977" s="74" t="n"/>
      <c r="G977" s="73" t="n"/>
      <c r="H977" s="66" t="str">
        <f>IF(M977&lt;&gt;"OK","",INDEX(po_mo,MATCH(D977,po_code,0)))</f>
        <v/>
      </c>
      <c r="I977" s="66" t="str">
        <f>IF(M977&lt;&gt;"OK","",INDEX(po_mac,MATCH(D977,po_code,0)))</f>
        <v/>
      </c>
      <c r="J977" s="66" t="str">
        <f>IF(M977&lt;&gt;"OK","",N(E977)*(H977*IF(G977="",1,G977)+I977))</f>
        <v/>
      </c>
      <c r="K977" s="66" t="str">
        <f>IF(M977&lt;&gt;"OK","",N(F977)/60*H977*IF(G977="",1,G977))</f>
        <v/>
      </c>
      <c r="L977" s="66" t="str">
        <f>IF(M977&lt;&gt;"OK","",N(F977)/60*I977)</f>
        <v/>
      </c>
      <c r="M977" s="69" t="str">
        <f>IF(AND(A977="",D977=""),"",IF(A977="","Produit manquant",IF(COUNTIF(prod_ref,A977)=0,"Produit inconnu",IF(D977="","Poste manquant",IF(ISNA(MATCH(D977,po_code,0)),"Poste inconnu",IF(INDEX(po_check,MATCH(D977,po_code,0))&lt;&gt;"OK","Poste à corriger",IF(AND(E977&lt;&gt;"",OR(NOT(ISNUMBER(E977)),N(E977)&lt;0)),"Réglage invalide",IF(AND(F977&lt;&gt;"",OR(NOT(ISNUMBER(F977)),N(F977)&lt;0)),"Temps par pièce invalide",IF(N(E977)+N(F977)=0,"Temps manquant",IF(AND(G977&lt;&gt;"",OR(NOT(ISNUMBER(G977)),N(G977)&lt;=0)),"Opérateurs invalide","OK"))))))))))</f>
        <v/>
      </c>
      <c r="N977" s="71" t="str">
        <f>IF(AND(fiche_sel&lt;&gt;"",A977=fiche_sel),COUNTIF(A$6:A977,fiche_sel),"")</f>
        <v/>
      </c>
    </row>
    <row r="978">
      <c r="A978" s="60" t="n"/>
      <c r="B978" s="73" t="n"/>
      <c r="C978" s="60" t="n"/>
      <c r="D978" s="61" t="n"/>
      <c r="E978" s="74" t="n"/>
      <c r="F978" s="74" t="n"/>
      <c r="G978" s="73" t="n"/>
      <c r="H978" s="66" t="str">
        <f>IF(M978&lt;&gt;"OK","",INDEX(po_mo,MATCH(D978,po_code,0)))</f>
        <v/>
      </c>
      <c r="I978" s="66" t="str">
        <f>IF(M978&lt;&gt;"OK","",INDEX(po_mac,MATCH(D978,po_code,0)))</f>
        <v/>
      </c>
      <c r="J978" s="66" t="str">
        <f>IF(M978&lt;&gt;"OK","",N(E978)*(H978*IF(G978="",1,G978)+I978))</f>
        <v/>
      </c>
      <c r="K978" s="66" t="str">
        <f>IF(M978&lt;&gt;"OK","",N(F978)/60*H978*IF(G978="",1,G978))</f>
        <v/>
      </c>
      <c r="L978" s="66" t="str">
        <f>IF(M978&lt;&gt;"OK","",N(F978)/60*I978)</f>
        <v/>
      </c>
      <c r="M978" s="69" t="str">
        <f>IF(AND(A978="",D978=""),"",IF(A978="","Produit manquant",IF(COUNTIF(prod_ref,A978)=0,"Produit inconnu",IF(D978="","Poste manquant",IF(ISNA(MATCH(D978,po_code,0)),"Poste inconnu",IF(INDEX(po_check,MATCH(D978,po_code,0))&lt;&gt;"OK","Poste à corriger",IF(AND(E978&lt;&gt;"",OR(NOT(ISNUMBER(E978)),N(E978)&lt;0)),"Réglage invalide",IF(AND(F978&lt;&gt;"",OR(NOT(ISNUMBER(F978)),N(F978)&lt;0)),"Temps par pièce invalide",IF(N(E978)+N(F978)=0,"Temps manquant",IF(AND(G978&lt;&gt;"",OR(NOT(ISNUMBER(G978)),N(G978)&lt;=0)),"Opérateurs invalide","OK"))))))))))</f>
        <v/>
      </c>
      <c r="N978" s="71" t="str">
        <f>IF(AND(fiche_sel&lt;&gt;"",A978=fiche_sel),COUNTIF(A$6:A978,fiche_sel),"")</f>
        <v/>
      </c>
    </row>
    <row r="979">
      <c r="A979" s="60" t="n"/>
      <c r="B979" s="73" t="n"/>
      <c r="C979" s="60" t="n"/>
      <c r="D979" s="61" t="n"/>
      <c r="E979" s="74" t="n"/>
      <c r="F979" s="74" t="n"/>
      <c r="G979" s="73" t="n"/>
      <c r="H979" s="66" t="str">
        <f>IF(M979&lt;&gt;"OK","",INDEX(po_mo,MATCH(D979,po_code,0)))</f>
        <v/>
      </c>
      <c r="I979" s="66" t="str">
        <f>IF(M979&lt;&gt;"OK","",INDEX(po_mac,MATCH(D979,po_code,0)))</f>
        <v/>
      </c>
      <c r="J979" s="66" t="str">
        <f>IF(M979&lt;&gt;"OK","",N(E979)*(H979*IF(G979="",1,G979)+I979))</f>
        <v/>
      </c>
      <c r="K979" s="66" t="str">
        <f>IF(M979&lt;&gt;"OK","",N(F979)/60*H979*IF(G979="",1,G979))</f>
        <v/>
      </c>
      <c r="L979" s="66" t="str">
        <f>IF(M979&lt;&gt;"OK","",N(F979)/60*I979)</f>
        <v/>
      </c>
      <c r="M979" s="69" t="str">
        <f>IF(AND(A979="",D979=""),"",IF(A979="","Produit manquant",IF(COUNTIF(prod_ref,A979)=0,"Produit inconnu",IF(D979="","Poste manquant",IF(ISNA(MATCH(D979,po_code,0)),"Poste inconnu",IF(INDEX(po_check,MATCH(D979,po_code,0))&lt;&gt;"OK","Poste à corriger",IF(AND(E979&lt;&gt;"",OR(NOT(ISNUMBER(E979)),N(E979)&lt;0)),"Réglage invalide",IF(AND(F979&lt;&gt;"",OR(NOT(ISNUMBER(F979)),N(F979)&lt;0)),"Temps par pièce invalide",IF(N(E979)+N(F979)=0,"Temps manquant",IF(AND(G979&lt;&gt;"",OR(NOT(ISNUMBER(G979)),N(G979)&lt;=0)),"Opérateurs invalide","OK"))))))))))</f>
        <v/>
      </c>
      <c r="N979" s="71" t="str">
        <f>IF(AND(fiche_sel&lt;&gt;"",A979=fiche_sel),COUNTIF(A$6:A979,fiche_sel),"")</f>
        <v/>
      </c>
    </row>
    <row r="980">
      <c r="A980" s="60" t="n"/>
      <c r="B980" s="73" t="n"/>
      <c r="C980" s="60" t="n"/>
      <c r="D980" s="61" t="n"/>
      <c r="E980" s="74" t="n"/>
      <c r="F980" s="74" t="n"/>
      <c r="G980" s="73" t="n"/>
      <c r="H980" s="66" t="str">
        <f>IF(M980&lt;&gt;"OK","",INDEX(po_mo,MATCH(D980,po_code,0)))</f>
        <v/>
      </c>
      <c r="I980" s="66" t="str">
        <f>IF(M980&lt;&gt;"OK","",INDEX(po_mac,MATCH(D980,po_code,0)))</f>
        <v/>
      </c>
      <c r="J980" s="66" t="str">
        <f>IF(M980&lt;&gt;"OK","",N(E980)*(H980*IF(G980="",1,G980)+I980))</f>
        <v/>
      </c>
      <c r="K980" s="66" t="str">
        <f>IF(M980&lt;&gt;"OK","",N(F980)/60*H980*IF(G980="",1,G980))</f>
        <v/>
      </c>
      <c r="L980" s="66" t="str">
        <f>IF(M980&lt;&gt;"OK","",N(F980)/60*I980)</f>
        <v/>
      </c>
      <c r="M980" s="69" t="str">
        <f>IF(AND(A980="",D980=""),"",IF(A980="","Produit manquant",IF(COUNTIF(prod_ref,A980)=0,"Produit inconnu",IF(D980="","Poste manquant",IF(ISNA(MATCH(D980,po_code,0)),"Poste inconnu",IF(INDEX(po_check,MATCH(D980,po_code,0))&lt;&gt;"OK","Poste à corriger",IF(AND(E980&lt;&gt;"",OR(NOT(ISNUMBER(E980)),N(E980)&lt;0)),"Réglage invalide",IF(AND(F980&lt;&gt;"",OR(NOT(ISNUMBER(F980)),N(F980)&lt;0)),"Temps par pièce invalide",IF(N(E980)+N(F980)=0,"Temps manquant",IF(AND(G980&lt;&gt;"",OR(NOT(ISNUMBER(G980)),N(G980)&lt;=0)),"Opérateurs invalide","OK"))))))))))</f>
        <v/>
      </c>
      <c r="N980" s="71" t="str">
        <f>IF(AND(fiche_sel&lt;&gt;"",A980=fiche_sel),COUNTIF(A$6:A980,fiche_sel),"")</f>
        <v/>
      </c>
    </row>
    <row r="981">
      <c r="A981" s="60" t="n"/>
      <c r="B981" s="73" t="n"/>
      <c r="C981" s="60" t="n"/>
      <c r="D981" s="61" t="n"/>
      <c r="E981" s="74" t="n"/>
      <c r="F981" s="74" t="n"/>
      <c r="G981" s="73" t="n"/>
      <c r="H981" s="66" t="str">
        <f>IF(M981&lt;&gt;"OK","",INDEX(po_mo,MATCH(D981,po_code,0)))</f>
        <v/>
      </c>
      <c r="I981" s="66" t="str">
        <f>IF(M981&lt;&gt;"OK","",INDEX(po_mac,MATCH(D981,po_code,0)))</f>
        <v/>
      </c>
      <c r="J981" s="66" t="str">
        <f>IF(M981&lt;&gt;"OK","",N(E981)*(H981*IF(G981="",1,G981)+I981))</f>
        <v/>
      </c>
      <c r="K981" s="66" t="str">
        <f>IF(M981&lt;&gt;"OK","",N(F981)/60*H981*IF(G981="",1,G981))</f>
        <v/>
      </c>
      <c r="L981" s="66" t="str">
        <f>IF(M981&lt;&gt;"OK","",N(F981)/60*I981)</f>
        <v/>
      </c>
      <c r="M981" s="69" t="str">
        <f>IF(AND(A981="",D981=""),"",IF(A981="","Produit manquant",IF(COUNTIF(prod_ref,A981)=0,"Produit inconnu",IF(D981="","Poste manquant",IF(ISNA(MATCH(D981,po_code,0)),"Poste inconnu",IF(INDEX(po_check,MATCH(D981,po_code,0))&lt;&gt;"OK","Poste à corriger",IF(AND(E981&lt;&gt;"",OR(NOT(ISNUMBER(E981)),N(E981)&lt;0)),"Réglage invalide",IF(AND(F981&lt;&gt;"",OR(NOT(ISNUMBER(F981)),N(F981)&lt;0)),"Temps par pièce invalide",IF(N(E981)+N(F981)=0,"Temps manquant",IF(AND(G981&lt;&gt;"",OR(NOT(ISNUMBER(G981)),N(G981)&lt;=0)),"Opérateurs invalide","OK"))))))))))</f>
        <v/>
      </c>
      <c r="N981" s="71" t="str">
        <f>IF(AND(fiche_sel&lt;&gt;"",A981=fiche_sel),COUNTIF(A$6:A981,fiche_sel),"")</f>
        <v/>
      </c>
    </row>
    <row r="982">
      <c r="A982" s="60" t="n"/>
      <c r="B982" s="73" t="n"/>
      <c r="C982" s="60" t="n"/>
      <c r="D982" s="61" t="n"/>
      <c r="E982" s="74" t="n"/>
      <c r="F982" s="74" t="n"/>
      <c r="G982" s="73" t="n"/>
      <c r="H982" s="66" t="str">
        <f>IF(M982&lt;&gt;"OK","",INDEX(po_mo,MATCH(D982,po_code,0)))</f>
        <v/>
      </c>
      <c r="I982" s="66" t="str">
        <f>IF(M982&lt;&gt;"OK","",INDEX(po_mac,MATCH(D982,po_code,0)))</f>
        <v/>
      </c>
      <c r="J982" s="66" t="str">
        <f>IF(M982&lt;&gt;"OK","",N(E982)*(H982*IF(G982="",1,G982)+I982))</f>
        <v/>
      </c>
      <c r="K982" s="66" t="str">
        <f>IF(M982&lt;&gt;"OK","",N(F982)/60*H982*IF(G982="",1,G982))</f>
        <v/>
      </c>
      <c r="L982" s="66" t="str">
        <f>IF(M982&lt;&gt;"OK","",N(F982)/60*I982)</f>
        <v/>
      </c>
      <c r="M982" s="69" t="str">
        <f>IF(AND(A982="",D982=""),"",IF(A982="","Produit manquant",IF(COUNTIF(prod_ref,A982)=0,"Produit inconnu",IF(D982="","Poste manquant",IF(ISNA(MATCH(D982,po_code,0)),"Poste inconnu",IF(INDEX(po_check,MATCH(D982,po_code,0))&lt;&gt;"OK","Poste à corriger",IF(AND(E982&lt;&gt;"",OR(NOT(ISNUMBER(E982)),N(E982)&lt;0)),"Réglage invalide",IF(AND(F982&lt;&gt;"",OR(NOT(ISNUMBER(F982)),N(F982)&lt;0)),"Temps par pièce invalide",IF(N(E982)+N(F982)=0,"Temps manquant",IF(AND(G982&lt;&gt;"",OR(NOT(ISNUMBER(G982)),N(G982)&lt;=0)),"Opérateurs invalide","OK"))))))))))</f>
        <v/>
      </c>
      <c r="N982" s="71" t="str">
        <f>IF(AND(fiche_sel&lt;&gt;"",A982=fiche_sel),COUNTIF(A$6:A982,fiche_sel),"")</f>
        <v/>
      </c>
    </row>
    <row r="983">
      <c r="A983" s="60" t="n"/>
      <c r="B983" s="73" t="n"/>
      <c r="C983" s="60" t="n"/>
      <c r="D983" s="61" t="n"/>
      <c r="E983" s="74" t="n"/>
      <c r="F983" s="74" t="n"/>
      <c r="G983" s="73" t="n"/>
      <c r="H983" s="66" t="str">
        <f>IF(M983&lt;&gt;"OK","",INDEX(po_mo,MATCH(D983,po_code,0)))</f>
        <v/>
      </c>
      <c r="I983" s="66" t="str">
        <f>IF(M983&lt;&gt;"OK","",INDEX(po_mac,MATCH(D983,po_code,0)))</f>
        <v/>
      </c>
      <c r="J983" s="66" t="str">
        <f>IF(M983&lt;&gt;"OK","",N(E983)*(H983*IF(G983="",1,G983)+I983))</f>
        <v/>
      </c>
      <c r="K983" s="66" t="str">
        <f>IF(M983&lt;&gt;"OK","",N(F983)/60*H983*IF(G983="",1,G983))</f>
        <v/>
      </c>
      <c r="L983" s="66" t="str">
        <f>IF(M983&lt;&gt;"OK","",N(F983)/60*I983)</f>
        <v/>
      </c>
      <c r="M983" s="69" t="str">
        <f>IF(AND(A983="",D983=""),"",IF(A983="","Produit manquant",IF(COUNTIF(prod_ref,A983)=0,"Produit inconnu",IF(D983="","Poste manquant",IF(ISNA(MATCH(D983,po_code,0)),"Poste inconnu",IF(INDEX(po_check,MATCH(D983,po_code,0))&lt;&gt;"OK","Poste à corriger",IF(AND(E983&lt;&gt;"",OR(NOT(ISNUMBER(E983)),N(E983)&lt;0)),"Réglage invalide",IF(AND(F983&lt;&gt;"",OR(NOT(ISNUMBER(F983)),N(F983)&lt;0)),"Temps par pièce invalide",IF(N(E983)+N(F983)=0,"Temps manquant",IF(AND(G983&lt;&gt;"",OR(NOT(ISNUMBER(G983)),N(G983)&lt;=0)),"Opérateurs invalide","OK"))))))))))</f>
        <v/>
      </c>
      <c r="N983" s="71" t="str">
        <f>IF(AND(fiche_sel&lt;&gt;"",A983=fiche_sel),COUNTIF(A$6:A983,fiche_sel),"")</f>
        <v/>
      </c>
    </row>
    <row r="984">
      <c r="A984" s="60" t="n"/>
      <c r="B984" s="73" t="n"/>
      <c r="C984" s="60" t="n"/>
      <c r="D984" s="61" t="n"/>
      <c r="E984" s="74" t="n"/>
      <c r="F984" s="74" t="n"/>
      <c r="G984" s="73" t="n"/>
      <c r="H984" s="66" t="str">
        <f>IF(M984&lt;&gt;"OK","",INDEX(po_mo,MATCH(D984,po_code,0)))</f>
        <v/>
      </c>
      <c r="I984" s="66" t="str">
        <f>IF(M984&lt;&gt;"OK","",INDEX(po_mac,MATCH(D984,po_code,0)))</f>
        <v/>
      </c>
      <c r="J984" s="66" t="str">
        <f>IF(M984&lt;&gt;"OK","",N(E984)*(H984*IF(G984="",1,G984)+I984))</f>
        <v/>
      </c>
      <c r="K984" s="66" t="str">
        <f>IF(M984&lt;&gt;"OK","",N(F984)/60*H984*IF(G984="",1,G984))</f>
        <v/>
      </c>
      <c r="L984" s="66" t="str">
        <f>IF(M984&lt;&gt;"OK","",N(F984)/60*I984)</f>
        <v/>
      </c>
      <c r="M984" s="69" t="str">
        <f>IF(AND(A984="",D984=""),"",IF(A984="","Produit manquant",IF(COUNTIF(prod_ref,A984)=0,"Produit inconnu",IF(D984="","Poste manquant",IF(ISNA(MATCH(D984,po_code,0)),"Poste inconnu",IF(INDEX(po_check,MATCH(D984,po_code,0))&lt;&gt;"OK","Poste à corriger",IF(AND(E984&lt;&gt;"",OR(NOT(ISNUMBER(E984)),N(E984)&lt;0)),"Réglage invalide",IF(AND(F984&lt;&gt;"",OR(NOT(ISNUMBER(F984)),N(F984)&lt;0)),"Temps par pièce invalide",IF(N(E984)+N(F984)=0,"Temps manquant",IF(AND(G984&lt;&gt;"",OR(NOT(ISNUMBER(G984)),N(G984)&lt;=0)),"Opérateurs invalide","OK"))))))))))</f>
        <v/>
      </c>
      <c r="N984" s="71" t="str">
        <f>IF(AND(fiche_sel&lt;&gt;"",A984=fiche_sel),COUNTIF(A$6:A984,fiche_sel),"")</f>
        <v/>
      </c>
    </row>
    <row r="985">
      <c r="A985" s="60" t="n"/>
      <c r="B985" s="73" t="n"/>
      <c r="C985" s="60" t="n"/>
      <c r="D985" s="61" t="n"/>
      <c r="E985" s="74" t="n"/>
      <c r="F985" s="74" t="n"/>
      <c r="G985" s="73" t="n"/>
      <c r="H985" s="66" t="str">
        <f>IF(M985&lt;&gt;"OK","",INDEX(po_mo,MATCH(D985,po_code,0)))</f>
        <v/>
      </c>
      <c r="I985" s="66" t="str">
        <f>IF(M985&lt;&gt;"OK","",INDEX(po_mac,MATCH(D985,po_code,0)))</f>
        <v/>
      </c>
      <c r="J985" s="66" t="str">
        <f>IF(M985&lt;&gt;"OK","",N(E985)*(H985*IF(G985="",1,G985)+I985))</f>
        <v/>
      </c>
      <c r="K985" s="66" t="str">
        <f>IF(M985&lt;&gt;"OK","",N(F985)/60*H985*IF(G985="",1,G985))</f>
        <v/>
      </c>
      <c r="L985" s="66" t="str">
        <f>IF(M985&lt;&gt;"OK","",N(F985)/60*I985)</f>
        <v/>
      </c>
      <c r="M985" s="69" t="str">
        <f>IF(AND(A985="",D985=""),"",IF(A985="","Produit manquant",IF(COUNTIF(prod_ref,A985)=0,"Produit inconnu",IF(D985="","Poste manquant",IF(ISNA(MATCH(D985,po_code,0)),"Poste inconnu",IF(INDEX(po_check,MATCH(D985,po_code,0))&lt;&gt;"OK","Poste à corriger",IF(AND(E985&lt;&gt;"",OR(NOT(ISNUMBER(E985)),N(E985)&lt;0)),"Réglage invalide",IF(AND(F985&lt;&gt;"",OR(NOT(ISNUMBER(F985)),N(F985)&lt;0)),"Temps par pièce invalide",IF(N(E985)+N(F985)=0,"Temps manquant",IF(AND(G985&lt;&gt;"",OR(NOT(ISNUMBER(G985)),N(G985)&lt;=0)),"Opérateurs invalide","OK"))))))))))</f>
        <v/>
      </c>
      <c r="N985" s="71" t="str">
        <f>IF(AND(fiche_sel&lt;&gt;"",A985=fiche_sel),COUNTIF(A$6:A985,fiche_sel),"")</f>
        <v/>
      </c>
    </row>
    <row r="986">
      <c r="A986" s="60" t="n"/>
      <c r="B986" s="73" t="n"/>
      <c r="C986" s="60" t="n"/>
      <c r="D986" s="61" t="n"/>
      <c r="E986" s="74" t="n"/>
      <c r="F986" s="74" t="n"/>
      <c r="G986" s="73" t="n"/>
      <c r="H986" s="66" t="str">
        <f>IF(M986&lt;&gt;"OK","",INDEX(po_mo,MATCH(D986,po_code,0)))</f>
        <v/>
      </c>
      <c r="I986" s="66" t="str">
        <f>IF(M986&lt;&gt;"OK","",INDEX(po_mac,MATCH(D986,po_code,0)))</f>
        <v/>
      </c>
      <c r="J986" s="66" t="str">
        <f>IF(M986&lt;&gt;"OK","",N(E986)*(H986*IF(G986="",1,G986)+I986))</f>
        <v/>
      </c>
      <c r="K986" s="66" t="str">
        <f>IF(M986&lt;&gt;"OK","",N(F986)/60*H986*IF(G986="",1,G986))</f>
        <v/>
      </c>
      <c r="L986" s="66" t="str">
        <f>IF(M986&lt;&gt;"OK","",N(F986)/60*I986)</f>
        <v/>
      </c>
      <c r="M986" s="69" t="str">
        <f>IF(AND(A986="",D986=""),"",IF(A986="","Produit manquant",IF(COUNTIF(prod_ref,A986)=0,"Produit inconnu",IF(D986="","Poste manquant",IF(ISNA(MATCH(D986,po_code,0)),"Poste inconnu",IF(INDEX(po_check,MATCH(D986,po_code,0))&lt;&gt;"OK","Poste à corriger",IF(AND(E986&lt;&gt;"",OR(NOT(ISNUMBER(E986)),N(E986)&lt;0)),"Réglage invalide",IF(AND(F986&lt;&gt;"",OR(NOT(ISNUMBER(F986)),N(F986)&lt;0)),"Temps par pièce invalide",IF(N(E986)+N(F986)=0,"Temps manquant",IF(AND(G986&lt;&gt;"",OR(NOT(ISNUMBER(G986)),N(G986)&lt;=0)),"Opérateurs invalide","OK"))))))))))</f>
        <v/>
      </c>
      <c r="N986" s="71" t="str">
        <f>IF(AND(fiche_sel&lt;&gt;"",A986=fiche_sel),COUNTIF(A$6:A986,fiche_sel),"")</f>
        <v/>
      </c>
    </row>
    <row r="987">
      <c r="A987" s="60" t="n"/>
      <c r="B987" s="73" t="n"/>
      <c r="C987" s="60" t="n"/>
      <c r="D987" s="61" t="n"/>
      <c r="E987" s="74" t="n"/>
      <c r="F987" s="74" t="n"/>
      <c r="G987" s="73" t="n"/>
      <c r="H987" s="66" t="str">
        <f>IF(M987&lt;&gt;"OK","",INDEX(po_mo,MATCH(D987,po_code,0)))</f>
        <v/>
      </c>
      <c r="I987" s="66" t="str">
        <f>IF(M987&lt;&gt;"OK","",INDEX(po_mac,MATCH(D987,po_code,0)))</f>
        <v/>
      </c>
      <c r="J987" s="66" t="str">
        <f>IF(M987&lt;&gt;"OK","",N(E987)*(H987*IF(G987="",1,G987)+I987))</f>
        <v/>
      </c>
      <c r="K987" s="66" t="str">
        <f>IF(M987&lt;&gt;"OK","",N(F987)/60*H987*IF(G987="",1,G987))</f>
        <v/>
      </c>
      <c r="L987" s="66" t="str">
        <f>IF(M987&lt;&gt;"OK","",N(F987)/60*I987)</f>
        <v/>
      </c>
      <c r="M987" s="69" t="str">
        <f>IF(AND(A987="",D987=""),"",IF(A987="","Produit manquant",IF(COUNTIF(prod_ref,A987)=0,"Produit inconnu",IF(D987="","Poste manquant",IF(ISNA(MATCH(D987,po_code,0)),"Poste inconnu",IF(INDEX(po_check,MATCH(D987,po_code,0))&lt;&gt;"OK","Poste à corriger",IF(AND(E987&lt;&gt;"",OR(NOT(ISNUMBER(E987)),N(E987)&lt;0)),"Réglage invalide",IF(AND(F987&lt;&gt;"",OR(NOT(ISNUMBER(F987)),N(F987)&lt;0)),"Temps par pièce invalide",IF(N(E987)+N(F987)=0,"Temps manquant",IF(AND(G987&lt;&gt;"",OR(NOT(ISNUMBER(G987)),N(G987)&lt;=0)),"Opérateurs invalide","OK"))))))))))</f>
        <v/>
      </c>
      <c r="N987" s="71" t="str">
        <f>IF(AND(fiche_sel&lt;&gt;"",A987=fiche_sel),COUNTIF(A$6:A987,fiche_sel),"")</f>
        <v/>
      </c>
    </row>
    <row r="988">
      <c r="A988" s="60" t="n"/>
      <c r="B988" s="73" t="n"/>
      <c r="C988" s="60" t="n"/>
      <c r="D988" s="61" t="n"/>
      <c r="E988" s="74" t="n"/>
      <c r="F988" s="74" t="n"/>
      <c r="G988" s="73" t="n"/>
      <c r="H988" s="66" t="str">
        <f>IF(M988&lt;&gt;"OK","",INDEX(po_mo,MATCH(D988,po_code,0)))</f>
        <v/>
      </c>
      <c r="I988" s="66" t="str">
        <f>IF(M988&lt;&gt;"OK","",INDEX(po_mac,MATCH(D988,po_code,0)))</f>
        <v/>
      </c>
      <c r="J988" s="66" t="str">
        <f>IF(M988&lt;&gt;"OK","",N(E988)*(H988*IF(G988="",1,G988)+I988))</f>
        <v/>
      </c>
      <c r="K988" s="66" t="str">
        <f>IF(M988&lt;&gt;"OK","",N(F988)/60*H988*IF(G988="",1,G988))</f>
        <v/>
      </c>
      <c r="L988" s="66" t="str">
        <f>IF(M988&lt;&gt;"OK","",N(F988)/60*I988)</f>
        <v/>
      </c>
      <c r="M988" s="69" t="str">
        <f>IF(AND(A988="",D988=""),"",IF(A988="","Produit manquant",IF(COUNTIF(prod_ref,A988)=0,"Produit inconnu",IF(D988="","Poste manquant",IF(ISNA(MATCH(D988,po_code,0)),"Poste inconnu",IF(INDEX(po_check,MATCH(D988,po_code,0))&lt;&gt;"OK","Poste à corriger",IF(AND(E988&lt;&gt;"",OR(NOT(ISNUMBER(E988)),N(E988)&lt;0)),"Réglage invalide",IF(AND(F988&lt;&gt;"",OR(NOT(ISNUMBER(F988)),N(F988)&lt;0)),"Temps par pièce invalide",IF(N(E988)+N(F988)=0,"Temps manquant",IF(AND(G988&lt;&gt;"",OR(NOT(ISNUMBER(G988)),N(G988)&lt;=0)),"Opérateurs invalide","OK"))))))))))</f>
        <v/>
      </c>
      <c r="N988" s="71" t="str">
        <f>IF(AND(fiche_sel&lt;&gt;"",A988=fiche_sel),COUNTIF(A$6:A988,fiche_sel),"")</f>
        <v/>
      </c>
    </row>
    <row r="989">
      <c r="A989" s="60" t="n"/>
      <c r="B989" s="73" t="n"/>
      <c r="C989" s="60" t="n"/>
      <c r="D989" s="61" t="n"/>
      <c r="E989" s="74" t="n"/>
      <c r="F989" s="74" t="n"/>
      <c r="G989" s="73" t="n"/>
      <c r="H989" s="66" t="str">
        <f>IF(M989&lt;&gt;"OK","",INDEX(po_mo,MATCH(D989,po_code,0)))</f>
        <v/>
      </c>
      <c r="I989" s="66" t="str">
        <f>IF(M989&lt;&gt;"OK","",INDEX(po_mac,MATCH(D989,po_code,0)))</f>
        <v/>
      </c>
      <c r="J989" s="66" t="str">
        <f>IF(M989&lt;&gt;"OK","",N(E989)*(H989*IF(G989="",1,G989)+I989))</f>
        <v/>
      </c>
      <c r="K989" s="66" t="str">
        <f>IF(M989&lt;&gt;"OK","",N(F989)/60*H989*IF(G989="",1,G989))</f>
        <v/>
      </c>
      <c r="L989" s="66" t="str">
        <f>IF(M989&lt;&gt;"OK","",N(F989)/60*I989)</f>
        <v/>
      </c>
      <c r="M989" s="69" t="str">
        <f>IF(AND(A989="",D989=""),"",IF(A989="","Produit manquant",IF(COUNTIF(prod_ref,A989)=0,"Produit inconnu",IF(D989="","Poste manquant",IF(ISNA(MATCH(D989,po_code,0)),"Poste inconnu",IF(INDEX(po_check,MATCH(D989,po_code,0))&lt;&gt;"OK","Poste à corriger",IF(AND(E989&lt;&gt;"",OR(NOT(ISNUMBER(E989)),N(E989)&lt;0)),"Réglage invalide",IF(AND(F989&lt;&gt;"",OR(NOT(ISNUMBER(F989)),N(F989)&lt;0)),"Temps par pièce invalide",IF(N(E989)+N(F989)=0,"Temps manquant",IF(AND(G989&lt;&gt;"",OR(NOT(ISNUMBER(G989)),N(G989)&lt;=0)),"Opérateurs invalide","OK"))))))))))</f>
        <v/>
      </c>
      <c r="N989" s="71" t="str">
        <f>IF(AND(fiche_sel&lt;&gt;"",A989=fiche_sel),COUNTIF(A$6:A989,fiche_sel),"")</f>
        <v/>
      </c>
    </row>
    <row r="990">
      <c r="A990" s="60" t="n"/>
      <c r="B990" s="73" t="n"/>
      <c r="C990" s="60" t="n"/>
      <c r="D990" s="61" t="n"/>
      <c r="E990" s="74" t="n"/>
      <c r="F990" s="74" t="n"/>
      <c r="G990" s="73" t="n"/>
      <c r="H990" s="66" t="str">
        <f>IF(M990&lt;&gt;"OK","",INDEX(po_mo,MATCH(D990,po_code,0)))</f>
        <v/>
      </c>
      <c r="I990" s="66" t="str">
        <f>IF(M990&lt;&gt;"OK","",INDEX(po_mac,MATCH(D990,po_code,0)))</f>
        <v/>
      </c>
      <c r="J990" s="66" t="str">
        <f>IF(M990&lt;&gt;"OK","",N(E990)*(H990*IF(G990="",1,G990)+I990))</f>
        <v/>
      </c>
      <c r="K990" s="66" t="str">
        <f>IF(M990&lt;&gt;"OK","",N(F990)/60*H990*IF(G990="",1,G990))</f>
        <v/>
      </c>
      <c r="L990" s="66" t="str">
        <f>IF(M990&lt;&gt;"OK","",N(F990)/60*I990)</f>
        <v/>
      </c>
      <c r="M990" s="69" t="str">
        <f>IF(AND(A990="",D990=""),"",IF(A990="","Produit manquant",IF(COUNTIF(prod_ref,A990)=0,"Produit inconnu",IF(D990="","Poste manquant",IF(ISNA(MATCH(D990,po_code,0)),"Poste inconnu",IF(INDEX(po_check,MATCH(D990,po_code,0))&lt;&gt;"OK","Poste à corriger",IF(AND(E990&lt;&gt;"",OR(NOT(ISNUMBER(E990)),N(E990)&lt;0)),"Réglage invalide",IF(AND(F990&lt;&gt;"",OR(NOT(ISNUMBER(F990)),N(F990)&lt;0)),"Temps par pièce invalide",IF(N(E990)+N(F990)=0,"Temps manquant",IF(AND(G990&lt;&gt;"",OR(NOT(ISNUMBER(G990)),N(G990)&lt;=0)),"Opérateurs invalide","OK"))))))))))</f>
        <v/>
      </c>
      <c r="N990" s="71" t="str">
        <f>IF(AND(fiche_sel&lt;&gt;"",A990=fiche_sel),COUNTIF(A$6:A990,fiche_sel),"")</f>
        <v/>
      </c>
    </row>
    <row r="991">
      <c r="A991" s="60" t="n"/>
      <c r="B991" s="73" t="n"/>
      <c r="C991" s="60" t="n"/>
      <c r="D991" s="61" t="n"/>
      <c r="E991" s="74" t="n"/>
      <c r="F991" s="74" t="n"/>
      <c r="G991" s="73" t="n"/>
      <c r="H991" s="66" t="str">
        <f>IF(M991&lt;&gt;"OK","",INDEX(po_mo,MATCH(D991,po_code,0)))</f>
        <v/>
      </c>
      <c r="I991" s="66" t="str">
        <f>IF(M991&lt;&gt;"OK","",INDEX(po_mac,MATCH(D991,po_code,0)))</f>
        <v/>
      </c>
      <c r="J991" s="66" t="str">
        <f>IF(M991&lt;&gt;"OK","",N(E991)*(H991*IF(G991="",1,G991)+I991))</f>
        <v/>
      </c>
      <c r="K991" s="66" t="str">
        <f>IF(M991&lt;&gt;"OK","",N(F991)/60*H991*IF(G991="",1,G991))</f>
        <v/>
      </c>
      <c r="L991" s="66" t="str">
        <f>IF(M991&lt;&gt;"OK","",N(F991)/60*I991)</f>
        <v/>
      </c>
      <c r="M991" s="69" t="str">
        <f>IF(AND(A991="",D991=""),"",IF(A991="","Produit manquant",IF(COUNTIF(prod_ref,A991)=0,"Produit inconnu",IF(D991="","Poste manquant",IF(ISNA(MATCH(D991,po_code,0)),"Poste inconnu",IF(INDEX(po_check,MATCH(D991,po_code,0))&lt;&gt;"OK","Poste à corriger",IF(AND(E991&lt;&gt;"",OR(NOT(ISNUMBER(E991)),N(E991)&lt;0)),"Réglage invalide",IF(AND(F991&lt;&gt;"",OR(NOT(ISNUMBER(F991)),N(F991)&lt;0)),"Temps par pièce invalide",IF(N(E991)+N(F991)=0,"Temps manquant",IF(AND(G991&lt;&gt;"",OR(NOT(ISNUMBER(G991)),N(G991)&lt;=0)),"Opérateurs invalide","OK"))))))))))</f>
        <v/>
      </c>
      <c r="N991" s="71" t="str">
        <f>IF(AND(fiche_sel&lt;&gt;"",A991=fiche_sel),COUNTIF(A$6:A991,fiche_sel),"")</f>
        <v/>
      </c>
    </row>
    <row r="992">
      <c r="A992" s="60" t="n"/>
      <c r="B992" s="73" t="n"/>
      <c r="C992" s="60" t="n"/>
      <c r="D992" s="61" t="n"/>
      <c r="E992" s="74" t="n"/>
      <c r="F992" s="74" t="n"/>
      <c r="G992" s="73" t="n"/>
      <c r="H992" s="66" t="str">
        <f>IF(M992&lt;&gt;"OK","",INDEX(po_mo,MATCH(D992,po_code,0)))</f>
        <v/>
      </c>
      <c r="I992" s="66" t="str">
        <f>IF(M992&lt;&gt;"OK","",INDEX(po_mac,MATCH(D992,po_code,0)))</f>
        <v/>
      </c>
      <c r="J992" s="66" t="str">
        <f>IF(M992&lt;&gt;"OK","",N(E992)*(H992*IF(G992="",1,G992)+I992))</f>
        <v/>
      </c>
      <c r="K992" s="66" t="str">
        <f>IF(M992&lt;&gt;"OK","",N(F992)/60*H992*IF(G992="",1,G992))</f>
        <v/>
      </c>
      <c r="L992" s="66" t="str">
        <f>IF(M992&lt;&gt;"OK","",N(F992)/60*I992)</f>
        <v/>
      </c>
      <c r="M992" s="69" t="str">
        <f>IF(AND(A992="",D992=""),"",IF(A992="","Produit manquant",IF(COUNTIF(prod_ref,A992)=0,"Produit inconnu",IF(D992="","Poste manquant",IF(ISNA(MATCH(D992,po_code,0)),"Poste inconnu",IF(INDEX(po_check,MATCH(D992,po_code,0))&lt;&gt;"OK","Poste à corriger",IF(AND(E992&lt;&gt;"",OR(NOT(ISNUMBER(E992)),N(E992)&lt;0)),"Réglage invalide",IF(AND(F992&lt;&gt;"",OR(NOT(ISNUMBER(F992)),N(F992)&lt;0)),"Temps par pièce invalide",IF(N(E992)+N(F992)=0,"Temps manquant",IF(AND(G992&lt;&gt;"",OR(NOT(ISNUMBER(G992)),N(G992)&lt;=0)),"Opérateurs invalide","OK"))))))))))</f>
        <v/>
      </c>
      <c r="N992" s="71" t="str">
        <f>IF(AND(fiche_sel&lt;&gt;"",A992=fiche_sel),COUNTIF(A$6:A992,fiche_sel),"")</f>
        <v/>
      </c>
    </row>
    <row r="993">
      <c r="A993" s="60" t="n"/>
      <c r="B993" s="73" t="n"/>
      <c r="C993" s="60" t="n"/>
      <c r="D993" s="61" t="n"/>
      <c r="E993" s="74" t="n"/>
      <c r="F993" s="74" t="n"/>
      <c r="G993" s="73" t="n"/>
      <c r="H993" s="66" t="str">
        <f>IF(M993&lt;&gt;"OK","",INDEX(po_mo,MATCH(D993,po_code,0)))</f>
        <v/>
      </c>
      <c r="I993" s="66" t="str">
        <f>IF(M993&lt;&gt;"OK","",INDEX(po_mac,MATCH(D993,po_code,0)))</f>
        <v/>
      </c>
      <c r="J993" s="66" t="str">
        <f>IF(M993&lt;&gt;"OK","",N(E993)*(H993*IF(G993="",1,G993)+I993))</f>
        <v/>
      </c>
      <c r="K993" s="66" t="str">
        <f>IF(M993&lt;&gt;"OK","",N(F993)/60*H993*IF(G993="",1,G993))</f>
        <v/>
      </c>
      <c r="L993" s="66" t="str">
        <f>IF(M993&lt;&gt;"OK","",N(F993)/60*I993)</f>
        <v/>
      </c>
      <c r="M993" s="69" t="str">
        <f>IF(AND(A993="",D993=""),"",IF(A993="","Produit manquant",IF(COUNTIF(prod_ref,A993)=0,"Produit inconnu",IF(D993="","Poste manquant",IF(ISNA(MATCH(D993,po_code,0)),"Poste inconnu",IF(INDEX(po_check,MATCH(D993,po_code,0))&lt;&gt;"OK","Poste à corriger",IF(AND(E993&lt;&gt;"",OR(NOT(ISNUMBER(E993)),N(E993)&lt;0)),"Réglage invalide",IF(AND(F993&lt;&gt;"",OR(NOT(ISNUMBER(F993)),N(F993)&lt;0)),"Temps par pièce invalide",IF(N(E993)+N(F993)=0,"Temps manquant",IF(AND(G993&lt;&gt;"",OR(NOT(ISNUMBER(G993)),N(G993)&lt;=0)),"Opérateurs invalide","OK"))))))))))</f>
        <v/>
      </c>
      <c r="N993" s="71" t="str">
        <f>IF(AND(fiche_sel&lt;&gt;"",A993=fiche_sel),COUNTIF(A$6:A993,fiche_sel),"")</f>
        <v/>
      </c>
    </row>
    <row r="994">
      <c r="A994" s="60" t="n"/>
      <c r="B994" s="73" t="n"/>
      <c r="C994" s="60" t="n"/>
      <c r="D994" s="61" t="n"/>
      <c r="E994" s="74" t="n"/>
      <c r="F994" s="74" t="n"/>
      <c r="G994" s="73" t="n"/>
      <c r="H994" s="66" t="str">
        <f>IF(M994&lt;&gt;"OK","",INDEX(po_mo,MATCH(D994,po_code,0)))</f>
        <v/>
      </c>
      <c r="I994" s="66" t="str">
        <f>IF(M994&lt;&gt;"OK","",INDEX(po_mac,MATCH(D994,po_code,0)))</f>
        <v/>
      </c>
      <c r="J994" s="66" t="str">
        <f>IF(M994&lt;&gt;"OK","",N(E994)*(H994*IF(G994="",1,G994)+I994))</f>
        <v/>
      </c>
      <c r="K994" s="66" t="str">
        <f>IF(M994&lt;&gt;"OK","",N(F994)/60*H994*IF(G994="",1,G994))</f>
        <v/>
      </c>
      <c r="L994" s="66" t="str">
        <f>IF(M994&lt;&gt;"OK","",N(F994)/60*I994)</f>
        <v/>
      </c>
      <c r="M994" s="69" t="str">
        <f>IF(AND(A994="",D994=""),"",IF(A994="","Produit manquant",IF(COUNTIF(prod_ref,A994)=0,"Produit inconnu",IF(D994="","Poste manquant",IF(ISNA(MATCH(D994,po_code,0)),"Poste inconnu",IF(INDEX(po_check,MATCH(D994,po_code,0))&lt;&gt;"OK","Poste à corriger",IF(AND(E994&lt;&gt;"",OR(NOT(ISNUMBER(E994)),N(E994)&lt;0)),"Réglage invalide",IF(AND(F994&lt;&gt;"",OR(NOT(ISNUMBER(F994)),N(F994)&lt;0)),"Temps par pièce invalide",IF(N(E994)+N(F994)=0,"Temps manquant",IF(AND(G994&lt;&gt;"",OR(NOT(ISNUMBER(G994)),N(G994)&lt;=0)),"Opérateurs invalide","OK"))))))))))</f>
        <v/>
      </c>
      <c r="N994" s="71" t="str">
        <f>IF(AND(fiche_sel&lt;&gt;"",A994=fiche_sel),COUNTIF(A$6:A994,fiche_sel),"")</f>
        <v/>
      </c>
    </row>
    <row r="995">
      <c r="A995" s="60" t="n"/>
      <c r="B995" s="73" t="n"/>
      <c r="C995" s="60" t="n"/>
      <c r="D995" s="61" t="n"/>
      <c r="E995" s="74" t="n"/>
      <c r="F995" s="74" t="n"/>
      <c r="G995" s="73" t="n"/>
      <c r="H995" s="66" t="str">
        <f>IF(M995&lt;&gt;"OK","",INDEX(po_mo,MATCH(D995,po_code,0)))</f>
        <v/>
      </c>
      <c r="I995" s="66" t="str">
        <f>IF(M995&lt;&gt;"OK","",INDEX(po_mac,MATCH(D995,po_code,0)))</f>
        <v/>
      </c>
      <c r="J995" s="66" t="str">
        <f>IF(M995&lt;&gt;"OK","",N(E995)*(H995*IF(G995="",1,G995)+I995))</f>
        <v/>
      </c>
      <c r="K995" s="66" t="str">
        <f>IF(M995&lt;&gt;"OK","",N(F995)/60*H995*IF(G995="",1,G995))</f>
        <v/>
      </c>
      <c r="L995" s="66" t="str">
        <f>IF(M995&lt;&gt;"OK","",N(F995)/60*I995)</f>
        <v/>
      </c>
      <c r="M995" s="69" t="str">
        <f>IF(AND(A995="",D995=""),"",IF(A995="","Produit manquant",IF(COUNTIF(prod_ref,A995)=0,"Produit inconnu",IF(D995="","Poste manquant",IF(ISNA(MATCH(D995,po_code,0)),"Poste inconnu",IF(INDEX(po_check,MATCH(D995,po_code,0))&lt;&gt;"OK","Poste à corriger",IF(AND(E995&lt;&gt;"",OR(NOT(ISNUMBER(E995)),N(E995)&lt;0)),"Réglage invalide",IF(AND(F995&lt;&gt;"",OR(NOT(ISNUMBER(F995)),N(F995)&lt;0)),"Temps par pièce invalide",IF(N(E995)+N(F995)=0,"Temps manquant",IF(AND(G995&lt;&gt;"",OR(NOT(ISNUMBER(G995)),N(G995)&lt;=0)),"Opérateurs invalide","OK"))))))))))</f>
        <v/>
      </c>
      <c r="N995" s="71" t="str">
        <f>IF(AND(fiche_sel&lt;&gt;"",A995=fiche_sel),COUNTIF(A$6:A995,fiche_sel),"")</f>
        <v/>
      </c>
    </row>
    <row r="996">
      <c r="A996" s="60" t="n"/>
      <c r="B996" s="73" t="n"/>
      <c r="C996" s="60" t="n"/>
      <c r="D996" s="61" t="n"/>
      <c r="E996" s="74" t="n"/>
      <c r="F996" s="74" t="n"/>
      <c r="G996" s="73" t="n"/>
      <c r="H996" s="66" t="str">
        <f>IF(M996&lt;&gt;"OK","",INDEX(po_mo,MATCH(D996,po_code,0)))</f>
        <v/>
      </c>
      <c r="I996" s="66" t="str">
        <f>IF(M996&lt;&gt;"OK","",INDEX(po_mac,MATCH(D996,po_code,0)))</f>
        <v/>
      </c>
      <c r="J996" s="66" t="str">
        <f>IF(M996&lt;&gt;"OK","",N(E996)*(H996*IF(G996="",1,G996)+I996))</f>
        <v/>
      </c>
      <c r="K996" s="66" t="str">
        <f>IF(M996&lt;&gt;"OK","",N(F996)/60*H996*IF(G996="",1,G996))</f>
        <v/>
      </c>
      <c r="L996" s="66" t="str">
        <f>IF(M996&lt;&gt;"OK","",N(F996)/60*I996)</f>
        <v/>
      </c>
      <c r="M996" s="69" t="str">
        <f>IF(AND(A996="",D996=""),"",IF(A996="","Produit manquant",IF(COUNTIF(prod_ref,A996)=0,"Produit inconnu",IF(D996="","Poste manquant",IF(ISNA(MATCH(D996,po_code,0)),"Poste inconnu",IF(INDEX(po_check,MATCH(D996,po_code,0))&lt;&gt;"OK","Poste à corriger",IF(AND(E996&lt;&gt;"",OR(NOT(ISNUMBER(E996)),N(E996)&lt;0)),"Réglage invalide",IF(AND(F996&lt;&gt;"",OR(NOT(ISNUMBER(F996)),N(F996)&lt;0)),"Temps par pièce invalide",IF(N(E996)+N(F996)=0,"Temps manquant",IF(AND(G996&lt;&gt;"",OR(NOT(ISNUMBER(G996)),N(G996)&lt;=0)),"Opérateurs invalide","OK"))))))))))</f>
        <v/>
      </c>
      <c r="N996" s="71" t="str">
        <f>IF(AND(fiche_sel&lt;&gt;"",A996=fiche_sel),COUNTIF(A$6:A996,fiche_sel),"")</f>
        <v/>
      </c>
    </row>
    <row r="997">
      <c r="A997" s="60" t="n"/>
      <c r="B997" s="73" t="n"/>
      <c r="C997" s="60" t="n"/>
      <c r="D997" s="61" t="n"/>
      <c r="E997" s="74" t="n"/>
      <c r="F997" s="74" t="n"/>
      <c r="G997" s="73" t="n"/>
      <c r="H997" s="66" t="str">
        <f>IF(M997&lt;&gt;"OK","",INDEX(po_mo,MATCH(D997,po_code,0)))</f>
        <v/>
      </c>
      <c r="I997" s="66" t="str">
        <f>IF(M997&lt;&gt;"OK","",INDEX(po_mac,MATCH(D997,po_code,0)))</f>
        <v/>
      </c>
      <c r="J997" s="66" t="str">
        <f>IF(M997&lt;&gt;"OK","",N(E997)*(H997*IF(G997="",1,G997)+I997))</f>
        <v/>
      </c>
      <c r="K997" s="66" t="str">
        <f>IF(M997&lt;&gt;"OK","",N(F997)/60*H997*IF(G997="",1,G997))</f>
        <v/>
      </c>
      <c r="L997" s="66" t="str">
        <f>IF(M997&lt;&gt;"OK","",N(F997)/60*I997)</f>
        <v/>
      </c>
      <c r="M997" s="69" t="str">
        <f>IF(AND(A997="",D997=""),"",IF(A997="","Produit manquant",IF(COUNTIF(prod_ref,A997)=0,"Produit inconnu",IF(D997="","Poste manquant",IF(ISNA(MATCH(D997,po_code,0)),"Poste inconnu",IF(INDEX(po_check,MATCH(D997,po_code,0))&lt;&gt;"OK","Poste à corriger",IF(AND(E997&lt;&gt;"",OR(NOT(ISNUMBER(E997)),N(E997)&lt;0)),"Réglage invalide",IF(AND(F997&lt;&gt;"",OR(NOT(ISNUMBER(F997)),N(F997)&lt;0)),"Temps par pièce invalide",IF(N(E997)+N(F997)=0,"Temps manquant",IF(AND(G997&lt;&gt;"",OR(NOT(ISNUMBER(G997)),N(G997)&lt;=0)),"Opérateurs invalide","OK"))))))))))</f>
        <v/>
      </c>
      <c r="N997" s="71" t="str">
        <f>IF(AND(fiche_sel&lt;&gt;"",A997=fiche_sel),COUNTIF(A$6:A997,fiche_sel),"")</f>
        <v/>
      </c>
    </row>
    <row r="998">
      <c r="A998" s="60" t="n"/>
      <c r="B998" s="73" t="n"/>
      <c r="C998" s="60" t="n"/>
      <c r="D998" s="61" t="n"/>
      <c r="E998" s="74" t="n"/>
      <c r="F998" s="74" t="n"/>
      <c r="G998" s="73" t="n"/>
      <c r="H998" s="66" t="str">
        <f>IF(M998&lt;&gt;"OK","",INDEX(po_mo,MATCH(D998,po_code,0)))</f>
        <v/>
      </c>
      <c r="I998" s="66" t="str">
        <f>IF(M998&lt;&gt;"OK","",INDEX(po_mac,MATCH(D998,po_code,0)))</f>
        <v/>
      </c>
      <c r="J998" s="66" t="str">
        <f>IF(M998&lt;&gt;"OK","",N(E998)*(H998*IF(G998="",1,G998)+I998))</f>
        <v/>
      </c>
      <c r="K998" s="66" t="str">
        <f>IF(M998&lt;&gt;"OK","",N(F998)/60*H998*IF(G998="",1,G998))</f>
        <v/>
      </c>
      <c r="L998" s="66" t="str">
        <f>IF(M998&lt;&gt;"OK","",N(F998)/60*I998)</f>
        <v/>
      </c>
      <c r="M998" s="69" t="str">
        <f>IF(AND(A998="",D998=""),"",IF(A998="","Produit manquant",IF(COUNTIF(prod_ref,A998)=0,"Produit inconnu",IF(D998="","Poste manquant",IF(ISNA(MATCH(D998,po_code,0)),"Poste inconnu",IF(INDEX(po_check,MATCH(D998,po_code,0))&lt;&gt;"OK","Poste à corriger",IF(AND(E998&lt;&gt;"",OR(NOT(ISNUMBER(E998)),N(E998)&lt;0)),"Réglage invalide",IF(AND(F998&lt;&gt;"",OR(NOT(ISNUMBER(F998)),N(F998)&lt;0)),"Temps par pièce invalide",IF(N(E998)+N(F998)=0,"Temps manquant",IF(AND(G998&lt;&gt;"",OR(NOT(ISNUMBER(G998)),N(G998)&lt;=0)),"Opérateurs invalide","OK"))))))))))</f>
        <v/>
      </c>
      <c r="N998" s="71" t="str">
        <f>IF(AND(fiche_sel&lt;&gt;"",A998=fiche_sel),COUNTIF(A$6:A998,fiche_sel),"")</f>
        <v/>
      </c>
    </row>
    <row r="999">
      <c r="A999" s="60" t="n"/>
      <c r="B999" s="73" t="n"/>
      <c r="C999" s="60" t="n"/>
      <c r="D999" s="61" t="n"/>
      <c r="E999" s="74" t="n"/>
      <c r="F999" s="74" t="n"/>
      <c r="G999" s="73" t="n"/>
      <c r="H999" s="66" t="str">
        <f>IF(M999&lt;&gt;"OK","",INDEX(po_mo,MATCH(D999,po_code,0)))</f>
        <v/>
      </c>
      <c r="I999" s="66" t="str">
        <f>IF(M999&lt;&gt;"OK","",INDEX(po_mac,MATCH(D999,po_code,0)))</f>
        <v/>
      </c>
      <c r="J999" s="66" t="str">
        <f>IF(M999&lt;&gt;"OK","",N(E999)*(H999*IF(G999="",1,G999)+I999))</f>
        <v/>
      </c>
      <c r="K999" s="66" t="str">
        <f>IF(M999&lt;&gt;"OK","",N(F999)/60*H999*IF(G999="",1,G999))</f>
        <v/>
      </c>
      <c r="L999" s="66" t="str">
        <f>IF(M999&lt;&gt;"OK","",N(F999)/60*I999)</f>
        <v/>
      </c>
      <c r="M999" s="69" t="str">
        <f>IF(AND(A999="",D999=""),"",IF(A999="","Produit manquant",IF(COUNTIF(prod_ref,A999)=0,"Produit inconnu",IF(D999="","Poste manquant",IF(ISNA(MATCH(D999,po_code,0)),"Poste inconnu",IF(INDEX(po_check,MATCH(D999,po_code,0))&lt;&gt;"OK","Poste à corriger",IF(AND(E999&lt;&gt;"",OR(NOT(ISNUMBER(E999)),N(E999)&lt;0)),"Réglage invalide",IF(AND(F999&lt;&gt;"",OR(NOT(ISNUMBER(F999)),N(F999)&lt;0)),"Temps par pièce invalide",IF(N(E999)+N(F999)=0,"Temps manquant",IF(AND(G999&lt;&gt;"",OR(NOT(ISNUMBER(G999)),N(G999)&lt;=0)),"Opérateurs invalide","OK"))))))))))</f>
        <v/>
      </c>
      <c r="N999" s="71" t="str">
        <f>IF(AND(fiche_sel&lt;&gt;"",A999=fiche_sel),COUNTIF(A$6:A999,fiche_sel),"")</f>
        <v/>
      </c>
    </row>
    <row r="1000">
      <c r="A1000" s="60" t="n"/>
      <c r="B1000" s="73" t="n"/>
      <c r="C1000" s="60" t="n"/>
      <c r="D1000" s="61" t="n"/>
      <c r="E1000" s="74" t="n"/>
      <c r="F1000" s="74" t="n"/>
      <c r="G1000" s="73" t="n"/>
      <c r="H1000" s="66" t="str">
        <f>IF(M1000&lt;&gt;"OK","",INDEX(po_mo,MATCH(D1000,po_code,0)))</f>
        <v/>
      </c>
      <c r="I1000" s="66" t="str">
        <f>IF(M1000&lt;&gt;"OK","",INDEX(po_mac,MATCH(D1000,po_code,0)))</f>
        <v/>
      </c>
      <c r="J1000" s="66" t="str">
        <f>IF(M1000&lt;&gt;"OK","",N(E1000)*(H1000*IF(G1000="",1,G1000)+I1000))</f>
        <v/>
      </c>
      <c r="K1000" s="66" t="str">
        <f>IF(M1000&lt;&gt;"OK","",N(F1000)/60*H1000*IF(G1000="",1,G1000))</f>
        <v/>
      </c>
      <c r="L1000" s="66" t="str">
        <f>IF(M1000&lt;&gt;"OK","",N(F1000)/60*I1000)</f>
        <v/>
      </c>
      <c r="M1000" s="69" t="str">
        <f>IF(AND(A1000="",D1000=""),"",IF(A1000="","Produit manquant",IF(COUNTIF(prod_ref,A1000)=0,"Produit inconnu",IF(D1000="","Poste manquant",IF(ISNA(MATCH(D1000,po_code,0)),"Poste inconnu",IF(INDEX(po_check,MATCH(D1000,po_code,0))&lt;&gt;"OK","Poste à corriger",IF(AND(E1000&lt;&gt;"",OR(NOT(ISNUMBER(E1000)),N(E1000)&lt;0)),"Réglage invalide",IF(AND(F1000&lt;&gt;"",OR(NOT(ISNUMBER(F1000)),N(F1000)&lt;0)),"Temps par pièce invalide",IF(N(E1000)+N(F1000)=0,"Temps manquant",IF(AND(G1000&lt;&gt;"",OR(NOT(ISNUMBER(G1000)),N(G1000)&lt;=0)),"Opérateurs invalide","OK"))))))))))</f>
        <v/>
      </c>
      <c r="N1000" s="71" t="str">
        <f>IF(AND(fiche_sel&lt;&gt;"",A1000=fiche_sel),COUNTIF(A$6:A1000,fiche_sel),"")</f>
        <v/>
      </c>
    </row>
    <row r="1001">
      <c r="A1001" s="60" t="n"/>
      <c r="B1001" s="73" t="n"/>
      <c r="C1001" s="60" t="n"/>
      <c r="D1001" s="61" t="n"/>
      <c r="E1001" s="74" t="n"/>
      <c r="F1001" s="74" t="n"/>
      <c r="G1001" s="73" t="n"/>
      <c r="H1001" s="66" t="str">
        <f>IF(M1001&lt;&gt;"OK","",INDEX(po_mo,MATCH(D1001,po_code,0)))</f>
        <v/>
      </c>
      <c r="I1001" s="66" t="str">
        <f>IF(M1001&lt;&gt;"OK","",INDEX(po_mac,MATCH(D1001,po_code,0)))</f>
        <v/>
      </c>
      <c r="J1001" s="66" t="str">
        <f>IF(M1001&lt;&gt;"OK","",N(E1001)*(H1001*IF(G1001="",1,G1001)+I1001))</f>
        <v/>
      </c>
      <c r="K1001" s="66" t="str">
        <f>IF(M1001&lt;&gt;"OK","",N(F1001)/60*H1001*IF(G1001="",1,G1001))</f>
        <v/>
      </c>
      <c r="L1001" s="66" t="str">
        <f>IF(M1001&lt;&gt;"OK","",N(F1001)/60*I1001)</f>
        <v/>
      </c>
      <c r="M1001" s="69" t="str">
        <f>IF(AND(A1001="",D1001=""),"",IF(A1001="","Produit manquant",IF(COUNTIF(prod_ref,A1001)=0,"Produit inconnu",IF(D1001="","Poste manquant",IF(ISNA(MATCH(D1001,po_code,0)),"Poste inconnu",IF(INDEX(po_check,MATCH(D1001,po_code,0))&lt;&gt;"OK","Poste à corriger",IF(AND(E1001&lt;&gt;"",OR(NOT(ISNUMBER(E1001)),N(E1001)&lt;0)),"Réglage invalide",IF(AND(F1001&lt;&gt;"",OR(NOT(ISNUMBER(F1001)),N(F1001)&lt;0)),"Temps par pièce invalide",IF(N(E1001)+N(F1001)=0,"Temps manquant",IF(AND(G1001&lt;&gt;"",OR(NOT(ISNUMBER(G1001)),N(G1001)&lt;=0)),"Opérateurs invalide","OK"))))))))))</f>
        <v/>
      </c>
      <c r="N1001" s="71" t="str">
        <f>IF(AND(fiche_sel&lt;&gt;"",A1001=fiche_sel),COUNTIF(A$6:A1001,fiche_sel),"")</f>
        <v/>
      </c>
    </row>
    <row r="1002">
      <c r="A1002" s="60" t="n"/>
      <c r="B1002" s="73" t="n"/>
      <c r="C1002" s="60" t="n"/>
      <c r="D1002" s="61" t="n"/>
      <c r="E1002" s="74" t="n"/>
      <c r="F1002" s="74" t="n"/>
      <c r="G1002" s="73" t="n"/>
      <c r="H1002" s="66" t="str">
        <f>IF(M1002&lt;&gt;"OK","",INDEX(po_mo,MATCH(D1002,po_code,0)))</f>
        <v/>
      </c>
      <c r="I1002" s="66" t="str">
        <f>IF(M1002&lt;&gt;"OK","",INDEX(po_mac,MATCH(D1002,po_code,0)))</f>
        <v/>
      </c>
      <c r="J1002" s="66" t="str">
        <f>IF(M1002&lt;&gt;"OK","",N(E1002)*(H1002*IF(G1002="",1,G1002)+I1002))</f>
        <v/>
      </c>
      <c r="K1002" s="66" t="str">
        <f>IF(M1002&lt;&gt;"OK","",N(F1002)/60*H1002*IF(G1002="",1,G1002))</f>
        <v/>
      </c>
      <c r="L1002" s="66" t="str">
        <f>IF(M1002&lt;&gt;"OK","",N(F1002)/60*I1002)</f>
        <v/>
      </c>
      <c r="M1002" s="69" t="str">
        <f>IF(AND(A1002="",D1002=""),"",IF(A1002="","Produit manquant",IF(COUNTIF(prod_ref,A1002)=0,"Produit inconnu",IF(D1002="","Poste manquant",IF(ISNA(MATCH(D1002,po_code,0)),"Poste inconnu",IF(INDEX(po_check,MATCH(D1002,po_code,0))&lt;&gt;"OK","Poste à corriger",IF(AND(E1002&lt;&gt;"",OR(NOT(ISNUMBER(E1002)),N(E1002)&lt;0)),"Réglage invalide",IF(AND(F1002&lt;&gt;"",OR(NOT(ISNUMBER(F1002)),N(F1002)&lt;0)),"Temps par pièce invalide",IF(N(E1002)+N(F1002)=0,"Temps manquant",IF(AND(G1002&lt;&gt;"",OR(NOT(ISNUMBER(G1002)),N(G1002)&lt;=0)),"Opérateurs invalide","OK"))))))))))</f>
        <v/>
      </c>
      <c r="N1002" s="71" t="str">
        <f>IF(AND(fiche_sel&lt;&gt;"",A1002=fiche_sel),COUNTIF(A$6:A1002,fiche_sel),"")</f>
        <v/>
      </c>
    </row>
    <row r="1003">
      <c r="A1003" s="60" t="n"/>
      <c r="B1003" s="73" t="n"/>
      <c r="C1003" s="60" t="n"/>
      <c r="D1003" s="61" t="n"/>
      <c r="E1003" s="74" t="n"/>
      <c r="F1003" s="74" t="n"/>
      <c r="G1003" s="73" t="n"/>
      <c r="H1003" s="66" t="str">
        <f>IF(M1003&lt;&gt;"OK","",INDEX(po_mo,MATCH(D1003,po_code,0)))</f>
        <v/>
      </c>
      <c r="I1003" s="66" t="str">
        <f>IF(M1003&lt;&gt;"OK","",INDEX(po_mac,MATCH(D1003,po_code,0)))</f>
        <v/>
      </c>
      <c r="J1003" s="66" t="str">
        <f>IF(M1003&lt;&gt;"OK","",N(E1003)*(H1003*IF(G1003="",1,G1003)+I1003))</f>
        <v/>
      </c>
      <c r="K1003" s="66" t="str">
        <f>IF(M1003&lt;&gt;"OK","",N(F1003)/60*H1003*IF(G1003="",1,G1003))</f>
        <v/>
      </c>
      <c r="L1003" s="66" t="str">
        <f>IF(M1003&lt;&gt;"OK","",N(F1003)/60*I1003)</f>
        <v/>
      </c>
      <c r="M1003" s="69" t="str">
        <f>IF(AND(A1003="",D1003=""),"",IF(A1003="","Produit manquant",IF(COUNTIF(prod_ref,A1003)=0,"Produit inconnu",IF(D1003="","Poste manquant",IF(ISNA(MATCH(D1003,po_code,0)),"Poste inconnu",IF(INDEX(po_check,MATCH(D1003,po_code,0))&lt;&gt;"OK","Poste à corriger",IF(AND(E1003&lt;&gt;"",OR(NOT(ISNUMBER(E1003)),N(E1003)&lt;0)),"Réglage invalide",IF(AND(F1003&lt;&gt;"",OR(NOT(ISNUMBER(F1003)),N(F1003)&lt;0)),"Temps par pièce invalide",IF(N(E1003)+N(F1003)=0,"Temps manquant",IF(AND(G1003&lt;&gt;"",OR(NOT(ISNUMBER(G1003)),N(G1003)&lt;=0)),"Opérateurs invalide","OK"))))))))))</f>
        <v/>
      </c>
      <c r="N1003" s="71" t="str">
        <f>IF(AND(fiche_sel&lt;&gt;"",A1003=fiche_sel),COUNTIF(A$6:A1003,fiche_sel),"")</f>
        <v/>
      </c>
    </row>
    <row r="1004">
      <c r="A1004" s="60" t="n"/>
      <c r="B1004" s="73" t="n"/>
      <c r="C1004" s="60" t="n"/>
      <c r="D1004" s="61" t="n"/>
      <c r="E1004" s="74" t="n"/>
      <c r="F1004" s="74" t="n"/>
      <c r="G1004" s="73" t="n"/>
      <c r="H1004" s="66" t="str">
        <f>IF(M1004&lt;&gt;"OK","",INDEX(po_mo,MATCH(D1004,po_code,0)))</f>
        <v/>
      </c>
      <c r="I1004" s="66" t="str">
        <f>IF(M1004&lt;&gt;"OK","",INDEX(po_mac,MATCH(D1004,po_code,0)))</f>
        <v/>
      </c>
      <c r="J1004" s="66" t="str">
        <f>IF(M1004&lt;&gt;"OK","",N(E1004)*(H1004*IF(G1004="",1,G1004)+I1004))</f>
        <v/>
      </c>
      <c r="K1004" s="66" t="str">
        <f>IF(M1004&lt;&gt;"OK","",N(F1004)/60*H1004*IF(G1004="",1,G1004))</f>
        <v/>
      </c>
      <c r="L1004" s="66" t="str">
        <f>IF(M1004&lt;&gt;"OK","",N(F1004)/60*I1004)</f>
        <v/>
      </c>
      <c r="M1004" s="69" t="str">
        <f>IF(AND(A1004="",D1004=""),"",IF(A1004="","Produit manquant",IF(COUNTIF(prod_ref,A1004)=0,"Produit inconnu",IF(D1004="","Poste manquant",IF(ISNA(MATCH(D1004,po_code,0)),"Poste inconnu",IF(INDEX(po_check,MATCH(D1004,po_code,0))&lt;&gt;"OK","Poste à corriger",IF(AND(E1004&lt;&gt;"",OR(NOT(ISNUMBER(E1004)),N(E1004)&lt;0)),"Réglage invalide",IF(AND(F1004&lt;&gt;"",OR(NOT(ISNUMBER(F1004)),N(F1004)&lt;0)),"Temps par pièce invalide",IF(N(E1004)+N(F1004)=0,"Temps manquant",IF(AND(G1004&lt;&gt;"",OR(NOT(ISNUMBER(G1004)),N(G1004)&lt;=0)),"Opérateurs invalide","OK"))))))))))</f>
        <v/>
      </c>
      <c r="N1004" s="71" t="str">
        <f>IF(AND(fiche_sel&lt;&gt;"",A1004=fiche_sel),COUNTIF(A$6:A1004,fiche_sel),"")</f>
        <v/>
      </c>
    </row>
    <row r="1005">
      <c r="A1005" s="60" t="n"/>
      <c r="B1005" s="73" t="n"/>
      <c r="C1005" s="60" t="n"/>
      <c r="D1005" s="61" t="n"/>
      <c r="E1005" s="74" t="n"/>
      <c r="F1005" s="74" t="n"/>
      <c r="G1005" s="73" t="n"/>
      <c r="H1005" s="66" t="str">
        <f>IF(M1005&lt;&gt;"OK","",INDEX(po_mo,MATCH(D1005,po_code,0)))</f>
        <v/>
      </c>
      <c r="I1005" s="66" t="str">
        <f>IF(M1005&lt;&gt;"OK","",INDEX(po_mac,MATCH(D1005,po_code,0)))</f>
        <v/>
      </c>
      <c r="J1005" s="66" t="str">
        <f>IF(M1005&lt;&gt;"OK","",N(E1005)*(H1005*IF(G1005="",1,G1005)+I1005))</f>
        <v/>
      </c>
      <c r="K1005" s="66" t="str">
        <f>IF(M1005&lt;&gt;"OK","",N(F1005)/60*H1005*IF(G1005="",1,G1005))</f>
        <v/>
      </c>
      <c r="L1005" s="66" t="str">
        <f>IF(M1005&lt;&gt;"OK","",N(F1005)/60*I1005)</f>
        <v/>
      </c>
      <c r="M1005" s="69" t="str">
        <f>IF(AND(A1005="",D1005=""),"",IF(A1005="","Produit manquant",IF(COUNTIF(prod_ref,A1005)=0,"Produit inconnu",IF(D1005="","Poste manquant",IF(ISNA(MATCH(D1005,po_code,0)),"Poste inconnu",IF(INDEX(po_check,MATCH(D1005,po_code,0))&lt;&gt;"OK","Poste à corriger",IF(AND(E1005&lt;&gt;"",OR(NOT(ISNUMBER(E1005)),N(E1005)&lt;0)),"Réglage invalide",IF(AND(F1005&lt;&gt;"",OR(NOT(ISNUMBER(F1005)),N(F1005)&lt;0)),"Temps par pièce invalide",IF(N(E1005)+N(F1005)=0,"Temps manquant",IF(AND(G1005&lt;&gt;"",OR(NOT(ISNUMBER(G1005)),N(G1005)&lt;=0)),"Opérateurs invalide","OK"))))))))))</f>
        <v/>
      </c>
      <c r="N1005" s="71" t="str">
        <f>IF(AND(fiche_sel&lt;&gt;"",A1005=fiche_sel),COUNTIF(A$6:A1005,fiche_sel),"")</f>
        <v/>
      </c>
    </row>
    <row r="1006">
      <c r="A1006" s="60" t="n"/>
      <c r="B1006" s="73" t="n"/>
      <c r="C1006" s="60" t="n"/>
      <c r="D1006" s="61" t="n"/>
      <c r="E1006" s="74" t="n"/>
      <c r="F1006" s="74" t="n"/>
      <c r="G1006" s="73" t="n"/>
      <c r="H1006" s="66" t="str">
        <f>IF(M1006&lt;&gt;"OK","",INDEX(po_mo,MATCH(D1006,po_code,0)))</f>
        <v/>
      </c>
      <c r="I1006" s="66" t="str">
        <f>IF(M1006&lt;&gt;"OK","",INDEX(po_mac,MATCH(D1006,po_code,0)))</f>
        <v/>
      </c>
      <c r="J1006" s="66" t="str">
        <f>IF(M1006&lt;&gt;"OK","",N(E1006)*(H1006*IF(G1006="",1,G1006)+I1006))</f>
        <v/>
      </c>
      <c r="K1006" s="66" t="str">
        <f>IF(M1006&lt;&gt;"OK","",N(F1006)/60*H1006*IF(G1006="",1,G1006))</f>
        <v/>
      </c>
      <c r="L1006" s="66" t="str">
        <f>IF(M1006&lt;&gt;"OK","",N(F1006)/60*I1006)</f>
        <v/>
      </c>
      <c r="M1006" s="69" t="str">
        <f>IF(AND(A1006="",D1006=""),"",IF(A1006="","Produit manquant",IF(COUNTIF(prod_ref,A1006)=0,"Produit inconnu",IF(D1006="","Poste manquant",IF(ISNA(MATCH(D1006,po_code,0)),"Poste inconnu",IF(INDEX(po_check,MATCH(D1006,po_code,0))&lt;&gt;"OK","Poste à corriger",IF(AND(E1006&lt;&gt;"",OR(NOT(ISNUMBER(E1006)),N(E1006)&lt;0)),"Réglage invalide",IF(AND(F1006&lt;&gt;"",OR(NOT(ISNUMBER(F1006)),N(F1006)&lt;0)),"Temps par pièce invalide",IF(N(E1006)+N(F1006)=0,"Temps manquant",IF(AND(G1006&lt;&gt;"",OR(NOT(ISNUMBER(G1006)),N(G1006)&lt;=0)),"Opérateurs invalide","OK"))))))))))</f>
        <v/>
      </c>
      <c r="N1006" s="71" t="str">
        <f>IF(AND(fiche_sel&lt;&gt;"",A1006=fiche_sel),COUNTIF(A$6:A1006,fiche_sel),"")</f>
        <v/>
      </c>
    </row>
    <row r="1007">
      <c r="A1007" s="60" t="n"/>
      <c r="B1007" s="73" t="n"/>
      <c r="C1007" s="60" t="n"/>
      <c r="D1007" s="61" t="n"/>
      <c r="E1007" s="74" t="n"/>
      <c r="F1007" s="74" t="n"/>
      <c r="G1007" s="73" t="n"/>
      <c r="H1007" s="66" t="str">
        <f>IF(M1007&lt;&gt;"OK","",INDEX(po_mo,MATCH(D1007,po_code,0)))</f>
        <v/>
      </c>
      <c r="I1007" s="66" t="str">
        <f>IF(M1007&lt;&gt;"OK","",INDEX(po_mac,MATCH(D1007,po_code,0)))</f>
        <v/>
      </c>
      <c r="J1007" s="66" t="str">
        <f>IF(M1007&lt;&gt;"OK","",N(E1007)*(H1007*IF(G1007="",1,G1007)+I1007))</f>
        <v/>
      </c>
      <c r="K1007" s="66" t="str">
        <f>IF(M1007&lt;&gt;"OK","",N(F1007)/60*H1007*IF(G1007="",1,G1007))</f>
        <v/>
      </c>
      <c r="L1007" s="66" t="str">
        <f>IF(M1007&lt;&gt;"OK","",N(F1007)/60*I1007)</f>
        <v/>
      </c>
      <c r="M1007" s="69" t="str">
        <f>IF(AND(A1007="",D1007=""),"",IF(A1007="","Produit manquant",IF(COUNTIF(prod_ref,A1007)=0,"Produit inconnu",IF(D1007="","Poste manquant",IF(ISNA(MATCH(D1007,po_code,0)),"Poste inconnu",IF(INDEX(po_check,MATCH(D1007,po_code,0))&lt;&gt;"OK","Poste à corriger",IF(AND(E1007&lt;&gt;"",OR(NOT(ISNUMBER(E1007)),N(E1007)&lt;0)),"Réglage invalide",IF(AND(F1007&lt;&gt;"",OR(NOT(ISNUMBER(F1007)),N(F1007)&lt;0)),"Temps par pièce invalide",IF(N(E1007)+N(F1007)=0,"Temps manquant",IF(AND(G1007&lt;&gt;"",OR(NOT(ISNUMBER(G1007)),N(G1007)&lt;=0)),"Opérateurs invalide","OK"))))))))))</f>
        <v/>
      </c>
      <c r="N1007" s="71" t="str">
        <f>IF(AND(fiche_sel&lt;&gt;"",A1007=fiche_sel),COUNTIF(A$6:A1007,fiche_sel),"")</f>
        <v/>
      </c>
    </row>
    <row r="1008">
      <c r="A1008" s="60" t="n"/>
      <c r="B1008" s="73" t="n"/>
      <c r="C1008" s="60" t="n"/>
      <c r="D1008" s="61" t="n"/>
      <c r="E1008" s="74" t="n"/>
      <c r="F1008" s="74" t="n"/>
      <c r="G1008" s="73" t="n"/>
      <c r="H1008" s="66" t="str">
        <f>IF(M1008&lt;&gt;"OK","",INDEX(po_mo,MATCH(D1008,po_code,0)))</f>
        <v/>
      </c>
      <c r="I1008" s="66" t="str">
        <f>IF(M1008&lt;&gt;"OK","",INDEX(po_mac,MATCH(D1008,po_code,0)))</f>
        <v/>
      </c>
      <c r="J1008" s="66" t="str">
        <f>IF(M1008&lt;&gt;"OK","",N(E1008)*(H1008*IF(G1008="",1,G1008)+I1008))</f>
        <v/>
      </c>
      <c r="K1008" s="66" t="str">
        <f>IF(M1008&lt;&gt;"OK","",N(F1008)/60*H1008*IF(G1008="",1,G1008))</f>
        <v/>
      </c>
      <c r="L1008" s="66" t="str">
        <f>IF(M1008&lt;&gt;"OK","",N(F1008)/60*I1008)</f>
        <v/>
      </c>
      <c r="M1008" s="69" t="str">
        <f>IF(AND(A1008="",D1008=""),"",IF(A1008="","Produit manquant",IF(COUNTIF(prod_ref,A1008)=0,"Produit inconnu",IF(D1008="","Poste manquant",IF(ISNA(MATCH(D1008,po_code,0)),"Poste inconnu",IF(INDEX(po_check,MATCH(D1008,po_code,0))&lt;&gt;"OK","Poste à corriger",IF(AND(E1008&lt;&gt;"",OR(NOT(ISNUMBER(E1008)),N(E1008)&lt;0)),"Réglage invalide",IF(AND(F1008&lt;&gt;"",OR(NOT(ISNUMBER(F1008)),N(F1008)&lt;0)),"Temps par pièce invalide",IF(N(E1008)+N(F1008)=0,"Temps manquant",IF(AND(G1008&lt;&gt;"",OR(NOT(ISNUMBER(G1008)),N(G1008)&lt;=0)),"Opérateurs invalide","OK"))))))))))</f>
        <v/>
      </c>
      <c r="N1008" s="71" t="str">
        <f>IF(AND(fiche_sel&lt;&gt;"",A1008=fiche_sel),COUNTIF(A$6:A1008,fiche_sel),"")</f>
        <v/>
      </c>
    </row>
    <row r="1009">
      <c r="A1009" s="60" t="n"/>
      <c r="B1009" s="73" t="n"/>
      <c r="C1009" s="60" t="n"/>
      <c r="D1009" s="61" t="n"/>
      <c r="E1009" s="74" t="n"/>
      <c r="F1009" s="74" t="n"/>
      <c r="G1009" s="73" t="n"/>
      <c r="H1009" s="66" t="str">
        <f>IF(M1009&lt;&gt;"OK","",INDEX(po_mo,MATCH(D1009,po_code,0)))</f>
        <v/>
      </c>
      <c r="I1009" s="66" t="str">
        <f>IF(M1009&lt;&gt;"OK","",INDEX(po_mac,MATCH(D1009,po_code,0)))</f>
        <v/>
      </c>
      <c r="J1009" s="66" t="str">
        <f>IF(M1009&lt;&gt;"OK","",N(E1009)*(H1009*IF(G1009="",1,G1009)+I1009))</f>
        <v/>
      </c>
      <c r="K1009" s="66" t="str">
        <f>IF(M1009&lt;&gt;"OK","",N(F1009)/60*H1009*IF(G1009="",1,G1009))</f>
        <v/>
      </c>
      <c r="L1009" s="66" t="str">
        <f>IF(M1009&lt;&gt;"OK","",N(F1009)/60*I1009)</f>
        <v/>
      </c>
      <c r="M1009" s="69" t="str">
        <f>IF(AND(A1009="",D1009=""),"",IF(A1009="","Produit manquant",IF(COUNTIF(prod_ref,A1009)=0,"Produit inconnu",IF(D1009="","Poste manquant",IF(ISNA(MATCH(D1009,po_code,0)),"Poste inconnu",IF(INDEX(po_check,MATCH(D1009,po_code,0))&lt;&gt;"OK","Poste à corriger",IF(AND(E1009&lt;&gt;"",OR(NOT(ISNUMBER(E1009)),N(E1009)&lt;0)),"Réglage invalide",IF(AND(F1009&lt;&gt;"",OR(NOT(ISNUMBER(F1009)),N(F1009)&lt;0)),"Temps par pièce invalide",IF(N(E1009)+N(F1009)=0,"Temps manquant",IF(AND(G1009&lt;&gt;"",OR(NOT(ISNUMBER(G1009)),N(G1009)&lt;=0)),"Opérateurs invalide","OK"))))))))))</f>
        <v/>
      </c>
      <c r="N1009" s="71" t="str">
        <f>IF(AND(fiche_sel&lt;&gt;"",A1009=fiche_sel),COUNTIF(A$6:A1009,fiche_sel),"")</f>
        <v/>
      </c>
    </row>
    <row r="1010">
      <c r="A1010" s="60" t="n"/>
      <c r="B1010" s="73" t="n"/>
      <c r="C1010" s="60" t="n"/>
      <c r="D1010" s="61" t="n"/>
      <c r="E1010" s="74" t="n"/>
      <c r="F1010" s="74" t="n"/>
      <c r="G1010" s="73" t="n"/>
      <c r="H1010" s="66" t="str">
        <f>IF(M1010&lt;&gt;"OK","",INDEX(po_mo,MATCH(D1010,po_code,0)))</f>
        <v/>
      </c>
      <c r="I1010" s="66" t="str">
        <f>IF(M1010&lt;&gt;"OK","",INDEX(po_mac,MATCH(D1010,po_code,0)))</f>
        <v/>
      </c>
      <c r="J1010" s="66" t="str">
        <f>IF(M1010&lt;&gt;"OK","",N(E1010)*(H1010*IF(G1010="",1,G1010)+I1010))</f>
        <v/>
      </c>
      <c r="K1010" s="66" t="str">
        <f>IF(M1010&lt;&gt;"OK","",N(F1010)/60*H1010*IF(G1010="",1,G1010))</f>
        <v/>
      </c>
      <c r="L1010" s="66" t="str">
        <f>IF(M1010&lt;&gt;"OK","",N(F1010)/60*I1010)</f>
        <v/>
      </c>
      <c r="M1010" s="69" t="str">
        <f>IF(AND(A1010="",D1010=""),"",IF(A1010="","Produit manquant",IF(COUNTIF(prod_ref,A1010)=0,"Produit inconnu",IF(D1010="","Poste manquant",IF(ISNA(MATCH(D1010,po_code,0)),"Poste inconnu",IF(INDEX(po_check,MATCH(D1010,po_code,0))&lt;&gt;"OK","Poste à corriger",IF(AND(E1010&lt;&gt;"",OR(NOT(ISNUMBER(E1010)),N(E1010)&lt;0)),"Réglage invalide",IF(AND(F1010&lt;&gt;"",OR(NOT(ISNUMBER(F1010)),N(F1010)&lt;0)),"Temps par pièce invalide",IF(N(E1010)+N(F1010)=0,"Temps manquant",IF(AND(G1010&lt;&gt;"",OR(NOT(ISNUMBER(G1010)),N(G1010)&lt;=0)),"Opérateurs invalide","OK"))))))))))</f>
        <v/>
      </c>
      <c r="N1010" s="71" t="str">
        <f>IF(AND(fiche_sel&lt;&gt;"",A1010=fiche_sel),COUNTIF(A$6:A1010,fiche_sel),"")</f>
        <v/>
      </c>
    </row>
    <row r="1011">
      <c r="A1011" s="60" t="n"/>
      <c r="B1011" s="73" t="n"/>
      <c r="C1011" s="60" t="n"/>
      <c r="D1011" s="61" t="n"/>
      <c r="E1011" s="74" t="n"/>
      <c r="F1011" s="74" t="n"/>
      <c r="G1011" s="73" t="n"/>
      <c r="H1011" s="66" t="str">
        <f>IF(M1011&lt;&gt;"OK","",INDEX(po_mo,MATCH(D1011,po_code,0)))</f>
        <v/>
      </c>
      <c r="I1011" s="66" t="str">
        <f>IF(M1011&lt;&gt;"OK","",INDEX(po_mac,MATCH(D1011,po_code,0)))</f>
        <v/>
      </c>
      <c r="J1011" s="66" t="str">
        <f>IF(M1011&lt;&gt;"OK","",N(E1011)*(H1011*IF(G1011="",1,G1011)+I1011))</f>
        <v/>
      </c>
      <c r="K1011" s="66" t="str">
        <f>IF(M1011&lt;&gt;"OK","",N(F1011)/60*H1011*IF(G1011="",1,G1011))</f>
        <v/>
      </c>
      <c r="L1011" s="66" t="str">
        <f>IF(M1011&lt;&gt;"OK","",N(F1011)/60*I1011)</f>
        <v/>
      </c>
      <c r="M1011" s="69" t="str">
        <f>IF(AND(A1011="",D1011=""),"",IF(A1011="","Produit manquant",IF(COUNTIF(prod_ref,A1011)=0,"Produit inconnu",IF(D1011="","Poste manquant",IF(ISNA(MATCH(D1011,po_code,0)),"Poste inconnu",IF(INDEX(po_check,MATCH(D1011,po_code,0))&lt;&gt;"OK","Poste à corriger",IF(AND(E1011&lt;&gt;"",OR(NOT(ISNUMBER(E1011)),N(E1011)&lt;0)),"Réglage invalide",IF(AND(F1011&lt;&gt;"",OR(NOT(ISNUMBER(F1011)),N(F1011)&lt;0)),"Temps par pièce invalide",IF(N(E1011)+N(F1011)=0,"Temps manquant",IF(AND(G1011&lt;&gt;"",OR(NOT(ISNUMBER(G1011)),N(G1011)&lt;=0)),"Opérateurs invalide","OK"))))))))))</f>
        <v/>
      </c>
      <c r="N1011" s="71" t="str">
        <f>IF(AND(fiche_sel&lt;&gt;"",A1011=fiche_sel),COUNTIF(A$6:A1011,fiche_sel),"")</f>
        <v/>
      </c>
    </row>
    <row r="1012">
      <c r="A1012" s="60" t="n"/>
      <c r="B1012" s="73" t="n"/>
      <c r="C1012" s="60" t="n"/>
      <c r="D1012" s="61" t="n"/>
      <c r="E1012" s="74" t="n"/>
      <c r="F1012" s="74" t="n"/>
      <c r="G1012" s="73" t="n"/>
      <c r="H1012" s="66" t="str">
        <f>IF(M1012&lt;&gt;"OK","",INDEX(po_mo,MATCH(D1012,po_code,0)))</f>
        <v/>
      </c>
      <c r="I1012" s="66" t="str">
        <f>IF(M1012&lt;&gt;"OK","",INDEX(po_mac,MATCH(D1012,po_code,0)))</f>
        <v/>
      </c>
      <c r="J1012" s="66" t="str">
        <f>IF(M1012&lt;&gt;"OK","",N(E1012)*(H1012*IF(G1012="",1,G1012)+I1012))</f>
        <v/>
      </c>
      <c r="K1012" s="66" t="str">
        <f>IF(M1012&lt;&gt;"OK","",N(F1012)/60*H1012*IF(G1012="",1,G1012))</f>
        <v/>
      </c>
      <c r="L1012" s="66" t="str">
        <f>IF(M1012&lt;&gt;"OK","",N(F1012)/60*I1012)</f>
        <v/>
      </c>
      <c r="M1012" s="69" t="str">
        <f>IF(AND(A1012="",D1012=""),"",IF(A1012="","Produit manquant",IF(COUNTIF(prod_ref,A1012)=0,"Produit inconnu",IF(D1012="","Poste manquant",IF(ISNA(MATCH(D1012,po_code,0)),"Poste inconnu",IF(INDEX(po_check,MATCH(D1012,po_code,0))&lt;&gt;"OK","Poste à corriger",IF(AND(E1012&lt;&gt;"",OR(NOT(ISNUMBER(E1012)),N(E1012)&lt;0)),"Réglage invalide",IF(AND(F1012&lt;&gt;"",OR(NOT(ISNUMBER(F1012)),N(F1012)&lt;0)),"Temps par pièce invalide",IF(N(E1012)+N(F1012)=0,"Temps manquant",IF(AND(G1012&lt;&gt;"",OR(NOT(ISNUMBER(G1012)),N(G1012)&lt;=0)),"Opérateurs invalide","OK"))))))))))</f>
        <v/>
      </c>
      <c r="N1012" s="71" t="str">
        <f>IF(AND(fiche_sel&lt;&gt;"",A1012=fiche_sel),COUNTIF(A$6:A1012,fiche_sel),"")</f>
        <v/>
      </c>
    </row>
    <row r="1013">
      <c r="A1013" s="60" t="n"/>
      <c r="B1013" s="73" t="n"/>
      <c r="C1013" s="60" t="n"/>
      <c r="D1013" s="61" t="n"/>
      <c r="E1013" s="74" t="n"/>
      <c r="F1013" s="74" t="n"/>
      <c r="G1013" s="73" t="n"/>
      <c r="H1013" s="66" t="str">
        <f>IF(M1013&lt;&gt;"OK","",INDEX(po_mo,MATCH(D1013,po_code,0)))</f>
        <v/>
      </c>
      <c r="I1013" s="66" t="str">
        <f>IF(M1013&lt;&gt;"OK","",INDEX(po_mac,MATCH(D1013,po_code,0)))</f>
        <v/>
      </c>
      <c r="J1013" s="66" t="str">
        <f>IF(M1013&lt;&gt;"OK","",N(E1013)*(H1013*IF(G1013="",1,G1013)+I1013))</f>
        <v/>
      </c>
      <c r="K1013" s="66" t="str">
        <f>IF(M1013&lt;&gt;"OK","",N(F1013)/60*H1013*IF(G1013="",1,G1013))</f>
        <v/>
      </c>
      <c r="L1013" s="66" t="str">
        <f>IF(M1013&lt;&gt;"OK","",N(F1013)/60*I1013)</f>
        <v/>
      </c>
      <c r="M1013" s="69" t="str">
        <f>IF(AND(A1013="",D1013=""),"",IF(A1013="","Produit manquant",IF(COUNTIF(prod_ref,A1013)=0,"Produit inconnu",IF(D1013="","Poste manquant",IF(ISNA(MATCH(D1013,po_code,0)),"Poste inconnu",IF(INDEX(po_check,MATCH(D1013,po_code,0))&lt;&gt;"OK","Poste à corriger",IF(AND(E1013&lt;&gt;"",OR(NOT(ISNUMBER(E1013)),N(E1013)&lt;0)),"Réglage invalide",IF(AND(F1013&lt;&gt;"",OR(NOT(ISNUMBER(F1013)),N(F1013)&lt;0)),"Temps par pièce invalide",IF(N(E1013)+N(F1013)=0,"Temps manquant",IF(AND(G1013&lt;&gt;"",OR(NOT(ISNUMBER(G1013)),N(G1013)&lt;=0)),"Opérateurs invalide","OK"))))))))))</f>
        <v/>
      </c>
      <c r="N1013" s="71" t="str">
        <f>IF(AND(fiche_sel&lt;&gt;"",A1013=fiche_sel),COUNTIF(A$6:A1013,fiche_sel),"")</f>
        <v/>
      </c>
    </row>
    <row r="1014">
      <c r="A1014" s="60" t="n"/>
      <c r="B1014" s="73" t="n"/>
      <c r="C1014" s="60" t="n"/>
      <c r="D1014" s="61" t="n"/>
      <c r="E1014" s="74" t="n"/>
      <c r="F1014" s="74" t="n"/>
      <c r="G1014" s="73" t="n"/>
      <c r="H1014" s="66" t="str">
        <f>IF(M1014&lt;&gt;"OK","",INDEX(po_mo,MATCH(D1014,po_code,0)))</f>
        <v/>
      </c>
      <c r="I1014" s="66" t="str">
        <f>IF(M1014&lt;&gt;"OK","",INDEX(po_mac,MATCH(D1014,po_code,0)))</f>
        <v/>
      </c>
      <c r="J1014" s="66" t="str">
        <f>IF(M1014&lt;&gt;"OK","",N(E1014)*(H1014*IF(G1014="",1,G1014)+I1014))</f>
        <v/>
      </c>
      <c r="K1014" s="66" t="str">
        <f>IF(M1014&lt;&gt;"OK","",N(F1014)/60*H1014*IF(G1014="",1,G1014))</f>
        <v/>
      </c>
      <c r="L1014" s="66" t="str">
        <f>IF(M1014&lt;&gt;"OK","",N(F1014)/60*I1014)</f>
        <v/>
      </c>
      <c r="M1014" s="69" t="str">
        <f>IF(AND(A1014="",D1014=""),"",IF(A1014="","Produit manquant",IF(COUNTIF(prod_ref,A1014)=0,"Produit inconnu",IF(D1014="","Poste manquant",IF(ISNA(MATCH(D1014,po_code,0)),"Poste inconnu",IF(INDEX(po_check,MATCH(D1014,po_code,0))&lt;&gt;"OK","Poste à corriger",IF(AND(E1014&lt;&gt;"",OR(NOT(ISNUMBER(E1014)),N(E1014)&lt;0)),"Réglage invalide",IF(AND(F1014&lt;&gt;"",OR(NOT(ISNUMBER(F1014)),N(F1014)&lt;0)),"Temps par pièce invalide",IF(N(E1014)+N(F1014)=0,"Temps manquant",IF(AND(G1014&lt;&gt;"",OR(NOT(ISNUMBER(G1014)),N(G1014)&lt;=0)),"Opérateurs invalide","OK"))))))))))</f>
        <v/>
      </c>
      <c r="N1014" s="71" t="str">
        <f>IF(AND(fiche_sel&lt;&gt;"",A1014=fiche_sel),COUNTIF(A$6:A1014,fiche_sel),"")</f>
        <v/>
      </c>
    </row>
    <row r="1015">
      <c r="A1015" s="60" t="n"/>
      <c r="B1015" s="73" t="n"/>
      <c r="C1015" s="60" t="n"/>
      <c r="D1015" s="61" t="n"/>
      <c r="E1015" s="74" t="n"/>
      <c r="F1015" s="74" t="n"/>
      <c r="G1015" s="73" t="n"/>
      <c r="H1015" s="66" t="str">
        <f>IF(M1015&lt;&gt;"OK","",INDEX(po_mo,MATCH(D1015,po_code,0)))</f>
        <v/>
      </c>
      <c r="I1015" s="66" t="str">
        <f>IF(M1015&lt;&gt;"OK","",INDEX(po_mac,MATCH(D1015,po_code,0)))</f>
        <v/>
      </c>
      <c r="J1015" s="66" t="str">
        <f>IF(M1015&lt;&gt;"OK","",N(E1015)*(H1015*IF(G1015="",1,G1015)+I1015))</f>
        <v/>
      </c>
      <c r="K1015" s="66" t="str">
        <f>IF(M1015&lt;&gt;"OK","",N(F1015)/60*H1015*IF(G1015="",1,G1015))</f>
        <v/>
      </c>
      <c r="L1015" s="66" t="str">
        <f>IF(M1015&lt;&gt;"OK","",N(F1015)/60*I1015)</f>
        <v/>
      </c>
      <c r="M1015" s="69" t="str">
        <f>IF(AND(A1015="",D1015=""),"",IF(A1015="","Produit manquant",IF(COUNTIF(prod_ref,A1015)=0,"Produit inconnu",IF(D1015="","Poste manquant",IF(ISNA(MATCH(D1015,po_code,0)),"Poste inconnu",IF(INDEX(po_check,MATCH(D1015,po_code,0))&lt;&gt;"OK","Poste à corriger",IF(AND(E1015&lt;&gt;"",OR(NOT(ISNUMBER(E1015)),N(E1015)&lt;0)),"Réglage invalide",IF(AND(F1015&lt;&gt;"",OR(NOT(ISNUMBER(F1015)),N(F1015)&lt;0)),"Temps par pièce invalide",IF(N(E1015)+N(F1015)=0,"Temps manquant",IF(AND(G1015&lt;&gt;"",OR(NOT(ISNUMBER(G1015)),N(G1015)&lt;=0)),"Opérateurs invalide","OK"))))))))))</f>
        <v/>
      </c>
      <c r="N1015" s="71" t="str">
        <f>IF(AND(fiche_sel&lt;&gt;"",A1015=fiche_sel),COUNTIF(A$6:A1015,fiche_sel),"")</f>
        <v/>
      </c>
    </row>
    <row r="1016">
      <c r="A1016" s="60" t="n"/>
      <c r="B1016" s="73" t="n"/>
      <c r="C1016" s="60" t="n"/>
      <c r="D1016" s="61" t="n"/>
      <c r="E1016" s="74" t="n"/>
      <c r="F1016" s="74" t="n"/>
      <c r="G1016" s="73" t="n"/>
      <c r="H1016" s="66" t="str">
        <f>IF(M1016&lt;&gt;"OK","",INDEX(po_mo,MATCH(D1016,po_code,0)))</f>
        <v/>
      </c>
      <c r="I1016" s="66" t="str">
        <f>IF(M1016&lt;&gt;"OK","",INDEX(po_mac,MATCH(D1016,po_code,0)))</f>
        <v/>
      </c>
      <c r="J1016" s="66" t="str">
        <f>IF(M1016&lt;&gt;"OK","",N(E1016)*(H1016*IF(G1016="",1,G1016)+I1016))</f>
        <v/>
      </c>
      <c r="K1016" s="66" t="str">
        <f>IF(M1016&lt;&gt;"OK","",N(F1016)/60*H1016*IF(G1016="",1,G1016))</f>
        <v/>
      </c>
      <c r="L1016" s="66" t="str">
        <f>IF(M1016&lt;&gt;"OK","",N(F1016)/60*I1016)</f>
        <v/>
      </c>
      <c r="M1016" s="69" t="str">
        <f>IF(AND(A1016="",D1016=""),"",IF(A1016="","Produit manquant",IF(COUNTIF(prod_ref,A1016)=0,"Produit inconnu",IF(D1016="","Poste manquant",IF(ISNA(MATCH(D1016,po_code,0)),"Poste inconnu",IF(INDEX(po_check,MATCH(D1016,po_code,0))&lt;&gt;"OK","Poste à corriger",IF(AND(E1016&lt;&gt;"",OR(NOT(ISNUMBER(E1016)),N(E1016)&lt;0)),"Réglage invalide",IF(AND(F1016&lt;&gt;"",OR(NOT(ISNUMBER(F1016)),N(F1016)&lt;0)),"Temps par pièce invalide",IF(N(E1016)+N(F1016)=0,"Temps manquant",IF(AND(G1016&lt;&gt;"",OR(NOT(ISNUMBER(G1016)),N(G1016)&lt;=0)),"Opérateurs invalide","OK"))))))))))</f>
        <v/>
      </c>
      <c r="N1016" s="71" t="str">
        <f>IF(AND(fiche_sel&lt;&gt;"",A1016=fiche_sel),COUNTIF(A$6:A1016,fiche_sel),"")</f>
        <v/>
      </c>
    </row>
    <row r="1017">
      <c r="A1017" s="60" t="n"/>
      <c r="B1017" s="73" t="n"/>
      <c r="C1017" s="60" t="n"/>
      <c r="D1017" s="61" t="n"/>
      <c r="E1017" s="74" t="n"/>
      <c r="F1017" s="74" t="n"/>
      <c r="G1017" s="73" t="n"/>
      <c r="H1017" s="66" t="str">
        <f>IF(M1017&lt;&gt;"OK","",INDEX(po_mo,MATCH(D1017,po_code,0)))</f>
        <v/>
      </c>
      <c r="I1017" s="66" t="str">
        <f>IF(M1017&lt;&gt;"OK","",INDEX(po_mac,MATCH(D1017,po_code,0)))</f>
        <v/>
      </c>
      <c r="J1017" s="66" t="str">
        <f>IF(M1017&lt;&gt;"OK","",N(E1017)*(H1017*IF(G1017="",1,G1017)+I1017))</f>
        <v/>
      </c>
      <c r="K1017" s="66" t="str">
        <f>IF(M1017&lt;&gt;"OK","",N(F1017)/60*H1017*IF(G1017="",1,G1017))</f>
        <v/>
      </c>
      <c r="L1017" s="66" t="str">
        <f>IF(M1017&lt;&gt;"OK","",N(F1017)/60*I1017)</f>
        <v/>
      </c>
      <c r="M1017" s="69" t="str">
        <f>IF(AND(A1017="",D1017=""),"",IF(A1017="","Produit manquant",IF(COUNTIF(prod_ref,A1017)=0,"Produit inconnu",IF(D1017="","Poste manquant",IF(ISNA(MATCH(D1017,po_code,0)),"Poste inconnu",IF(INDEX(po_check,MATCH(D1017,po_code,0))&lt;&gt;"OK","Poste à corriger",IF(AND(E1017&lt;&gt;"",OR(NOT(ISNUMBER(E1017)),N(E1017)&lt;0)),"Réglage invalide",IF(AND(F1017&lt;&gt;"",OR(NOT(ISNUMBER(F1017)),N(F1017)&lt;0)),"Temps par pièce invalide",IF(N(E1017)+N(F1017)=0,"Temps manquant",IF(AND(G1017&lt;&gt;"",OR(NOT(ISNUMBER(G1017)),N(G1017)&lt;=0)),"Opérateurs invalide","OK"))))))))))</f>
        <v/>
      </c>
      <c r="N1017" s="71" t="str">
        <f>IF(AND(fiche_sel&lt;&gt;"",A1017=fiche_sel),COUNTIF(A$6:A1017,fiche_sel),"")</f>
        <v/>
      </c>
    </row>
    <row r="1018">
      <c r="A1018" s="60" t="n"/>
      <c r="B1018" s="73" t="n"/>
      <c r="C1018" s="60" t="n"/>
      <c r="D1018" s="61" t="n"/>
      <c r="E1018" s="74" t="n"/>
      <c r="F1018" s="74" t="n"/>
      <c r="G1018" s="73" t="n"/>
      <c r="H1018" s="66" t="str">
        <f>IF(M1018&lt;&gt;"OK","",INDEX(po_mo,MATCH(D1018,po_code,0)))</f>
        <v/>
      </c>
      <c r="I1018" s="66" t="str">
        <f>IF(M1018&lt;&gt;"OK","",INDEX(po_mac,MATCH(D1018,po_code,0)))</f>
        <v/>
      </c>
      <c r="J1018" s="66" t="str">
        <f>IF(M1018&lt;&gt;"OK","",N(E1018)*(H1018*IF(G1018="",1,G1018)+I1018))</f>
        <v/>
      </c>
      <c r="K1018" s="66" t="str">
        <f>IF(M1018&lt;&gt;"OK","",N(F1018)/60*H1018*IF(G1018="",1,G1018))</f>
        <v/>
      </c>
      <c r="L1018" s="66" t="str">
        <f>IF(M1018&lt;&gt;"OK","",N(F1018)/60*I1018)</f>
        <v/>
      </c>
      <c r="M1018" s="69" t="str">
        <f>IF(AND(A1018="",D1018=""),"",IF(A1018="","Produit manquant",IF(COUNTIF(prod_ref,A1018)=0,"Produit inconnu",IF(D1018="","Poste manquant",IF(ISNA(MATCH(D1018,po_code,0)),"Poste inconnu",IF(INDEX(po_check,MATCH(D1018,po_code,0))&lt;&gt;"OK","Poste à corriger",IF(AND(E1018&lt;&gt;"",OR(NOT(ISNUMBER(E1018)),N(E1018)&lt;0)),"Réglage invalide",IF(AND(F1018&lt;&gt;"",OR(NOT(ISNUMBER(F1018)),N(F1018)&lt;0)),"Temps par pièce invalide",IF(N(E1018)+N(F1018)=0,"Temps manquant",IF(AND(G1018&lt;&gt;"",OR(NOT(ISNUMBER(G1018)),N(G1018)&lt;=0)),"Opérateurs invalide","OK"))))))))))</f>
        <v/>
      </c>
      <c r="N1018" s="71" t="str">
        <f>IF(AND(fiche_sel&lt;&gt;"",A1018=fiche_sel),COUNTIF(A$6:A1018,fiche_sel),"")</f>
        <v/>
      </c>
    </row>
    <row r="1019">
      <c r="A1019" s="60" t="n"/>
      <c r="B1019" s="73" t="n"/>
      <c r="C1019" s="60" t="n"/>
      <c r="D1019" s="61" t="n"/>
      <c r="E1019" s="74" t="n"/>
      <c r="F1019" s="74" t="n"/>
      <c r="G1019" s="73" t="n"/>
      <c r="H1019" s="66" t="str">
        <f>IF(M1019&lt;&gt;"OK","",INDEX(po_mo,MATCH(D1019,po_code,0)))</f>
        <v/>
      </c>
      <c r="I1019" s="66" t="str">
        <f>IF(M1019&lt;&gt;"OK","",INDEX(po_mac,MATCH(D1019,po_code,0)))</f>
        <v/>
      </c>
      <c r="J1019" s="66" t="str">
        <f>IF(M1019&lt;&gt;"OK","",N(E1019)*(H1019*IF(G1019="",1,G1019)+I1019))</f>
        <v/>
      </c>
      <c r="K1019" s="66" t="str">
        <f>IF(M1019&lt;&gt;"OK","",N(F1019)/60*H1019*IF(G1019="",1,G1019))</f>
        <v/>
      </c>
      <c r="L1019" s="66" t="str">
        <f>IF(M1019&lt;&gt;"OK","",N(F1019)/60*I1019)</f>
        <v/>
      </c>
      <c r="M1019" s="69" t="str">
        <f>IF(AND(A1019="",D1019=""),"",IF(A1019="","Produit manquant",IF(COUNTIF(prod_ref,A1019)=0,"Produit inconnu",IF(D1019="","Poste manquant",IF(ISNA(MATCH(D1019,po_code,0)),"Poste inconnu",IF(INDEX(po_check,MATCH(D1019,po_code,0))&lt;&gt;"OK","Poste à corriger",IF(AND(E1019&lt;&gt;"",OR(NOT(ISNUMBER(E1019)),N(E1019)&lt;0)),"Réglage invalide",IF(AND(F1019&lt;&gt;"",OR(NOT(ISNUMBER(F1019)),N(F1019)&lt;0)),"Temps par pièce invalide",IF(N(E1019)+N(F1019)=0,"Temps manquant",IF(AND(G1019&lt;&gt;"",OR(NOT(ISNUMBER(G1019)),N(G1019)&lt;=0)),"Opérateurs invalide","OK"))))))))))</f>
        <v/>
      </c>
      <c r="N1019" s="71" t="str">
        <f>IF(AND(fiche_sel&lt;&gt;"",A1019=fiche_sel),COUNTIF(A$6:A1019,fiche_sel),"")</f>
        <v/>
      </c>
    </row>
    <row r="1020">
      <c r="A1020" s="60" t="n"/>
      <c r="B1020" s="73" t="n"/>
      <c r="C1020" s="60" t="n"/>
      <c r="D1020" s="61" t="n"/>
      <c r="E1020" s="74" t="n"/>
      <c r="F1020" s="74" t="n"/>
      <c r="G1020" s="73" t="n"/>
      <c r="H1020" s="66" t="str">
        <f>IF(M1020&lt;&gt;"OK","",INDEX(po_mo,MATCH(D1020,po_code,0)))</f>
        <v/>
      </c>
      <c r="I1020" s="66" t="str">
        <f>IF(M1020&lt;&gt;"OK","",INDEX(po_mac,MATCH(D1020,po_code,0)))</f>
        <v/>
      </c>
      <c r="J1020" s="66" t="str">
        <f>IF(M1020&lt;&gt;"OK","",N(E1020)*(H1020*IF(G1020="",1,G1020)+I1020))</f>
        <v/>
      </c>
      <c r="K1020" s="66" t="str">
        <f>IF(M1020&lt;&gt;"OK","",N(F1020)/60*H1020*IF(G1020="",1,G1020))</f>
        <v/>
      </c>
      <c r="L1020" s="66" t="str">
        <f>IF(M1020&lt;&gt;"OK","",N(F1020)/60*I1020)</f>
        <v/>
      </c>
      <c r="M1020" s="69" t="str">
        <f>IF(AND(A1020="",D1020=""),"",IF(A1020="","Produit manquant",IF(COUNTIF(prod_ref,A1020)=0,"Produit inconnu",IF(D1020="","Poste manquant",IF(ISNA(MATCH(D1020,po_code,0)),"Poste inconnu",IF(INDEX(po_check,MATCH(D1020,po_code,0))&lt;&gt;"OK","Poste à corriger",IF(AND(E1020&lt;&gt;"",OR(NOT(ISNUMBER(E1020)),N(E1020)&lt;0)),"Réglage invalide",IF(AND(F1020&lt;&gt;"",OR(NOT(ISNUMBER(F1020)),N(F1020)&lt;0)),"Temps par pièce invalide",IF(N(E1020)+N(F1020)=0,"Temps manquant",IF(AND(G1020&lt;&gt;"",OR(NOT(ISNUMBER(G1020)),N(G1020)&lt;=0)),"Opérateurs invalide","OK"))))))))))</f>
        <v/>
      </c>
      <c r="N1020" s="71" t="str">
        <f>IF(AND(fiche_sel&lt;&gt;"",A1020=fiche_sel),COUNTIF(A$6:A1020,fiche_sel),"")</f>
        <v/>
      </c>
    </row>
    <row r="1021">
      <c r="A1021" s="60" t="n"/>
      <c r="B1021" s="73" t="n"/>
      <c r="C1021" s="60" t="n"/>
      <c r="D1021" s="61" t="n"/>
      <c r="E1021" s="74" t="n"/>
      <c r="F1021" s="74" t="n"/>
      <c r="G1021" s="73" t="n"/>
      <c r="H1021" s="66" t="str">
        <f>IF(M1021&lt;&gt;"OK","",INDEX(po_mo,MATCH(D1021,po_code,0)))</f>
        <v/>
      </c>
      <c r="I1021" s="66" t="str">
        <f>IF(M1021&lt;&gt;"OK","",INDEX(po_mac,MATCH(D1021,po_code,0)))</f>
        <v/>
      </c>
      <c r="J1021" s="66" t="str">
        <f>IF(M1021&lt;&gt;"OK","",N(E1021)*(H1021*IF(G1021="",1,G1021)+I1021))</f>
        <v/>
      </c>
      <c r="K1021" s="66" t="str">
        <f>IF(M1021&lt;&gt;"OK","",N(F1021)/60*H1021*IF(G1021="",1,G1021))</f>
        <v/>
      </c>
      <c r="L1021" s="66" t="str">
        <f>IF(M1021&lt;&gt;"OK","",N(F1021)/60*I1021)</f>
        <v/>
      </c>
      <c r="M1021" s="69" t="str">
        <f>IF(AND(A1021="",D1021=""),"",IF(A1021="","Produit manquant",IF(COUNTIF(prod_ref,A1021)=0,"Produit inconnu",IF(D1021="","Poste manquant",IF(ISNA(MATCH(D1021,po_code,0)),"Poste inconnu",IF(INDEX(po_check,MATCH(D1021,po_code,0))&lt;&gt;"OK","Poste à corriger",IF(AND(E1021&lt;&gt;"",OR(NOT(ISNUMBER(E1021)),N(E1021)&lt;0)),"Réglage invalide",IF(AND(F1021&lt;&gt;"",OR(NOT(ISNUMBER(F1021)),N(F1021)&lt;0)),"Temps par pièce invalide",IF(N(E1021)+N(F1021)=0,"Temps manquant",IF(AND(G1021&lt;&gt;"",OR(NOT(ISNUMBER(G1021)),N(G1021)&lt;=0)),"Opérateurs invalide","OK"))))))))))</f>
        <v/>
      </c>
      <c r="N1021" s="71" t="str">
        <f>IF(AND(fiche_sel&lt;&gt;"",A1021=fiche_sel),COUNTIF(A$6:A1021,fiche_sel),"")</f>
        <v/>
      </c>
    </row>
    <row r="1022">
      <c r="A1022" s="60" t="n"/>
      <c r="B1022" s="73" t="n"/>
      <c r="C1022" s="60" t="n"/>
      <c r="D1022" s="61" t="n"/>
      <c r="E1022" s="74" t="n"/>
      <c r="F1022" s="74" t="n"/>
      <c r="G1022" s="73" t="n"/>
      <c r="H1022" s="66" t="str">
        <f>IF(M1022&lt;&gt;"OK","",INDEX(po_mo,MATCH(D1022,po_code,0)))</f>
        <v/>
      </c>
      <c r="I1022" s="66" t="str">
        <f>IF(M1022&lt;&gt;"OK","",INDEX(po_mac,MATCH(D1022,po_code,0)))</f>
        <v/>
      </c>
      <c r="J1022" s="66" t="str">
        <f>IF(M1022&lt;&gt;"OK","",N(E1022)*(H1022*IF(G1022="",1,G1022)+I1022))</f>
        <v/>
      </c>
      <c r="K1022" s="66" t="str">
        <f>IF(M1022&lt;&gt;"OK","",N(F1022)/60*H1022*IF(G1022="",1,G1022))</f>
        <v/>
      </c>
      <c r="L1022" s="66" t="str">
        <f>IF(M1022&lt;&gt;"OK","",N(F1022)/60*I1022)</f>
        <v/>
      </c>
      <c r="M1022" s="69" t="str">
        <f>IF(AND(A1022="",D1022=""),"",IF(A1022="","Produit manquant",IF(COUNTIF(prod_ref,A1022)=0,"Produit inconnu",IF(D1022="","Poste manquant",IF(ISNA(MATCH(D1022,po_code,0)),"Poste inconnu",IF(INDEX(po_check,MATCH(D1022,po_code,0))&lt;&gt;"OK","Poste à corriger",IF(AND(E1022&lt;&gt;"",OR(NOT(ISNUMBER(E1022)),N(E1022)&lt;0)),"Réglage invalide",IF(AND(F1022&lt;&gt;"",OR(NOT(ISNUMBER(F1022)),N(F1022)&lt;0)),"Temps par pièce invalide",IF(N(E1022)+N(F1022)=0,"Temps manquant",IF(AND(G1022&lt;&gt;"",OR(NOT(ISNUMBER(G1022)),N(G1022)&lt;=0)),"Opérateurs invalide","OK"))))))))))</f>
        <v/>
      </c>
      <c r="N1022" s="71" t="str">
        <f>IF(AND(fiche_sel&lt;&gt;"",A1022=fiche_sel),COUNTIF(A$6:A1022,fiche_sel),"")</f>
        <v/>
      </c>
    </row>
    <row r="1023">
      <c r="A1023" s="60" t="n"/>
      <c r="B1023" s="73" t="n"/>
      <c r="C1023" s="60" t="n"/>
      <c r="D1023" s="61" t="n"/>
      <c r="E1023" s="74" t="n"/>
      <c r="F1023" s="74" t="n"/>
      <c r="G1023" s="73" t="n"/>
      <c r="H1023" s="66" t="str">
        <f>IF(M1023&lt;&gt;"OK","",INDEX(po_mo,MATCH(D1023,po_code,0)))</f>
        <v/>
      </c>
      <c r="I1023" s="66" t="str">
        <f>IF(M1023&lt;&gt;"OK","",INDEX(po_mac,MATCH(D1023,po_code,0)))</f>
        <v/>
      </c>
      <c r="J1023" s="66" t="str">
        <f>IF(M1023&lt;&gt;"OK","",N(E1023)*(H1023*IF(G1023="",1,G1023)+I1023))</f>
        <v/>
      </c>
      <c r="K1023" s="66" t="str">
        <f>IF(M1023&lt;&gt;"OK","",N(F1023)/60*H1023*IF(G1023="",1,G1023))</f>
        <v/>
      </c>
      <c r="L1023" s="66" t="str">
        <f>IF(M1023&lt;&gt;"OK","",N(F1023)/60*I1023)</f>
        <v/>
      </c>
      <c r="M1023" s="69" t="str">
        <f>IF(AND(A1023="",D1023=""),"",IF(A1023="","Produit manquant",IF(COUNTIF(prod_ref,A1023)=0,"Produit inconnu",IF(D1023="","Poste manquant",IF(ISNA(MATCH(D1023,po_code,0)),"Poste inconnu",IF(INDEX(po_check,MATCH(D1023,po_code,0))&lt;&gt;"OK","Poste à corriger",IF(AND(E1023&lt;&gt;"",OR(NOT(ISNUMBER(E1023)),N(E1023)&lt;0)),"Réglage invalide",IF(AND(F1023&lt;&gt;"",OR(NOT(ISNUMBER(F1023)),N(F1023)&lt;0)),"Temps par pièce invalide",IF(N(E1023)+N(F1023)=0,"Temps manquant",IF(AND(G1023&lt;&gt;"",OR(NOT(ISNUMBER(G1023)),N(G1023)&lt;=0)),"Opérateurs invalide","OK"))))))))))</f>
        <v/>
      </c>
      <c r="N1023" s="71" t="str">
        <f>IF(AND(fiche_sel&lt;&gt;"",A1023=fiche_sel),COUNTIF(A$6:A1023,fiche_sel),"")</f>
        <v/>
      </c>
    </row>
    <row r="1024">
      <c r="A1024" s="60" t="n"/>
      <c r="B1024" s="73" t="n"/>
      <c r="C1024" s="60" t="n"/>
      <c r="D1024" s="61" t="n"/>
      <c r="E1024" s="74" t="n"/>
      <c r="F1024" s="74" t="n"/>
      <c r="G1024" s="73" t="n"/>
      <c r="H1024" s="66" t="str">
        <f>IF(M1024&lt;&gt;"OK","",INDEX(po_mo,MATCH(D1024,po_code,0)))</f>
        <v/>
      </c>
      <c r="I1024" s="66" t="str">
        <f>IF(M1024&lt;&gt;"OK","",INDEX(po_mac,MATCH(D1024,po_code,0)))</f>
        <v/>
      </c>
      <c r="J1024" s="66" t="str">
        <f>IF(M1024&lt;&gt;"OK","",N(E1024)*(H1024*IF(G1024="",1,G1024)+I1024))</f>
        <v/>
      </c>
      <c r="K1024" s="66" t="str">
        <f>IF(M1024&lt;&gt;"OK","",N(F1024)/60*H1024*IF(G1024="",1,G1024))</f>
        <v/>
      </c>
      <c r="L1024" s="66" t="str">
        <f>IF(M1024&lt;&gt;"OK","",N(F1024)/60*I1024)</f>
        <v/>
      </c>
      <c r="M1024" s="69" t="str">
        <f>IF(AND(A1024="",D1024=""),"",IF(A1024="","Produit manquant",IF(COUNTIF(prod_ref,A1024)=0,"Produit inconnu",IF(D1024="","Poste manquant",IF(ISNA(MATCH(D1024,po_code,0)),"Poste inconnu",IF(INDEX(po_check,MATCH(D1024,po_code,0))&lt;&gt;"OK","Poste à corriger",IF(AND(E1024&lt;&gt;"",OR(NOT(ISNUMBER(E1024)),N(E1024)&lt;0)),"Réglage invalide",IF(AND(F1024&lt;&gt;"",OR(NOT(ISNUMBER(F1024)),N(F1024)&lt;0)),"Temps par pièce invalide",IF(N(E1024)+N(F1024)=0,"Temps manquant",IF(AND(G1024&lt;&gt;"",OR(NOT(ISNUMBER(G1024)),N(G1024)&lt;=0)),"Opérateurs invalide","OK"))))))))))</f>
        <v/>
      </c>
      <c r="N1024" s="71" t="str">
        <f>IF(AND(fiche_sel&lt;&gt;"",A1024=fiche_sel),COUNTIF(A$6:A1024,fiche_sel),"")</f>
        <v/>
      </c>
    </row>
    <row r="1025">
      <c r="A1025" s="60" t="n"/>
      <c r="B1025" s="73" t="n"/>
      <c r="C1025" s="60" t="n"/>
      <c r="D1025" s="61" t="n"/>
      <c r="E1025" s="74" t="n"/>
      <c r="F1025" s="74" t="n"/>
      <c r="G1025" s="73" t="n"/>
      <c r="H1025" s="66" t="str">
        <f>IF(M1025&lt;&gt;"OK","",INDEX(po_mo,MATCH(D1025,po_code,0)))</f>
        <v/>
      </c>
      <c r="I1025" s="66" t="str">
        <f>IF(M1025&lt;&gt;"OK","",INDEX(po_mac,MATCH(D1025,po_code,0)))</f>
        <v/>
      </c>
      <c r="J1025" s="66" t="str">
        <f>IF(M1025&lt;&gt;"OK","",N(E1025)*(H1025*IF(G1025="",1,G1025)+I1025))</f>
        <v/>
      </c>
      <c r="K1025" s="66" t="str">
        <f>IF(M1025&lt;&gt;"OK","",N(F1025)/60*H1025*IF(G1025="",1,G1025))</f>
        <v/>
      </c>
      <c r="L1025" s="66" t="str">
        <f>IF(M1025&lt;&gt;"OK","",N(F1025)/60*I1025)</f>
        <v/>
      </c>
      <c r="M1025" s="69" t="str">
        <f>IF(AND(A1025="",D1025=""),"",IF(A1025="","Produit manquant",IF(COUNTIF(prod_ref,A1025)=0,"Produit inconnu",IF(D1025="","Poste manquant",IF(ISNA(MATCH(D1025,po_code,0)),"Poste inconnu",IF(INDEX(po_check,MATCH(D1025,po_code,0))&lt;&gt;"OK","Poste à corriger",IF(AND(E1025&lt;&gt;"",OR(NOT(ISNUMBER(E1025)),N(E1025)&lt;0)),"Réglage invalide",IF(AND(F1025&lt;&gt;"",OR(NOT(ISNUMBER(F1025)),N(F1025)&lt;0)),"Temps par pièce invalide",IF(N(E1025)+N(F1025)=0,"Temps manquant",IF(AND(G1025&lt;&gt;"",OR(NOT(ISNUMBER(G1025)),N(G1025)&lt;=0)),"Opérateurs invalide","OK"))))))))))</f>
        <v/>
      </c>
      <c r="N1025" s="71" t="str">
        <f>IF(AND(fiche_sel&lt;&gt;"",A1025=fiche_sel),COUNTIF(A$6:A1025,fiche_sel),"")</f>
        <v/>
      </c>
    </row>
    <row r="1026">
      <c r="A1026" s="60" t="n"/>
      <c r="B1026" s="73" t="n"/>
      <c r="C1026" s="60" t="n"/>
      <c r="D1026" s="61" t="n"/>
      <c r="E1026" s="74" t="n"/>
      <c r="F1026" s="74" t="n"/>
      <c r="G1026" s="73" t="n"/>
      <c r="H1026" s="66" t="str">
        <f>IF(M1026&lt;&gt;"OK","",INDEX(po_mo,MATCH(D1026,po_code,0)))</f>
        <v/>
      </c>
      <c r="I1026" s="66" t="str">
        <f>IF(M1026&lt;&gt;"OK","",INDEX(po_mac,MATCH(D1026,po_code,0)))</f>
        <v/>
      </c>
      <c r="J1026" s="66" t="str">
        <f>IF(M1026&lt;&gt;"OK","",N(E1026)*(H1026*IF(G1026="",1,G1026)+I1026))</f>
        <v/>
      </c>
      <c r="K1026" s="66" t="str">
        <f>IF(M1026&lt;&gt;"OK","",N(F1026)/60*H1026*IF(G1026="",1,G1026))</f>
        <v/>
      </c>
      <c r="L1026" s="66" t="str">
        <f>IF(M1026&lt;&gt;"OK","",N(F1026)/60*I1026)</f>
        <v/>
      </c>
      <c r="M1026" s="69" t="str">
        <f>IF(AND(A1026="",D1026=""),"",IF(A1026="","Produit manquant",IF(COUNTIF(prod_ref,A1026)=0,"Produit inconnu",IF(D1026="","Poste manquant",IF(ISNA(MATCH(D1026,po_code,0)),"Poste inconnu",IF(INDEX(po_check,MATCH(D1026,po_code,0))&lt;&gt;"OK","Poste à corriger",IF(AND(E1026&lt;&gt;"",OR(NOT(ISNUMBER(E1026)),N(E1026)&lt;0)),"Réglage invalide",IF(AND(F1026&lt;&gt;"",OR(NOT(ISNUMBER(F1026)),N(F1026)&lt;0)),"Temps par pièce invalide",IF(N(E1026)+N(F1026)=0,"Temps manquant",IF(AND(G1026&lt;&gt;"",OR(NOT(ISNUMBER(G1026)),N(G1026)&lt;=0)),"Opérateurs invalide","OK"))))))))))</f>
        <v/>
      </c>
      <c r="N1026" s="71" t="str">
        <f>IF(AND(fiche_sel&lt;&gt;"",A1026=fiche_sel),COUNTIF(A$6:A1026,fiche_sel),"")</f>
        <v/>
      </c>
    </row>
    <row r="1027">
      <c r="A1027" s="60" t="n"/>
      <c r="B1027" s="73" t="n"/>
      <c r="C1027" s="60" t="n"/>
      <c r="D1027" s="61" t="n"/>
      <c r="E1027" s="74" t="n"/>
      <c r="F1027" s="74" t="n"/>
      <c r="G1027" s="73" t="n"/>
      <c r="H1027" s="66" t="str">
        <f>IF(M1027&lt;&gt;"OK","",INDEX(po_mo,MATCH(D1027,po_code,0)))</f>
        <v/>
      </c>
      <c r="I1027" s="66" t="str">
        <f>IF(M1027&lt;&gt;"OK","",INDEX(po_mac,MATCH(D1027,po_code,0)))</f>
        <v/>
      </c>
      <c r="J1027" s="66" t="str">
        <f>IF(M1027&lt;&gt;"OK","",N(E1027)*(H1027*IF(G1027="",1,G1027)+I1027))</f>
        <v/>
      </c>
      <c r="K1027" s="66" t="str">
        <f>IF(M1027&lt;&gt;"OK","",N(F1027)/60*H1027*IF(G1027="",1,G1027))</f>
        <v/>
      </c>
      <c r="L1027" s="66" t="str">
        <f>IF(M1027&lt;&gt;"OK","",N(F1027)/60*I1027)</f>
        <v/>
      </c>
      <c r="M1027" s="69" t="str">
        <f>IF(AND(A1027="",D1027=""),"",IF(A1027="","Produit manquant",IF(COUNTIF(prod_ref,A1027)=0,"Produit inconnu",IF(D1027="","Poste manquant",IF(ISNA(MATCH(D1027,po_code,0)),"Poste inconnu",IF(INDEX(po_check,MATCH(D1027,po_code,0))&lt;&gt;"OK","Poste à corriger",IF(AND(E1027&lt;&gt;"",OR(NOT(ISNUMBER(E1027)),N(E1027)&lt;0)),"Réglage invalide",IF(AND(F1027&lt;&gt;"",OR(NOT(ISNUMBER(F1027)),N(F1027)&lt;0)),"Temps par pièce invalide",IF(N(E1027)+N(F1027)=0,"Temps manquant",IF(AND(G1027&lt;&gt;"",OR(NOT(ISNUMBER(G1027)),N(G1027)&lt;=0)),"Opérateurs invalide","OK"))))))))))</f>
        <v/>
      </c>
      <c r="N1027" s="71" t="str">
        <f>IF(AND(fiche_sel&lt;&gt;"",A1027=fiche_sel),COUNTIF(A$6:A1027,fiche_sel),"")</f>
        <v/>
      </c>
    </row>
    <row r="1028">
      <c r="A1028" s="60" t="n"/>
      <c r="B1028" s="73" t="n"/>
      <c r="C1028" s="60" t="n"/>
      <c r="D1028" s="61" t="n"/>
      <c r="E1028" s="74" t="n"/>
      <c r="F1028" s="74" t="n"/>
      <c r="G1028" s="73" t="n"/>
      <c r="H1028" s="66" t="str">
        <f>IF(M1028&lt;&gt;"OK","",INDEX(po_mo,MATCH(D1028,po_code,0)))</f>
        <v/>
      </c>
      <c r="I1028" s="66" t="str">
        <f>IF(M1028&lt;&gt;"OK","",INDEX(po_mac,MATCH(D1028,po_code,0)))</f>
        <v/>
      </c>
      <c r="J1028" s="66" t="str">
        <f>IF(M1028&lt;&gt;"OK","",N(E1028)*(H1028*IF(G1028="",1,G1028)+I1028))</f>
        <v/>
      </c>
      <c r="K1028" s="66" t="str">
        <f>IF(M1028&lt;&gt;"OK","",N(F1028)/60*H1028*IF(G1028="",1,G1028))</f>
        <v/>
      </c>
      <c r="L1028" s="66" t="str">
        <f>IF(M1028&lt;&gt;"OK","",N(F1028)/60*I1028)</f>
        <v/>
      </c>
      <c r="M1028" s="69" t="str">
        <f>IF(AND(A1028="",D1028=""),"",IF(A1028="","Produit manquant",IF(COUNTIF(prod_ref,A1028)=0,"Produit inconnu",IF(D1028="","Poste manquant",IF(ISNA(MATCH(D1028,po_code,0)),"Poste inconnu",IF(INDEX(po_check,MATCH(D1028,po_code,0))&lt;&gt;"OK","Poste à corriger",IF(AND(E1028&lt;&gt;"",OR(NOT(ISNUMBER(E1028)),N(E1028)&lt;0)),"Réglage invalide",IF(AND(F1028&lt;&gt;"",OR(NOT(ISNUMBER(F1028)),N(F1028)&lt;0)),"Temps par pièce invalide",IF(N(E1028)+N(F1028)=0,"Temps manquant",IF(AND(G1028&lt;&gt;"",OR(NOT(ISNUMBER(G1028)),N(G1028)&lt;=0)),"Opérateurs invalide","OK"))))))))))</f>
        <v/>
      </c>
      <c r="N1028" s="71" t="str">
        <f>IF(AND(fiche_sel&lt;&gt;"",A1028=fiche_sel),COUNTIF(A$6:A1028,fiche_sel),"")</f>
        <v/>
      </c>
    </row>
    <row r="1029">
      <c r="A1029" s="60" t="n"/>
      <c r="B1029" s="73" t="n"/>
      <c r="C1029" s="60" t="n"/>
      <c r="D1029" s="61" t="n"/>
      <c r="E1029" s="74" t="n"/>
      <c r="F1029" s="74" t="n"/>
      <c r="G1029" s="73" t="n"/>
      <c r="H1029" s="66" t="str">
        <f>IF(M1029&lt;&gt;"OK","",INDEX(po_mo,MATCH(D1029,po_code,0)))</f>
        <v/>
      </c>
      <c r="I1029" s="66" t="str">
        <f>IF(M1029&lt;&gt;"OK","",INDEX(po_mac,MATCH(D1029,po_code,0)))</f>
        <v/>
      </c>
      <c r="J1029" s="66" t="str">
        <f>IF(M1029&lt;&gt;"OK","",N(E1029)*(H1029*IF(G1029="",1,G1029)+I1029))</f>
        <v/>
      </c>
      <c r="K1029" s="66" t="str">
        <f>IF(M1029&lt;&gt;"OK","",N(F1029)/60*H1029*IF(G1029="",1,G1029))</f>
        <v/>
      </c>
      <c r="L1029" s="66" t="str">
        <f>IF(M1029&lt;&gt;"OK","",N(F1029)/60*I1029)</f>
        <v/>
      </c>
      <c r="M1029" s="69" t="str">
        <f>IF(AND(A1029="",D1029=""),"",IF(A1029="","Produit manquant",IF(COUNTIF(prod_ref,A1029)=0,"Produit inconnu",IF(D1029="","Poste manquant",IF(ISNA(MATCH(D1029,po_code,0)),"Poste inconnu",IF(INDEX(po_check,MATCH(D1029,po_code,0))&lt;&gt;"OK","Poste à corriger",IF(AND(E1029&lt;&gt;"",OR(NOT(ISNUMBER(E1029)),N(E1029)&lt;0)),"Réglage invalide",IF(AND(F1029&lt;&gt;"",OR(NOT(ISNUMBER(F1029)),N(F1029)&lt;0)),"Temps par pièce invalide",IF(N(E1029)+N(F1029)=0,"Temps manquant",IF(AND(G1029&lt;&gt;"",OR(NOT(ISNUMBER(G1029)),N(G1029)&lt;=0)),"Opérateurs invalide","OK"))))))))))</f>
        <v/>
      </c>
      <c r="N1029" s="71" t="str">
        <f>IF(AND(fiche_sel&lt;&gt;"",A1029=fiche_sel),COUNTIF(A$6:A1029,fiche_sel),"")</f>
        <v/>
      </c>
    </row>
    <row r="1030">
      <c r="A1030" s="60" t="n"/>
      <c r="B1030" s="73" t="n"/>
      <c r="C1030" s="60" t="n"/>
      <c r="D1030" s="61" t="n"/>
      <c r="E1030" s="74" t="n"/>
      <c r="F1030" s="74" t="n"/>
      <c r="G1030" s="73" t="n"/>
      <c r="H1030" s="66" t="str">
        <f>IF(M1030&lt;&gt;"OK","",INDEX(po_mo,MATCH(D1030,po_code,0)))</f>
        <v/>
      </c>
      <c r="I1030" s="66" t="str">
        <f>IF(M1030&lt;&gt;"OK","",INDEX(po_mac,MATCH(D1030,po_code,0)))</f>
        <v/>
      </c>
      <c r="J1030" s="66" t="str">
        <f>IF(M1030&lt;&gt;"OK","",N(E1030)*(H1030*IF(G1030="",1,G1030)+I1030))</f>
        <v/>
      </c>
      <c r="K1030" s="66" t="str">
        <f>IF(M1030&lt;&gt;"OK","",N(F1030)/60*H1030*IF(G1030="",1,G1030))</f>
        <v/>
      </c>
      <c r="L1030" s="66" t="str">
        <f>IF(M1030&lt;&gt;"OK","",N(F1030)/60*I1030)</f>
        <v/>
      </c>
      <c r="M1030" s="69" t="str">
        <f>IF(AND(A1030="",D1030=""),"",IF(A1030="","Produit manquant",IF(COUNTIF(prod_ref,A1030)=0,"Produit inconnu",IF(D1030="","Poste manquant",IF(ISNA(MATCH(D1030,po_code,0)),"Poste inconnu",IF(INDEX(po_check,MATCH(D1030,po_code,0))&lt;&gt;"OK","Poste à corriger",IF(AND(E1030&lt;&gt;"",OR(NOT(ISNUMBER(E1030)),N(E1030)&lt;0)),"Réglage invalide",IF(AND(F1030&lt;&gt;"",OR(NOT(ISNUMBER(F1030)),N(F1030)&lt;0)),"Temps par pièce invalide",IF(N(E1030)+N(F1030)=0,"Temps manquant",IF(AND(G1030&lt;&gt;"",OR(NOT(ISNUMBER(G1030)),N(G1030)&lt;=0)),"Opérateurs invalide","OK"))))))))))</f>
        <v/>
      </c>
      <c r="N1030" s="71" t="str">
        <f>IF(AND(fiche_sel&lt;&gt;"",A1030=fiche_sel),COUNTIF(A$6:A1030,fiche_sel),"")</f>
        <v/>
      </c>
    </row>
    <row r="1031">
      <c r="A1031" s="60" t="n"/>
      <c r="B1031" s="73" t="n"/>
      <c r="C1031" s="60" t="n"/>
      <c r="D1031" s="61" t="n"/>
      <c r="E1031" s="74" t="n"/>
      <c r="F1031" s="74" t="n"/>
      <c r="G1031" s="73" t="n"/>
      <c r="H1031" s="66" t="str">
        <f>IF(M1031&lt;&gt;"OK","",INDEX(po_mo,MATCH(D1031,po_code,0)))</f>
        <v/>
      </c>
      <c r="I1031" s="66" t="str">
        <f>IF(M1031&lt;&gt;"OK","",INDEX(po_mac,MATCH(D1031,po_code,0)))</f>
        <v/>
      </c>
      <c r="J1031" s="66" t="str">
        <f>IF(M1031&lt;&gt;"OK","",N(E1031)*(H1031*IF(G1031="",1,G1031)+I1031))</f>
        <v/>
      </c>
      <c r="K1031" s="66" t="str">
        <f>IF(M1031&lt;&gt;"OK","",N(F1031)/60*H1031*IF(G1031="",1,G1031))</f>
        <v/>
      </c>
      <c r="L1031" s="66" t="str">
        <f>IF(M1031&lt;&gt;"OK","",N(F1031)/60*I1031)</f>
        <v/>
      </c>
      <c r="M1031" s="69" t="str">
        <f>IF(AND(A1031="",D1031=""),"",IF(A1031="","Produit manquant",IF(COUNTIF(prod_ref,A1031)=0,"Produit inconnu",IF(D1031="","Poste manquant",IF(ISNA(MATCH(D1031,po_code,0)),"Poste inconnu",IF(INDEX(po_check,MATCH(D1031,po_code,0))&lt;&gt;"OK","Poste à corriger",IF(AND(E1031&lt;&gt;"",OR(NOT(ISNUMBER(E1031)),N(E1031)&lt;0)),"Réglage invalide",IF(AND(F1031&lt;&gt;"",OR(NOT(ISNUMBER(F1031)),N(F1031)&lt;0)),"Temps par pièce invalide",IF(N(E1031)+N(F1031)=0,"Temps manquant",IF(AND(G1031&lt;&gt;"",OR(NOT(ISNUMBER(G1031)),N(G1031)&lt;=0)),"Opérateurs invalide","OK"))))))))))</f>
        <v/>
      </c>
      <c r="N1031" s="71" t="str">
        <f>IF(AND(fiche_sel&lt;&gt;"",A1031=fiche_sel),COUNTIF(A$6:A1031,fiche_sel),"")</f>
        <v/>
      </c>
    </row>
    <row r="1032">
      <c r="A1032" s="60" t="n"/>
      <c r="B1032" s="73" t="n"/>
      <c r="C1032" s="60" t="n"/>
      <c r="D1032" s="61" t="n"/>
      <c r="E1032" s="74" t="n"/>
      <c r="F1032" s="74" t="n"/>
      <c r="G1032" s="73" t="n"/>
      <c r="H1032" s="66" t="str">
        <f>IF(M1032&lt;&gt;"OK","",INDEX(po_mo,MATCH(D1032,po_code,0)))</f>
        <v/>
      </c>
      <c r="I1032" s="66" t="str">
        <f>IF(M1032&lt;&gt;"OK","",INDEX(po_mac,MATCH(D1032,po_code,0)))</f>
        <v/>
      </c>
      <c r="J1032" s="66" t="str">
        <f>IF(M1032&lt;&gt;"OK","",N(E1032)*(H1032*IF(G1032="",1,G1032)+I1032))</f>
        <v/>
      </c>
      <c r="K1032" s="66" t="str">
        <f>IF(M1032&lt;&gt;"OK","",N(F1032)/60*H1032*IF(G1032="",1,G1032))</f>
        <v/>
      </c>
      <c r="L1032" s="66" t="str">
        <f>IF(M1032&lt;&gt;"OK","",N(F1032)/60*I1032)</f>
        <v/>
      </c>
      <c r="M1032" s="69" t="str">
        <f>IF(AND(A1032="",D1032=""),"",IF(A1032="","Produit manquant",IF(COUNTIF(prod_ref,A1032)=0,"Produit inconnu",IF(D1032="","Poste manquant",IF(ISNA(MATCH(D1032,po_code,0)),"Poste inconnu",IF(INDEX(po_check,MATCH(D1032,po_code,0))&lt;&gt;"OK","Poste à corriger",IF(AND(E1032&lt;&gt;"",OR(NOT(ISNUMBER(E1032)),N(E1032)&lt;0)),"Réglage invalide",IF(AND(F1032&lt;&gt;"",OR(NOT(ISNUMBER(F1032)),N(F1032)&lt;0)),"Temps par pièce invalide",IF(N(E1032)+N(F1032)=0,"Temps manquant",IF(AND(G1032&lt;&gt;"",OR(NOT(ISNUMBER(G1032)),N(G1032)&lt;=0)),"Opérateurs invalide","OK"))))))))))</f>
        <v/>
      </c>
      <c r="N1032" s="71" t="str">
        <f>IF(AND(fiche_sel&lt;&gt;"",A1032=fiche_sel),COUNTIF(A$6:A1032,fiche_sel),"")</f>
        <v/>
      </c>
    </row>
    <row r="1033">
      <c r="A1033" s="60" t="n"/>
      <c r="B1033" s="73" t="n"/>
      <c r="C1033" s="60" t="n"/>
      <c r="D1033" s="61" t="n"/>
      <c r="E1033" s="74" t="n"/>
      <c r="F1033" s="74" t="n"/>
      <c r="G1033" s="73" t="n"/>
      <c r="H1033" s="66" t="str">
        <f>IF(M1033&lt;&gt;"OK","",INDEX(po_mo,MATCH(D1033,po_code,0)))</f>
        <v/>
      </c>
      <c r="I1033" s="66" t="str">
        <f>IF(M1033&lt;&gt;"OK","",INDEX(po_mac,MATCH(D1033,po_code,0)))</f>
        <v/>
      </c>
      <c r="J1033" s="66" t="str">
        <f>IF(M1033&lt;&gt;"OK","",N(E1033)*(H1033*IF(G1033="",1,G1033)+I1033))</f>
        <v/>
      </c>
      <c r="K1033" s="66" t="str">
        <f>IF(M1033&lt;&gt;"OK","",N(F1033)/60*H1033*IF(G1033="",1,G1033))</f>
        <v/>
      </c>
      <c r="L1033" s="66" t="str">
        <f>IF(M1033&lt;&gt;"OK","",N(F1033)/60*I1033)</f>
        <v/>
      </c>
      <c r="M1033" s="69" t="str">
        <f>IF(AND(A1033="",D1033=""),"",IF(A1033="","Produit manquant",IF(COUNTIF(prod_ref,A1033)=0,"Produit inconnu",IF(D1033="","Poste manquant",IF(ISNA(MATCH(D1033,po_code,0)),"Poste inconnu",IF(INDEX(po_check,MATCH(D1033,po_code,0))&lt;&gt;"OK","Poste à corriger",IF(AND(E1033&lt;&gt;"",OR(NOT(ISNUMBER(E1033)),N(E1033)&lt;0)),"Réglage invalide",IF(AND(F1033&lt;&gt;"",OR(NOT(ISNUMBER(F1033)),N(F1033)&lt;0)),"Temps par pièce invalide",IF(N(E1033)+N(F1033)=0,"Temps manquant",IF(AND(G1033&lt;&gt;"",OR(NOT(ISNUMBER(G1033)),N(G1033)&lt;=0)),"Opérateurs invalide","OK"))))))))))</f>
        <v/>
      </c>
      <c r="N1033" s="71" t="str">
        <f>IF(AND(fiche_sel&lt;&gt;"",A1033=fiche_sel),COUNTIF(A$6:A1033,fiche_sel),"")</f>
        <v/>
      </c>
    </row>
    <row r="1034">
      <c r="A1034" s="60" t="n"/>
      <c r="B1034" s="73" t="n"/>
      <c r="C1034" s="60" t="n"/>
      <c r="D1034" s="61" t="n"/>
      <c r="E1034" s="74" t="n"/>
      <c r="F1034" s="74" t="n"/>
      <c r="G1034" s="73" t="n"/>
      <c r="H1034" s="66" t="str">
        <f>IF(M1034&lt;&gt;"OK","",INDEX(po_mo,MATCH(D1034,po_code,0)))</f>
        <v/>
      </c>
      <c r="I1034" s="66" t="str">
        <f>IF(M1034&lt;&gt;"OK","",INDEX(po_mac,MATCH(D1034,po_code,0)))</f>
        <v/>
      </c>
      <c r="J1034" s="66" t="str">
        <f>IF(M1034&lt;&gt;"OK","",N(E1034)*(H1034*IF(G1034="",1,G1034)+I1034))</f>
        <v/>
      </c>
      <c r="K1034" s="66" t="str">
        <f>IF(M1034&lt;&gt;"OK","",N(F1034)/60*H1034*IF(G1034="",1,G1034))</f>
        <v/>
      </c>
      <c r="L1034" s="66" t="str">
        <f>IF(M1034&lt;&gt;"OK","",N(F1034)/60*I1034)</f>
        <v/>
      </c>
      <c r="M1034" s="69" t="str">
        <f>IF(AND(A1034="",D1034=""),"",IF(A1034="","Produit manquant",IF(COUNTIF(prod_ref,A1034)=0,"Produit inconnu",IF(D1034="","Poste manquant",IF(ISNA(MATCH(D1034,po_code,0)),"Poste inconnu",IF(INDEX(po_check,MATCH(D1034,po_code,0))&lt;&gt;"OK","Poste à corriger",IF(AND(E1034&lt;&gt;"",OR(NOT(ISNUMBER(E1034)),N(E1034)&lt;0)),"Réglage invalide",IF(AND(F1034&lt;&gt;"",OR(NOT(ISNUMBER(F1034)),N(F1034)&lt;0)),"Temps par pièce invalide",IF(N(E1034)+N(F1034)=0,"Temps manquant",IF(AND(G1034&lt;&gt;"",OR(NOT(ISNUMBER(G1034)),N(G1034)&lt;=0)),"Opérateurs invalide","OK"))))))))))</f>
        <v/>
      </c>
      <c r="N1034" s="71" t="str">
        <f>IF(AND(fiche_sel&lt;&gt;"",A1034=fiche_sel),COUNTIF(A$6:A1034,fiche_sel),"")</f>
        <v/>
      </c>
    </row>
    <row r="1035">
      <c r="A1035" s="60" t="n"/>
      <c r="B1035" s="73" t="n"/>
      <c r="C1035" s="60" t="n"/>
      <c r="D1035" s="61" t="n"/>
      <c r="E1035" s="74" t="n"/>
      <c r="F1035" s="74" t="n"/>
      <c r="G1035" s="73" t="n"/>
      <c r="H1035" s="66" t="str">
        <f>IF(M1035&lt;&gt;"OK","",INDEX(po_mo,MATCH(D1035,po_code,0)))</f>
        <v/>
      </c>
      <c r="I1035" s="66" t="str">
        <f>IF(M1035&lt;&gt;"OK","",INDEX(po_mac,MATCH(D1035,po_code,0)))</f>
        <v/>
      </c>
      <c r="J1035" s="66" t="str">
        <f>IF(M1035&lt;&gt;"OK","",N(E1035)*(H1035*IF(G1035="",1,G1035)+I1035))</f>
        <v/>
      </c>
      <c r="K1035" s="66" t="str">
        <f>IF(M1035&lt;&gt;"OK","",N(F1035)/60*H1035*IF(G1035="",1,G1035))</f>
        <v/>
      </c>
      <c r="L1035" s="66" t="str">
        <f>IF(M1035&lt;&gt;"OK","",N(F1035)/60*I1035)</f>
        <v/>
      </c>
      <c r="M1035" s="69" t="str">
        <f>IF(AND(A1035="",D1035=""),"",IF(A1035="","Produit manquant",IF(COUNTIF(prod_ref,A1035)=0,"Produit inconnu",IF(D1035="","Poste manquant",IF(ISNA(MATCH(D1035,po_code,0)),"Poste inconnu",IF(INDEX(po_check,MATCH(D1035,po_code,0))&lt;&gt;"OK","Poste à corriger",IF(AND(E1035&lt;&gt;"",OR(NOT(ISNUMBER(E1035)),N(E1035)&lt;0)),"Réglage invalide",IF(AND(F1035&lt;&gt;"",OR(NOT(ISNUMBER(F1035)),N(F1035)&lt;0)),"Temps par pièce invalide",IF(N(E1035)+N(F1035)=0,"Temps manquant",IF(AND(G1035&lt;&gt;"",OR(NOT(ISNUMBER(G1035)),N(G1035)&lt;=0)),"Opérateurs invalide","OK"))))))))))</f>
        <v/>
      </c>
      <c r="N1035" s="71" t="str">
        <f>IF(AND(fiche_sel&lt;&gt;"",A1035=fiche_sel),COUNTIF(A$6:A1035,fiche_sel),"")</f>
        <v/>
      </c>
    </row>
    <row r="1036">
      <c r="A1036" s="60" t="n"/>
      <c r="B1036" s="73" t="n"/>
      <c r="C1036" s="60" t="n"/>
      <c r="D1036" s="61" t="n"/>
      <c r="E1036" s="74" t="n"/>
      <c r="F1036" s="74" t="n"/>
      <c r="G1036" s="73" t="n"/>
      <c r="H1036" s="66" t="str">
        <f>IF(M1036&lt;&gt;"OK","",INDEX(po_mo,MATCH(D1036,po_code,0)))</f>
        <v/>
      </c>
      <c r="I1036" s="66" t="str">
        <f>IF(M1036&lt;&gt;"OK","",INDEX(po_mac,MATCH(D1036,po_code,0)))</f>
        <v/>
      </c>
      <c r="J1036" s="66" t="str">
        <f>IF(M1036&lt;&gt;"OK","",N(E1036)*(H1036*IF(G1036="",1,G1036)+I1036))</f>
        <v/>
      </c>
      <c r="K1036" s="66" t="str">
        <f>IF(M1036&lt;&gt;"OK","",N(F1036)/60*H1036*IF(G1036="",1,G1036))</f>
        <v/>
      </c>
      <c r="L1036" s="66" t="str">
        <f>IF(M1036&lt;&gt;"OK","",N(F1036)/60*I1036)</f>
        <v/>
      </c>
      <c r="M1036" s="69" t="str">
        <f>IF(AND(A1036="",D1036=""),"",IF(A1036="","Produit manquant",IF(COUNTIF(prod_ref,A1036)=0,"Produit inconnu",IF(D1036="","Poste manquant",IF(ISNA(MATCH(D1036,po_code,0)),"Poste inconnu",IF(INDEX(po_check,MATCH(D1036,po_code,0))&lt;&gt;"OK","Poste à corriger",IF(AND(E1036&lt;&gt;"",OR(NOT(ISNUMBER(E1036)),N(E1036)&lt;0)),"Réglage invalide",IF(AND(F1036&lt;&gt;"",OR(NOT(ISNUMBER(F1036)),N(F1036)&lt;0)),"Temps par pièce invalide",IF(N(E1036)+N(F1036)=0,"Temps manquant",IF(AND(G1036&lt;&gt;"",OR(NOT(ISNUMBER(G1036)),N(G1036)&lt;=0)),"Opérateurs invalide","OK"))))))))))</f>
        <v/>
      </c>
      <c r="N1036" s="71" t="str">
        <f>IF(AND(fiche_sel&lt;&gt;"",A1036=fiche_sel),COUNTIF(A$6:A1036,fiche_sel),"")</f>
        <v/>
      </c>
    </row>
    <row r="1037">
      <c r="A1037" s="60" t="n"/>
      <c r="B1037" s="73" t="n"/>
      <c r="C1037" s="60" t="n"/>
      <c r="D1037" s="61" t="n"/>
      <c r="E1037" s="74" t="n"/>
      <c r="F1037" s="74" t="n"/>
      <c r="G1037" s="73" t="n"/>
      <c r="H1037" s="66" t="str">
        <f>IF(M1037&lt;&gt;"OK","",INDEX(po_mo,MATCH(D1037,po_code,0)))</f>
        <v/>
      </c>
      <c r="I1037" s="66" t="str">
        <f>IF(M1037&lt;&gt;"OK","",INDEX(po_mac,MATCH(D1037,po_code,0)))</f>
        <v/>
      </c>
      <c r="J1037" s="66" t="str">
        <f>IF(M1037&lt;&gt;"OK","",N(E1037)*(H1037*IF(G1037="",1,G1037)+I1037))</f>
        <v/>
      </c>
      <c r="K1037" s="66" t="str">
        <f>IF(M1037&lt;&gt;"OK","",N(F1037)/60*H1037*IF(G1037="",1,G1037))</f>
        <v/>
      </c>
      <c r="L1037" s="66" t="str">
        <f>IF(M1037&lt;&gt;"OK","",N(F1037)/60*I1037)</f>
        <v/>
      </c>
      <c r="M1037" s="69" t="str">
        <f>IF(AND(A1037="",D1037=""),"",IF(A1037="","Produit manquant",IF(COUNTIF(prod_ref,A1037)=0,"Produit inconnu",IF(D1037="","Poste manquant",IF(ISNA(MATCH(D1037,po_code,0)),"Poste inconnu",IF(INDEX(po_check,MATCH(D1037,po_code,0))&lt;&gt;"OK","Poste à corriger",IF(AND(E1037&lt;&gt;"",OR(NOT(ISNUMBER(E1037)),N(E1037)&lt;0)),"Réglage invalide",IF(AND(F1037&lt;&gt;"",OR(NOT(ISNUMBER(F1037)),N(F1037)&lt;0)),"Temps par pièce invalide",IF(N(E1037)+N(F1037)=0,"Temps manquant",IF(AND(G1037&lt;&gt;"",OR(NOT(ISNUMBER(G1037)),N(G1037)&lt;=0)),"Opérateurs invalide","OK"))))))))))</f>
        <v/>
      </c>
      <c r="N1037" s="71" t="str">
        <f>IF(AND(fiche_sel&lt;&gt;"",A1037=fiche_sel),COUNTIF(A$6:A1037,fiche_sel),"")</f>
        <v/>
      </c>
    </row>
    <row r="1038">
      <c r="A1038" s="60" t="n"/>
      <c r="B1038" s="73" t="n"/>
      <c r="C1038" s="60" t="n"/>
      <c r="D1038" s="61" t="n"/>
      <c r="E1038" s="74" t="n"/>
      <c r="F1038" s="74" t="n"/>
      <c r="G1038" s="73" t="n"/>
      <c r="H1038" s="66" t="str">
        <f>IF(M1038&lt;&gt;"OK","",INDEX(po_mo,MATCH(D1038,po_code,0)))</f>
        <v/>
      </c>
      <c r="I1038" s="66" t="str">
        <f>IF(M1038&lt;&gt;"OK","",INDEX(po_mac,MATCH(D1038,po_code,0)))</f>
        <v/>
      </c>
      <c r="J1038" s="66" t="str">
        <f>IF(M1038&lt;&gt;"OK","",N(E1038)*(H1038*IF(G1038="",1,G1038)+I1038))</f>
        <v/>
      </c>
      <c r="K1038" s="66" t="str">
        <f>IF(M1038&lt;&gt;"OK","",N(F1038)/60*H1038*IF(G1038="",1,G1038))</f>
        <v/>
      </c>
      <c r="L1038" s="66" t="str">
        <f>IF(M1038&lt;&gt;"OK","",N(F1038)/60*I1038)</f>
        <v/>
      </c>
      <c r="M1038" s="69" t="str">
        <f>IF(AND(A1038="",D1038=""),"",IF(A1038="","Produit manquant",IF(COUNTIF(prod_ref,A1038)=0,"Produit inconnu",IF(D1038="","Poste manquant",IF(ISNA(MATCH(D1038,po_code,0)),"Poste inconnu",IF(INDEX(po_check,MATCH(D1038,po_code,0))&lt;&gt;"OK","Poste à corriger",IF(AND(E1038&lt;&gt;"",OR(NOT(ISNUMBER(E1038)),N(E1038)&lt;0)),"Réglage invalide",IF(AND(F1038&lt;&gt;"",OR(NOT(ISNUMBER(F1038)),N(F1038)&lt;0)),"Temps par pièce invalide",IF(N(E1038)+N(F1038)=0,"Temps manquant",IF(AND(G1038&lt;&gt;"",OR(NOT(ISNUMBER(G1038)),N(G1038)&lt;=0)),"Opérateurs invalide","OK"))))))))))</f>
        <v/>
      </c>
      <c r="N1038" s="71" t="str">
        <f>IF(AND(fiche_sel&lt;&gt;"",A1038=fiche_sel),COUNTIF(A$6:A1038,fiche_sel),"")</f>
        <v/>
      </c>
    </row>
    <row r="1039">
      <c r="A1039" s="60" t="n"/>
      <c r="B1039" s="73" t="n"/>
      <c r="C1039" s="60" t="n"/>
      <c r="D1039" s="61" t="n"/>
      <c r="E1039" s="74" t="n"/>
      <c r="F1039" s="74" t="n"/>
      <c r="G1039" s="73" t="n"/>
      <c r="H1039" s="66" t="str">
        <f>IF(M1039&lt;&gt;"OK","",INDEX(po_mo,MATCH(D1039,po_code,0)))</f>
        <v/>
      </c>
      <c r="I1039" s="66" t="str">
        <f>IF(M1039&lt;&gt;"OK","",INDEX(po_mac,MATCH(D1039,po_code,0)))</f>
        <v/>
      </c>
      <c r="J1039" s="66" t="str">
        <f>IF(M1039&lt;&gt;"OK","",N(E1039)*(H1039*IF(G1039="",1,G1039)+I1039))</f>
        <v/>
      </c>
      <c r="K1039" s="66" t="str">
        <f>IF(M1039&lt;&gt;"OK","",N(F1039)/60*H1039*IF(G1039="",1,G1039))</f>
        <v/>
      </c>
      <c r="L1039" s="66" t="str">
        <f>IF(M1039&lt;&gt;"OK","",N(F1039)/60*I1039)</f>
        <v/>
      </c>
      <c r="M1039" s="69" t="str">
        <f>IF(AND(A1039="",D1039=""),"",IF(A1039="","Produit manquant",IF(COUNTIF(prod_ref,A1039)=0,"Produit inconnu",IF(D1039="","Poste manquant",IF(ISNA(MATCH(D1039,po_code,0)),"Poste inconnu",IF(INDEX(po_check,MATCH(D1039,po_code,0))&lt;&gt;"OK","Poste à corriger",IF(AND(E1039&lt;&gt;"",OR(NOT(ISNUMBER(E1039)),N(E1039)&lt;0)),"Réglage invalide",IF(AND(F1039&lt;&gt;"",OR(NOT(ISNUMBER(F1039)),N(F1039)&lt;0)),"Temps par pièce invalide",IF(N(E1039)+N(F1039)=0,"Temps manquant",IF(AND(G1039&lt;&gt;"",OR(NOT(ISNUMBER(G1039)),N(G1039)&lt;=0)),"Opérateurs invalide","OK"))))))))))</f>
        <v/>
      </c>
      <c r="N1039" s="71" t="str">
        <f>IF(AND(fiche_sel&lt;&gt;"",A1039=fiche_sel),COUNTIF(A$6:A1039,fiche_sel),"")</f>
        <v/>
      </c>
    </row>
    <row r="1040">
      <c r="A1040" s="60" t="n"/>
      <c r="B1040" s="73" t="n"/>
      <c r="C1040" s="60" t="n"/>
      <c r="D1040" s="61" t="n"/>
      <c r="E1040" s="74" t="n"/>
      <c r="F1040" s="74" t="n"/>
      <c r="G1040" s="73" t="n"/>
      <c r="H1040" s="66" t="str">
        <f>IF(M1040&lt;&gt;"OK","",INDEX(po_mo,MATCH(D1040,po_code,0)))</f>
        <v/>
      </c>
      <c r="I1040" s="66" t="str">
        <f>IF(M1040&lt;&gt;"OK","",INDEX(po_mac,MATCH(D1040,po_code,0)))</f>
        <v/>
      </c>
      <c r="J1040" s="66" t="str">
        <f>IF(M1040&lt;&gt;"OK","",N(E1040)*(H1040*IF(G1040="",1,G1040)+I1040))</f>
        <v/>
      </c>
      <c r="K1040" s="66" t="str">
        <f>IF(M1040&lt;&gt;"OK","",N(F1040)/60*H1040*IF(G1040="",1,G1040))</f>
        <v/>
      </c>
      <c r="L1040" s="66" t="str">
        <f>IF(M1040&lt;&gt;"OK","",N(F1040)/60*I1040)</f>
        <v/>
      </c>
      <c r="M1040" s="69" t="str">
        <f>IF(AND(A1040="",D1040=""),"",IF(A1040="","Produit manquant",IF(COUNTIF(prod_ref,A1040)=0,"Produit inconnu",IF(D1040="","Poste manquant",IF(ISNA(MATCH(D1040,po_code,0)),"Poste inconnu",IF(INDEX(po_check,MATCH(D1040,po_code,0))&lt;&gt;"OK","Poste à corriger",IF(AND(E1040&lt;&gt;"",OR(NOT(ISNUMBER(E1040)),N(E1040)&lt;0)),"Réglage invalide",IF(AND(F1040&lt;&gt;"",OR(NOT(ISNUMBER(F1040)),N(F1040)&lt;0)),"Temps par pièce invalide",IF(N(E1040)+N(F1040)=0,"Temps manquant",IF(AND(G1040&lt;&gt;"",OR(NOT(ISNUMBER(G1040)),N(G1040)&lt;=0)),"Opérateurs invalide","OK"))))))))))</f>
        <v/>
      </c>
      <c r="N1040" s="71" t="str">
        <f>IF(AND(fiche_sel&lt;&gt;"",A1040=fiche_sel),COUNTIF(A$6:A1040,fiche_sel),"")</f>
        <v/>
      </c>
    </row>
    <row r="1041">
      <c r="A1041" s="60" t="n"/>
      <c r="B1041" s="73" t="n"/>
      <c r="C1041" s="60" t="n"/>
      <c r="D1041" s="61" t="n"/>
      <c r="E1041" s="74" t="n"/>
      <c r="F1041" s="74" t="n"/>
      <c r="G1041" s="73" t="n"/>
      <c r="H1041" s="66" t="str">
        <f>IF(M1041&lt;&gt;"OK","",INDEX(po_mo,MATCH(D1041,po_code,0)))</f>
        <v/>
      </c>
      <c r="I1041" s="66" t="str">
        <f>IF(M1041&lt;&gt;"OK","",INDEX(po_mac,MATCH(D1041,po_code,0)))</f>
        <v/>
      </c>
      <c r="J1041" s="66" t="str">
        <f>IF(M1041&lt;&gt;"OK","",N(E1041)*(H1041*IF(G1041="",1,G1041)+I1041))</f>
        <v/>
      </c>
      <c r="K1041" s="66" t="str">
        <f>IF(M1041&lt;&gt;"OK","",N(F1041)/60*H1041*IF(G1041="",1,G1041))</f>
        <v/>
      </c>
      <c r="L1041" s="66" t="str">
        <f>IF(M1041&lt;&gt;"OK","",N(F1041)/60*I1041)</f>
        <v/>
      </c>
      <c r="M1041" s="69" t="str">
        <f>IF(AND(A1041="",D1041=""),"",IF(A1041="","Produit manquant",IF(COUNTIF(prod_ref,A1041)=0,"Produit inconnu",IF(D1041="","Poste manquant",IF(ISNA(MATCH(D1041,po_code,0)),"Poste inconnu",IF(INDEX(po_check,MATCH(D1041,po_code,0))&lt;&gt;"OK","Poste à corriger",IF(AND(E1041&lt;&gt;"",OR(NOT(ISNUMBER(E1041)),N(E1041)&lt;0)),"Réglage invalide",IF(AND(F1041&lt;&gt;"",OR(NOT(ISNUMBER(F1041)),N(F1041)&lt;0)),"Temps par pièce invalide",IF(N(E1041)+N(F1041)=0,"Temps manquant",IF(AND(G1041&lt;&gt;"",OR(NOT(ISNUMBER(G1041)),N(G1041)&lt;=0)),"Opérateurs invalide","OK"))))))))))</f>
        <v/>
      </c>
      <c r="N1041" s="71" t="str">
        <f>IF(AND(fiche_sel&lt;&gt;"",A1041=fiche_sel),COUNTIF(A$6:A1041,fiche_sel),"")</f>
        <v/>
      </c>
    </row>
    <row r="1042">
      <c r="A1042" s="60" t="n"/>
      <c r="B1042" s="73" t="n"/>
      <c r="C1042" s="60" t="n"/>
      <c r="D1042" s="61" t="n"/>
      <c r="E1042" s="74" t="n"/>
      <c r="F1042" s="74" t="n"/>
      <c r="G1042" s="73" t="n"/>
      <c r="H1042" s="66" t="str">
        <f>IF(M1042&lt;&gt;"OK","",INDEX(po_mo,MATCH(D1042,po_code,0)))</f>
        <v/>
      </c>
      <c r="I1042" s="66" t="str">
        <f>IF(M1042&lt;&gt;"OK","",INDEX(po_mac,MATCH(D1042,po_code,0)))</f>
        <v/>
      </c>
      <c r="J1042" s="66" t="str">
        <f>IF(M1042&lt;&gt;"OK","",N(E1042)*(H1042*IF(G1042="",1,G1042)+I1042))</f>
        <v/>
      </c>
      <c r="K1042" s="66" t="str">
        <f>IF(M1042&lt;&gt;"OK","",N(F1042)/60*H1042*IF(G1042="",1,G1042))</f>
        <v/>
      </c>
      <c r="L1042" s="66" t="str">
        <f>IF(M1042&lt;&gt;"OK","",N(F1042)/60*I1042)</f>
        <v/>
      </c>
      <c r="M1042" s="69" t="str">
        <f>IF(AND(A1042="",D1042=""),"",IF(A1042="","Produit manquant",IF(COUNTIF(prod_ref,A1042)=0,"Produit inconnu",IF(D1042="","Poste manquant",IF(ISNA(MATCH(D1042,po_code,0)),"Poste inconnu",IF(INDEX(po_check,MATCH(D1042,po_code,0))&lt;&gt;"OK","Poste à corriger",IF(AND(E1042&lt;&gt;"",OR(NOT(ISNUMBER(E1042)),N(E1042)&lt;0)),"Réglage invalide",IF(AND(F1042&lt;&gt;"",OR(NOT(ISNUMBER(F1042)),N(F1042)&lt;0)),"Temps par pièce invalide",IF(N(E1042)+N(F1042)=0,"Temps manquant",IF(AND(G1042&lt;&gt;"",OR(NOT(ISNUMBER(G1042)),N(G1042)&lt;=0)),"Opérateurs invalide","OK"))))))))))</f>
        <v/>
      </c>
      <c r="N1042" s="71" t="str">
        <f>IF(AND(fiche_sel&lt;&gt;"",A1042=fiche_sel),COUNTIF(A$6:A1042,fiche_sel),"")</f>
        <v/>
      </c>
    </row>
    <row r="1043">
      <c r="A1043" s="60" t="n"/>
      <c r="B1043" s="73" t="n"/>
      <c r="C1043" s="60" t="n"/>
      <c r="D1043" s="61" t="n"/>
      <c r="E1043" s="74" t="n"/>
      <c r="F1043" s="74" t="n"/>
      <c r="G1043" s="73" t="n"/>
      <c r="H1043" s="66" t="str">
        <f>IF(M1043&lt;&gt;"OK","",INDEX(po_mo,MATCH(D1043,po_code,0)))</f>
        <v/>
      </c>
      <c r="I1043" s="66" t="str">
        <f>IF(M1043&lt;&gt;"OK","",INDEX(po_mac,MATCH(D1043,po_code,0)))</f>
        <v/>
      </c>
      <c r="J1043" s="66" t="str">
        <f>IF(M1043&lt;&gt;"OK","",N(E1043)*(H1043*IF(G1043="",1,G1043)+I1043))</f>
        <v/>
      </c>
      <c r="K1043" s="66" t="str">
        <f>IF(M1043&lt;&gt;"OK","",N(F1043)/60*H1043*IF(G1043="",1,G1043))</f>
        <v/>
      </c>
      <c r="L1043" s="66" t="str">
        <f>IF(M1043&lt;&gt;"OK","",N(F1043)/60*I1043)</f>
        <v/>
      </c>
      <c r="M1043" s="69" t="str">
        <f>IF(AND(A1043="",D1043=""),"",IF(A1043="","Produit manquant",IF(COUNTIF(prod_ref,A1043)=0,"Produit inconnu",IF(D1043="","Poste manquant",IF(ISNA(MATCH(D1043,po_code,0)),"Poste inconnu",IF(INDEX(po_check,MATCH(D1043,po_code,0))&lt;&gt;"OK","Poste à corriger",IF(AND(E1043&lt;&gt;"",OR(NOT(ISNUMBER(E1043)),N(E1043)&lt;0)),"Réglage invalide",IF(AND(F1043&lt;&gt;"",OR(NOT(ISNUMBER(F1043)),N(F1043)&lt;0)),"Temps par pièce invalide",IF(N(E1043)+N(F1043)=0,"Temps manquant",IF(AND(G1043&lt;&gt;"",OR(NOT(ISNUMBER(G1043)),N(G1043)&lt;=0)),"Opérateurs invalide","OK"))))))))))</f>
        <v/>
      </c>
      <c r="N1043" s="71" t="str">
        <f>IF(AND(fiche_sel&lt;&gt;"",A1043=fiche_sel),COUNTIF(A$6:A1043,fiche_sel),"")</f>
        <v/>
      </c>
    </row>
    <row r="1044">
      <c r="A1044" s="60" t="n"/>
      <c r="B1044" s="73" t="n"/>
      <c r="C1044" s="60" t="n"/>
      <c r="D1044" s="61" t="n"/>
      <c r="E1044" s="74" t="n"/>
      <c r="F1044" s="74" t="n"/>
      <c r="G1044" s="73" t="n"/>
      <c r="H1044" s="66" t="str">
        <f>IF(M1044&lt;&gt;"OK","",INDEX(po_mo,MATCH(D1044,po_code,0)))</f>
        <v/>
      </c>
      <c r="I1044" s="66" t="str">
        <f>IF(M1044&lt;&gt;"OK","",INDEX(po_mac,MATCH(D1044,po_code,0)))</f>
        <v/>
      </c>
      <c r="J1044" s="66" t="str">
        <f>IF(M1044&lt;&gt;"OK","",N(E1044)*(H1044*IF(G1044="",1,G1044)+I1044))</f>
        <v/>
      </c>
      <c r="K1044" s="66" t="str">
        <f>IF(M1044&lt;&gt;"OK","",N(F1044)/60*H1044*IF(G1044="",1,G1044))</f>
        <v/>
      </c>
      <c r="L1044" s="66" t="str">
        <f>IF(M1044&lt;&gt;"OK","",N(F1044)/60*I1044)</f>
        <v/>
      </c>
      <c r="M1044" s="69" t="str">
        <f>IF(AND(A1044="",D1044=""),"",IF(A1044="","Produit manquant",IF(COUNTIF(prod_ref,A1044)=0,"Produit inconnu",IF(D1044="","Poste manquant",IF(ISNA(MATCH(D1044,po_code,0)),"Poste inconnu",IF(INDEX(po_check,MATCH(D1044,po_code,0))&lt;&gt;"OK","Poste à corriger",IF(AND(E1044&lt;&gt;"",OR(NOT(ISNUMBER(E1044)),N(E1044)&lt;0)),"Réglage invalide",IF(AND(F1044&lt;&gt;"",OR(NOT(ISNUMBER(F1044)),N(F1044)&lt;0)),"Temps par pièce invalide",IF(N(E1044)+N(F1044)=0,"Temps manquant",IF(AND(G1044&lt;&gt;"",OR(NOT(ISNUMBER(G1044)),N(G1044)&lt;=0)),"Opérateurs invalide","OK"))))))))))</f>
        <v/>
      </c>
      <c r="N1044" s="71" t="str">
        <f>IF(AND(fiche_sel&lt;&gt;"",A1044=fiche_sel),COUNTIF(A$6:A1044,fiche_sel),"")</f>
        <v/>
      </c>
    </row>
    <row r="1045">
      <c r="A1045" s="60" t="n"/>
      <c r="B1045" s="73" t="n"/>
      <c r="C1045" s="60" t="n"/>
      <c r="D1045" s="61" t="n"/>
      <c r="E1045" s="74" t="n"/>
      <c r="F1045" s="74" t="n"/>
      <c r="G1045" s="73" t="n"/>
      <c r="H1045" s="66" t="str">
        <f>IF(M1045&lt;&gt;"OK","",INDEX(po_mo,MATCH(D1045,po_code,0)))</f>
        <v/>
      </c>
      <c r="I1045" s="66" t="str">
        <f>IF(M1045&lt;&gt;"OK","",INDEX(po_mac,MATCH(D1045,po_code,0)))</f>
        <v/>
      </c>
      <c r="J1045" s="66" t="str">
        <f>IF(M1045&lt;&gt;"OK","",N(E1045)*(H1045*IF(G1045="",1,G1045)+I1045))</f>
        <v/>
      </c>
      <c r="K1045" s="66" t="str">
        <f>IF(M1045&lt;&gt;"OK","",N(F1045)/60*H1045*IF(G1045="",1,G1045))</f>
        <v/>
      </c>
      <c r="L1045" s="66" t="str">
        <f>IF(M1045&lt;&gt;"OK","",N(F1045)/60*I1045)</f>
        <v/>
      </c>
      <c r="M1045" s="69" t="str">
        <f>IF(AND(A1045="",D1045=""),"",IF(A1045="","Produit manquant",IF(COUNTIF(prod_ref,A1045)=0,"Produit inconnu",IF(D1045="","Poste manquant",IF(ISNA(MATCH(D1045,po_code,0)),"Poste inconnu",IF(INDEX(po_check,MATCH(D1045,po_code,0))&lt;&gt;"OK","Poste à corriger",IF(AND(E1045&lt;&gt;"",OR(NOT(ISNUMBER(E1045)),N(E1045)&lt;0)),"Réglage invalide",IF(AND(F1045&lt;&gt;"",OR(NOT(ISNUMBER(F1045)),N(F1045)&lt;0)),"Temps par pièce invalide",IF(N(E1045)+N(F1045)=0,"Temps manquant",IF(AND(G1045&lt;&gt;"",OR(NOT(ISNUMBER(G1045)),N(G1045)&lt;=0)),"Opérateurs invalide","OK"))))))))))</f>
        <v/>
      </c>
      <c r="N1045" s="71" t="str">
        <f>IF(AND(fiche_sel&lt;&gt;"",A1045=fiche_sel),COUNTIF(A$6:A1045,fiche_sel),"")</f>
        <v/>
      </c>
    </row>
    <row r="1046">
      <c r="A1046" s="60" t="n"/>
      <c r="B1046" s="73" t="n"/>
      <c r="C1046" s="60" t="n"/>
      <c r="D1046" s="61" t="n"/>
      <c r="E1046" s="74" t="n"/>
      <c r="F1046" s="74" t="n"/>
      <c r="G1046" s="73" t="n"/>
      <c r="H1046" s="66" t="str">
        <f>IF(M1046&lt;&gt;"OK","",INDEX(po_mo,MATCH(D1046,po_code,0)))</f>
        <v/>
      </c>
      <c r="I1046" s="66" t="str">
        <f>IF(M1046&lt;&gt;"OK","",INDEX(po_mac,MATCH(D1046,po_code,0)))</f>
        <v/>
      </c>
      <c r="J1046" s="66" t="str">
        <f>IF(M1046&lt;&gt;"OK","",N(E1046)*(H1046*IF(G1046="",1,G1046)+I1046))</f>
        <v/>
      </c>
      <c r="K1046" s="66" t="str">
        <f>IF(M1046&lt;&gt;"OK","",N(F1046)/60*H1046*IF(G1046="",1,G1046))</f>
        <v/>
      </c>
      <c r="L1046" s="66" t="str">
        <f>IF(M1046&lt;&gt;"OK","",N(F1046)/60*I1046)</f>
        <v/>
      </c>
      <c r="M1046" s="69" t="str">
        <f>IF(AND(A1046="",D1046=""),"",IF(A1046="","Produit manquant",IF(COUNTIF(prod_ref,A1046)=0,"Produit inconnu",IF(D1046="","Poste manquant",IF(ISNA(MATCH(D1046,po_code,0)),"Poste inconnu",IF(INDEX(po_check,MATCH(D1046,po_code,0))&lt;&gt;"OK","Poste à corriger",IF(AND(E1046&lt;&gt;"",OR(NOT(ISNUMBER(E1046)),N(E1046)&lt;0)),"Réglage invalide",IF(AND(F1046&lt;&gt;"",OR(NOT(ISNUMBER(F1046)),N(F1046)&lt;0)),"Temps par pièce invalide",IF(N(E1046)+N(F1046)=0,"Temps manquant",IF(AND(G1046&lt;&gt;"",OR(NOT(ISNUMBER(G1046)),N(G1046)&lt;=0)),"Opérateurs invalide","OK"))))))))))</f>
        <v/>
      </c>
      <c r="N1046" s="71" t="str">
        <f>IF(AND(fiche_sel&lt;&gt;"",A1046=fiche_sel),COUNTIF(A$6:A1046,fiche_sel),"")</f>
        <v/>
      </c>
    </row>
    <row r="1047">
      <c r="A1047" s="60" t="n"/>
      <c r="B1047" s="73" t="n"/>
      <c r="C1047" s="60" t="n"/>
      <c r="D1047" s="61" t="n"/>
      <c r="E1047" s="74" t="n"/>
      <c r="F1047" s="74" t="n"/>
      <c r="G1047" s="73" t="n"/>
      <c r="H1047" s="66" t="str">
        <f>IF(M1047&lt;&gt;"OK","",INDEX(po_mo,MATCH(D1047,po_code,0)))</f>
        <v/>
      </c>
      <c r="I1047" s="66" t="str">
        <f>IF(M1047&lt;&gt;"OK","",INDEX(po_mac,MATCH(D1047,po_code,0)))</f>
        <v/>
      </c>
      <c r="J1047" s="66" t="str">
        <f>IF(M1047&lt;&gt;"OK","",N(E1047)*(H1047*IF(G1047="",1,G1047)+I1047))</f>
        <v/>
      </c>
      <c r="K1047" s="66" t="str">
        <f>IF(M1047&lt;&gt;"OK","",N(F1047)/60*H1047*IF(G1047="",1,G1047))</f>
        <v/>
      </c>
      <c r="L1047" s="66" t="str">
        <f>IF(M1047&lt;&gt;"OK","",N(F1047)/60*I1047)</f>
        <v/>
      </c>
      <c r="M1047" s="69" t="str">
        <f>IF(AND(A1047="",D1047=""),"",IF(A1047="","Produit manquant",IF(COUNTIF(prod_ref,A1047)=0,"Produit inconnu",IF(D1047="","Poste manquant",IF(ISNA(MATCH(D1047,po_code,0)),"Poste inconnu",IF(INDEX(po_check,MATCH(D1047,po_code,0))&lt;&gt;"OK","Poste à corriger",IF(AND(E1047&lt;&gt;"",OR(NOT(ISNUMBER(E1047)),N(E1047)&lt;0)),"Réglage invalide",IF(AND(F1047&lt;&gt;"",OR(NOT(ISNUMBER(F1047)),N(F1047)&lt;0)),"Temps par pièce invalide",IF(N(E1047)+N(F1047)=0,"Temps manquant",IF(AND(G1047&lt;&gt;"",OR(NOT(ISNUMBER(G1047)),N(G1047)&lt;=0)),"Opérateurs invalide","OK"))))))))))</f>
        <v/>
      </c>
      <c r="N1047" s="71" t="str">
        <f>IF(AND(fiche_sel&lt;&gt;"",A1047=fiche_sel),COUNTIF(A$6:A1047,fiche_sel),"")</f>
        <v/>
      </c>
    </row>
    <row r="1048">
      <c r="A1048" s="60" t="n"/>
      <c r="B1048" s="73" t="n"/>
      <c r="C1048" s="60" t="n"/>
      <c r="D1048" s="61" t="n"/>
      <c r="E1048" s="74" t="n"/>
      <c r="F1048" s="74" t="n"/>
      <c r="G1048" s="73" t="n"/>
      <c r="H1048" s="66" t="str">
        <f>IF(M1048&lt;&gt;"OK","",INDEX(po_mo,MATCH(D1048,po_code,0)))</f>
        <v/>
      </c>
      <c r="I1048" s="66" t="str">
        <f>IF(M1048&lt;&gt;"OK","",INDEX(po_mac,MATCH(D1048,po_code,0)))</f>
        <v/>
      </c>
      <c r="J1048" s="66" t="str">
        <f>IF(M1048&lt;&gt;"OK","",N(E1048)*(H1048*IF(G1048="",1,G1048)+I1048))</f>
        <v/>
      </c>
      <c r="K1048" s="66" t="str">
        <f>IF(M1048&lt;&gt;"OK","",N(F1048)/60*H1048*IF(G1048="",1,G1048))</f>
        <v/>
      </c>
      <c r="L1048" s="66" t="str">
        <f>IF(M1048&lt;&gt;"OK","",N(F1048)/60*I1048)</f>
        <v/>
      </c>
      <c r="M1048" s="69" t="str">
        <f>IF(AND(A1048="",D1048=""),"",IF(A1048="","Produit manquant",IF(COUNTIF(prod_ref,A1048)=0,"Produit inconnu",IF(D1048="","Poste manquant",IF(ISNA(MATCH(D1048,po_code,0)),"Poste inconnu",IF(INDEX(po_check,MATCH(D1048,po_code,0))&lt;&gt;"OK","Poste à corriger",IF(AND(E1048&lt;&gt;"",OR(NOT(ISNUMBER(E1048)),N(E1048)&lt;0)),"Réglage invalide",IF(AND(F1048&lt;&gt;"",OR(NOT(ISNUMBER(F1048)),N(F1048)&lt;0)),"Temps par pièce invalide",IF(N(E1048)+N(F1048)=0,"Temps manquant",IF(AND(G1048&lt;&gt;"",OR(NOT(ISNUMBER(G1048)),N(G1048)&lt;=0)),"Opérateurs invalide","OK"))))))))))</f>
        <v/>
      </c>
      <c r="N1048" s="71" t="str">
        <f>IF(AND(fiche_sel&lt;&gt;"",A1048=fiche_sel),COUNTIF(A$6:A1048,fiche_sel),"")</f>
        <v/>
      </c>
    </row>
    <row r="1049">
      <c r="A1049" s="60" t="n"/>
      <c r="B1049" s="73" t="n"/>
      <c r="C1049" s="60" t="n"/>
      <c r="D1049" s="61" t="n"/>
      <c r="E1049" s="74" t="n"/>
      <c r="F1049" s="74" t="n"/>
      <c r="G1049" s="73" t="n"/>
      <c r="H1049" s="66" t="str">
        <f>IF(M1049&lt;&gt;"OK","",INDEX(po_mo,MATCH(D1049,po_code,0)))</f>
        <v/>
      </c>
      <c r="I1049" s="66" t="str">
        <f>IF(M1049&lt;&gt;"OK","",INDEX(po_mac,MATCH(D1049,po_code,0)))</f>
        <v/>
      </c>
      <c r="J1049" s="66" t="str">
        <f>IF(M1049&lt;&gt;"OK","",N(E1049)*(H1049*IF(G1049="",1,G1049)+I1049))</f>
        <v/>
      </c>
      <c r="K1049" s="66" t="str">
        <f>IF(M1049&lt;&gt;"OK","",N(F1049)/60*H1049*IF(G1049="",1,G1049))</f>
        <v/>
      </c>
      <c r="L1049" s="66" t="str">
        <f>IF(M1049&lt;&gt;"OK","",N(F1049)/60*I1049)</f>
        <v/>
      </c>
      <c r="M1049" s="69" t="str">
        <f>IF(AND(A1049="",D1049=""),"",IF(A1049="","Produit manquant",IF(COUNTIF(prod_ref,A1049)=0,"Produit inconnu",IF(D1049="","Poste manquant",IF(ISNA(MATCH(D1049,po_code,0)),"Poste inconnu",IF(INDEX(po_check,MATCH(D1049,po_code,0))&lt;&gt;"OK","Poste à corriger",IF(AND(E1049&lt;&gt;"",OR(NOT(ISNUMBER(E1049)),N(E1049)&lt;0)),"Réglage invalide",IF(AND(F1049&lt;&gt;"",OR(NOT(ISNUMBER(F1049)),N(F1049)&lt;0)),"Temps par pièce invalide",IF(N(E1049)+N(F1049)=0,"Temps manquant",IF(AND(G1049&lt;&gt;"",OR(NOT(ISNUMBER(G1049)),N(G1049)&lt;=0)),"Opérateurs invalide","OK"))))))))))</f>
        <v/>
      </c>
      <c r="N1049" s="71" t="str">
        <f>IF(AND(fiche_sel&lt;&gt;"",A1049=fiche_sel),COUNTIF(A$6:A1049,fiche_sel),"")</f>
        <v/>
      </c>
    </row>
    <row r="1050">
      <c r="A1050" s="60" t="n"/>
      <c r="B1050" s="73" t="n"/>
      <c r="C1050" s="60" t="n"/>
      <c r="D1050" s="61" t="n"/>
      <c r="E1050" s="74" t="n"/>
      <c r="F1050" s="74" t="n"/>
      <c r="G1050" s="73" t="n"/>
      <c r="H1050" s="66" t="str">
        <f>IF(M1050&lt;&gt;"OK","",INDEX(po_mo,MATCH(D1050,po_code,0)))</f>
        <v/>
      </c>
      <c r="I1050" s="66" t="str">
        <f>IF(M1050&lt;&gt;"OK","",INDEX(po_mac,MATCH(D1050,po_code,0)))</f>
        <v/>
      </c>
      <c r="J1050" s="66" t="str">
        <f>IF(M1050&lt;&gt;"OK","",N(E1050)*(H1050*IF(G1050="",1,G1050)+I1050))</f>
        <v/>
      </c>
      <c r="K1050" s="66" t="str">
        <f>IF(M1050&lt;&gt;"OK","",N(F1050)/60*H1050*IF(G1050="",1,G1050))</f>
        <v/>
      </c>
      <c r="L1050" s="66" t="str">
        <f>IF(M1050&lt;&gt;"OK","",N(F1050)/60*I1050)</f>
        <v/>
      </c>
      <c r="M1050" s="69" t="str">
        <f>IF(AND(A1050="",D1050=""),"",IF(A1050="","Produit manquant",IF(COUNTIF(prod_ref,A1050)=0,"Produit inconnu",IF(D1050="","Poste manquant",IF(ISNA(MATCH(D1050,po_code,0)),"Poste inconnu",IF(INDEX(po_check,MATCH(D1050,po_code,0))&lt;&gt;"OK","Poste à corriger",IF(AND(E1050&lt;&gt;"",OR(NOT(ISNUMBER(E1050)),N(E1050)&lt;0)),"Réglage invalide",IF(AND(F1050&lt;&gt;"",OR(NOT(ISNUMBER(F1050)),N(F1050)&lt;0)),"Temps par pièce invalide",IF(N(E1050)+N(F1050)=0,"Temps manquant",IF(AND(G1050&lt;&gt;"",OR(NOT(ISNUMBER(G1050)),N(G1050)&lt;=0)),"Opérateurs invalide","OK"))))))))))</f>
        <v/>
      </c>
      <c r="N1050" s="71" t="str">
        <f>IF(AND(fiche_sel&lt;&gt;"",A1050=fiche_sel),COUNTIF(A$6:A1050,fiche_sel),"")</f>
        <v/>
      </c>
    </row>
    <row r="1051">
      <c r="A1051" s="60" t="n"/>
      <c r="B1051" s="73" t="n"/>
      <c r="C1051" s="60" t="n"/>
      <c r="D1051" s="61" t="n"/>
      <c r="E1051" s="74" t="n"/>
      <c r="F1051" s="74" t="n"/>
      <c r="G1051" s="73" t="n"/>
      <c r="H1051" s="66" t="str">
        <f>IF(M1051&lt;&gt;"OK","",INDEX(po_mo,MATCH(D1051,po_code,0)))</f>
        <v/>
      </c>
      <c r="I1051" s="66" t="str">
        <f>IF(M1051&lt;&gt;"OK","",INDEX(po_mac,MATCH(D1051,po_code,0)))</f>
        <v/>
      </c>
      <c r="J1051" s="66" t="str">
        <f>IF(M1051&lt;&gt;"OK","",N(E1051)*(H1051*IF(G1051="",1,G1051)+I1051))</f>
        <v/>
      </c>
      <c r="K1051" s="66" t="str">
        <f>IF(M1051&lt;&gt;"OK","",N(F1051)/60*H1051*IF(G1051="",1,G1051))</f>
        <v/>
      </c>
      <c r="L1051" s="66" t="str">
        <f>IF(M1051&lt;&gt;"OK","",N(F1051)/60*I1051)</f>
        <v/>
      </c>
      <c r="M1051" s="69" t="str">
        <f>IF(AND(A1051="",D1051=""),"",IF(A1051="","Produit manquant",IF(COUNTIF(prod_ref,A1051)=0,"Produit inconnu",IF(D1051="","Poste manquant",IF(ISNA(MATCH(D1051,po_code,0)),"Poste inconnu",IF(INDEX(po_check,MATCH(D1051,po_code,0))&lt;&gt;"OK","Poste à corriger",IF(AND(E1051&lt;&gt;"",OR(NOT(ISNUMBER(E1051)),N(E1051)&lt;0)),"Réglage invalide",IF(AND(F1051&lt;&gt;"",OR(NOT(ISNUMBER(F1051)),N(F1051)&lt;0)),"Temps par pièce invalide",IF(N(E1051)+N(F1051)=0,"Temps manquant",IF(AND(G1051&lt;&gt;"",OR(NOT(ISNUMBER(G1051)),N(G1051)&lt;=0)),"Opérateurs invalide","OK"))))))))))</f>
        <v/>
      </c>
      <c r="N1051" s="71" t="str">
        <f>IF(AND(fiche_sel&lt;&gt;"",A1051=fiche_sel),COUNTIF(A$6:A1051,fiche_sel),"")</f>
        <v/>
      </c>
    </row>
    <row r="1052">
      <c r="A1052" s="60" t="n"/>
      <c r="B1052" s="73" t="n"/>
      <c r="C1052" s="60" t="n"/>
      <c r="D1052" s="61" t="n"/>
      <c r="E1052" s="74" t="n"/>
      <c r="F1052" s="74" t="n"/>
      <c r="G1052" s="73" t="n"/>
      <c r="H1052" s="66" t="str">
        <f>IF(M1052&lt;&gt;"OK","",INDEX(po_mo,MATCH(D1052,po_code,0)))</f>
        <v/>
      </c>
      <c r="I1052" s="66" t="str">
        <f>IF(M1052&lt;&gt;"OK","",INDEX(po_mac,MATCH(D1052,po_code,0)))</f>
        <v/>
      </c>
      <c r="J1052" s="66" t="str">
        <f>IF(M1052&lt;&gt;"OK","",N(E1052)*(H1052*IF(G1052="",1,G1052)+I1052))</f>
        <v/>
      </c>
      <c r="K1052" s="66" t="str">
        <f>IF(M1052&lt;&gt;"OK","",N(F1052)/60*H1052*IF(G1052="",1,G1052))</f>
        <v/>
      </c>
      <c r="L1052" s="66" t="str">
        <f>IF(M1052&lt;&gt;"OK","",N(F1052)/60*I1052)</f>
        <v/>
      </c>
      <c r="M1052" s="69" t="str">
        <f>IF(AND(A1052="",D1052=""),"",IF(A1052="","Produit manquant",IF(COUNTIF(prod_ref,A1052)=0,"Produit inconnu",IF(D1052="","Poste manquant",IF(ISNA(MATCH(D1052,po_code,0)),"Poste inconnu",IF(INDEX(po_check,MATCH(D1052,po_code,0))&lt;&gt;"OK","Poste à corriger",IF(AND(E1052&lt;&gt;"",OR(NOT(ISNUMBER(E1052)),N(E1052)&lt;0)),"Réglage invalide",IF(AND(F1052&lt;&gt;"",OR(NOT(ISNUMBER(F1052)),N(F1052)&lt;0)),"Temps par pièce invalide",IF(N(E1052)+N(F1052)=0,"Temps manquant",IF(AND(G1052&lt;&gt;"",OR(NOT(ISNUMBER(G1052)),N(G1052)&lt;=0)),"Opérateurs invalide","OK"))))))))))</f>
        <v/>
      </c>
      <c r="N1052" s="71" t="str">
        <f>IF(AND(fiche_sel&lt;&gt;"",A1052=fiche_sel),COUNTIF(A$6:A1052,fiche_sel),"")</f>
        <v/>
      </c>
    </row>
    <row r="1053">
      <c r="A1053" s="60" t="n"/>
      <c r="B1053" s="73" t="n"/>
      <c r="C1053" s="60" t="n"/>
      <c r="D1053" s="61" t="n"/>
      <c r="E1053" s="74" t="n"/>
      <c r="F1053" s="74" t="n"/>
      <c r="G1053" s="73" t="n"/>
      <c r="H1053" s="66" t="str">
        <f>IF(M1053&lt;&gt;"OK","",INDEX(po_mo,MATCH(D1053,po_code,0)))</f>
        <v/>
      </c>
      <c r="I1053" s="66" t="str">
        <f>IF(M1053&lt;&gt;"OK","",INDEX(po_mac,MATCH(D1053,po_code,0)))</f>
        <v/>
      </c>
      <c r="J1053" s="66" t="str">
        <f>IF(M1053&lt;&gt;"OK","",N(E1053)*(H1053*IF(G1053="",1,G1053)+I1053))</f>
        <v/>
      </c>
      <c r="K1053" s="66" t="str">
        <f>IF(M1053&lt;&gt;"OK","",N(F1053)/60*H1053*IF(G1053="",1,G1053))</f>
        <v/>
      </c>
      <c r="L1053" s="66" t="str">
        <f>IF(M1053&lt;&gt;"OK","",N(F1053)/60*I1053)</f>
        <v/>
      </c>
      <c r="M1053" s="69" t="str">
        <f>IF(AND(A1053="",D1053=""),"",IF(A1053="","Produit manquant",IF(COUNTIF(prod_ref,A1053)=0,"Produit inconnu",IF(D1053="","Poste manquant",IF(ISNA(MATCH(D1053,po_code,0)),"Poste inconnu",IF(INDEX(po_check,MATCH(D1053,po_code,0))&lt;&gt;"OK","Poste à corriger",IF(AND(E1053&lt;&gt;"",OR(NOT(ISNUMBER(E1053)),N(E1053)&lt;0)),"Réglage invalide",IF(AND(F1053&lt;&gt;"",OR(NOT(ISNUMBER(F1053)),N(F1053)&lt;0)),"Temps par pièce invalide",IF(N(E1053)+N(F1053)=0,"Temps manquant",IF(AND(G1053&lt;&gt;"",OR(NOT(ISNUMBER(G1053)),N(G1053)&lt;=0)),"Opérateurs invalide","OK"))))))))))</f>
        <v/>
      </c>
      <c r="N1053" s="71" t="str">
        <f>IF(AND(fiche_sel&lt;&gt;"",A1053=fiche_sel),COUNTIF(A$6:A1053,fiche_sel),"")</f>
        <v/>
      </c>
    </row>
    <row r="1054">
      <c r="A1054" s="60" t="n"/>
      <c r="B1054" s="73" t="n"/>
      <c r="C1054" s="60" t="n"/>
      <c r="D1054" s="61" t="n"/>
      <c r="E1054" s="74" t="n"/>
      <c r="F1054" s="74" t="n"/>
      <c r="G1054" s="73" t="n"/>
      <c r="H1054" s="66" t="str">
        <f>IF(M1054&lt;&gt;"OK","",INDEX(po_mo,MATCH(D1054,po_code,0)))</f>
        <v/>
      </c>
      <c r="I1054" s="66" t="str">
        <f>IF(M1054&lt;&gt;"OK","",INDEX(po_mac,MATCH(D1054,po_code,0)))</f>
        <v/>
      </c>
      <c r="J1054" s="66" t="str">
        <f>IF(M1054&lt;&gt;"OK","",N(E1054)*(H1054*IF(G1054="",1,G1054)+I1054))</f>
        <v/>
      </c>
      <c r="K1054" s="66" t="str">
        <f>IF(M1054&lt;&gt;"OK","",N(F1054)/60*H1054*IF(G1054="",1,G1054))</f>
        <v/>
      </c>
      <c r="L1054" s="66" t="str">
        <f>IF(M1054&lt;&gt;"OK","",N(F1054)/60*I1054)</f>
        <v/>
      </c>
      <c r="M1054" s="69" t="str">
        <f>IF(AND(A1054="",D1054=""),"",IF(A1054="","Produit manquant",IF(COUNTIF(prod_ref,A1054)=0,"Produit inconnu",IF(D1054="","Poste manquant",IF(ISNA(MATCH(D1054,po_code,0)),"Poste inconnu",IF(INDEX(po_check,MATCH(D1054,po_code,0))&lt;&gt;"OK","Poste à corriger",IF(AND(E1054&lt;&gt;"",OR(NOT(ISNUMBER(E1054)),N(E1054)&lt;0)),"Réglage invalide",IF(AND(F1054&lt;&gt;"",OR(NOT(ISNUMBER(F1054)),N(F1054)&lt;0)),"Temps par pièce invalide",IF(N(E1054)+N(F1054)=0,"Temps manquant",IF(AND(G1054&lt;&gt;"",OR(NOT(ISNUMBER(G1054)),N(G1054)&lt;=0)),"Opérateurs invalide","OK"))))))))))</f>
        <v/>
      </c>
      <c r="N1054" s="71" t="str">
        <f>IF(AND(fiche_sel&lt;&gt;"",A1054=fiche_sel),COUNTIF(A$6:A1054,fiche_sel),"")</f>
        <v/>
      </c>
    </row>
    <row r="1055">
      <c r="A1055" s="60" t="n"/>
      <c r="B1055" s="73" t="n"/>
      <c r="C1055" s="60" t="n"/>
      <c r="D1055" s="61" t="n"/>
      <c r="E1055" s="74" t="n"/>
      <c r="F1055" s="74" t="n"/>
      <c r="G1055" s="73" t="n"/>
      <c r="H1055" s="66" t="str">
        <f>IF(M1055&lt;&gt;"OK","",INDEX(po_mo,MATCH(D1055,po_code,0)))</f>
        <v/>
      </c>
      <c r="I1055" s="66" t="str">
        <f>IF(M1055&lt;&gt;"OK","",INDEX(po_mac,MATCH(D1055,po_code,0)))</f>
        <v/>
      </c>
      <c r="J1055" s="66" t="str">
        <f>IF(M1055&lt;&gt;"OK","",N(E1055)*(H1055*IF(G1055="",1,G1055)+I1055))</f>
        <v/>
      </c>
      <c r="K1055" s="66" t="str">
        <f>IF(M1055&lt;&gt;"OK","",N(F1055)/60*H1055*IF(G1055="",1,G1055))</f>
        <v/>
      </c>
      <c r="L1055" s="66" t="str">
        <f>IF(M1055&lt;&gt;"OK","",N(F1055)/60*I1055)</f>
        <v/>
      </c>
      <c r="M1055" s="69" t="str">
        <f>IF(AND(A1055="",D1055=""),"",IF(A1055="","Produit manquant",IF(COUNTIF(prod_ref,A1055)=0,"Produit inconnu",IF(D1055="","Poste manquant",IF(ISNA(MATCH(D1055,po_code,0)),"Poste inconnu",IF(INDEX(po_check,MATCH(D1055,po_code,0))&lt;&gt;"OK","Poste à corriger",IF(AND(E1055&lt;&gt;"",OR(NOT(ISNUMBER(E1055)),N(E1055)&lt;0)),"Réglage invalide",IF(AND(F1055&lt;&gt;"",OR(NOT(ISNUMBER(F1055)),N(F1055)&lt;0)),"Temps par pièce invalide",IF(N(E1055)+N(F1055)=0,"Temps manquant",IF(AND(G1055&lt;&gt;"",OR(NOT(ISNUMBER(G1055)),N(G1055)&lt;=0)),"Opérateurs invalide","OK"))))))))))</f>
        <v/>
      </c>
      <c r="N1055" s="71" t="str">
        <f>IF(AND(fiche_sel&lt;&gt;"",A1055=fiche_sel),COUNTIF(A$6:A1055,fiche_sel),"")</f>
        <v/>
      </c>
    </row>
    <row r="1056">
      <c r="A1056" s="60" t="n"/>
      <c r="B1056" s="73" t="n"/>
      <c r="C1056" s="60" t="n"/>
      <c r="D1056" s="61" t="n"/>
      <c r="E1056" s="74" t="n"/>
      <c r="F1056" s="74" t="n"/>
      <c r="G1056" s="73" t="n"/>
      <c r="H1056" s="66" t="str">
        <f>IF(M1056&lt;&gt;"OK","",INDEX(po_mo,MATCH(D1056,po_code,0)))</f>
        <v/>
      </c>
      <c r="I1056" s="66" t="str">
        <f>IF(M1056&lt;&gt;"OK","",INDEX(po_mac,MATCH(D1056,po_code,0)))</f>
        <v/>
      </c>
      <c r="J1056" s="66" t="str">
        <f>IF(M1056&lt;&gt;"OK","",N(E1056)*(H1056*IF(G1056="",1,G1056)+I1056))</f>
        <v/>
      </c>
      <c r="K1056" s="66" t="str">
        <f>IF(M1056&lt;&gt;"OK","",N(F1056)/60*H1056*IF(G1056="",1,G1056))</f>
        <v/>
      </c>
      <c r="L1056" s="66" t="str">
        <f>IF(M1056&lt;&gt;"OK","",N(F1056)/60*I1056)</f>
        <v/>
      </c>
      <c r="M1056" s="69" t="str">
        <f>IF(AND(A1056="",D1056=""),"",IF(A1056="","Produit manquant",IF(COUNTIF(prod_ref,A1056)=0,"Produit inconnu",IF(D1056="","Poste manquant",IF(ISNA(MATCH(D1056,po_code,0)),"Poste inconnu",IF(INDEX(po_check,MATCH(D1056,po_code,0))&lt;&gt;"OK","Poste à corriger",IF(AND(E1056&lt;&gt;"",OR(NOT(ISNUMBER(E1056)),N(E1056)&lt;0)),"Réglage invalide",IF(AND(F1056&lt;&gt;"",OR(NOT(ISNUMBER(F1056)),N(F1056)&lt;0)),"Temps par pièce invalide",IF(N(E1056)+N(F1056)=0,"Temps manquant",IF(AND(G1056&lt;&gt;"",OR(NOT(ISNUMBER(G1056)),N(G1056)&lt;=0)),"Opérateurs invalide","OK"))))))))))</f>
        <v/>
      </c>
      <c r="N1056" s="71" t="str">
        <f>IF(AND(fiche_sel&lt;&gt;"",A1056=fiche_sel),COUNTIF(A$6:A1056,fiche_sel),"")</f>
        <v/>
      </c>
    </row>
    <row r="1057">
      <c r="A1057" s="60" t="n"/>
      <c r="B1057" s="73" t="n"/>
      <c r="C1057" s="60" t="n"/>
      <c r="D1057" s="61" t="n"/>
      <c r="E1057" s="74" t="n"/>
      <c r="F1057" s="74" t="n"/>
      <c r="G1057" s="73" t="n"/>
      <c r="H1057" s="66" t="str">
        <f>IF(M1057&lt;&gt;"OK","",INDEX(po_mo,MATCH(D1057,po_code,0)))</f>
        <v/>
      </c>
      <c r="I1057" s="66" t="str">
        <f>IF(M1057&lt;&gt;"OK","",INDEX(po_mac,MATCH(D1057,po_code,0)))</f>
        <v/>
      </c>
      <c r="J1057" s="66" t="str">
        <f>IF(M1057&lt;&gt;"OK","",N(E1057)*(H1057*IF(G1057="",1,G1057)+I1057))</f>
        <v/>
      </c>
      <c r="K1057" s="66" t="str">
        <f>IF(M1057&lt;&gt;"OK","",N(F1057)/60*H1057*IF(G1057="",1,G1057))</f>
        <v/>
      </c>
      <c r="L1057" s="66" t="str">
        <f>IF(M1057&lt;&gt;"OK","",N(F1057)/60*I1057)</f>
        <v/>
      </c>
      <c r="M1057" s="69" t="str">
        <f>IF(AND(A1057="",D1057=""),"",IF(A1057="","Produit manquant",IF(COUNTIF(prod_ref,A1057)=0,"Produit inconnu",IF(D1057="","Poste manquant",IF(ISNA(MATCH(D1057,po_code,0)),"Poste inconnu",IF(INDEX(po_check,MATCH(D1057,po_code,0))&lt;&gt;"OK","Poste à corriger",IF(AND(E1057&lt;&gt;"",OR(NOT(ISNUMBER(E1057)),N(E1057)&lt;0)),"Réglage invalide",IF(AND(F1057&lt;&gt;"",OR(NOT(ISNUMBER(F1057)),N(F1057)&lt;0)),"Temps par pièce invalide",IF(N(E1057)+N(F1057)=0,"Temps manquant",IF(AND(G1057&lt;&gt;"",OR(NOT(ISNUMBER(G1057)),N(G1057)&lt;=0)),"Opérateurs invalide","OK"))))))))))</f>
        <v/>
      </c>
      <c r="N1057" s="71" t="str">
        <f>IF(AND(fiche_sel&lt;&gt;"",A1057=fiche_sel),COUNTIF(A$6:A1057,fiche_sel),"")</f>
        <v/>
      </c>
    </row>
    <row r="1058">
      <c r="A1058" s="60" t="n"/>
      <c r="B1058" s="73" t="n"/>
      <c r="C1058" s="60" t="n"/>
      <c r="D1058" s="61" t="n"/>
      <c r="E1058" s="74" t="n"/>
      <c r="F1058" s="74" t="n"/>
      <c r="G1058" s="73" t="n"/>
      <c r="H1058" s="66" t="str">
        <f>IF(M1058&lt;&gt;"OK","",INDEX(po_mo,MATCH(D1058,po_code,0)))</f>
        <v/>
      </c>
      <c r="I1058" s="66" t="str">
        <f>IF(M1058&lt;&gt;"OK","",INDEX(po_mac,MATCH(D1058,po_code,0)))</f>
        <v/>
      </c>
      <c r="J1058" s="66" t="str">
        <f>IF(M1058&lt;&gt;"OK","",N(E1058)*(H1058*IF(G1058="",1,G1058)+I1058))</f>
        <v/>
      </c>
      <c r="K1058" s="66" t="str">
        <f>IF(M1058&lt;&gt;"OK","",N(F1058)/60*H1058*IF(G1058="",1,G1058))</f>
        <v/>
      </c>
      <c r="L1058" s="66" t="str">
        <f>IF(M1058&lt;&gt;"OK","",N(F1058)/60*I1058)</f>
        <v/>
      </c>
      <c r="M1058" s="69" t="str">
        <f>IF(AND(A1058="",D1058=""),"",IF(A1058="","Produit manquant",IF(COUNTIF(prod_ref,A1058)=0,"Produit inconnu",IF(D1058="","Poste manquant",IF(ISNA(MATCH(D1058,po_code,0)),"Poste inconnu",IF(INDEX(po_check,MATCH(D1058,po_code,0))&lt;&gt;"OK","Poste à corriger",IF(AND(E1058&lt;&gt;"",OR(NOT(ISNUMBER(E1058)),N(E1058)&lt;0)),"Réglage invalide",IF(AND(F1058&lt;&gt;"",OR(NOT(ISNUMBER(F1058)),N(F1058)&lt;0)),"Temps par pièce invalide",IF(N(E1058)+N(F1058)=0,"Temps manquant",IF(AND(G1058&lt;&gt;"",OR(NOT(ISNUMBER(G1058)),N(G1058)&lt;=0)),"Opérateurs invalide","OK"))))))))))</f>
        <v/>
      </c>
      <c r="N1058" s="71" t="str">
        <f>IF(AND(fiche_sel&lt;&gt;"",A1058=fiche_sel),COUNTIF(A$6:A1058,fiche_sel),"")</f>
        <v/>
      </c>
    </row>
    <row r="1059">
      <c r="A1059" s="60" t="n"/>
      <c r="B1059" s="73" t="n"/>
      <c r="C1059" s="60" t="n"/>
      <c r="D1059" s="61" t="n"/>
      <c r="E1059" s="74" t="n"/>
      <c r="F1059" s="74" t="n"/>
      <c r="G1059" s="73" t="n"/>
      <c r="H1059" s="66" t="str">
        <f>IF(M1059&lt;&gt;"OK","",INDEX(po_mo,MATCH(D1059,po_code,0)))</f>
        <v/>
      </c>
      <c r="I1059" s="66" t="str">
        <f>IF(M1059&lt;&gt;"OK","",INDEX(po_mac,MATCH(D1059,po_code,0)))</f>
        <v/>
      </c>
      <c r="J1059" s="66" t="str">
        <f>IF(M1059&lt;&gt;"OK","",N(E1059)*(H1059*IF(G1059="",1,G1059)+I1059))</f>
        <v/>
      </c>
      <c r="K1059" s="66" t="str">
        <f>IF(M1059&lt;&gt;"OK","",N(F1059)/60*H1059*IF(G1059="",1,G1059))</f>
        <v/>
      </c>
      <c r="L1059" s="66" t="str">
        <f>IF(M1059&lt;&gt;"OK","",N(F1059)/60*I1059)</f>
        <v/>
      </c>
      <c r="M1059" s="69" t="str">
        <f>IF(AND(A1059="",D1059=""),"",IF(A1059="","Produit manquant",IF(COUNTIF(prod_ref,A1059)=0,"Produit inconnu",IF(D1059="","Poste manquant",IF(ISNA(MATCH(D1059,po_code,0)),"Poste inconnu",IF(INDEX(po_check,MATCH(D1059,po_code,0))&lt;&gt;"OK","Poste à corriger",IF(AND(E1059&lt;&gt;"",OR(NOT(ISNUMBER(E1059)),N(E1059)&lt;0)),"Réglage invalide",IF(AND(F1059&lt;&gt;"",OR(NOT(ISNUMBER(F1059)),N(F1059)&lt;0)),"Temps par pièce invalide",IF(N(E1059)+N(F1059)=0,"Temps manquant",IF(AND(G1059&lt;&gt;"",OR(NOT(ISNUMBER(G1059)),N(G1059)&lt;=0)),"Opérateurs invalide","OK"))))))))))</f>
        <v/>
      </c>
      <c r="N1059" s="71" t="str">
        <f>IF(AND(fiche_sel&lt;&gt;"",A1059=fiche_sel),COUNTIF(A$6:A1059,fiche_sel),"")</f>
        <v/>
      </c>
    </row>
    <row r="1060">
      <c r="A1060" s="60" t="n"/>
      <c r="B1060" s="73" t="n"/>
      <c r="C1060" s="60" t="n"/>
      <c r="D1060" s="61" t="n"/>
      <c r="E1060" s="74" t="n"/>
      <c r="F1060" s="74" t="n"/>
      <c r="G1060" s="73" t="n"/>
      <c r="H1060" s="66" t="str">
        <f>IF(M1060&lt;&gt;"OK","",INDEX(po_mo,MATCH(D1060,po_code,0)))</f>
        <v/>
      </c>
      <c r="I1060" s="66" t="str">
        <f>IF(M1060&lt;&gt;"OK","",INDEX(po_mac,MATCH(D1060,po_code,0)))</f>
        <v/>
      </c>
      <c r="J1060" s="66" t="str">
        <f>IF(M1060&lt;&gt;"OK","",N(E1060)*(H1060*IF(G1060="",1,G1060)+I1060))</f>
        <v/>
      </c>
      <c r="K1060" s="66" t="str">
        <f>IF(M1060&lt;&gt;"OK","",N(F1060)/60*H1060*IF(G1060="",1,G1060))</f>
        <v/>
      </c>
      <c r="L1060" s="66" t="str">
        <f>IF(M1060&lt;&gt;"OK","",N(F1060)/60*I1060)</f>
        <v/>
      </c>
      <c r="M1060" s="69" t="str">
        <f>IF(AND(A1060="",D1060=""),"",IF(A1060="","Produit manquant",IF(COUNTIF(prod_ref,A1060)=0,"Produit inconnu",IF(D1060="","Poste manquant",IF(ISNA(MATCH(D1060,po_code,0)),"Poste inconnu",IF(INDEX(po_check,MATCH(D1060,po_code,0))&lt;&gt;"OK","Poste à corriger",IF(AND(E1060&lt;&gt;"",OR(NOT(ISNUMBER(E1060)),N(E1060)&lt;0)),"Réglage invalide",IF(AND(F1060&lt;&gt;"",OR(NOT(ISNUMBER(F1060)),N(F1060)&lt;0)),"Temps par pièce invalide",IF(N(E1060)+N(F1060)=0,"Temps manquant",IF(AND(G1060&lt;&gt;"",OR(NOT(ISNUMBER(G1060)),N(G1060)&lt;=0)),"Opérateurs invalide","OK"))))))))))</f>
        <v/>
      </c>
      <c r="N1060" s="71" t="str">
        <f>IF(AND(fiche_sel&lt;&gt;"",A1060=fiche_sel),COUNTIF(A$6:A1060,fiche_sel),"")</f>
        <v/>
      </c>
    </row>
    <row r="1061">
      <c r="A1061" s="60" t="n"/>
      <c r="B1061" s="73" t="n"/>
      <c r="C1061" s="60" t="n"/>
      <c r="D1061" s="61" t="n"/>
      <c r="E1061" s="74" t="n"/>
      <c r="F1061" s="74" t="n"/>
      <c r="G1061" s="73" t="n"/>
      <c r="H1061" s="66" t="str">
        <f>IF(M1061&lt;&gt;"OK","",INDEX(po_mo,MATCH(D1061,po_code,0)))</f>
        <v/>
      </c>
      <c r="I1061" s="66" t="str">
        <f>IF(M1061&lt;&gt;"OK","",INDEX(po_mac,MATCH(D1061,po_code,0)))</f>
        <v/>
      </c>
      <c r="J1061" s="66" t="str">
        <f>IF(M1061&lt;&gt;"OK","",N(E1061)*(H1061*IF(G1061="",1,G1061)+I1061))</f>
        <v/>
      </c>
      <c r="K1061" s="66" t="str">
        <f>IF(M1061&lt;&gt;"OK","",N(F1061)/60*H1061*IF(G1061="",1,G1061))</f>
        <v/>
      </c>
      <c r="L1061" s="66" t="str">
        <f>IF(M1061&lt;&gt;"OK","",N(F1061)/60*I1061)</f>
        <v/>
      </c>
      <c r="M1061" s="69" t="str">
        <f>IF(AND(A1061="",D1061=""),"",IF(A1061="","Produit manquant",IF(COUNTIF(prod_ref,A1061)=0,"Produit inconnu",IF(D1061="","Poste manquant",IF(ISNA(MATCH(D1061,po_code,0)),"Poste inconnu",IF(INDEX(po_check,MATCH(D1061,po_code,0))&lt;&gt;"OK","Poste à corriger",IF(AND(E1061&lt;&gt;"",OR(NOT(ISNUMBER(E1061)),N(E1061)&lt;0)),"Réglage invalide",IF(AND(F1061&lt;&gt;"",OR(NOT(ISNUMBER(F1061)),N(F1061)&lt;0)),"Temps par pièce invalide",IF(N(E1061)+N(F1061)=0,"Temps manquant",IF(AND(G1061&lt;&gt;"",OR(NOT(ISNUMBER(G1061)),N(G1061)&lt;=0)),"Opérateurs invalide","OK"))))))))))</f>
        <v/>
      </c>
      <c r="N1061" s="71" t="str">
        <f>IF(AND(fiche_sel&lt;&gt;"",A1061=fiche_sel),COUNTIF(A$6:A1061,fiche_sel),"")</f>
        <v/>
      </c>
    </row>
    <row r="1062">
      <c r="A1062" s="60" t="n"/>
      <c r="B1062" s="73" t="n"/>
      <c r="C1062" s="60" t="n"/>
      <c r="D1062" s="61" t="n"/>
      <c r="E1062" s="74" t="n"/>
      <c r="F1062" s="74" t="n"/>
      <c r="G1062" s="73" t="n"/>
      <c r="H1062" s="66" t="str">
        <f>IF(M1062&lt;&gt;"OK","",INDEX(po_mo,MATCH(D1062,po_code,0)))</f>
        <v/>
      </c>
      <c r="I1062" s="66" t="str">
        <f>IF(M1062&lt;&gt;"OK","",INDEX(po_mac,MATCH(D1062,po_code,0)))</f>
        <v/>
      </c>
      <c r="J1062" s="66" t="str">
        <f>IF(M1062&lt;&gt;"OK","",N(E1062)*(H1062*IF(G1062="",1,G1062)+I1062))</f>
        <v/>
      </c>
      <c r="K1062" s="66" t="str">
        <f>IF(M1062&lt;&gt;"OK","",N(F1062)/60*H1062*IF(G1062="",1,G1062))</f>
        <v/>
      </c>
      <c r="L1062" s="66" t="str">
        <f>IF(M1062&lt;&gt;"OK","",N(F1062)/60*I1062)</f>
        <v/>
      </c>
      <c r="M1062" s="69" t="str">
        <f>IF(AND(A1062="",D1062=""),"",IF(A1062="","Produit manquant",IF(COUNTIF(prod_ref,A1062)=0,"Produit inconnu",IF(D1062="","Poste manquant",IF(ISNA(MATCH(D1062,po_code,0)),"Poste inconnu",IF(INDEX(po_check,MATCH(D1062,po_code,0))&lt;&gt;"OK","Poste à corriger",IF(AND(E1062&lt;&gt;"",OR(NOT(ISNUMBER(E1062)),N(E1062)&lt;0)),"Réglage invalide",IF(AND(F1062&lt;&gt;"",OR(NOT(ISNUMBER(F1062)),N(F1062)&lt;0)),"Temps par pièce invalide",IF(N(E1062)+N(F1062)=0,"Temps manquant",IF(AND(G1062&lt;&gt;"",OR(NOT(ISNUMBER(G1062)),N(G1062)&lt;=0)),"Opérateurs invalide","OK"))))))))))</f>
        <v/>
      </c>
      <c r="N1062" s="71" t="str">
        <f>IF(AND(fiche_sel&lt;&gt;"",A1062=fiche_sel),COUNTIF(A$6:A1062,fiche_sel),"")</f>
        <v/>
      </c>
    </row>
    <row r="1063">
      <c r="A1063" s="60" t="n"/>
      <c r="B1063" s="73" t="n"/>
      <c r="C1063" s="60" t="n"/>
      <c r="D1063" s="61" t="n"/>
      <c r="E1063" s="74" t="n"/>
      <c r="F1063" s="74" t="n"/>
      <c r="G1063" s="73" t="n"/>
      <c r="H1063" s="66" t="str">
        <f>IF(M1063&lt;&gt;"OK","",INDEX(po_mo,MATCH(D1063,po_code,0)))</f>
        <v/>
      </c>
      <c r="I1063" s="66" t="str">
        <f>IF(M1063&lt;&gt;"OK","",INDEX(po_mac,MATCH(D1063,po_code,0)))</f>
        <v/>
      </c>
      <c r="J1063" s="66" t="str">
        <f>IF(M1063&lt;&gt;"OK","",N(E1063)*(H1063*IF(G1063="",1,G1063)+I1063))</f>
        <v/>
      </c>
      <c r="K1063" s="66" t="str">
        <f>IF(M1063&lt;&gt;"OK","",N(F1063)/60*H1063*IF(G1063="",1,G1063))</f>
        <v/>
      </c>
      <c r="L1063" s="66" t="str">
        <f>IF(M1063&lt;&gt;"OK","",N(F1063)/60*I1063)</f>
        <v/>
      </c>
      <c r="M1063" s="69" t="str">
        <f>IF(AND(A1063="",D1063=""),"",IF(A1063="","Produit manquant",IF(COUNTIF(prod_ref,A1063)=0,"Produit inconnu",IF(D1063="","Poste manquant",IF(ISNA(MATCH(D1063,po_code,0)),"Poste inconnu",IF(INDEX(po_check,MATCH(D1063,po_code,0))&lt;&gt;"OK","Poste à corriger",IF(AND(E1063&lt;&gt;"",OR(NOT(ISNUMBER(E1063)),N(E1063)&lt;0)),"Réglage invalide",IF(AND(F1063&lt;&gt;"",OR(NOT(ISNUMBER(F1063)),N(F1063)&lt;0)),"Temps par pièce invalide",IF(N(E1063)+N(F1063)=0,"Temps manquant",IF(AND(G1063&lt;&gt;"",OR(NOT(ISNUMBER(G1063)),N(G1063)&lt;=0)),"Opérateurs invalide","OK"))))))))))</f>
        <v/>
      </c>
      <c r="N1063" s="71" t="str">
        <f>IF(AND(fiche_sel&lt;&gt;"",A1063=fiche_sel),COUNTIF(A$6:A1063,fiche_sel),"")</f>
        <v/>
      </c>
    </row>
    <row r="1064">
      <c r="A1064" s="60" t="n"/>
      <c r="B1064" s="73" t="n"/>
      <c r="C1064" s="60" t="n"/>
      <c r="D1064" s="61" t="n"/>
      <c r="E1064" s="74" t="n"/>
      <c r="F1064" s="74" t="n"/>
      <c r="G1064" s="73" t="n"/>
      <c r="H1064" s="66" t="str">
        <f>IF(M1064&lt;&gt;"OK","",INDEX(po_mo,MATCH(D1064,po_code,0)))</f>
        <v/>
      </c>
      <c r="I1064" s="66" t="str">
        <f>IF(M1064&lt;&gt;"OK","",INDEX(po_mac,MATCH(D1064,po_code,0)))</f>
        <v/>
      </c>
      <c r="J1064" s="66" t="str">
        <f>IF(M1064&lt;&gt;"OK","",N(E1064)*(H1064*IF(G1064="",1,G1064)+I1064))</f>
        <v/>
      </c>
      <c r="K1064" s="66" t="str">
        <f>IF(M1064&lt;&gt;"OK","",N(F1064)/60*H1064*IF(G1064="",1,G1064))</f>
        <v/>
      </c>
      <c r="L1064" s="66" t="str">
        <f>IF(M1064&lt;&gt;"OK","",N(F1064)/60*I1064)</f>
        <v/>
      </c>
      <c r="M1064" s="69" t="str">
        <f>IF(AND(A1064="",D1064=""),"",IF(A1064="","Produit manquant",IF(COUNTIF(prod_ref,A1064)=0,"Produit inconnu",IF(D1064="","Poste manquant",IF(ISNA(MATCH(D1064,po_code,0)),"Poste inconnu",IF(INDEX(po_check,MATCH(D1064,po_code,0))&lt;&gt;"OK","Poste à corriger",IF(AND(E1064&lt;&gt;"",OR(NOT(ISNUMBER(E1064)),N(E1064)&lt;0)),"Réglage invalide",IF(AND(F1064&lt;&gt;"",OR(NOT(ISNUMBER(F1064)),N(F1064)&lt;0)),"Temps par pièce invalide",IF(N(E1064)+N(F1064)=0,"Temps manquant",IF(AND(G1064&lt;&gt;"",OR(NOT(ISNUMBER(G1064)),N(G1064)&lt;=0)),"Opérateurs invalide","OK"))))))))))</f>
        <v/>
      </c>
      <c r="N1064" s="71" t="str">
        <f>IF(AND(fiche_sel&lt;&gt;"",A1064=fiche_sel),COUNTIF(A$6:A1064,fiche_sel),"")</f>
        <v/>
      </c>
    </row>
    <row r="1065">
      <c r="A1065" s="60" t="n"/>
      <c r="B1065" s="73" t="n"/>
      <c r="C1065" s="60" t="n"/>
      <c r="D1065" s="61" t="n"/>
      <c r="E1065" s="74" t="n"/>
      <c r="F1065" s="74" t="n"/>
      <c r="G1065" s="73" t="n"/>
      <c r="H1065" s="66" t="str">
        <f>IF(M1065&lt;&gt;"OK","",INDEX(po_mo,MATCH(D1065,po_code,0)))</f>
        <v/>
      </c>
      <c r="I1065" s="66" t="str">
        <f>IF(M1065&lt;&gt;"OK","",INDEX(po_mac,MATCH(D1065,po_code,0)))</f>
        <v/>
      </c>
      <c r="J1065" s="66" t="str">
        <f>IF(M1065&lt;&gt;"OK","",N(E1065)*(H1065*IF(G1065="",1,G1065)+I1065))</f>
        <v/>
      </c>
      <c r="K1065" s="66" t="str">
        <f>IF(M1065&lt;&gt;"OK","",N(F1065)/60*H1065*IF(G1065="",1,G1065))</f>
        <v/>
      </c>
      <c r="L1065" s="66" t="str">
        <f>IF(M1065&lt;&gt;"OK","",N(F1065)/60*I1065)</f>
        <v/>
      </c>
      <c r="M1065" s="69" t="str">
        <f>IF(AND(A1065="",D1065=""),"",IF(A1065="","Produit manquant",IF(COUNTIF(prod_ref,A1065)=0,"Produit inconnu",IF(D1065="","Poste manquant",IF(ISNA(MATCH(D1065,po_code,0)),"Poste inconnu",IF(INDEX(po_check,MATCH(D1065,po_code,0))&lt;&gt;"OK","Poste à corriger",IF(AND(E1065&lt;&gt;"",OR(NOT(ISNUMBER(E1065)),N(E1065)&lt;0)),"Réglage invalide",IF(AND(F1065&lt;&gt;"",OR(NOT(ISNUMBER(F1065)),N(F1065)&lt;0)),"Temps par pièce invalide",IF(N(E1065)+N(F1065)=0,"Temps manquant",IF(AND(G1065&lt;&gt;"",OR(NOT(ISNUMBER(G1065)),N(G1065)&lt;=0)),"Opérateurs invalide","OK"))))))))))</f>
        <v/>
      </c>
      <c r="N1065" s="71" t="str">
        <f>IF(AND(fiche_sel&lt;&gt;"",A1065=fiche_sel),COUNTIF(A$6:A1065,fiche_sel),"")</f>
        <v/>
      </c>
    </row>
    <row r="1066">
      <c r="A1066" s="60" t="n"/>
      <c r="B1066" s="73" t="n"/>
      <c r="C1066" s="60" t="n"/>
      <c r="D1066" s="61" t="n"/>
      <c r="E1066" s="74" t="n"/>
      <c r="F1066" s="74" t="n"/>
      <c r="G1066" s="73" t="n"/>
      <c r="H1066" s="66" t="str">
        <f>IF(M1066&lt;&gt;"OK","",INDEX(po_mo,MATCH(D1066,po_code,0)))</f>
        <v/>
      </c>
      <c r="I1066" s="66" t="str">
        <f>IF(M1066&lt;&gt;"OK","",INDEX(po_mac,MATCH(D1066,po_code,0)))</f>
        <v/>
      </c>
      <c r="J1066" s="66" t="str">
        <f>IF(M1066&lt;&gt;"OK","",N(E1066)*(H1066*IF(G1066="",1,G1066)+I1066))</f>
        <v/>
      </c>
      <c r="K1066" s="66" t="str">
        <f>IF(M1066&lt;&gt;"OK","",N(F1066)/60*H1066*IF(G1066="",1,G1066))</f>
        <v/>
      </c>
      <c r="L1066" s="66" t="str">
        <f>IF(M1066&lt;&gt;"OK","",N(F1066)/60*I1066)</f>
        <v/>
      </c>
      <c r="M1066" s="69" t="str">
        <f>IF(AND(A1066="",D1066=""),"",IF(A1066="","Produit manquant",IF(COUNTIF(prod_ref,A1066)=0,"Produit inconnu",IF(D1066="","Poste manquant",IF(ISNA(MATCH(D1066,po_code,0)),"Poste inconnu",IF(INDEX(po_check,MATCH(D1066,po_code,0))&lt;&gt;"OK","Poste à corriger",IF(AND(E1066&lt;&gt;"",OR(NOT(ISNUMBER(E1066)),N(E1066)&lt;0)),"Réglage invalide",IF(AND(F1066&lt;&gt;"",OR(NOT(ISNUMBER(F1066)),N(F1066)&lt;0)),"Temps par pièce invalide",IF(N(E1066)+N(F1066)=0,"Temps manquant",IF(AND(G1066&lt;&gt;"",OR(NOT(ISNUMBER(G1066)),N(G1066)&lt;=0)),"Opérateurs invalide","OK"))))))))))</f>
        <v/>
      </c>
      <c r="N1066" s="71" t="str">
        <f>IF(AND(fiche_sel&lt;&gt;"",A1066=fiche_sel),COUNTIF(A$6:A1066,fiche_sel),"")</f>
        <v/>
      </c>
    </row>
    <row r="1067">
      <c r="A1067" s="60" t="n"/>
      <c r="B1067" s="73" t="n"/>
      <c r="C1067" s="60" t="n"/>
      <c r="D1067" s="61" t="n"/>
      <c r="E1067" s="74" t="n"/>
      <c r="F1067" s="74" t="n"/>
      <c r="G1067" s="73" t="n"/>
      <c r="H1067" s="66" t="str">
        <f>IF(M1067&lt;&gt;"OK","",INDEX(po_mo,MATCH(D1067,po_code,0)))</f>
        <v/>
      </c>
      <c r="I1067" s="66" t="str">
        <f>IF(M1067&lt;&gt;"OK","",INDEX(po_mac,MATCH(D1067,po_code,0)))</f>
        <v/>
      </c>
      <c r="J1067" s="66" t="str">
        <f>IF(M1067&lt;&gt;"OK","",N(E1067)*(H1067*IF(G1067="",1,G1067)+I1067))</f>
        <v/>
      </c>
      <c r="K1067" s="66" t="str">
        <f>IF(M1067&lt;&gt;"OK","",N(F1067)/60*H1067*IF(G1067="",1,G1067))</f>
        <v/>
      </c>
      <c r="L1067" s="66" t="str">
        <f>IF(M1067&lt;&gt;"OK","",N(F1067)/60*I1067)</f>
        <v/>
      </c>
      <c r="M1067" s="69" t="str">
        <f>IF(AND(A1067="",D1067=""),"",IF(A1067="","Produit manquant",IF(COUNTIF(prod_ref,A1067)=0,"Produit inconnu",IF(D1067="","Poste manquant",IF(ISNA(MATCH(D1067,po_code,0)),"Poste inconnu",IF(INDEX(po_check,MATCH(D1067,po_code,0))&lt;&gt;"OK","Poste à corriger",IF(AND(E1067&lt;&gt;"",OR(NOT(ISNUMBER(E1067)),N(E1067)&lt;0)),"Réglage invalide",IF(AND(F1067&lt;&gt;"",OR(NOT(ISNUMBER(F1067)),N(F1067)&lt;0)),"Temps par pièce invalide",IF(N(E1067)+N(F1067)=0,"Temps manquant",IF(AND(G1067&lt;&gt;"",OR(NOT(ISNUMBER(G1067)),N(G1067)&lt;=0)),"Opérateurs invalide","OK"))))))))))</f>
        <v/>
      </c>
      <c r="N1067" s="71" t="str">
        <f>IF(AND(fiche_sel&lt;&gt;"",A1067=fiche_sel),COUNTIF(A$6:A1067,fiche_sel),"")</f>
        <v/>
      </c>
    </row>
    <row r="1068">
      <c r="A1068" s="60" t="n"/>
      <c r="B1068" s="73" t="n"/>
      <c r="C1068" s="60" t="n"/>
      <c r="D1068" s="61" t="n"/>
      <c r="E1068" s="74" t="n"/>
      <c r="F1068" s="74" t="n"/>
      <c r="G1068" s="73" t="n"/>
      <c r="H1068" s="66" t="str">
        <f>IF(M1068&lt;&gt;"OK","",INDEX(po_mo,MATCH(D1068,po_code,0)))</f>
        <v/>
      </c>
      <c r="I1068" s="66" t="str">
        <f>IF(M1068&lt;&gt;"OK","",INDEX(po_mac,MATCH(D1068,po_code,0)))</f>
        <v/>
      </c>
      <c r="J1068" s="66" t="str">
        <f>IF(M1068&lt;&gt;"OK","",N(E1068)*(H1068*IF(G1068="",1,G1068)+I1068))</f>
        <v/>
      </c>
      <c r="K1068" s="66" t="str">
        <f>IF(M1068&lt;&gt;"OK","",N(F1068)/60*H1068*IF(G1068="",1,G1068))</f>
        <v/>
      </c>
      <c r="L1068" s="66" t="str">
        <f>IF(M1068&lt;&gt;"OK","",N(F1068)/60*I1068)</f>
        <v/>
      </c>
      <c r="M1068" s="69" t="str">
        <f>IF(AND(A1068="",D1068=""),"",IF(A1068="","Produit manquant",IF(COUNTIF(prod_ref,A1068)=0,"Produit inconnu",IF(D1068="","Poste manquant",IF(ISNA(MATCH(D1068,po_code,0)),"Poste inconnu",IF(INDEX(po_check,MATCH(D1068,po_code,0))&lt;&gt;"OK","Poste à corriger",IF(AND(E1068&lt;&gt;"",OR(NOT(ISNUMBER(E1068)),N(E1068)&lt;0)),"Réglage invalide",IF(AND(F1068&lt;&gt;"",OR(NOT(ISNUMBER(F1068)),N(F1068)&lt;0)),"Temps par pièce invalide",IF(N(E1068)+N(F1068)=0,"Temps manquant",IF(AND(G1068&lt;&gt;"",OR(NOT(ISNUMBER(G1068)),N(G1068)&lt;=0)),"Opérateurs invalide","OK"))))))))))</f>
        <v/>
      </c>
      <c r="N1068" s="71" t="str">
        <f>IF(AND(fiche_sel&lt;&gt;"",A1068=fiche_sel),COUNTIF(A$6:A1068,fiche_sel),"")</f>
        <v/>
      </c>
    </row>
    <row r="1069">
      <c r="A1069" s="60" t="n"/>
      <c r="B1069" s="73" t="n"/>
      <c r="C1069" s="60" t="n"/>
      <c r="D1069" s="61" t="n"/>
      <c r="E1069" s="74" t="n"/>
      <c r="F1069" s="74" t="n"/>
      <c r="G1069" s="73" t="n"/>
      <c r="H1069" s="66" t="str">
        <f>IF(M1069&lt;&gt;"OK","",INDEX(po_mo,MATCH(D1069,po_code,0)))</f>
        <v/>
      </c>
      <c r="I1069" s="66" t="str">
        <f>IF(M1069&lt;&gt;"OK","",INDEX(po_mac,MATCH(D1069,po_code,0)))</f>
        <v/>
      </c>
      <c r="J1069" s="66" t="str">
        <f>IF(M1069&lt;&gt;"OK","",N(E1069)*(H1069*IF(G1069="",1,G1069)+I1069))</f>
        <v/>
      </c>
      <c r="K1069" s="66" t="str">
        <f>IF(M1069&lt;&gt;"OK","",N(F1069)/60*H1069*IF(G1069="",1,G1069))</f>
        <v/>
      </c>
      <c r="L1069" s="66" t="str">
        <f>IF(M1069&lt;&gt;"OK","",N(F1069)/60*I1069)</f>
        <v/>
      </c>
      <c r="M1069" s="69" t="str">
        <f>IF(AND(A1069="",D1069=""),"",IF(A1069="","Produit manquant",IF(COUNTIF(prod_ref,A1069)=0,"Produit inconnu",IF(D1069="","Poste manquant",IF(ISNA(MATCH(D1069,po_code,0)),"Poste inconnu",IF(INDEX(po_check,MATCH(D1069,po_code,0))&lt;&gt;"OK","Poste à corriger",IF(AND(E1069&lt;&gt;"",OR(NOT(ISNUMBER(E1069)),N(E1069)&lt;0)),"Réglage invalide",IF(AND(F1069&lt;&gt;"",OR(NOT(ISNUMBER(F1069)),N(F1069)&lt;0)),"Temps par pièce invalide",IF(N(E1069)+N(F1069)=0,"Temps manquant",IF(AND(G1069&lt;&gt;"",OR(NOT(ISNUMBER(G1069)),N(G1069)&lt;=0)),"Opérateurs invalide","OK"))))))))))</f>
        <v/>
      </c>
      <c r="N1069" s="71" t="str">
        <f>IF(AND(fiche_sel&lt;&gt;"",A1069=fiche_sel),COUNTIF(A$6:A1069,fiche_sel),"")</f>
        <v/>
      </c>
    </row>
    <row r="1070">
      <c r="A1070" s="60" t="n"/>
      <c r="B1070" s="73" t="n"/>
      <c r="C1070" s="60" t="n"/>
      <c r="D1070" s="61" t="n"/>
      <c r="E1070" s="74" t="n"/>
      <c r="F1070" s="74" t="n"/>
      <c r="G1070" s="73" t="n"/>
      <c r="H1070" s="66" t="str">
        <f>IF(M1070&lt;&gt;"OK","",INDEX(po_mo,MATCH(D1070,po_code,0)))</f>
        <v/>
      </c>
      <c r="I1070" s="66" t="str">
        <f>IF(M1070&lt;&gt;"OK","",INDEX(po_mac,MATCH(D1070,po_code,0)))</f>
        <v/>
      </c>
      <c r="J1070" s="66" t="str">
        <f>IF(M1070&lt;&gt;"OK","",N(E1070)*(H1070*IF(G1070="",1,G1070)+I1070))</f>
        <v/>
      </c>
      <c r="K1070" s="66" t="str">
        <f>IF(M1070&lt;&gt;"OK","",N(F1070)/60*H1070*IF(G1070="",1,G1070))</f>
        <v/>
      </c>
      <c r="L1070" s="66" t="str">
        <f>IF(M1070&lt;&gt;"OK","",N(F1070)/60*I1070)</f>
        <v/>
      </c>
      <c r="M1070" s="69" t="str">
        <f>IF(AND(A1070="",D1070=""),"",IF(A1070="","Produit manquant",IF(COUNTIF(prod_ref,A1070)=0,"Produit inconnu",IF(D1070="","Poste manquant",IF(ISNA(MATCH(D1070,po_code,0)),"Poste inconnu",IF(INDEX(po_check,MATCH(D1070,po_code,0))&lt;&gt;"OK","Poste à corriger",IF(AND(E1070&lt;&gt;"",OR(NOT(ISNUMBER(E1070)),N(E1070)&lt;0)),"Réglage invalide",IF(AND(F1070&lt;&gt;"",OR(NOT(ISNUMBER(F1070)),N(F1070)&lt;0)),"Temps par pièce invalide",IF(N(E1070)+N(F1070)=0,"Temps manquant",IF(AND(G1070&lt;&gt;"",OR(NOT(ISNUMBER(G1070)),N(G1070)&lt;=0)),"Opérateurs invalide","OK"))))))))))</f>
        <v/>
      </c>
      <c r="N1070" s="71" t="str">
        <f>IF(AND(fiche_sel&lt;&gt;"",A1070=fiche_sel),COUNTIF(A$6:A1070,fiche_sel),"")</f>
        <v/>
      </c>
    </row>
    <row r="1071">
      <c r="A1071" s="60" t="n"/>
      <c r="B1071" s="73" t="n"/>
      <c r="C1071" s="60" t="n"/>
      <c r="D1071" s="61" t="n"/>
      <c r="E1071" s="74" t="n"/>
      <c r="F1071" s="74" t="n"/>
      <c r="G1071" s="73" t="n"/>
      <c r="H1071" s="66" t="str">
        <f>IF(M1071&lt;&gt;"OK","",INDEX(po_mo,MATCH(D1071,po_code,0)))</f>
        <v/>
      </c>
      <c r="I1071" s="66" t="str">
        <f>IF(M1071&lt;&gt;"OK","",INDEX(po_mac,MATCH(D1071,po_code,0)))</f>
        <v/>
      </c>
      <c r="J1071" s="66" t="str">
        <f>IF(M1071&lt;&gt;"OK","",N(E1071)*(H1071*IF(G1071="",1,G1071)+I1071))</f>
        <v/>
      </c>
      <c r="K1071" s="66" t="str">
        <f>IF(M1071&lt;&gt;"OK","",N(F1071)/60*H1071*IF(G1071="",1,G1071))</f>
        <v/>
      </c>
      <c r="L1071" s="66" t="str">
        <f>IF(M1071&lt;&gt;"OK","",N(F1071)/60*I1071)</f>
        <v/>
      </c>
      <c r="M1071" s="69" t="str">
        <f>IF(AND(A1071="",D1071=""),"",IF(A1071="","Produit manquant",IF(COUNTIF(prod_ref,A1071)=0,"Produit inconnu",IF(D1071="","Poste manquant",IF(ISNA(MATCH(D1071,po_code,0)),"Poste inconnu",IF(INDEX(po_check,MATCH(D1071,po_code,0))&lt;&gt;"OK","Poste à corriger",IF(AND(E1071&lt;&gt;"",OR(NOT(ISNUMBER(E1071)),N(E1071)&lt;0)),"Réglage invalide",IF(AND(F1071&lt;&gt;"",OR(NOT(ISNUMBER(F1071)),N(F1071)&lt;0)),"Temps par pièce invalide",IF(N(E1071)+N(F1071)=0,"Temps manquant",IF(AND(G1071&lt;&gt;"",OR(NOT(ISNUMBER(G1071)),N(G1071)&lt;=0)),"Opérateurs invalide","OK"))))))))))</f>
        <v/>
      </c>
      <c r="N1071" s="71" t="str">
        <f>IF(AND(fiche_sel&lt;&gt;"",A1071=fiche_sel),COUNTIF(A$6:A1071,fiche_sel),"")</f>
        <v/>
      </c>
    </row>
    <row r="1072">
      <c r="A1072" s="60" t="n"/>
      <c r="B1072" s="73" t="n"/>
      <c r="C1072" s="60" t="n"/>
      <c r="D1072" s="61" t="n"/>
      <c r="E1072" s="74" t="n"/>
      <c r="F1072" s="74" t="n"/>
      <c r="G1072" s="73" t="n"/>
      <c r="H1072" s="66" t="str">
        <f>IF(M1072&lt;&gt;"OK","",INDEX(po_mo,MATCH(D1072,po_code,0)))</f>
        <v/>
      </c>
      <c r="I1072" s="66" t="str">
        <f>IF(M1072&lt;&gt;"OK","",INDEX(po_mac,MATCH(D1072,po_code,0)))</f>
        <v/>
      </c>
      <c r="J1072" s="66" t="str">
        <f>IF(M1072&lt;&gt;"OK","",N(E1072)*(H1072*IF(G1072="",1,G1072)+I1072))</f>
        <v/>
      </c>
      <c r="K1072" s="66" t="str">
        <f>IF(M1072&lt;&gt;"OK","",N(F1072)/60*H1072*IF(G1072="",1,G1072))</f>
        <v/>
      </c>
      <c r="L1072" s="66" t="str">
        <f>IF(M1072&lt;&gt;"OK","",N(F1072)/60*I1072)</f>
        <v/>
      </c>
      <c r="M1072" s="69" t="str">
        <f>IF(AND(A1072="",D1072=""),"",IF(A1072="","Produit manquant",IF(COUNTIF(prod_ref,A1072)=0,"Produit inconnu",IF(D1072="","Poste manquant",IF(ISNA(MATCH(D1072,po_code,0)),"Poste inconnu",IF(INDEX(po_check,MATCH(D1072,po_code,0))&lt;&gt;"OK","Poste à corriger",IF(AND(E1072&lt;&gt;"",OR(NOT(ISNUMBER(E1072)),N(E1072)&lt;0)),"Réglage invalide",IF(AND(F1072&lt;&gt;"",OR(NOT(ISNUMBER(F1072)),N(F1072)&lt;0)),"Temps par pièce invalide",IF(N(E1072)+N(F1072)=0,"Temps manquant",IF(AND(G1072&lt;&gt;"",OR(NOT(ISNUMBER(G1072)),N(G1072)&lt;=0)),"Opérateurs invalide","OK"))))))))))</f>
        <v/>
      </c>
      <c r="N1072" s="71" t="str">
        <f>IF(AND(fiche_sel&lt;&gt;"",A1072=fiche_sel),COUNTIF(A$6:A1072,fiche_sel),"")</f>
        <v/>
      </c>
    </row>
    <row r="1073">
      <c r="A1073" s="60" t="n"/>
      <c r="B1073" s="73" t="n"/>
      <c r="C1073" s="60" t="n"/>
      <c r="D1073" s="61" t="n"/>
      <c r="E1073" s="74" t="n"/>
      <c r="F1073" s="74" t="n"/>
      <c r="G1073" s="73" t="n"/>
      <c r="H1073" s="66" t="str">
        <f>IF(M1073&lt;&gt;"OK","",INDEX(po_mo,MATCH(D1073,po_code,0)))</f>
        <v/>
      </c>
      <c r="I1073" s="66" t="str">
        <f>IF(M1073&lt;&gt;"OK","",INDEX(po_mac,MATCH(D1073,po_code,0)))</f>
        <v/>
      </c>
      <c r="J1073" s="66" t="str">
        <f>IF(M1073&lt;&gt;"OK","",N(E1073)*(H1073*IF(G1073="",1,G1073)+I1073))</f>
        <v/>
      </c>
      <c r="K1073" s="66" t="str">
        <f>IF(M1073&lt;&gt;"OK","",N(F1073)/60*H1073*IF(G1073="",1,G1073))</f>
        <v/>
      </c>
      <c r="L1073" s="66" t="str">
        <f>IF(M1073&lt;&gt;"OK","",N(F1073)/60*I1073)</f>
        <v/>
      </c>
      <c r="M1073" s="69" t="str">
        <f>IF(AND(A1073="",D1073=""),"",IF(A1073="","Produit manquant",IF(COUNTIF(prod_ref,A1073)=0,"Produit inconnu",IF(D1073="","Poste manquant",IF(ISNA(MATCH(D1073,po_code,0)),"Poste inconnu",IF(INDEX(po_check,MATCH(D1073,po_code,0))&lt;&gt;"OK","Poste à corriger",IF(AND(E1073&lt;&gt;"",OR(NOT(ISNUMBER(E1073)),N(E1073)&lt;0)),"Réglage invalide",IF(AND(F1073&lt;&gt;"",OR(NOT(ISNUMBER(F1073)),N(F1073)&lt;0)),"Temps par pièce invalide",IF(N(E1073)+N(F1073)=0,"Temps manquant",IF(AND(G1073&lt;&gt;"",OR(NOT(ISNUMBER(G1073)),N(G1073)&lt;=0)),"Opérateurs invalide","OK"))))))))))</f>
        <v/>
      </c>
      <c r="N1073" s="71" t="str">
        <f>IF(AND(fiche_sel&lt;&gt;"",A1073=fiche_sel),COUNTIF(A$6:A1073,fiche_sel),"")</f>
        <v/>
      </c>
    </row>
    <row r="1074">
      <c r="A1074" s="60" t="n"/>
      <c r="B1074" s="73" t="n"/>
      <c r="C1074" s="60" t="n"/>
      <c r="D1074" s="61" t="n"/>
      <c r="E1074" s="74" t="n"/>
      <c r="F1074" s="74" t="n"/>
      <c r="G1074" s="73" t="n"/>
      <c r="H1074" s="66" t="str">
        <f>IF(M1074&lt;&gt;"OK","",INDEX(po_mo,MATCH(D1074,po_code,0)))</f>
        <v/>
      </c>
      <c r="I1074" s="66" t="str">
        <f>IF(M1074&lt;&gt;"OK","",INDEX(po_mac,MATCH(D1074,po_code,0)))</f>
        <v/>
      </c>
      <c r="J1074" s="66" t="str">
        <f>IF(M1074&lt;&gt;"OK","",N(E1074)*(H1074*IF(G1074="",1,G1074)+I1074))</f>
        <v/>
      </c>
      <c r="K1074" s="66" t="str">
        <f>IF(M1074&lt;&gt;"OK","",N(F1074)/60*H1074*IF(G1074="",1,G1074))</f>
        <v/>
      </c>
      <c r="L1074" s="66" t="str">
        <f>IF(M1074&lt;&gt;"OK","",N(F1074)/60*I1074)</f>
        <v/>
      </c>
      <c r="M1074" s="69" t="str">
        <f>IF(AND(A1074="",D1074=""),"",IF(A1074="","Produit manquant",IF(COUNTIF(prod_ref,A1074)=0,"Produit inconnu",IF(D1074="","Poste manquant",IF(ISNA(MATCH(D1074,po_code,0)),"Poste inconnu",IF(INDEX(po_check,MATCH(D1074,po_code,0))&lt;&gt;"OK","Poste à corriger",IF(AND(E1074&lt;&gt;"",OR(NOT(ISNUMBER(E1074)),N(E1074)&lt;0)),"Réglage invalide",IF(AND(F1074&lt;&gt;"",OR(NOT(ISNUMBER(F1074)),N(F1074)&lt;0)),"Temps par pièce invalide",IF(N(E1074)+N(F1074)=0,"Temps manquant",IF(AND(G1074&lt;&gt;"",OR(NOT(ISNUMBER(G1074)),N(G1074)&lt;=0)),"Opérateurs invalide","OK"))))))))))</f>
        <v/>
      </c>
      <c r="N1074" s="71" t="str">
        <f>IF(AND(fiche_sel&lt;&gt;"",A1074=fiche_sel),COUNTIF(A$6:A1074,fiche_sel),"")</f>
        <v/>
      </c>
    </row>
    <row r="1075">
      <c r="A1075" s="60" t="n"/>
      <c r="B1075" s="73" t="n"/>
      <c r="C1075" s="60" t="n"/>
      <c r="D1075" s="61" t="n"/>
      <c r="E1075" s="74" t="n"/>
      <c r="F1075" s="74" t="n"/>
      <c r="G1075" s="73" t="n"/>
      <c r="H1075" s="66" t="str">
        <f>IF(M1075&lt;&gt;"OK","",INDEX(po_mo,MATCH(D1075,po_code,0)))</f>
        <v/>
      </c>
      <c r="I1075" s="66" t="str">
        <f>IF(M1075&lt;&gt;"OK","",INDEX(po_mac,MATCH(D1075,po_code,0)))</f>
        <v/>
      </c>
      <c r="J1075" s="66" t="str">
        <f>IF(M1075&lt;&gt;"OK","",N(E1075)*(H1075*IF(G1075="",1,G1075)+I1075))</f>
        <v/>
      </c>
      <c r="K1075" s="66" t="str">
        <f>IF(M1075&lt;&gt;"OK","",N(F1075)/60*H1075*IF(G1075="",1,G1075))</f>
        <v/>
      </c>
      <c r="L1075" s="66" t="str">
        <f>IF(M1075&lt;&gt;"OK","",N(F1075)/60*I1075)</f>
        <v/>
      </c>
      <c r="M1075" s="69" t="str">
        <f>IF(AND(A1075="",D1075=""),"",IF(A1075="","Produit manquant",IF(COUNTIF(prod_ref,A1075)=0,"Produit inconnu",IF(D1075="","Poste manquant",IF(ISNA(MATCH(D1075,po_code,0)),"Poste inconnu",IF(INDEX(po_check,MATCH(D1075,po_code,0))&lt;&gt;"OK","Poste à corriger",IF(AND(E1075&lt;&gt;"",OR(NOT(ISNUMBER(E1075)),N(E1075)&lt;0)),"Réglage invalide",IF(AND(F1075&lt;&gt;"",OR(NOT(ISNUMBER(F1075)),N(F1075)&lt;0)),"Temps par pièce invalide",IF(N(E1075)+N(F1075)=0,"Temps manquant",IF(AND(G1075&lt;&gt;"",OR(NOT(ISNUMBER(G1075)),N(G1075)&lt;=0)),"Opérateurs invalide","OK"))))))))))</f>
        <v/>
      </c>
      <c r="N1075" s="71" t="str">
        <f>IF(AND(fiche_sel&lt;&gt;"",A1075=fiche_sel),COUNTIF(A$6:A1075,fiche_sel),"")</f>
        <v/>
      </c>
    </row>
    <row r="1076">
      <c r="A1076" s="60" t="n"/>
      <c r="B1076" s="73" t="n"/>
      <c r="C1076" s="60" t="n"/>
      <c r="D1076" s="61" t="n"/>
      <c r="E1076" s="74" t="n"/>
      <c r="F1076" s="74" t="n"/>
      <c r="G1076" s="73" t="n"/>
      <c r="H1076" s="66" t="str">
        <f>IF(M1076&lt;&gt;"OK","",INDEX(po_mo,MATCH(D1076,po_code,0)))</f>
        <v/>
      </c>
      <c r="I1076" s="66" t="str">
        <f>IF(M1076&lt;&gt;"OK","",INDEX(po_mac,MATCH(D1076,po_code,0)))</f>
        <v/>
      </c>
      <c r="J1076" s="66" t="str">
        <f>IF(M1076&lt;&gt;"OK","",N(E1076)*(H1076*IF(G1076="",1,G1076)+I1076))</f>
        <v/>
      </c>
      <c r="K1076" s="66" t="str">
        <f>IF(M1076&lt;&gt;"OK","",N(F1076)/60*H1076*IF(G1076="",1,G1076))</f>
        <v/>
      </c>
      <c r="L1076" s="66" t="str">
        <f>IF(M1076&lt;&gt;"OK","",N(F1076)/60*I1076)</f>
        <v/>
      </c>
      <c r="M1076" s="69" t="str">
        <f>IF(AND(A1076="",D1076=""),"",IF(A1076="","Produit manquant",IF(COUNTIF(prod_ref,A1076)=0,"Produit inconnu",IF(D1076="","Poste manquant",IF(ISNA(MATCH(D1076,po_code,0)),"Poste inconnu",IF(INDEX(po_check,MATCH(D1076,po_code,0))&lt;&gt;"OK","Poste à corriger",IF(AND(E1076&lt;&gt;"",OR(NOT(ISNUMBER(E1076)),N(E1076)&lt;0)),"Réglage invalide",IF(AND(F1076&lt;&gt;"",OR(NOT(ISNUMBER(F1076)),N(F1076)&lt;0)),"Temps par pièce invalide",IF(N(E1076)+N(F1076)=0,"Temps manquant",IF(AND(G1076&lt;&gt;"",OR(NOT(ISNUMBER(G1076)),N(G1076)&lt;=0)),"Opérateurs invalide","OK"))))))))))</f>
        <v/>
      </c>
      <c r="N1076" s="71" t="str">
        <f>IF(AND(fiche_sel&lt;&gt;"",A1076=fiche_sel),COUNTIF(A$6:A1076,fiche_sel),"")</f>
        <v/>
      </c>
    </row>
    <row r="1077">
      <c r="A1077" s="60" t="n"/>
      <c r="B1077" s="73" t="n"/>
      <c r="C1077" s="60" t="n"/>
      <c r="D1077" s="61" t="n"/>
      <c r="E1077" s="74" t="n"/>
      <c r="F1077" s="74" t="n"/>
      <c r="G1077" s="73" t="n"/>
      <c r="H1077" s="66" t="str">
        <f>IF(M1077&lt;&gt;"OK","",INDEX(po_mo,MATCH(D1077,po_code,0)))</f>
        <v/>
      </c>
      <c r="I1077" s="66" t="str">
        <f>IF(M1077&lt;&gt;"OK","",INDEX(po_mac,MATCH(D1077,po_code,0)))</f>
        <v/>
      </c>
      <c r="J1077" s="66" t="str">
        <f>IF(M1077&lt;&gt;"OK","",N(E1077)*(H1077*IF(G1077="",1,G1077)+I1077))</f>
        <v/>
      </c>
      <c r="K1077" s="66" t="str">
        <f>IF(M1077&lt;&gt;"OK","",N(F1077)/60*H1077*IF(G1077="",1,G1077))</f>
        <v/>
      </c>
      <c r="L1077" s="66" t="str">
        <f>IF(M1077&lt;&gt;"OK","",N(F1077)/60*I1077)</f>
        <v/>
      </c>
      <c r="M1077" s="69" t="str">
        <f>IF(AND(A1077="",D1077=""),"",IF(A1077="","Produit manquant",IF(COUNTIF(prod_ref,A1077)=0,"Produit inconnu",IF(D1077="","Poste manquant",IF(ISNA(MATCH(D1077,po_code,0)),"Poste inconnu",IF(INDEX(po_check,MATCH(D1077,po_code,0))&lt;&gt;"OK","Poste à corriger",IF(AND(E1077&lt;&gt;"",OR(NOT(ISNUMBER(E1077)),N(E1077)&lt;0)),"Réglage invalide",IF(AND(F1077&lt;&gt;"",OR(NOT(ISNUMBER(F1077)),N(F1077)&lt;0)),"Temps par pièce invalide",IF(N(E1077)+N(F1077)=0,"Temps manquant",IF(AND(G1077&lt;&gt;"",OR(NOT(ISNUMBER(G1077)),N(G1077)&lt;=0)),"Opérateurs invalide","OK"))))))))))</f>
        <v/>
      </c>
      <c r="N1077" s="71" t="str">
        <f>IF(AND(fiche_sel&lt;&gt;"",A1077=fiche_sel),COUNTIF(A$6:A1077,fiche_sel),"")</f>
        <v/>
      </c>
    </row>
    <row r="1078">
      <c r="A1078" s="60" t="n"/>
      <c r="B1078" s="73" t="n"/>
      <c r="C1078" s="60" t="n"/>
      <c r="D1078" s="61" t="n"/>
      <c r="E1078" s="74" t="n"/>
      <c r="F1078" s="74" t="n"/>
      <c r="G1078" s="73" t="n"/>
      <c r="H1078" s="66" t="str">
        <f>IF(M1078&lt;&gt;"OK","",INDEX(po_mo,MATCH(D1078,po_code,0)))</f>
        <v/>
      </c>
      <c r="I1078" s="66" t="str">
        <f>IF(M1078&lt;&gt;"OK","",INDEX(po_mac,MATCH(D1078,po_code,0)))</f>
        <v/>
      </c>
      <c r="J1078" s="66" t="str">
        <f>IF(M1078&lt;&gt;"OK","",N(E1078)*(H1078*IF(G1078="",1,G1078)+I1078))</f>
        <v/>
      </c>
      <c r="K1078" s="66" t="str">
        <f>IF(M1078&lt;&gt;"OK","",N(F1078)/60*H1078*IF(G1078="",1,G1078))</f>
        <v/>
      </c>
      <c r="L1078" s="66" t="str">
        <f>IF(M1078&lt;&gt;"OK","",N(F1078)/60*I1078)</f>
        <v/>
      </c>
      <c r="M1078" s="69" t="str">
        <f>IF(AND(A1078="",D1078=""),"",IF(A1078="","Produit manquant",IF(COUNTIF(prod_ref,A1078)=0,"Produit inconnu",IF(D1078="","Poste manquant",IF(ISNA(MATCH(D1078,po_code,0)),"Poste inconnu",IF(INDEX(po_check,MATCH(D1078,po_code,0))&lt;&gt;"OK","Poste à corriger",IF(AND(E1078&lt;&gt;"",OR(NOT(ISNUMBER(E1078)),N(E1078)&lt;0)),"Réglage invalide",IF(AND(F1078&lt;&gt;"",OR(NOT(ISNUMBER(F1078)),N(F1078)&lt;0)),"Temps par pièce invalide",IF(N(E1078)+N(F1078)=0,"Temps manquant",IF(AND(G1078&lt;&gt;"",OR(NOT(ISNUMBER(G1078)),N(G1078)&lt;=0)),"Opérateurs invalide","OK"))))))))))</f>
        <v/>
      </c>
      <c r="N1078" s="71" t="str">
        <f>IF(AND(fiche_sel&lt;&gt;"",A1078=fiche_sel),COUNTIF(A$6:A1078,fiche_sel),"")</f>
        <v/>
      </c>
    </row>
    <row r="1079">
      <c r="A1079" s="60" t="n"/>
      <c r="B1079" s="73" t="n"/>
      <c r="C1079" s="60" t="n"/>
      <c r="D1079" s="61" t="n"/>
      <c r="E1079" s="74" t="n"/>
      <c r="F1079" s="74" t="n"/>
      <c r="G1079" s="73" t="n"/>
      <c r="H1079" s="66" t="str">
        <f>IF(M1079&lt;&gt;"OK","",INDEX(po_mo,MATCH(D1079,po_code,0)))</f>
        <v/>
      </c>
      <c r="I1079" s="66" t="str">
        <f>IF(M1079&lt;&gt;"OK","",INDEX(po_mac,MATCH(D1079,po_code,0)))</f>
        <v/>
      </c>
      <c r="J1079" s="66" t="str">
        <f>IF(M1079&lt;&gt;"OK","",N(E1079)*(H1079*IF(G1079="",1,G1079)+I1079))</f>
        <v/>
      </c>
      <c r="K1079" s="66" t="str">
        <f>IF(M1079&lt;&gt;"OK","",N(F1079)/60*H1079*IF(G1079="",1,G1079))</f>
        <v/>
      </c>
      <c r="L1079" s="66" t="str">
        <f>IF(M1079&lt;&gt;"OK","",N(F1079)/60*I1079)</f>
        <v/>
      </c>
      <c r="M1079" s="69" t="str">
        <f>IF(AND(A1079="",D1079=""),"",IF(A1079="","Produit manquant",IF(COUNTIF(prod_ref,A1079)=0,"Produit inconnu",IF(D1079="","Poste manquant",IF(ISNA(MATCH(D1079,po_code,0)),"Poste inconnu",IF(INDEX(po_check,MATCH(D1079,po_code,0))&lt;&gt;"OK","Poste à corriger",IF(AND(E1079&lt;&gt;"",OR(NOT(ISNUMBER(E1079)),N(E1079)&lt;0)),"Réglage invalide",IF(AND(F1079&lt;&gt;"",OR(NOT(ISNUMBER(F1079)),N(F1079)&lt;0)),"Temps par pièce invalide",IF(N(E1079)+N(F1079)=0,"Temps manquant",IF(AND(G1079&lt;&gt;"",OR(NOT(ISNUMBER(G1079)),N(G1079)&lt;=0)),"Opérateurs invalide","OK"))))))))))</f>
        <v/>
      </c>
      <c r="N1079" s="71" t="str">
        <f>IF(AND(fiche_sel&lt;&gt;"",A1079=fiche_sel),COUNTIF(A$6:A1079,fiche_sel),"")</f>
        <v/>
      </c>
    </row>
    <row r="1080">
      <c r="A1080" s="60" t="n"/>
      <c r="B1080" s="73" t="n"/>
      <c r="C1080" s="60" t="n"/>
      <c r="D1080" s="61" t="n"/>
      <c r="E1080" s="74" t="n"/>
      <c r="F1080" s="74" t="n"/>
      <c r="G1080" s="73" t="n"/>
      <c r="H1080" s="66" t="str">
        <f>IF(M1080&lt;&gt;"OK","",INDEX(po_mo,MATCH(D1080,po_code,0)))</f>
        <v/>
      </c>
      <c r="I1080" s="66" t="str">
        <f>IF(M1080&lt;&gt;"OK","",INDEX(po_mac,MATCH(D1080,po_code,0)))</f>
        <v/>
      </c>
      <c r="J1080" s="66" t="str">
        <f>IF(M1080&lt;&gt;"OK","",N(E1080)*(H1080*IF(G1080="",1,G1080)+I1080))</f>
        <v/>
      </c>
      <c r="K1080" s="66" t="str">
        <f>IF(M1080&lt;&gt;"OK","",N(F1080)/60*H1080*IF(G1080="",1,G1080))</f>
        <v/>
      </c>
      <c r="L1080" s="66" t="str">
        <f>IF(M1080&lt;&gt;"OK","",N(F1080)/60*I1080)</f>
        <v/>
      </c>
      <c r="M1080" s="69" t="str">
        <f>IF(AND(A1080="",D1080=""),"",IF(A1080="","Produit manquant",IF(COUNTIF(prod_ref,A1080)=0,"Produit inconnu",IF(D1080="","Poste manquant",IF(ISNA(MATCH(D1080,po_code,0)),"Poste inconnu",IF(INDEX(po_check,MATCH(D1080,po_code,0))&lt;&gt;"OK","Poste à corriger",IF(AND(E1080&lt;&gt;"",OR(NOT(ISNUMBER(E1080)),N(E1080)&lt;0)),"Réglage invalide",IF(AND(F1080&lt;&gt;"",OR(NOT(ISNUMBER(F1080)),N(F1080)&lt;0)),"Temps par pièce invalide",IF(N(E1080)+N(F1080)=0,"Temps manquant",IF(AND(G1080&lt;&gt;"",OR(NOT(ISNUMBER(G1080)),N(G1080)&lt;=0)),"Opérateurs invalide","OK"))))))))))</f>
        <v/>
      </c>
      <c r="N1080" s="71" t="str">
        <f>IF(AND(fiche_sel&lt;&gt;"",A1080=fiche_sel),COUNTIF(A$6:A1080,fiche_sel),"")</f>
        <v/>
      </c>
    </row>
    <row r="1081">
      <c r="A1081" s="60" t="n"/>
      <c r="B1081" s="73" t="n"/>
      <c r="C1081" s="60" t="n"/>
      <c r="D1081" s="61" t="n"/>
      <c r="E1081" s="74" t="n"/>
      <c r="F1081" s="74" t="n"/>
      <c r="G1081" s="73" t="n"/>
      <c r="H1081" s="66" t="str">
        <f>IF(M1081&lt;&gt;"OK","",INDEX(po_mo,MATCH(D1081,po_code,0)))</f>
        <v/>
      </c>
      <c r="I1081" s="66" t="str">
        <f>IF(M1081&lt;&gt;"OK","",INDEX(po_mac,MATCH(D1081,po_code,0)))</f>
        <v/>
      </c>
      <c r="J1081" s="66" t="str">
        <f>IF(M1081&lt;&gt;"OK","",N(E1081)*(H1081*IF(G1081="",1,G1081)+I1081))</f>
        <v/>
      </c>
      <c r="K1081" s="66" t="str">
        <f>IF(M1081&lt;&gt;"OK","",N(F1081)/60*H1081*IF(G1081="",1,G1081))</f>
        <v/>
      </c>
      <c r="L1081" s="66" t="str">
        <f>IF(M1081&lt;&gt;"OK","",N(F1081)/60*I1081)</f>
        <v/>
      </c>
      <c r="M1081" s="69" t="str">
        <f>IF(AND(A1081="",D1081=""),"",IF(A1081="","Produit manquant",IF(COUNTIF(prod_ref,A1081)=0,"Produit inconnu",IF(D1081="","Poste manquant",IF(ISNA(MATCH(D1081,po_code,0)),"Poste inconnu",IF(INDEX(po_check,MATCH(D1081,po_code,0))&lt;&gt;"OK","Poste à corriger",IF(AND(E1081&lt;&gt;"",OR(NOT(ISNUMBER(E1081)),N(E1081)&lt;0)),"Réglage invalide",IF(AND(F1081&lt;&gt;"",OR(NOT(ISNUMBER(F1081)),N(F1081)&lt;0)),"Temps par pièce invalide",IF(N(E1081)+N(F1081)=0,"Temps manquant",IF(AND(G1081&lt;&gt;"",OR(NOT(ISNUMBER(G1081)),N(G1081)&lt;=0)),"Opérateurs invalide","OK"))))))))))</f>
        <v/>
      </c>
      <c r="N1081" s="71" t="str">
        <f>IF(AND(fiche_sel&lt;&gt;"",A1081=fiche_sel),COUNTIF(A$6:A1081,fiche_sel),"")</f>
        <v/>
      </c>
    </row>
    <row r="1082">
      <c r="A1082" s="60" t="n"/>
      <c r="B1082" s="73" t="n"/>
      <c r="C1082" s="60" t="n"/>
      <c r="D1082" s="61" t="n"/>
      <c r="E1082" s="74" t="n"/>
      <c r="F1082" s="74" t="n"/>
      <c r="G1082" s="73" t="n"/>
      <c r="H1082" s="66" t="str">
        <f>IF(M1082&lt;&gt;"OK","",INDEX(po_mo,MATCH(D1082,po_code,0)))</f>
        <v/>
      </c>
      <c r="I1082" s="66" t="str">
        <f>IF(M1082&lt;&gt;"OK","",INDEX(po_mac,MATCH(D1082,po_code,0)))</f>
        <v/>
      </c>
      <c r="J1082" s="66" t="str">
        <f>IF(M1082&lt;&gt;"OK","",N(E1082)*(H1082*IF(G1082="",1,G1082)+I1082))</f>
        <v/>
      </c>
      <c r="K1082" s="66" t="str">
        <f>IF(M1082&lt;&gt;"OK","",N(F1082)/60*H1082*IF(G1082="",1,G1082))</f>
        <v/>
      </c>
      <c r="L1082" s="66" t="str">
        <f>IF(M1082&lt;&gt;"OK","",N(F1082)/60*I1082)</f>
        <v/>
      </c>
      <c r="M1082" s="69" t="str">
        <f>IF(AND(A1082="",D1082=""),"",IF(A1082="","Produit manquant",IF(COUNTIF(prod_ref,A1082)=0,"Produit inconnu",IF(D1082="","Poste manquant",IF(ISNA(MATCH(D1082,po_code,0)),"Poste inconnu",IF(INDEX(po_check,MATCH(D1082,po_code,0))&lt;&gt;"OK","Poste à corriger",IF(AND(E1082&lt;&gt;"",OR(NOT(ISNUMBER(E1082)),N(E1082)&lt;0)),"Réglage invalide",IF(AND(F1082&lt;&gt;"",OR(NOT(ISNUMBER(F1082)),N(F1082)&lt;0)),"Temps par pièce invalide",IF(N(E1082)+N(F1082)=0,"Temps manquant",IF(AND(G1082&lt;&gt;"",OR(NOT(ISNUMBER(G1082)),N(G1082)&lt;=0)),"Opérateurs invalide","OK"))))))))))</f>
        <v/>
      </c>
      <c r="N1082" s="71" t="str">
        <f>IF(AND(fiche_sel&lt;&gt;"",A1082=fiche_sel),COUNTIF(A$6:A1082,fiche_sel),"")</f>
        <v/>
      </c>
    </row>
    <row r="1083">
      <c r="A1083" s="60" t="n"/>
      <c r="B1083" s="73" t="n"/>
      <c r="C1083" s="60" t="n"/>
      <c r="D1083" s="61" t="n"/>
      <c r="E1083" s="74" t="n"/>
      <c r="F1083" s="74" t="n"/>
      <c r="G1083" s="73" t="n"/>
      <c r="H1083" s="66" t="str">
        <f>IF(M1083&lt;&gt;"OK","",INDEX(po_mo,MATCH(D1083,po_code,0)))</f>
        <v/>
      </c>
      <c r="I1083" s="66" t="str">
        <f>IF(M1083&lt;&gt;"OK","",INDEX(po_mac,MATCH(D1083,po_code,0)))</f>
        <v/>
      </c>
      <c r="J1083" s="66" t="str">
        <f>IF(M1083&lt;&gt;"OK","",N(E1083)*(H1083*IF(G1083="",1,G1083)+I1083))</f>
        <v/>
      </c>
      <c r="K1083" s="66" t="str">
        <f>IF(M1083&lt;&gt;"OK","",N(F1083)/60*H1083*IF(G1083="",1,G1083))</f>
        <v/>
      </c>
      <c r="L1083" s="66" t="str">
        <f>IF(M1083&lt;&gt;"OK","",N(F1083)/60*I1083)</f>
        <v/>
      </c>
      <c r="M1083" s="69" t="str">
        <f>IF(AND(A1083="",D1083=""),"",IF(A1083="","Produit manquant",IF(COUNTIF(prod_ref,A1083)=0,"Produit inconnu",IF(D1083="","Poste manquant",IF(ISNA(MATCH(D1083,po_code,0)),"Poste inconnu",IF(INDEX(po_check,MATCH(D1083,po_code,0))&lt;&gt;"OK","Poste à corriger",IF(AND(E1083&lt;&gt;"",OR(NOT(ISNUMBER(E1083)),N(E1083)&lt;0)),"Réglage invalide",IF(AND(F1083&lt;&gt;"",OR(NOT(ISNUMBER(F1083)),N(F1083)&lt;0)),"Temps par pièce invalide",IF(N(E1083)+N(F1083)=0,"Temps manquant",IF(AND(G1083&lt;&gt;"",OR(NOT(ISNUMBER(G1083)),N(G1083)&lt;=0)),"Opérateurs invalide","OK"))))))))))</f>
        <v/>
      </c>
      <c r="N1083" s="71" t="str">
        <f>IF(AND(fiche_sel&lt;&gt;"",A1083=fiche_sel),COUNTIF(A$6:A1083,fiche_sel),"")</f>
        <v/>
      </c>
    </row>
    <row r="1084">
      <c r="A1084" s="60" t="n"/>
      <c r="B1084" s="73" t="n"/>
      <c r="C1084" s="60" t="n"/>
      <c r="D1084" s="61" t="n"/>
      <c r="E1084" s="74" t="n"/>
      <c r="F1084" s="74" t="n"/>
      <c r="G1084" s="73" t="n"/>
      <c r="H1084" s="66" t="str">
        <f>IF(M1084&lt;&gt;"OK","",INDEX(po_mo,MATCH(D1084,po_code,0)))</f>
        <v/>
      </c>
      <c r="I1084" s="66" t="str">
        <f>IF(M1084&lt;&gt;"OK","",INDEX(po_mac,MATCH(D1084,po_code,0)))</f>
        <v/>
      </c>
      <c r="J1084" s="66" t="str">
        <f>IF(M1084&lt;&gt;"OK","",N(E1084)*(H1084*IF(G1084="",1,G1084)+I1084))</f>
        <v/>
      </c>
      <c r="K1084" s="66" t="str">
        <f>IF(M1084&lt;&gt;"OK","",N(F1084)/60*H1084*IF(G1084="",1,G1084))</f>
        <v/>
      </c>
      <c r="L1084" s="66" t="str">
        <f>IF(M1084&lt;&gt;"OK","",N(F1084)/60*I1084)</f>
        <v/>
      </c>
      <c r="M1084" s="69" t="str">
        <f>IF(AND(A1084="",D1084=""),"",IF(A1084="","Produit manquant",IF(COUNTIF(prod_ref,A1084)=0,"Produit inconnu",IF(D1084="","Poste manquant",IF(ISNA(MATCH(D1084,po_code,0)),"Poste inconnu",IF(INDEX(po_check,MATCH(D1084,po_code,0))&lt;&gt;"OK","Poste à corriger",IF(AND(E1084&lt;&gt;"",OR(NOT(ISNUMBER(E1084)),N(E1084)&lt;0)),"Réglage invalide",IF(AND(F1084&lt;&gt;"",OR(NOT(ISNUMBER(F1084)),N(F1084)&lt;0)),"Temps par pièce invalide",IF(N(E1084)+N(F1084)=0,"Temps manquant",IF(AND(G1084&lt;&gt;"",OR(NOT(ISNUMBER(G1084)),N(G1084)&lt;=0)),"Opérateurs invalide","OK"))))))))))</f>
        <v/>
      </c>
      <c r="N1084" s="71" t="str">
        <f>IF(AND(fiche_sel&lt;&gt;"",A1084=fiche_sel),COUNTIF(A$6:A1084,fiche_sel),"")</f>
        <v/>
      </c>
    </row>
    <row r="1085">
      <c r="A1085" s="60" t="n"/>
      <c r="B1085" s="73" t="n"/>
      <c r="C1085" s="60" t="n"/>
      <c r="D1085" s="61" t="n"/>
      <c r="E1085" s="74" t="n"/>
      <c r="F1085" s="74" t="n"/>
      <c r="G1085" s="73" t="n"/>
      <c r="H1085" s="66" t="str">
        <f>IF(M1085&lt;&gt;"OK","",INDEX(po_mo,MATCH(D1085,po_code,0)))</f>
        <v/>
      </c>
      <c r="I1085" s="66" t="str">
        <f>IF(M1085&lt;&gt;"OK","",INDEX(po_mac,MATCH(D1085,po_code,0)))</f>
        <v/>
      </c>
      <c r="J1085" s="66" t="str">
        <f>IF(M1085&lt;&gt;"OK","",N(E1085)*(H1085*IF(G1085="",1,G1085)+I1085))</f>
        <v/>
      </c>
      <c r="K1085" s="66" t="str">
        <f>IF(M1085&lt;&gt;"OK","",N(F1085)/60*H1085*IF(G1085="",1,G1085))</f>
        <v/>
      </c>
      <c r="L1085" s="66" t="str">
        <f>IF(M1085&lt;&gt;"OK","",N(F1085)/60*I1085)</f>
        <v/>
      </c>
      <c r="M1085" s="69" t="str">
        <f>IF(AND(A1085="",D1085=""),"",IF(A1085="","Produit manquant",IF(COUNTIF(prod_ref,A1085)=0,"Produit inconnu",IF(D1085="","Poste manquant",IF(ISNA(MATCH(D1085,po_code,0)),"Poste inconnu",IF(INDEX(po_check,MATCH(D1085,po_code,0))&lt;&gt;"OK","Poste à corriger",IF(AND(E1085&lt;&gt;"",OR(NOT(ISNUMBER(E1085)),N(E1085)&lt;0)),"Réglage invalide",IF(AND(F1085&lt;&gt;"",OR(NOT(ISNUMBER(F1085)),N(F1085)&lt;0)),"Temps par pièce invalide",IF(N(E1085)+N(F1085)=0,"Temps manquant",IF(AND(G1085&lt;&gt;"",OR(NOT(ISNUMBER(G1085)),N(G1085)&lt;=0)),"Opérateurs invalide","OK"))))))))))</f>
        <v/>
      </c>
      <c r="N1085" s="71" t="str">
        <f>IF(AND(fiche_sel&lt;&gt;"",A1085=fiche_sel),COUNTIF(A$6:A1085,fiche_sel),"")</f>
        <v/>
      </c>
    </row>
    <row r="1086">
      <c r="A1086" s="60" t="n"/>
      <c r="B1086" s="73" t="n"/>
      <c r="C1086" s="60" t="n"/>
      <c r="D1086" s="61" t="n"/>
      <c r="E1086" s="74" t="n"/>
      <c r="F1086" s="74" t="n"/>
      <c r="G1086" s="73" t="n"/>
      <c r="H1086" s="66" t="str">
        <f>IF(M1086&lt;&gt;"OK","",INDEX(po_mo,MATCH(D1086,po_code,0)))</f>
        <v/>
      </c>
      <c r="I1086" s="66" t="str">
        <f>IF(M1086&lt;&gt;"OK","",INDEX(po_mac,MATCH(D1086,po_code,0)))</f>
        <v/>
      </c>
      <c r="J1086" s="66" t="str">
        <f>IF(M1086&lt;&gt;"OK","",N(E1086)*(H1086*IF(G1086="",1,G1086)+I1086))</f>
        <v/>
      </c>
      <c r="K1086" s="66" t="str">
        <f>IF(M1086&lt;&gt;"OK","",N(F1086)/60*H1086*IF(G1086="",1,G1086))</f>
        <v/>
      </c>
      <c r="L1086" s="66" t="str">
        <f>IF(M1086&lt;&gt;"OK","",N(F1086)/60*I1086)</f>
        <v/>
      </c>
      <c r="M1086" s="69" t="str">
        <f>IF(AND(A1086="",D1086=""),"",IF(A1086="","Produit manquant",IF(COUNTIF(prod_ref,A1086)=0,"Produit inconnu",IF(D1086="","Poste manquant",IF(ISNA(MATCH(D1086,po_code,0)),"Poste inconnu",IF(INDEX(po_check,MATCH(D1086,po_code,0))&lt;&gt;"OK","Poste à corriger",IF(AND(E1086&lt;&gt;"",OR(NOT(ISNUMBER(E1086)),N(E1086)&lt;0)),"Réglage invalide",IF(AND(F1086&lt;&gt;"",OR(NOT(ISNUMBER(F1086)),N(F1086)&lt;0)),"Temps par pièce invalide",IF(N(E1086)+N(F1086)=0,"Temps manquant",IF(AND(G1086&lt;&gt;"",OR(NOT(ISNUMBER(G1086)),N(G1086)&lt;=0)),"Opérateurs invalide","OK"))))))))))</f>
        <v/>
      </c>
      <c r="N1086" s="71" t="str">
        <f>IF(AND(fiche_sel&lt;&gt;"",A1086=fiche_sel),COUNTIF(A$6:A1086,fiche_sel),"")</f>
        <v/>
      </c>
    </row>
    <row r="1087">
      <c r="A1087" s="60" t="n"/>
      <c r="B1087" s="73" t="n"/>
      <c r="C1087" s="60" t="n"/>
      <c r="D1087" s="61" t="n"/>
      <c r="E1087" s="74" t="n"/>
      <c r="F1087" s="74" t="n"/>
      <c r="G1087" s="73" t="n"/>
      <c r="H1087" s="66" t="str">
        <f>IF(M1087&lt;&gt;"OK","",INDEX(po_mo,MATCH(D1087,po_code,0)))</f>
        <v/>
      </c>
      <c r="I1087" s="66" t="str">
        <f>IF(M1087&lt;&gt;"OK","",INDEX(po_mac,MATCH(D1087,po_code,0)))</f>
        <v/>
      </c>
      <c r="J1087" s="66" t="str">
        <f>IF(M1087&lt;&gt;"OK","",N(E1087)*(H1087*IF(G1087="",1,G1087)+I1087))</f>
        <v/>
      </c>
      <c r="K1087" s="66" t="str">
        <f>IF(M1087&lt;&gt;"OK","",N(F1087)/60*H1087*IF(G1087="",1,G1087))</f>
        <v/>
      </c>
      <c r="L1087" s="66" t="str">
        <f>IF(M1087&lt;&gt;"OK","",N(F1087)/60*I1087)</f>
        <v/>
      </c>
      <c r="M1087" s="69" t="str">
        <f>IF(AND(A1087="",D1087=""),"",IF(A1087="","Produit manquant",IF(COUNTIF(prod_ref,A1087)=0,"Produit inconnu",IF(D1087="","Poste manquant",IF(ISNA(MATCH(D1087,po_code,0)),"Poste inconnu",IF(INDEX(po_check,MATCH(D1087,po_code,0))&lt;&gt;"OK","Poste à corriger",IF(AND(E1087&lt;&gt;"",OR(NOT(ISNUMBER(E1087)),N(E1087)&lt;0)),"Réglage invalide",IF(AND(F1087&lt;&gt;"",OR(NOT(ISNUMBER(F1087)),N(F1087)&lt;0)),"Temps par pièce invalide",IF(N(E1087)+N(F1087)=0,"Temps manquant",IF(AND(G1087&lt;&gt;"",OR(NOT(ISNUMBER(G1087)),N(G1087)&lt;=0)),"Opérateurs invalide","OK"))))))))))</f>
        <v/>
      </c>
      <c r="N1087" s="71" t="str">
        <f>IF(AND(fiche_sel&lt;&gt;"",A1087=fiche_sel),COUNTIF(A$6:A1087,fiche_sel),"")</f>
        <v/>
      </c>
    </row>
    <row r="1088">
      <c r="A1088" s="60" t="n"/>
      <c r="B1088" s="73" t="n"/>
      <c r="C1088" s="60" t="n"/>
      <c r="D1088" s="61" t="n"/>
      <c r="E1088" s="74" t="n"/>
      <c r="F1088" s="74" t="n"/>
      <c r="G1088" s="73" t="n"/>
      <c r="H1088" s="66" t="str">
        <f>IF(M1088&lt;&gt;"OK","",INDEX(po_mo,MATCH(D1088,po_code,0)))</f>
        <v/>
      </c>
      <c r="I1088" s="66" t="str">
        <f>IF(M1088&lt;&gt;"OK","",INDEX(po_mac,MATCH(D1088,po_code,0)))</f>
        <v/>
      </c>
      <c r="J1088" s="66" t="str">
        <f>IF(M1088&lt;&gt;"OK","",N(E1088)*(H1088*IF(G1088="",1,G1088)+I1088))</f>
        <v/>
      </c>
      <c r="K1088" s="66" t="str">
        <f>IF(M1088&lt;&gt;"OK","",N(F1088)/60*H1088*IF(G1088="",1,G1088))</f>
        <v/>
      </c>
      <c r="L1088" s="66" t="str">
        <f>IF(M1088&lt;&gt;"OK","",N(F1088)/60*I1088)</f>
        <v/>
      </c>
      <c r="M1088" s="69" t="str">
        <f>IF(AND(A1088="",D1088=""),"",IF(A1088="","Produit manquant",IF(COUNTIF(prod_ref,A1088)=0,"Produit inconnu",IF(D1088="","Poste manquant",IF(ISNA(MATCH(D1088,po_code,0)),"Poste inconnu",IF(INDEX(po_check,MATCH(D1088,po_code,0))&lt;&gt;"OK","Poste à corriger",IF(AND(E1088&lt;&gt;"",OR(NOT(ISNUMBER(E1088)),N(E1088)&lt;0)),"Réglage invalide",IF(AND(F1088&lt;&gt;"",OR(NOT(ISNUMBER(F1088)),N(F1088)&lt;0)),"Temps par pièce invalide",IF(N(E1088)+N(F1088)=0,"Temps manquant",IF(AND(G1088&lt;&gt;"",OR(NOT(ISNUMBER(G1088)),N(G1088)&lt;=0)),"Opérateurs invalide","OK"))))))))))</f>
        <v/>
      </c>
      <c r="N1088" s="71" t="str">
        <f>IF(AND(fiche_sel&lt;&gt;"",A1088=fiche_sel),COUNTIF(A$6:A1088,fiche_sel),"")</f>
        <v/>
      </c>
    </row>
    <row r="1089">
      <c r="A1089" s="60" t="n"/>
      <c r="B1089" s="73" t="n"/>
      <c r="C1089" s="60" t="n"/>
      <c r="D1089" s="61" t="n"/>
      <c r="E1089" s="74" t="n"/>
      <c r="F1089" s="74" t="n"/>
      <c r="G1089" s="73" t="n"/>
      <c r="H1089" s="66" t="str">
        <f>IF(M1089&lt;&gt;"OK","",INDEX(po_mo,MATCH(D1089,po_code,0)))</f>
        <v/>
      </c>
      <c r="I1089" s="66" t="str">
        <f>IF(M1089&lt;&gt;"OK","",INDEX(po_mac,MATCH(D1089,po_code,0)))</f>
        <v/>
      </c>
      <c r="J1089" s="66" t="str">
        <f>IF(M1089&lt;&gt;"OK","",N(E1089)*(H1089*IF(G1089="",1,G1089)+I1089))</f>
        <v/>
      </c>
      <c r="K1089" s="66" t="str">
        <f>IF(M1089&lt;&gt;"OK","",N(F1089)/60*H1089*IF(G1089="",1,G1089))</f>
        <v/>
      </c>
      <c r="L1089" s="66" t="str">
        <f>IF(M1089&lt;&gt;"OK","",N(F1089)/60*I1089)</f>
        <v/>
      </c>
      <c r="M1089" s="69" t="str">
        <f>IF(AND(A1089="",D1089=""),"",IF(A1089="","Produit manquant",IF(COUNTIF(prod_ref,A1089)=0,"Produit inconnu",IF(D1089="","Poste manquant",IF(ISNA(MATCH(D1089,po_code,0)),"Poste inconnu",IF(INDEX(po_check,MATCH(D1089,po_code,0))&lt;&gt;"OK","Poste à corriger",IF(AND(E1089&lt;&gt;"",OR(NOT(ISNUMBER(E1089)),N(E1089)&lt;0)),"Réglage invalide",IF(AND(F1089&lt;&gt;"",OR(NOT(ISNUMBER(F1089)),N(F1089)&lt;0)),"Temps par pièce invalide",IF(N(E1089)+N(F1089)=0,"Temps manquant",IF(AND(G1089&lt;&gt;"",OR(NOT(ISNUMBER(G1089)),N(G1089)&lt;=0)),"Opérateurs invalide","OK"))))))))))</f>
        <v/>
      </c>
      <c r="N1089" s="71" t="str">
        <f>IF(AND(fiche_sel&lt;&gt;"",A1089=fiche_sel),COUNTIF(A$6:A1089,fiche_sel),"")</f>
        <v/>
      </c>
    </row>
    <row r="1090">
      <c r="A1090" s="60" t="n"/>
      <c r="B1090" s="73" t="n"/>
      <c r="C1090" s="60" t="n"/>
      <c r="D1090" s="61" t="n"/>
      <c r="E1090" s="74" t="n"/>
      <c r="F1090" s="74" t="n"/>
      <c r="G1090" s="73" t="n"/>
      <c r="H1090" s="66" t="str">
        <f>IF(M1090&lt;&gt;"OK","",INDEX(po_mo,MATCH(D1090,po_code,0)))</f>
        <v/>
      </c>
      <c r="I1090" s="66" t="str">
        <f>IF(M1090&lt;&gt;"OK","",INDEX(po_mac,MATCH(D1090,po_code,0)))</f>
        <v/>
      </c>
      <c r="J1090" s="66" t="str">
        <f>IF(M1090&lt;&gt;"OK","",N(E1090)*(H1090*IF(G1090="",1,G1090)+I1090))</f>
        <v/>
      </c>
      <c r="K1090" s="66" t="str">
        <f>IF(M1090&lt;&gt;"OK","",N(F1090)/60*H1090*IF(G1090="",1,G1090))</f>
        <v/>
      </c>
      <c r="L1090" s="66" t="str">
        <f>IF(M1090&lt;&gt;"OK","",N(F1090)/60*I1090)</f>
        <v/>
      </c>
      <c r="M1090" s="69" t="str">
        <f>IF(AND(A1090="",D1090=""),"",IF(A1090="","Produit manquant",IF(COUNTIF(prod_ref,A1090)=0,"Produit inconnu",IF(D1090="","Poste manquant",IF(ISNA(MATCH(D1090,po_code,0)),"Poste inconnu",IF(INDEX(po_check,MATCH(D1090,po_code,0))&lt;&gt;"OK","Poste à corriger",IF(AND(E1090&lt;&gt;"",OR(NOT(ISNUMBER(E1090)),N(E1090)&lt;0)),"Réglage invalide",IF(AND(F1090&lt;&gt;"",OR(NOT(ISNUMBER(F1090)),N(F1090)&lt;0)),"Temps par pièce invalide",IF(N(E1090)+N(F1090)=0,"Temps manquant",IF(AND(G1090&lt;&gt;"",OR(NOT(ISNUMBER(G1090)),N(G1090)&lt;=0)),"Opérateurs invalide","OK"))))))))))</f>
        <v/>
      </c>
      <c r="N1090" s="71" t="str">
        <f>IF(AND(fiche_sel&lt;&gt;"",A1090=fiche_sel),COUNTIF(A$6:A1090,fiche_sel),"")</f>
        <v/>
      </c>
    </row>
    <row r="1091">
      <c r="A1091" s="60" t="n"/>
      <c r="B1091" s="73" t="n"/>
      <c r="C1091" s="60" t="n"/>
      <c r="D1091" s="61" t="n"/>
      <c r="E1091" s="74" t="n"/>
      <c r="F1091" s="74" t="n"/>
      <c r="G1091" s="73" t="n"/>
      <c r="H1091" s="66" t="str">
        <f>IF(M1091&lt;&gt;"OK","",INDEX(po_mo,MATCH(D1091,po_code,0)))</f>
        <v/>
      </c>
      <c r="I1091" s="66" t="str">
        <f>IF(M1091&lt;&gt;"OK","",INDEX(po_mac,MATCH(D1091,po_code,0)))</f>
        <v/>
      </c>
      <c r="J1091" s="66" t="str">
        <f>IF(M1091&lt;&gt;"OK","",N(E1091)*(H1091*IF(G1091="",1,G1091)+I1091))</f>
        <v/>
      </c>
      <c r="K1091" s="66" t="str">
        <f>IF(M1091&lt;&gt;"OK","",N(F1091)/60*H1091*IF(G1091="",1,G1091))</f>
        <v/>
      </c>
      <c r="L1091" s="66" t="str">
        <f>IF(M1091&lt;&gt;"OK","",N(F1091)/60*I1091)</f>
        <v/>
      </c>
      <c r="M1091" s="69" t="str">
        <f>IF(AND(A1091="",D1091=""),"",IF(A1091="","Produit manquant",IF(COUNTIF(prod_ref,A1091)=0,"Produit inconnu",IF(D1091="","Poste manquant",IF(ISNA(MATCH(D1091,po_code,0)),"Poste inconnu",IF(INDEX(po_check,MATCH(D1091,po_code,0))&lt;&gt;"OK","Poste à corriger",IF(AND(E1091&lt;&gt;"",OR(NOT(ISNUMBER(E1091)),N(E1091)&lt;0)),"Réglage invalide",IF(AND(F1091&lt;&gt;"",OR(NOT(ISNUMBER(F1091)),N(F1091)&lt;0)),"Temps par pièce invalide",IF(N(E1091)+N(F1091)=0,"Temps manquant",IF(AND(G1091&lt;&gt;"",OR(NOT(ISNUMBER(G1091)),N(G1091)&lt;=0)),"Opérateurs invalide","OK"))))))))))</f>
        <v/>
      </c>
      <c r="N1091" s="71" t="str">
        <f>IF(AND(fiche_sel&lt;&gt;"",A1091=fiche_sel),COUNTIF(A$6:A1091,fiche_sel),"")</f>
        <v/>
      </c>
    </row>
    <row r="1092">
      <c r="A1092" s="60" t="n"/>
      <c r="B1092" s="73" t="n"/>
      <c r="C1092" s="60" t="n"/>
      <c r="D1092" s="61" t="n"/>
      <c r="E1092" s="74" t="n"/>
      <c r="F1092" s="74" t="n"/>
      <c r="G1092" s="73" t="n"/>
      <c r="H1092" s="66" t="str">
        <f>IF(M1092&lt;&gt;"OK","",INDEX(po_mo,MATCH(D1092,po_code,0)))</f>
        <v/>
      </c>
      <c r="I1092" s="66" t="str">
        <f>IF(M1092&lt;&gt;"OK","",INDEX(po_mac,MATCH(D1092,po_code,0)))</f>
        <v/>
      </c>
      <c r="J1092" s="66" t="str">
        <f>IF(M1092&lt;&gt;"OK","",N(E1092)*(H1092*IF(G1092="",1,G1092)+I1092))</f>
        <v/>
      </c>
      <c r="K1092" s="66" t="str">
        <f>IF(M1092&lt;&gt;"OK","",N(F1092)/60*H1092*IF(G1092="",1,G1092))</f>
        <v/>
      </c>
      <c r="L1092" s="66" t="str">
        <f>IF(M1092&lt;&gt;"OK","",N(F1092)/60*I1092)</f>
        <v/>
      </c>
      <c r="M1092" s="69" t="str">
        <f>IF(AND(A1092="",D1092=""),"",IF(A1092="","Produit manquant",IF(COUNTIF(prod_ref,A1092)=0,"Produit inconnu",IF(D1092="","Poste manquant",IF(ISNA(MATCH(D1092,po_code,0)),"Poste inconnu",IF(INDEX(po_check,MATCH(D1092,po_code,0))&lt;&gt;"OK","Poste à corriger",IF(AND(E1092&lt;&gt;"",OR(NOT(ISNUMBER(E1092)),N(E1092)&lt;0)),"Réglage invalide",IF(AND(F1092&lt;&gt;"",OR(NOT(ISNUMBER(F1092)),N(F1092)&lt;0)),"Temps par pièce invalide",IF(N(E1092)+N(F1092)=0,"Temps manquant",IF(AND(G1092&lt;&gt;"",OR(NOT(ISNUMBER(G1092)),N(G1092)&lt;=0)),"Opérateurs invalide","OK"))))))))))</f>
        <v/>
      </c>
      <c r="N1092" s="71" t="str">
        <f>IF(AND(fiche_sel&lt;&gt;"",A1092=fiche_sel),COUNTIF(A$6:A1092,fiche_sel),"")</f>
        <v/>
      </c>
    </row>
    <row r="1093">
      <c r="A1093" s="60" t="n"/>
      <c r="B1093" s="73" t="n"/>
      <c r="C1093" s="60" t="n"/>
      <c r="D1093" s="61" t="n"/>
      <c r="E1093" s="74" t="n"/>
      <c r="F1093" s="74" t="n"/>
      <c r="G1093" s="73" t="n"/>
      <c r="H1093" s="66" t="str">
        <f>IF(M1093&lt;&gt;"OK","",INDEX(po_mo,MATCH(D1093,po_code,0)))</f>
        <v/>
      </c>
      <c r="I1093" s="66" t="str">
        <f>IF(M1093&lt;&gt;"OK","",INDEX(po_mac,MATCH(D1093,po_code,0)))</f>
        <v/>
      </c>
      <c r="J1093" s="66" t="str">
        <f>IF(M1093&lt;&gt;"OK","",N(E1093)*(H1093*IF(G1093="",1,G1093)+I1093))</f>
        <v/>
      </c>
      <c r="K1093" s="66" t="str">
        <f>IF(M1093&lt;&gt;"OK","",N(F1093)/60*H1093*IF(G1093="",1,G1093))</f>
        <v/>
      </c>
      <c r="L1093" s="66" t="str">
        <f>IF(M1093&lt;&gt;"OK","",N(F1093)/60*I1093)</f>
        <v/>
      </c>
      <c r="M1093" s="69" t="str">
        <f>IF(AND(A1093="",D1093=""),"",IF(A1093="","Produit manquant",IF(COUNTIF(prod_ref,A1093)=0,"Produit inconnu",IF(D1093="","Poste manquant",IF(ISNA(MATCH(D1093,po_code,0)),"Poste inconnu",IF(INDEX(po_check,MATCH(D1093,po_code,0))&lt;&gt;"OK","Poste à corriger",IF(AND(E1093&lt;&gt;"",OR(NOT(ISNUMBER(E1093)),N(E1093)&lt;0)),"Réglage invalide",IF(AND(F1093&lt;&gt;"",OR(NOT(ISNUMBER(F1093)),N(F1093)&lt;0)),"Temps par pièce invalide",IF(N(E1093)+N(F1093)=0,"Temps manquant",IF(AND(G1093&lt;&gt;"",OR(NOT(ISNUMBER(G1093)),N(G1093)&lt;=0)),"Opérateurs invalide","OK"))))))))))</f>
        <v/>
      </c>
      <c r="N1093" s="71" t="str">
        <f>IF(AND(fiche_sel&lt;&gt;"",A1093=fiche_sel),COUNTIF(A$6:A1093,fiche_sel),"")</f>
        <v/>
      </c>
    </row>
    <row r="1094">
      <c r="A1094" s="60" t="n"/>
      <c r="B1094" s="73" t="n"/>
      <c r="C1094" s="60" t="n"/>
      <c r="D1094" s="61" t="n"/>
      <c r="E1094" s="74" t="n"/>
      <c r="F1094" s="74" t="n"/>
      <c r="G1094" s="73" t="n"/>
      <c r="H1094" s="66" t="str">
        <f>IF(M1094&lt;&gt;"OK","",INDEX(po_mo,MATCH(D1094,po_code,0)))</f>
        <v/>
      </c>
      <c r="I1094" s="66" t="str">
        <f>IF(M1094&lt;&gt;"OK","",INDEX(po_mac,MATCH(D1094,po_code,0)))</f>
        <v/>
      </c>
      <c r="J1094" s="66" t="str">
        <f>IF(M1094&lt;&gt;"OK","",N(E1094)*(H1094*IF(G1094="",1,G1094)+I1094))</f>
        <v/>
      </c>
      <c r="K1094" s="66" t="str">
        <f>IF(M1094&lt;&gt;"OK","",N(F1094)/60*H1094*IF(G1094="",1,G1094))</f>
        <v/>
      </c>
      <c r="L1094" s="66" t="str">
        <f>IF(M1094&lt;&gt;"OK","",N(F1094)/60*I1094)</f>
        <v/>
      </c>
      <c r="M1094" s="69" t="str">
        <f>IF(AND(A1094="",D1094=""),"",IF(A1094="","Produit manquant",IF(COUNTIF(prod_ref,A1094)=0,"Produit inconnu",IF(D1094="","Poste manquant",IF(ISNA(MATCH(D1094,po_code,0)),"Poste inconnu",IF(INDEX(po_check,MATCH(D1094,po_code,0))&lt;&gt;"OK","Poste à corriger",IF(AND(E1094&lt;&gt;"",OR(NOT(ISNUMBER(E1094)),N(E1094)&lt;0)),"Réglage invalide",IF(AND(F1094&lt;&gt;"",OR(NOT(ISNUMBER(F1094)),N(F1094)&lt;0)),"Temps par pièce invalide",IF(N(E1094)+N(F1094)=0,"Temps manquant",IF(AND(G1094&lt;&gt;"",OR(NOT(ISNUMBER(G1094)),N(G1094)&lt;=0)),"Opérateurs invalide","OK"))))))))))</f>
        <v/>
      </c>
      <c r="N1094" s="71" t="str">
        <f>IF(AND(fiche_sel&lt;&gt;"",A1094=fiche_sel),COUNTIF(A$6:A1094,fiche_sel),"")</f>
        <v/>
      </c>
    </row>
    <row r="1095">
      <c r="A1095" s="60" t="n"/>
      <c r="B1095" s="73" t="n"/>
      <c r="C1095" s="60" t="n"/>
      <c r="D1095" s="61" t="n"/>
      <c r="E1095" s="74" t="n"/>
      <c r="F1095" s="74" t="n"/>
      <c r="G1095" s="73" t="n"/>
      <c r="H1095" s="66" t="str">
        <f>IF(M1095&lt;&gt;"OK","",INDEX(po_mo,MATCH(D1095,po_code,0)))</f>
        <v/>
      </c>
      <c r="I1095" s="66" t="str">
        <f>IF(M1095&lt;&gt;"OK","",INDEX(po_mac,MATCH(D1095,po_code,0)))</f>
        <v/>
      </c>
      <c r="J1095" s="66" t="str">
        <f>IF(M1095&lt;&gt;"OK","",N(E1095)*(H1095*IF(G1095="",1,G1095)+I1095))</f>
        <v/>
      </c>
      <c r="K1095" s="66" t="str">
        <f>IF(M1095&lt;&gt;"OK","",N(F1095)/60*H1095*IF(G1095="",1,G1095))</f>
        <v/>
      </c>
      <c r="L1095" s="66" t="str">
        <f>IF(M1095&lt;&gt;"OK","",N(F1095)/60*I1095)</f>
        <v/>
      </c>
      <c r="M1095" s="69" t="str">
        <f>IF(AND(A1095="",D1095=""),"",IF(A1095="","Produit manquant",IF(COUNTIF(prod_ref,A1095)=0,"Produit inconnu",IF(D1095="","Poste manquant",IF(ISNA(MATCH(D1095,po_code,0)),"Poste inconnu",IF(INDEX(po_check,MATCH(D1095,po_code,0))&lt;&gt;"OK","Poste à corriger",IF(AND(E1095&lt;&gt;"",OR(NOT(ISNUMBER(E1095)),N(E1095)&lt;0)),"Réglage invalide",IF(AND(F1095&lt;&gt;"",OR(NOT(ISNUMBER(F1095)),N(F1095)&lt;0)),"Temps par pièce invalide",IF(N(E1095)+N(F1095)=0,"Temps manquant",IF(AND(G1095&lt;&gt;"",OR(NOT(ISNUMBER(G1095)),N(G1095)&lt;=0)),"Opérateurs invalide","OK"))))))))))</f>
        <v/>
      </c>
      <c r="N1095" s="71" t="str">
        <f>IF(AND(fiche_sel&lt;&gt;"",A1095=fiche_sel),COUNTIF(A$6:A1095,fiche_sel),"")</f>
        <v/>
      </c>
    </row>
    <row r="1096">
      <c r="A1096" s="60" t="n"/>
      <c r="B1096" s="73" t="n"/>
      <c r="C1096" s="60" t="n"/>
      <c r="D1096" s="61" t="n"/>
      <c r="E1096" s="74" t="n"/>
      <c r="F1096" s="74" t="n"/>
      <c r="G1096" s="73" t="n"/>
      <c r="H1096" s="66" t="str">
        <f>IF(M1096&lt;&gt;"OK","",INDEX(po_mo,MATCH(D1096,po_code,0)))</f>
        <v/>
      </c>
      <c r="I1096" s="66" t="str">
        <f>IF(M1096&lt;&gt;"OK","",INDEX(po_mac,MATCH(D1096,po_code,0)))</f>
        <v/>
      </c>
      <c r="J1096" s="66" t="str">
        <f>IF(M1096&lt;&gt;"OK","",N(E1096)*(H1096*IF(G1096="",1,G1096)+I1096))</f>
        <v/>
      </c>
      <c r="K1096" s="66" t="str">
        <f>IF(M1096&lt;&gt;"OK","",N(F1096)/60*H1096*IF(G1096="",1,G1096))</f>
        <v/>
      </c>
      <c r="L1096" s="66" t="str">
        <f>IF(M1096&lt;&gt;"OK","",N(F1096)/60*I1096)</f>
        <v/>
      </c>
      <c r="M1096" s="69" t="str">
        <f>IF(AND(A1096="",D1096=""),"",IF(A1096="","Produit manquant",IF(COUNTIF(prod_ref,A1096)=0,"Produit inconnu",IF(D1096="","Poste manquant",IF(ISNA(MATCH(D1096,po_code,0)),"Poste inconnu",IF(INDEX(po_check,MATCH(D1096,po_code,0))&lt;&gt;"OK","Poste à corriger",IF(AND(E1096&lt;&gt;"",OR(NOT(ISNUMBER(E1096)),N(E1096)&lt;0)),"Réglage invalide",IF(AND(F1096&lt;&gt;"",OR(NOT(ISNUMBER(F1096)),N(F1096)&lt;0)),"Temps par pièce invalide",IF(N(E1096)+N(F1096)=0,"Temps manquant",IF(AND(G1096&lt;&gt;"",OR(NOT(ISNUMBER(G1096)),N(G1096)&lt;=0)),"Opérateurs invalide","OK"))))))))))</f>
        <v/>
      </c>
      <c r="N1096" s="71" t="str">
        <f>IF(AND(fiche_sel&lt;&gt;"",A1096=fiche_sel),COUNTIF(A$6:A1096,fiche_sel),"")</f>
        <v/>
      </c>
    </row>
    <row r="1097">
      <c r="A1097" s="60" t="n"/>
      <c r="B1097" s="73" t="n"/>
      <c r="C1097" s="60" t="n"/>
      <c r="D1097" s="61" t="n"/>
      <c r="E1097" s="74" t="n"/>
      <c r="F1097" s="74" t="n"/>
      <c r="G1097" s="73" t="n"/>
      <c r="H1097" s="66" t="str">
        <f>IF(M1097&lt;&gt;"OK","",INDEX(po_mo,MATCH(D1097,po_code,0)))</f>
        <v/>
      </c>
      <c r="I1097" s="66" t="str">
        <f>IF(M1097&lt;&gt;"OK","",INDEX(po_mac,MATCH(D1097,po_code,0)))</f>
        <v/>
      </c>
      <c r="J1097" s="66" t="str">
        <f>IF(M1097&lt;&gt;"OK","",N(E1097)*(H1097*IF(G1097="",1,G1097)+I1097))</f>
        <v/>
      </c>
      <c r="K1097" s="66" t="str">
        <f>IF(M1097&lt;&gt;"OK","",N(F1097)/60*H1097*IF(G1097="",1,G1097))</f>
        <v/>
      </c>
      <c r="L1097" s="66" t="str">
        <f>IF(M1097&lt;&gt;"OK","",N(F1097)/60*I1097)</f>
        <v/>
      </c>
      <c r="M1097" s="69" t="str">
        <f>IF(AND(A1097="",D1097=""),"",IF(A1097="","Produit manquant",IF(COUNTIF(prod_ref,A1097)=0,"Produit inconnu",IF(D1097="","Poste manquant",IF(ISNA(MATCH(D1097,po_code,0)),"Poste inconnu",IF(INDEX(po_check,MATCH(D1097,po_code,0))&lt;&gt;"OK","Poste à corriger",IF(AND(E1097&lt;&gt;"",OR(NOT(ISNUMBER(E1097)),N(E1097)&lt;0)),"Réglage invalide",IF(AND(F1097&lt;&gt;"",OR(NOT(ISNUMBER(F1097)),N(F1097)&lt;0)),"Temps par pièce invalide",IF(N(E1097)+N(F1097)=0,"Temps manquant",IF(AND(G1097&lt;&gt;"",OR(NOT(ISNUMBER(G1097)),N(G1097)&lt;=0)),"Opérateurs invalide","OK"))))))))))</f>
        <v/>
      </c>
      <c r="N1097" s="71" t="str">
        <f>IF(AND(fiche_sel&lt;&gt;"",A1097=fiche_sel),COUNTIF(A$6:A1097,fiche_sel),"")</f>
        <v/>
      </c>
    </row>
    <row r="1098">
      <c r="A1098" s="60" t="n"/>
      <c r="B1098" s="73" t="n"/>
      <c r="C1098" s="60" t="n"/>
      <c r="D1098" s="61" t="n"/>
      <c r="E1098" s="74" t="n"/>
      <c r="F1098" s="74" t="n"/>
      <c r="G1098" s="73" t="n"/>
      <c r="H1098" s="66" t="str">
        <f>IF(M1098&lt;&gt;"OK","",INDEX(po_mo,MATCH(D1098,po_code,0)))</f>
        <v/>
      </c>
      <c r="I1098" s="66" t="str">
        <f>IF(M1098&lt;&gt;"OK","",INDEX(po_mac,MATCH(D1098,po_code,0)))</f>
        <v/>
      </c>
      <c r="J1098" s="66" t="str">
        <f>IF(M1098&lt;&gt;"OK","",N(E1098)*(H1098*IF(G1098="",1,G1098)+I1098))</f>
        <v/>
      </c>
      <c r="K1098" s="66" t="str">
        <f>IF(M1098&lt;&gt;"OK","",N(F1098)/60*H1098*IF(G1098="",1,G1098))</f>
        <v/>
      </c>
      <c r="L1098" s="66" t="str">
        <f>IF(M1098&lt;&gt;"OK","",N(F1098)/60*I1098)</f>
        <v/>
      </c>
      <c r="M1098" s="69" t="str">
        <f>IF(AND(A1098="",D1098=""),"",IF(A1098="","Produit manquant",IF(COUNTIF(prod_ref,A1098)=0,"Produit inconnu",IF(D1098="","Poste manquant",IF(ISNA(MATCH(D1098,po_code,0)),"Poste inconnu",IF(INDEX(po_check,MATCH(D1098,po_code,0))&lt;&gt;"OK","Poste à corriger",IF(AND(E1098&lt;&gt;"",OR(NOT(ISNUMBER(E1098)),N(E1098)&lt;0)),"Réglage invalide",IF(AND(F1098&lt;&gt;"",OR(NOT(ISNUMBER(F1098)),N(F1098)&lt;0)),"Temps par pièce invalide",IF(N(E1098)+N(F1098)=0,"Temps manquant",IF(AND(G1098&lt;&gt;"",OR(NOT(ISNUMBER(G1098)),N(G1098)&lt;=0)),"Opérateurs invalide","OK"))))))))))</f>
        <v/>
      </c>
      <c r="N1098" s="71" t="str">
        <f>IF(AND(fiche_sel&lt;&gt;"",A1098=fiche_sel),COUNTIF(A$6:A1098,fiche_sel),"")</f>
        <v/>
      </c>
    </row>
    <row r="1099">
      <c r="A1099" s="60" t="n"/>
      <c r="B1099" s="73" t="n"/>
      <c r="C1099" s="60" t="n"/>
      <c r="D1099" s="61" t="n"/>
      <c r="E1099" s="74" t="n"/>
      <c r="F1099" s="74" t="n"/>
      <c r="G1099" s="73" t="n"/>
      <c r="H1099" s="66" t="str">
        <f>IF(M1099&lt;&gt;"OK","",INDEX(po_mo,MATCH(D1099,po_code,0)))</f>
        <v/>
      </c>
      <c r="I1099" s="66" t="str">
        <f>IF(M1099&lt;&gt;"OK","",INDEX(po_mac,MATCH(D1099,po_code,0)))</f>
        <v/>
      </c>
      <c r="J1099" s="66" t="str">
        <f>IF(M1099&lt;&gt;"OK","",N(E1099)*(H1099*IF(G1099="",1,G1099)+I1099))</f>
        <v/>
      </c>
      <c r="K1099" s="66" t="str">
        <f>IF(M1099&lt;&gt;"OK","",N(F1099)/60*H1099*IF(G1099="",1,G1099))</f>
        <v/>
      </c>
      <c r="L1099" s="66" t="str">
        <f>IF(M1099&lt;&gt;"OK","",N(F1099)/60*I1099)</f>
        <v/>
      </c>
      <c r="M1099" s="69" t="str">
        <f>IF(AND(A1099="",D1099=""),"",IF(A1099="","Produit manquant",IF(COUNTIF(prod_ref,A1099)=0,"Produit inconnu",IF(D1099="","Poste manquant",IF(ISNA(MATCH(D1099,po_code,0)),"Poste inconnu",IF(INDEX(po_check,MATCH(D1099,po_code,0))&lt;&gt;"OK","Poste à corriger",IF(AND(E1099&lt;&gt;"",OR(NOT(ISNUMBER(E1099)),N(E1099)&lt;0)),"Réglage invalide",IF(AND(F1099&lt;&gt;"",OR(NOT(ISNUMBER(F1099)),N(F1099)&lt;0)),"Temps par pièce invalide",IF(N(E1099)+N(F1099)=0,"Temps manquant",IF(AND(G1099&lt;&gt;"",OR(NOT(ISNUMBER(G1099)),N(G1099)&lt;=0)),"Opérateurs invalide","OK"))))))))))</f>
        <v/>
      </c>
      <c r="N1099" s="71" t="str">
        <f>IF(AND(fiche_sel&lt;&gt;"",A1099=fiche_sel),COUNTIF(A$6:A1099,fiche_sel),"")</f>
        <v/>
      </c>
    </row>
    <row r="1100">
      <c r="A1100" s="60" t="n"/>
      <c r="B1100" s="73" t="n"/>
      <c r="C1100" s="60" t="n"/>
      <c r="D1100" s="61" t="n"/>
      <c r="E1100" s="74" t="n"/>
      <c r="F1100" s="74" t="n"/>
      <c r="G1100" s="73" t="n"/>
      <c r="H1100" s="66" t="str">
        <f>IF(M1100&lt;&gt;"OK","",INDEX(po_mo,MATCH(D1100,po_code,0)))</f>
        <v/>
      </c>
      <c r="I1100" s="66" t="str">
        <f>IF(M1100&lt;&gt;"OK","",INDEX(po_mac,MATCH(D1100,po_code,0)))</f>
        <v/>
      </c>
      <c r="J1100" s="66" t="str">
        <f>IF(M1100&lt;&gt;"OK","",N(E1100)*(H1100*IF(G1100="",1,G1100)+I1100))</f>
        <v/>
      </c>
      <c r="K1100" s="66" t="str">
        <f>IF(M1100&lt;&gt;"OK","",N(F1100)/60*H1100*IF(G1100="",1,G1100))</f>
        <v/>
      </c>
      <c r="L1100" s="66" t="str">
        <f>IF(M1100&lt;&gt;"OK","",N(F1100)/60*I1100)</f>
        <v/>
      </c>
      <c r="M1100" s="69" t="str">
        <f>IF(AND(A1100="",D1100=""),"",IF(A1100="","Produit manquant",IF(COUNTIF(prod_ref,A1100)=0,"Produit inconnu",IF(D1100="","Poste manquant",IF(ISNA(MATCH(D1100,po_code,0)),"Poste inconnu",IF(INDEX(po_check,MATCH(D1100,po_code,0))&lt;&gt;"OK","Poste à corriger",IF(AND(E1100&lt;&gt;"",OR(NOT(ISNUMBER(E1100)),N(E1100)&lt;0)),"Réglage invalide",IF(AND(F1100&lt;&gt;"",OR(NOT(ISNUMBER(F1100)),N(F1100)&lt;0)),"Temps par pièce invalide",IF(N(E1100)+N(F1100)=0,"Temps manquant",IF(AND(G1100&lt;&gt;"",OR(NOT(ISNUMBER(G1100)),N(G1100)&lt;=0)),"Opérateurs invalide","OK"))))))))))</f>
        <v/>
      </c>
      <c r="N1100" s="71" t="str">
        <f>IF(AND(fiche_sel&lt;&gt;"",A1100=fiche_sel),COUNTIF(A$6:A1100,fiche_sel),"")</f>
        <v/>
      </c>
    </row>
    <row r="1101">
      <c r="A1101" s="60" t="n"/>
      <c r="B1101" s="73" t="n"/>
      <c r="C1101" s="60" t="n"/>
      <c r="D1101" s="61" t="n"/>
      <c r="E1101" s="74" t="n"/>
      <c r="F1101" s="74" t="n"/>
      <c r="G1101" s="73" t="n"/>
      <c r="H1101" s="66" t="str">
        <f>IF(M1101&lt;&gt;"OK","",INDEX(po_mo,MATCH(D1101,po_code,0)))</f>
        <v/>
      </c>
      <c r="I1101" s="66" t="str">
        <f>IF(M1101&lt;&gt;"OK","",INDEX(po_mac,MATCH(D1101,po_code,0)))</f>
        <v/>
      </c>
      <c r="J1101" s="66" t="str">
        <f>IF(M1101&lt;&gt;"OK","",N(E1101)*(H1101*IF(G1101="",1,G1101)+I1101))</f>
        <v/>
      </c>
      <c r="K1101" s="66" t="str">
        <f>IF(M1101&lt;&gt;"OK","",N(F1101)/60*H1101*IF(G1101="",1,G1101))</f>
        <v/>
      </c>
      <c r="L1101" s="66" t="str">
        <f>IF(M1101&lt;&gt;"OK","",N(F1101)/60*I1101)</f>
        <v/>
      </c>
      <c r="M1101" s="69" t="str">
        <f>IF(AND(A1101="",D1101=""),"",IF(A1101="","Produit manquant",IF(COUNTIF(prod_ref,A1101)=0,"Produit inconnu",IF(D1101="","Poste manquant",IF(ISNA(MATCH(D1101,po_code,0)),"Poste inconnu",IF(INDEX(po_check,MATCH(D1101,po_code,0))&lt;&gt;"OK","Poste à corriger",IF(AND(E1101&lt;&gt;"",OR(NOT(ISNUMBER(E1101)),N(E1101)&lt;0)),"Réglage invalide",IF(AND(F1101&lt;&gt;"",OR(NOT(ISNUMBER(F1101)),N(F1101)&lt;0)),"Temps par pièce invalide",IF(N(E1101)+N(F1101)=0,"Temps manquant",IF(AND(G1101&lt;&gt;"",OR(NOT(ISNUMBER(G1101)),N(G1101)&lt;=0)),"Opérateurs invalide","OK"))))))))))</f>
        <v/>
      </c>
      <c r="N1101" s="71" t="str">
        <f>IF(AND(fiche_sel&lt;&gt;"",A1101=fiche_sel),COUNTIF(A$6:A1101,fiche_sel),"")</f>
        <v/>
      </c>
    </row>
    <row r="1102">
      <c r="A1102" s="60" t="n"/>
      <c r="B1102" s="73" t="n"/>
      <c r="C1102" s="60" t="n"/>
      <c r="D1102" s="61" t="n"/>
      <c r="E1102" s="74" t="n"/>
      <c r="F1102" s="74" t="n"/>
      <c r="G1102" s="73" t="n"/>
      <c r="H1102" s="66" t="str">
        <f>IF(M1102&lt;&gt;"OK","",INDEX(po_mo,MATCH(D1102,po_code,0)))</f>
        <v/>
      </c>
      <c r="I1102" s="66" t="str">
        <f>IF(M1102&lt;&gt;"OK","",INDEX(po_mac,MATCH(D1102,po_code,0)))</f>
        <v/>
      </c>
      <c r="J1102" s="66" t="str">
        <f>IF(M1102&lt;&gt;"OK","",N(E1102)*(H1102*IF(G1102="",1,G1102)+I1102))</f>
        <v/>
      </c>
      <c r="K1102" s="66" t="str">
        <f>IF(M1102&lt;&gt;"OK","",N(F1102)/60*H1102*IF(G1102="",1,G1102))</f>
        <v/>
      </c>
      <c r="L1102" s="66" t="str">
        <f>IF(M1102&lt;&gt;"OK","",N(F1102)/60*I1102)</f>
        <v/>
      </c>
      <c r="M1102" s="69" t="str">
        <f>IF(AND(A1102="",D1102=""),"",IF(A1102="","Produit manquant",IF(COUNTIF(prod_ref,A1102)=0,"Produit inconnu",IF(D1102="","Poste manquant",IF(ISNA(MATCH(D1102,po_code,0)),"Poste inconnu",IF(INDEX(po_check,MATCH(D1102,po_code,0))&lt;&gt;"OK","Poste à corriger",IF(AND(E1102&lt;&gt;"",OR(NOT(ISNUMBER(E1102)),N(E1102)&lt;0)),"Réglage invalide",IF(AND(F1102&lt;&gt;"",OR(NOT(ISNUMBER(F1102)),N(F1102)&lt;0)),"Temps par pièce invalide",IF(N(E1102)+N(F1102)=0,"Temps manquant",IF(AND(G1102&lt;&gt;"",OR(NOT(ISNUMBER(G1102)),N(G1102)&lt;=0)),"Opérateurs invalide","OK"))))))))))</f>
        <v/>
      </c>
      <c r="N1102" s="71" t="str">
        <f>IF(AND(fiche_sel&lt;&gt;"",A1102=fiche_sel),COUNTIF(A$6:A1102,fiche_sel),"")</f>
        <v/>
      </c>
    </row>
    <row r="1103">
      <c r="A1103" s="60" t="n"/>
      <c r="B1103" s="73" t="n"/>
      <c r="C1103" s="60" t="n"/>
      <c r="D1103" s="61" t="n"/>
      <c r="E1103" s="74" t="n"/>
      <c r="F1103" s="74" t="n"/>
      <c r="G1103" s="73" t="n"/>
      <c r="H1103" s="66" t="str">
        <f>IF(M1103&lt;&gt;"OK","",INDEX(po_mo,MATCH(D1103,po_code,0)))</f>
        <v/>
      </c>
      <c r="I1103" s="66" t="str">
        <f>IF(M1103&lt;&gt;"OK","",INDEX(po_mac,MATCH(D1103,po_code,0)))</f>
        <v/>
      </c>
      <c r="J1103" s="66" t="str">
        <f>IF(M1103&lt;&gt;"OK","",N(E1103)*(H1103*IF(G1103="",1,G1103)+I1103))</f>
        <v/>
      </c>
      <c r="K1103" s="66" t="str">
        <f>IF(M1103&lt;&gt;"OK","",N(F1103)/60*H1103*IF(G1103="",1,G1103))</f>
        <v/>
      </c>
      <c r="L1103" s="66" t="str">
        <f>IF(M1103&lt;&gt;"OK","",N(F1103)/60*I1103)</f>
        <v/>
      </c>
      <c r="M1103" s="69" t="str">
        <f>IF(AND(A1103="",D1103=""),"",IF(A1103="","Produit manquant",IF(COUNTIF(prod_ref,A1103)=0,"Produit inconnu",IF(D1103="","Poste manquant",IF(ISNA(MATCH(D1103,po_code,0)),"Poste inconnu",IF(INDEX(po_check,MATCH(D1103,po_code,0))&lt;&gt;"OK","Poste à corriger",IF(AND(E1103&lt;&gt;"",OR(NOT(ISNUMBER(E1103)),N(E1103)&lt;0)),"Réglage invalide",IF(AND(F1103&lt;&gt;"",OR(NOT(ISNUMBER(F1103)),N(F1103)&lt;0)),"Temps par pièce invalide",IF(N(E1103)+N(F1103)=0,"Temps manquant",IF(AND(G1103&lt;&gt;"",OR(NOT(ISNUMBER(G1103)),N(G1103)&lt;=0)),"Opérateurs invalide","OK"))))))))))</f>
        <v/>
      </c>
      <c r="N1103" s="71" t="str">
        <f>IF(AND(fiche_sel&lt;&gt;"",A1103=fiche_sel),COUNTIF(A$6:A1103,fiche_sel),"")</f>
        <v/>
      </c>
    </row>
    <row r="1104">
      <c r="A1104" s="60" t="n"/>
      <c r="B1104" s="73" t="n"/>
      <c r="C1104" s="60" t="n"/>
      <c r="D1104" s="61" t="n"/>
      <c r="E1104" s="74" t="n"/>
      <c r="F1104" s="74" t="n"/>
      <c r="G1104" s="73" t="n"/>
      <c r="H1104" s="66" t="str">
        <f>IF(M1104&lt;&gt;"OK","",INDEX(po_mo,MATCH(D1104,po_code,0)))</f>
        <v/>
      </c>
      <c r="I1104" s="66" t="str">
        <f>IF(M1104&lt;&gt;"OK","",INDEX(po_mac,MATCH(D1104,po_code,0)))</f>
        <v/>
      </c>
      <c r="J1104" s="66" t="str">
        <f>IF(M1104&lt;&gt;"OK","",N(E1104)*(H1104*IF(G1104="",1,G1104)+I1104))</f>
        <v/>
      </c>
      <c r="K1104" s="66" t="str">
        <f>IF(M1104&lt;&gt;"OK","",N(F1104)/60*H1104*IF(G1104="",1,G1104))</f>
        <v/>
      </c>
      <c r="L1104" s="66" t="str">
        <f>IF(M1104&lt;&gt;"OK","",N(F1104)/60*I1104)</f>
        <v/>
      </c>
      <c r="M1104" s="69" t="str">
        <f>IF(AND(A1104="",D1104=""),"",IF(A1104="","Produit manquant",IF(COUNTIF(prod_ref,A1104)=0,"Produit inconnu",IF(D1104="","Poste manquant",IF(ISNA(MATCH(D1104,po_code,0)),"Poste inconnu",IF(INDEX(po_check,MATCH(D1104,po_code,0))&lt;&gt;"OK","Poste à corriger",IF(AND(E1104&lt;&gt;"",OR(NOT(ISNUMBER(E1104)),N(E1104)&lt;0)),"Réglage invalide",IF(AND(F1104&lt;&gt;"",OR(NOT(ISNUMBER(F1104)),N(F1104)&lt;0)),"Temps par pièce invalide",IF(N(E1104)+N(F1104)=0,"Temps manquant",IF(AND(G1104&lt;&gt;"",OR(NOT(ISNUMBER(G1104)),N(G1104)&lt;=0)),"Opérateurs invalide","OK"))))))))))</f>
        <v/>
      </c>
      <c r="N1104" s="71" t="str">
        <f>IF(AND(fiche_sel&lt;&gt;"",A1104=fiche_sel),COUNTIF(A$6:A1104,fiche_sel),"")</f>
        <v/>
      </c>
    </row>
    <row r="1105">
      <c r="A1105" s="60" t="n"/>
      <c r="B1105" s="73" t="n"/>
      <c r="C1105" s="60" t="n"/>
      <c r="D1105" s="61" t="n"/>
      <c r="E1105" s="74" t="n"/>
      <c r="F1105" s="74" t="n"/>
      <c r="G1105" s="73" t="n"/>
      <c r="H1105" s="66" t="str">
        <f>IF(M1105&lt;&gt;"OK","",INDEX(po_mo,MATCH(D1105,po_code,0)))</f>
        <v/>
      </c>
      <c r="I1105" s="66" t="str">
        <f>IF(M1105&lt;&gt;"OK","",INDEX(po_mac,MATCH(D1105,po_code,0)))</f>
        <v/>
      </c>
      <c r="J1105" s="66" t="str">
        <f>IF(M1105&lt;&gt;"OK","",N(E1105)*(H1105*IF(G1105="",1,G1105)+I1105))</f>
        <v/>
      </c>
      <c r="K1105" s="66" t="str">
        <f>IF(M1105&lt;&gt;"OK","",N(F1105)/60*H1105*IF(G1105="",1,G1105))</f>
        <v/>
      </c>
      <c r="L1105" s="66" t="str">
        <f>IF(M1105&lt;&gt;"OK","",N(F1105)/60*I1105)</f>
        <v/>
      </c>
      <c r="M1105" s="69" t="str">
        <f>IF(AND(A1105="",D1105=""),"",IF(A1105="","Produit manquant",IF(COUNTIF(prod_ref,A1105)=0,"Produit inconnu",IF(D1105="","Poste manquant",IF(ISNA(MATCH(D1105,po_code,0)),"Poste inconnu",IF(INDEX(po_check,MATCH(D1105,po_code,0))&lt;&gt;"OK","Poste à corriger",IF(AND(E1105&lt;&gt;"",OR(NOT(ISNUMBER(E1105)),N(E1105)&lt;0)),"Réglage invalide",IF(AND(F1105&lt;&gt;"",OR(NOT(ISNUMBER(F1105)),N(F1105)&lt;0)),"Temps par pièce invalide",IF(N(E1105)+N(F1105)=0,"Temps manquant",IF(AND(G1105&lt;&gt;"",OR(NOT(ISNUMBER(G1105)),N(G1105)&lt;=0)),"Opérateurs invalide","OK"))))))))))</f>
        <v/>
      </c>
      <c r="N1105" s="71" t="str">
        <f>IF(AND(fiche_sel&lt;&gt;"",A1105=fiche_sel),COUNTIF(A$6:A1105,fiche_sel),"")</f>
        <v/>
      </c>
    </row>
    <row r="1106">
      <c r="A1106" s="60" t="n"/>
      <c r="B1106" s="73" t="n"/>
      <c r="C1106" s="60" t="n"/>
      <c r="D1106" s="61" t="n"/>
      <c r="E1106" s="74" t="n"/>
      <c r="F1106" s="74" t="n"/>
      <c r="G1106" s="73" t="n"/>
      <c r="H1106" s="66" t="str">
        <f>IF(M1106&lt;&gt;"OK","",INDEX(po_mo,MATCH(D1106,po_code,0)))</f>
        <v/>
      </c>
      <c r="I1106" s="66" t="str">
        <f>IF(M1106&lt;&gt;"OK","",INDEX(po_mac,MATCH(D1106,po_code,0)))</f>
        <v/>
      </c>
      <c r="J1106" s="66" t="str">
        <f>IF(M1106&lt;&gt;"OK","",N(E1106)*(H1106*IF(G1106="",1,G1106)+I1106))</f>
        <v/>
      </c>
      <c r="K1106" s="66" t="str">
        <f>IF(M1106&lt;&gt;"OK","",N(F1106)/60*H1106*IF(G1106="",1,G1106))</f>
        <v/>
      </c>
      <c r="L1106" s="66" t="str">
        <f>IF(M1106&lt;&gt;"OK","",N(F1106)/60*I1106)</f>
        <v/>
      </c>
      <c r="M1106" s="69" t="str">
        <f>IF(AND(A1106="",D1106=""),"",IF(A1106="","Produit manquant",IF(COUNTIF(prod_ref,A1106)=0,"Produit inconnu",IF(D1106="","Poste manquant",IF(ISNA(MATCH(D1106,po_code,0)),"Poste inconnu",IF(INDEX(po_check,MATCH(D1106,po_code,0))&lt;&gt;"OK","Poste à corriger",IF(AND(E1106&lt;&gt;"",OR(NOT(ISNUMBER(E1106)),N(E1106)&lt;0)),"Réglage invalide",IF(AND(F1106&lt;&gt;"",OR(NOT(ISNUMBER(F1106)),N(F1106)&lt;0)),"Temps par pièce invalide",IF(N(E1106)+N(F1106)=0,"Temps manquant",IF(AND(G1106&lt;&gt;"",OR(NOT(ISNUMBER(G1106)),N(G1106)&lt;=0)),"Opérateurs invalide","OK"))))))))))</f>
        <v/>
      </c>
      <c r="N1106" s="71" t="str">
        <f>IF(AND(fiche_sel&lt;&gt;"",A1106=fiche_sel),COUNTIF(A$6:A1106,fiche_sel),"")</f>
        <v/>
      </c>
    </row>
    <row r="1107">
      <c r="A1107" s="60" t="n"/>
      <c r="B1107" s="73" t="n"/>
      <c r="C1107" s="60" t="n"/>
      <c r="D1107" s="61" t="n"/>
      <c r="E1107" s="74" t="n"/>
      <c r="F1107" s="74" t="n"/>
      <c r="G1107" s="73" t="n"/>
      <c r="H1107" s="66" t="str">
        <f>IF(M1107&lt;&gt;"OK","",INDEX(po_mo,MATCH(D1107,po_code,0)))</f>
        <v/>
      </c>
      <c r="I1107" s="66" t="str">
        <f>IF(M1107&lt;&gt;"OK","",INDEX(po_mac,MATCH(D1107,po_code,0)))</f>
        <v/>
      </c>
      <c r="J1107" s="66" t="str">
        <f>IF(M1107&lt;&gt;"OK","",N(E1107)*(H1107*IF(G1107="",1,G1107)+I1107))</f>
        <v/>
      </c>
      <c r="K1107" s="66" t="str">
        <f>IF(M1107&lt;&gt;"OK","",N(F1107)/60*H1107*IF(G1107="",1,G1107))</f>
        <v/>
      </c>
      <c r="L1107" s="66" t="str">
        <f>IF(M1107&lt;&gt;"OK","",N(F1107)/60*I1107)</f>
        <v/>
      </c>
      <c r="M1107" s="69" t="str">
        <f>IF(AND(A1107="",D1107=""),"",IF(A1107="","Produit manquant",IF(COUNTIF(prod_ref,A1107)=0,"Produit inconnu",IF(D1107="","Poste manquant",IF(ISNA(MATCH(D1107,po_code,0)),"Poste inconnu",IF(INDEX(po_check,MATCH(D1107,po_code,0))&lt;&gt;"OK","Poste à corriger",IF(AND(E1107&lt;&gt;"",OR(NOT(ISNUMBER(E1107)),N(E1107)&lt;0)),"Réglage invalide",IF(AND(F1107&lt;&gt;"",OR(NOT(ISNUMBER(F1107)),N(F1107)&lt;0)),"Temps par pièce invalide",IF(N(E1107)+N(F1107)=0,"Temps manquant",IF(AND(G1107&lt;&gt;"",OR(NOT(ISNUMBER(G1107)),N(G1107)&lt;=0)),"Opérateurs invalide","OK"))))))))))</f>
        <v/>
      </c>
      <c r="N1107" s="71" t="str">
        <f>IF(AND(fiche_sel&lt;&gt;"",A1107=fiche_sel),COUNTIF(A$6:A1107,fiche_sel),"")</f>
        <v/>
      </c>
    </row>
    <row r="1108">
      <c r="A1108" s="60" t="n"/>
      <c r="B1108" s="73" t="n"/>
      <c r="C1108" s="60" t="n"/>
      <c r="D1108" s="61" t="n"/>
      <c r="E1108" s="74" t="n"/>
      <c r="F1108" s="74" t="n"/>
      <c r="G1108" s="73" t="n"/>
      <c r="H1108" s="66" t="str">
        <f>IF(M1108&lt;&gt;"OK","",INDEX(po_mo,MATCH(D1108,po_code,0)))</f>
        <v/>
      </c>
      <c r="I1108" s="66" t="str">
        <f>IF(M1108&lt;&gt;"OK","",INDEX(po_mac,MATCH(D1108,po_code,0)))</f>
        <v/>
      </c>
      <c r="J1108" s="66" t="str">
        <f>IF(M1108&lt;&gt;"OK","",N(E1108)*(H1108*IF(G1108="",1,G1108)+I1108))</f>
        <v/>
      </c>
      <c r="K1108" s="66" t="str">
        <f>IF(M1108&lt;&gt;"OK","",N(F1108)/60*H1108*IF(G1108="",1,G1108))</f>
        <v/>
      </c>
      <c r="L1108" s="66" t="str">
        <f>IF(M1108&lt;&gt;"OK","",N(F1108)/60*I1108)</f>
        <v/>
      </c>
      <c r="M1108" s="69" t="str">
        <f>IF(AND(A1108="",D1108=""),"",IF(A1108="","Produit manquant",IF(COUNTIF(prod_ref,A1108)=0,"Produit inconnu",IF(D1108="","Poste manquant",IF(ISNA(MATCH(D1108,po_code,0)),"Poste inconnu",IF(INDEX(po_check,MATCH(D1108,po_code,0))&lt;&gt;"OK","Poste à corriger",IF(AND(E1108&lt;&gt;"",OR(NOT(ISNUMBER(E1108)),N(E1108)&lt;0)),"Réglage invalide",IF(AND(F1108&lt;&gt;"",OR(NOT(ISNUMBER(F1108)),N(F1108)&lt;0)),"Temps par pièce invalide",IF(N(E1108)+N(F1108)=0,"Temps manquant",IF(AND(G1108&lt;&gt;"",OR(NOT(ISNUMBER(G1108)),N(G1108)&lt;=0)),"Opérateurs invalide","OK"))))))))))</f>
        <v/>
      </c>
      <c r="N1108" s="71" t="str">
        <f>IF(AND(fiche_sel&lt;&gt;"",A1108=fiche_sel),COUNTIF(A$6:A1108,fiche_sel),"")</f>
        <v/>
      </c>
    </row>
    <row r="1109">
      <c r="A1109" s="60" t="n"/>
      <c r="B1109" s="73" t="n"/>
      <c r="C1109" s="60" t="n"/>
      <c r="D1109" s="61" t="n"/>
      <c r="E1109" s="74" t="n"/>
      <c r="F1109" s="74" t="n"/>
      <c r="G1109" s="73" t="n"/>
      <c r="H1109" s="66" t="str">
        <f>IF(M1109&lt;&gt;"OK","",INDEX(po_mo,MATCH(D1109,po_code,0)))</f>
        <v/>
      </c>
      <c r="I1109" s="66" t="str">
        <f>IF(M1109&lt;&gt;"OK","",INDEX(po_mac,MATCH(D1109,po_code,0)))</f>
        <v/>
      </c>
      <c r="J1109" s="66" t="str">
        <f>IF(M1109&lt;&gt;"OK","",N(E1109)*(H1109*IF(G1109="",1,G1109)+I1109))</f>
        <v/>
      </c>
      <c r="K1109" s="66" t="str">
        <f>IF(M1109&lt;&gt;"OK","",N(F1109)/60*H1109*IF(G1109="",1,G1109))</f>
        <v/>
      </c>
      <c r="L1109" s="66" t="str">
        <f>IF(M1109&lt;&gt;"OK","",N(F1109)/60*I1109)</f>
        <v/>
      </c>
      <c r="M1109" s="69" t="str">
        <f>IF(AND(A1109="",D1109=""),"",IF(A1109="","Produit manquant",IF(COUNTIF(prod_ref,A1109)=0,"Produit inconnu",IF(D1109="","Poste manquant",IF(ISNA(MATCH(D1109,po_code,0)),"Poste inconnu",IF(INDEX(po_check,MATCH(D1109,po_code,0))&lt;&gt;"OK","Poste à corriger",IF(AND(E1109&lt;&gt;"",OR(NOT(ISNUMBER(E1109)),N(E1109)&lt;0)),"Réglage invalide",IF(AND(F1109&lt;&gt;"",OR(NOT(ISNUMBER(F1109)),N(F1109)&lt;0)),"Temps par pièce invalide",IF(N(E1109)+N(F1109)=0,"Temps manquant",IF(AND(G1109&lt;&gt;"",OR(NOT(ISNUMBER(G1109)),N(G1109)&lt;=0)),"Opérateurs invalide","OK"))))))))))</f>
        <v/>
      </c>
      <c r="N1109" s="71" t="str">
        <f>IF(AND(fiche_sel&lt;&gt;"",A1109=fiche_sel),COUNTIF(A$6:A1109,fiche_sel),"")</f>
        <v/>
      </c>
    </row>
    <row r="1110">
      <c r="A1110" s="60" t="n"/>
      <c r="B1110" s="73" t="n"/>
      <c r="C1110" s="60" t="n"/>
      <c r="D1110" s="61" t="n"/>
      <c r="E1110" s="74" t="n"/>
      <c r="F1110" s="74" t="n"/>
      <c r="G1110" s="73" t="n"/>
      <c r="H1110" s="66" t="str">
        <f>IF(M1110&lt;&gt;"OK","",INDEX(po_mo,MATCH(D1110,po_code,0)))</f>
        <v/>
      </c>
      <c r="I1110" s="66" t="str">
        <f>IF(M1110&lt;&gt;"OK","",INDEX(po_mac,MATCH(D1110,po_code,0)))</f>
        <v/>
      </c>
      <c r="J1110" s="66" t="str">
        <f>IF(M1110&lt;&gt;"OK","",N(E1110)*(H1110*IF(G1110="",1,G1110)+I1110))</f>
        <v/>
      </c>
      <c r="K1110" s="66" t="str">
        <f>IF(M1110&lt;&gt;"OK","",N(F1110)/60*H1110*IF(G1110="",1,G1110))</f>
        <v/>
      </c>
      <c r="L1110" s="66" t="str">
        <f>IF(M1110&lt;&gt;"OK","",N(F1110)/60*I1110)</f>
        <v/>
      </c>
      <c r="M1110" s="69" t="str">
        <f>IF(AND(A1110="",D1110=""),"",IF(A1110="","Produit manquant",IF(COUNTIF(prod_ref,A1110)=0,"Produit inconnu",IF(D1110="","Poste manquant",IF(ISNA(MATCH(D1110,po_code,0)),"Poste inconnu",IF(INDEX(po_check,MATCH(D1110,po_code,0))&lt;&gt;"OK","Poste à corriger",IF(AND(E1110&lt;&gt;"",OR(NOT(ISNUMBER(E1110)),N(E1110)&lt;0)),"Réglage invalide",IF(AND(F1110&lt;&gt;"",OR(NOT(ISNUMBER(F1110)),N(F1110)&lt;0)),"Temps par pièce invalide",IF(N(E1110)+N(F1110)=0,"Temps manquant",IF(AND(G1110&lt;&gt;"",OR(NOT(ISNUMBER(G1110)),N(G1110)&lt;=0)),"Opérateurs invalide","OK"))))))))))</f>
        <v/>
      </c>
      <c r="N1110" s="71" t="str">
        <f>IF(AND(fiche_sel&lt;&gt;"",A1110=fiche_sel),COUNTIF(A$6:A1110,fiche_sel),"")</f>
        <v/>
      </c>
    </row>
    <row r="1111">
      <c r="A1111" s="60" t="n"/>
      <c r="B1111" s="73" t="n"/>
      <c r="C1111" s="60" t="n"/>
      <c r="D1111" s="61" t="n"/>
      <c r="E1111" s="74" t="n"/>
      <c r="F1111" s="74" t="n"/>
      <c r="G1111" s="73" t="n"/>
      <c r="H1111" s="66" t="str">
        <f>IF(M1111&lt;&gt;"OK","",INDEX(po_mo,MATCH(D1111,po_code,0)))</f>
        <v/>
      </c>
      <c r="I1111" s="66" t="str">
        <f>IF(M1111&lt;&gt;"OK","",INDEX(po_mac,MATCH(D1111,po_code,0)))</f>
        <v/>
      </c>
      <c r="J1111" s="66" t="str">
        <f>IF(M1111&lt;&gt;"OK","",N(E1111)*(H1111*IF(G1111="",1,G1111)+I1111))</f>
        <v/>
      </c>
      <c r="K1111" s="66" t="str">
        <f>IF(M1111&lt;&gt;"OK","",N(F1111)/60*H1111*IF(G1111="",1,G1111))</f>
        <v/>
      </c>
      <c r="L1111" s="66" t="str">
        <f>IF(M1111&lt;&gt;"OK","",N(F1111)/60*I1111)</f>
        <v/>
      </c>
      <c r="M1111" s="69" t="str">
        <f>IF(AND(A1111="",D1111=""),"",IF(A1111="","Produit manquant",IF(COUNTIF(prod_ref,A1111)=0,"Produit inconnu",IF(D1111="","Poste manquant",IF(ISNA(MATCH(D1111,po_code,0)),"Poste inconnu",IF(INDEX(po_check,MATCH(D1111,po_code,0))&lt;&gt;"OK","Poste à corriger",IF(AND(E1111&lt;&gt;"",OR(NOT(ISNUMBER(E1111)),N(E1111)&lt;0)),"Réglage invalide",IF(AND(F1111&lt;&gt;"",OR(NOT(ISNUMBER(F1111)),N(F1111)&lt;0)),"Temps par pièce invalide",IF(N(E1111)+N(F1111)=0,"Temps manquant",IF(AND(G1111&lt;&gt;"",OR(NOT(ISNUMBER(G1111)),N(G1111)&lt;=0)),"Opérateurs invalide","OK"))))))))))</f>
        <v/>
      </c>
      <c r="N1111" s="71" t="str">
        <f>IF(AND(fiche_sel&lt;&gt;"",A1111=fiche_sel),COUNTIF(A$6:A1111,fiche_sel),"")</f>
        <v/>
      </c>
    </row>
    <row r="1112">
      <c r="A1112" s="60" t="n"/>
      <c r="B1112" s="73" t="n"/>
      <c r="C1112" s="60" t="n"/>
      <c r="D1112" s="61" t="n"/>
      <c r="E1112" s="74" t="n"/>
      <c r="F1112" s="74" t="n"/>
      <c r="G1112" s="73" t="n"/>
      <c r="H1112" s="66" t="str">
        <f>IF(M1112&lt;&gt;"OK","",INDEX(po_mo,MATCH(D1112,po_code,0)))</f>
        <v/>
      </c>
      <c r="I1112" s="66" t="str">
        <f>IF(M1112&lt;&gt;"OK","",INDEX(po_mac,MATCH(D1112,po_code,0)))</f>
        <v/>
      </c>
      <c r="J1112" s="66" t="str">
        <f>IF(M1112&lt;&gt;"OK","",N(E1112)*(H1112*IF(G1112="",1,G1112)+I1112))</f>
        <v/>
      </c>
      <c r="K1112" s="66" t="str">
        <f>IF(M1112&lt;&gt;"OK","",N(F1112)/60*H1112*IF(G1112="",1,G1112))</f>
        <v/>
      </c>
      <c r="L1112" s="66" t="str">
        <f>IF(M1112&lt;&gt;"OK","",N(F1112)/60*I1112)</f>
        <v/>
      </c>
      <c r="M1112" s="69" t="str">
        <f>IF(AND(A1112="",D1112=""),"",IF(A1112="","Produit manquant",IF(COUNTIF(prod_ref,A1112)=0,"Produit inconnu",IF(D1112="","Poste manquant",IF(ISNA(MATCH(D1112,po_code,0)),"Poste inconnu",IF(INDEX(po_check,MATCH(D1112,po_code,0))&lt;&gt;"OK","Poste à corriger",IF(AND(E1112&lt;&gt;"",OR(NOT(ISNUMBER(E1112)),N(E1112)&lt;0)),"Réglage invalide",IF(AND(F1112&lt;&gt;"",OR(NOT(ISNUMBER(F1112)),N(F1112)&lt;0)),"Temps par pièce invalide",IF(N(E1112)+N(F1112)=0,"Temps manquant",IF(AND(G1112&lt;&gt;"",OR(NOT(ISNUMBER(G1112)),N(G1112)&lt;=0)),"Opérateurs invalide","OK"))))))))))</f>
        <v/>
      </c>
      <c r="N1112" s="71" t="str">
        <f>IF(AND(fiche_sel&lt;&gt;"",A1112=fiche_sel),COUNTIF(A$6:A1112,fiche_sel),"")</f>
        <v/>
      </c>
    </row>
    <row r="1113">
      <c r="A1113" s="60" t="n"/>
      <c r="B1113" s="73" t="n"/>
      <c r="C1113" s="60" t="n"/>
      <c r="D1113" s="61" t="n"/>
      <c r="E1113" s="74" t="n"/>
      <c r="F1113" s="74" t="n"/>
      <c r="G1113" s="73" t="n"/>
      <c r="H1113" s="66" t="str">
        <f>IF(M1113&lt;&gt;"OK","",INDEX(po_mo,MATCH(D1113,po_code,0)))</f>
        <v/>
      </c>
      <c r="I1113" s="66" t="str">
        <f>IF(M1113&lt;&gt;"OK","",INDEX(po_mac,MATCH(D1113,po_code,0)))</f>
        <v/>
      </c>
      <c r="J1113" s="66" t="str">
        <f>IF(M1113&lt;&gt;"OK","",N(E1113)*(H1113*IF(G1113="",1,G1113)+I1113))</f>
        <v/>
      </c>
      <c r="K1113" s="66" t="str">
        <f>IF(M1113&lt;&gt;"OK","",N(F1113)/60*H1113*IF(G1113="",1,G1113))</f>
        <v/>
      </c>
      <c r="L1113" s="66" t="str">
        <f>IF(M1113&lt;&gt;"OK","",N(F1113)/60*I1113)</f>
        <v/>
      </c>
      <c r="M1113" s="69" t="str">
        <f>IF(AND(A1113="",D1113=""),"",IF(A1113="","Produit manquant",IF(COUNTIF(prod_ref,A1113)=0,"Produit inconnu",IF(D1113="","Poste manquant",IF(ISNA(MATCH(D1113,po_code,0)),"Poste inconnu",IF(INDEX(po_check,MATCH(D1113,po_code,0))&lt;&gt;"OK","Poste à corriger",IF(AND(E1113&lt;&gt;"",OR(NOT(ISNUMBER(E1113)),N(E1113)&lt;0)),"Réglage invalide",IF(AND(F1113&lt;&gt;"",OR(NOT(ISNUMBER(F1113)),N(F1113)&lt;0)),"Temps par pièce invalide",IF(N(E1113)+N(F1113)=0,"Temps manquant",IF(AND(G1113&lt;&gt;"",OR(NOT(ISNUMBER(G1113)),N(G1113)&lt;=0)),"Opérateurs invalide","OK"))))))))))</f>
        <v/>
      </c>
      <c r="N1113" s="71" t="str">
        <f>IF(AND(fiche_sel&lt;&gt;"",A1113=fiche_sel),COUNTIF(A$6:A1113,fiche_sel),"")</f>
        <v/>
      </c>
    </row>
    <row r="1114">
      <c r="A1114" s="60" t="n"/>
      <c r="B1114" s="73" t="n"/>
      <c r="C1114" s="60" t="n"/>
      <c r="D1114" s="61" t="n"/>
      <c r="E1114" s="74" t="n"/>
      <c r="F1114" s="74" t="n"/>
      <c r="G1114" s="73" t="n"/>
      <c r="H1114" s="66" t="str">
        <f>IF(M1114&lt;&gt;"OK","",INDEX(po_mo,MATCH(D1114,po_code,0)))</f>
        <v/>
      </c>
      <c r="I1114" s="66" t="str">
        <f>IF(M1114&lt;&gt;"OK","",INDEX(po_mac,MATCH(D1114,po_code,0)))</f>
        <v/>
      </c>
      <c r="J1114" s="66" t="str">
        <f>IF(M1114&lt;&gt;"OK","",N(E1114)*(H1114*IF(G1114="",1,G1114)+I1114))</f>
        <v/>
      </c>
      <c r="K1114" s="66" t="str">
        <f>IF(M1114&lt;&gt;"OK","",N(F1114)/60*H1114*IF(G1114="",1,G1114))</f>
        <v/>
      </c>
      <c r="L1114" s="66" t="str">
        <f>IF(M1114&lt;&gt;"OK","",N(F1114)/60*I1114)</f>
        <v/>
      </c>
      <c r="M1114" s="69" t="str">
        <f>IF(AND(A1114="",D1114=""),"",IF(A1114="","Produit manquant",IF(COUNTIF(prod_ref,A1114)=0,"Produit inconnu",IF(D1114="","Poste manquant",IF(ISNA(MATCH(D1114,po_code,0)),"Poste inconnu",IF(INDEX(po_check,MATCH(D1114,po_code,0))&lt;&gt;"OK","Poste à corriger",IF(AND(E1114&lt;&gt;"",OR(NOT(ISNUMBER(E1114)),N(E1114)&lt;0)),"Réglage invalide",IF(AND(F1114&lt;&gt;"",OR(NOT(ISNUMBER(F1114)),N(F1114)&lt;0)),"Temps par pièce invalide",IF(N(E1114)+N(F1114)=0,"Temps manquant",IF(AND(G1114&lt;&gt;"",OR(NOT(ISNUMBER(G1114)),N(G1114)&lt;=0)),"Opérateurs invalide","OK"))))))))))</f>
        <v/>
      </c>
      <c r="N1114" s="71" t="str">
        <f>IF(AND(fiche_sel&lt;&gt;"",A1114=fiche_sel),COUNTIF(A$6:A1114,fiche_sel),"")</f>
        <v/>
      </c>
    </row>
    <row r="1115">
      <c r="A1115" s="60" t="n"/>
      <c r="B1115" s="73" t="n"/>
      <c r="C1115" s="60" t="n"/>
      <c r="D1115" s="61" t="n"/>
      <c r="E1115" s="74" t="n"/>
      <c r="F1115" s="74" t="n"/>
      <c r="G1115" s="73" t="n"/>
      <c r="H1115" s="66" t="str">
        <f>IF(M1115&lt;&gt;"OK","",INDEX(po_mo,MATCH(D1115,po_code,0)))</f>
        <v/>
      </c>
      <c r="I1115" s="66" t="str">
        <f>IF(M1115&lt;&gt;"OK","",INDEX(po_mac,MATCH(D1115,po_code,0)))</f>
        <v/>
      </c>
      <c r="J1115" s="66" t="str">
        <f>IF(M1115&lt;&gt;"OK","",N(E1115)*(H1115*IF(G1115="",1,G1115)+I1115))</f>
        <v/>
      </c>
      <c r="K1115" s="66" t="str">
        <f>IF(M1115&lt;&gt;"OK","",N(F1115)/60*H1115*IF(G1115="",1,G1115))</f>
        <v/>
      </c>
      <c r="L1115" s="66" t="str">
        <f>IF(M1115&lt;&gt;"OK","",N(F1115)/60*I1115)</f>
        <v/>
      </c>
      <c r="M1115" s="69" t="str">
        <f>IF(AND(A1115="",D1115=""),"",IF(A1115="","Produit manquant",IF(COUNTIF(prod_ref,A1115)=0,"Produit inconnu",IF(D1115="","Poste manquant",IF(ISNA(MATCH(D1115,po_code,0)),"Poste inconnu",IF(INDEX(po_check,MATCH(D1115,po_code,0))&lt;&gt;"OK","Poste à corriger",IF(AND(E1115&lt;&gt;"",OR(NOT(ISNUMBER(E1115)),N(E1115)&lt;0)),"Réglage invalide",IF(AND(F1115&lt;&gt;"",OR(NOT(ISNUMBER(F1115)),N(F1115)&lt;0)),"Temps par pièce invalide",IF(N(E1115)+N(F1115)=0,"Temps manquant",IF(AND(G1115&lt;&gt;"",OR(NOT(ISNUMBER(G1115)),N(G1115)&lt;=0)),"Opérateurs invalide","OK"))))))))))</f>
        <v/>
      </c>
      <c r="N1115" s="71" t="str">
        <f>IF(AND(fiche_sel&lt;&gt;"",A1115=fiche_sel),COUNTIF(A$6:A1115,fiche_sel),"")</f>
        <v/>
      </c>
    </row>
    <row r="1116">
      <c r="A1116" s="60" t="n"/>
      <c r="B1116" s="73" t="n"/>
      <c r="C1116" s="60" t="n"/>
      <c r="D1116" s="61" t="n"/>
      <c r="E1116" s="74" t="n"/>
      <c r="F1116" s="74" t="n"/>
      <c r="G1116" s="73" t="n"/>
      <c r="H1116" s="66" t="str">
        <f>IF(M1116&lt;&gt;"OK","",INDEX(po_mo,MATCH(D1116,po_code,0)))</f>
        <v/>
      </c>
      <c r="I1116" s="66" t="str">
        <f>IF(M1116&lt;&gt;"OK","",INDEX(po_mac,MATCH(D1116,po_code,0)))</f>
        <v/>
      </c>
      <c r="J1116" s="66" t="str">
        <f>IF(M1116&lt;&gt;"OK","",N(E1116)*(H1116*IF(G1116="",1,G1116)+I1116))</f>
        <v/>
      </c>
      <c r="K1116" s="66" t="str">
        <f>IF(M1116&lt;&gt;"OK","",N(F1116)/60*H1116*IF(G1116="",1,G1116))</f>
        <v/>
      </c>
      <c r="L1116" s="66" t="str">
        <f>IF(M1116&lt;&gt;"OK","",N(F1116)/60*I1116)</f>
        <v/>
      </c>
      <c r="M1116" s="69" t="str">
        <f>IF(AND(A1116="",D1116=""),"",IF(A1116="","Produit manquant",IF(COUNTIF(prod_ref,A1116)=0,"Produit inconnu",IF(D1116="","Poste manquant",IF(ISNA(MATCH(D1116,po_code,0)),"Poste inconnu",IF(INDEX(po_check,MATCH(D1116,po_code,0))&lt;&gt;"OK","Poste à corriger",IF(AND(E1116&lt;&gt;"",OR(NOT(ISNUMBER(E1116)),N(E1116)&lt;0)),"Réglage invalide",IF(AND(F1116&lt;&gt;"",OR(NOT(ISNUMBER(F1116)),N(F1116)&lt;0)),"Temps par pièce invalide",IF(N(E1116)+N(F1116)=0,"Temps manquant",IF(AND(G1116&lt;&gt;"",OR(NOT(ISNUMBER(G1116)),N(G1116)&lt;=0)),"Opérateurs invalide","OK"))))))))))</f>
        <v/>
      </c>
      <c r="N1116" s="71" t="str">
        <f>IF(AND(fiche_sel&lt;&gt;"",A1116=fiche_sel),COUNTIF(A$6:A1116,fiche_sel),"")</f>
        <v/>
      </c>
    </row>
    <row r="1117">
      <c r="A1117" s="60" t="n"/>
      <c r="B1117" s="73" t="n"/>
      <c r="C1117" s="60" t="n"/>
      <c r="D1117" s="61" t="n"/>
      <c r="E1117" s="74" t="n"/>
      <c r="F1117" s="74" t="n"/>
      <c r="G1117" s="73" t="n"/>
      <c r="H1117" s="66" t="str">
        <f>IF(M1117&lt;&gt;"OK","",INDEX(po_mo,MATCH(D1117,po_code,0)))</f>
        <v/>
      </c>
      <c r="I1117" s="66" t="str">
        <f>IF(M1117&lt;&gt;"OK","",INDEX(po_mac,MATCH(D1117,po_code,0)))</f>
        <v/>
      </c>
      <c r="J1117" s="66" t="str">
        <f>IF(M1117&lt;&gt;"OK","",N(E1117)*(H1117*IF(G1117="",1,G1117)+I1117))</f>
        <v/>
      </c>
      <c r="K1117" s="66" t="str">
        <f>IF(M1117&lt;&gt;"OK","",N(F1117)/60*H1117*IF(G1117="",1,G1117))</f>
        <v/>
      </c>
      <c r="L1117" s="66" t="str">
        <f>IF(M1117&lt;&gt;"OK","",N(F1117)/60*I1117)</f>
        <v/>
      </c>
      <c r="M1117" s="69" t="str">
        <f>IF(AND(A1117="",D1117=""),"",IF(A1117="","Produit manquant",IF(COUNTIF(prod_ref,A1117)=0,"Produit inconnu",IF(D1117="","Poste manquant",IF(ISNA(MATCH(D1117,po_code,0)),"Poste inconnu",IF(INDEX(po_check,MATCH(D1117,po_code,0))&lt;&gt;"OK","Poste à corriger",IF(AND(E1117&lt;&gt;"",OR(NOT(ISNUMBER(E1117)),N(E1117)&lt;0)),"Réglage invalide",IF(AND(F1117&lt;&gt;"",OR(NOT(ISNUMBER(F1117)),N(F1117)&lt;0)),"Temps par pièce invalide",IF(N(E1117)+N(F1117)=0,"Temps manquant",IF(AND(G1117&lt;&gt;"",OR(NOT(ISNUMBER(G1117)),N(G1117)&lt;=0)),"Opérateurs invalide","OK"))))))))))</f>
        <v/>
      </c>
      <c r="N1117" s="71" t="str">
        <f>IF(AND(fiche_sel&lt;&gt;"",A1117=fiche_sel),COUNTIF(A$6:A1117,fiche_sel),"")</f>
        <v/>
      </c>
    </row>
    <row r="1118">
      <c r="A1118" s="60" t="n"/>
      <c r="B1118" s="73" t="n"/>
      <c r="C1118" s="60" t="n"/>
      <c r="D1118" s="61" t="n"/>
      <c r="E1118" s="74" t="n"/>
      <c r="F1118" s="74" t="n"/>
      <c r="G1118" s="73" t="n"/>
      <c r="H1118" s="66" t="str">
        <f>IF(M1118&lt;&gt;"OK","",INDEX(po_mo,MATCH(D1118,po_code,0)))</f>
        <v/>
      </c>
      <c r="I1118" s="66" t="str">
        <f>IF(M1118&lt;&gt;"OK","",INDEX(po_mac,MATCH(D1118,po_code,0)))</f>
        <v/>
      </c>
      <c r="J1118" s="66" t="str">
        <f>IF(M1118&lt;&gt;"OK","",N(E1118)*(H1118*IF(G1118="",1,G1118)+I1118))</f>
        <v/>
      </c>
      <c r="K1118" s="66" t="str">
        <f>IF(M1118&lt;&gt;"OK","",N(F1118)/60*H1118*IF(G1118="",1,G1118))</f>
        <v/>
      </c>
      <c r="L1118" s="66" t="str">
        <f>IF(M1118&lt;&gt;"OK","",N(F1118)/60*I1118)</f>
        <v/>
      </c>
      <c r="M1118" s="69" t="str">
        <f>IF(AND(A1118="",D1118=""),"",IF(A1118="","Produit manquant",IF(COUNTIF(prod_ref,A1118)=0,"Produit inconnu",IF(D1118="","Poste manquant",IF(ISNA(MATCH(D1118,po_code,0)),"Poste inconnu",IF(INDEX(po_check,MATCH(D1118,po_code,0))&lt;&gt;"OK","Poste à corriger",IF(AND(E1118&lt;&gt;"",OR(NOT(ISNUMBER(E1118)),N(E1118)&lt;0)),"Réglage invalide",IF(AND(F1118&lt;&gt;"",OR(NOT(ISNUMBER(F1118)),N(F1118)&lt;0)),"Temps par pièce invalide",IF(N(E1118)+N(F1118)=0,"Temps manquant",IF(AND(G1118&lt;&gt;"",OR(NOT(ISNUMBER(G1118)),N(G1118)&lt;=0)),"Opérateurs invalide","OK"))))))))))</f>
        <v/>
      </c>
      <c r="N1118" s="71" t="str">
        <f>IF(AND(fiche_sel&lt;&gt;"",A1118=fiche_sel),COUNTIF(A$6:A1118,fiche_sel),"")</f>
        <v/>
      </c>
    </row>
    <row r="1119">
      <c r="A1119" s="60" t="n"/>
      <c r="B1119" s="73" t="n"/>
      <c r="C1119" s="60" t="n"/>
      <c r="D1119" s="61" t="n"/>
      <c r="E1119" s="74" t="n"/>
      <c r="F1119" s="74" t="n"/>
      <c r="G1119" s="73" t="n"/>
      <c r="H1119" s="66" t="str">
        <f>IF(M1119&lt;&gt;"OK","",INDEX(po_mo,MATCH(D1119,po_code,0)))</f>
        <v/>
      </c>
      <c r="I1119" s="66" t="str">
        <f>IF(M1119&lt;&gt;"OK","",INDEX(po_mac,MATCH(D1119,po_code,0)))</f>
        <v/>
      </c>
      <c r="J1119" s="66" t="str">
        <f>IF(M1119&lt;&gt;"OK","",N(E1119)*(H1119*IF(G1119="",1,G1119)+I1119))</f>
        <v/>
      </c>
      <c r="K1119" s="66" t="str">
        <f>IF(M1119&lt;&gt;"OK","",N(F1119)/60*H1119*IF(G1119="",1,G1119))</f>
        <v/>
      </c>
      <c r="L1119" s="66" t="str">
        <f>IF(M1119&lt;&gt;"OK","",N(F1119)/60*I1119)</f>
        <v/>
      </c>
      <c r="M1119" s="69" t="str">
        <f>IF(AND(A1119="",D1119=""),"",IF(A1119="","Produit manquant",IF(COUNTIF(prod_ref,A1119)=0,"Produit inconnu",IF(D1119="","Poste manquant",IF(ISNA(MATCH(D1119,po_code,0)),"Poste inconnu",IF(INDEX(po_check,MATCH(D1119,po_code,0))&lt;&gt;"OK","Poste à corriger",IF(AND(E1119&lt;&gt;"",OR(NOT(ISNUMBER(E1119)),N(E1119)&lt;0)),"Réglage invalide",IF(AND(F1119&lt;&gt;"",OR(NOT(ISNUMBER(F1119)),N(F1119)&lt;0)),"Temps par pièce invalide",IF(N(E1119)+N(F1119)=0,"Temps manquant",IF(AND(G1119&lt;&gt;"",OR(NOT(ISNUMBER(G1119)),N(G1119)&lt;=0)),"Opérateurs invalide","OK"))))))))))</f>
        <v/>
      </c>
      <c r="N1119" s="71" t="str">
        <f>IF(AND(fiche_sel&lt;&gt;"",A1119=fiche_sel),COUNTIF(A$6:A1119,fiche_sel),"")</f>
        <v/>
      </c>
    </row>
    <row r="1120">
      <c r="A1120" s="60" t="n"/>
      <c r="B1120" s="73" t="n"/>
      <c r="C1120" s="60" t="n"/>
      <c r="D1120" s="61" t="n"/>
      <c r="E1120" s="74" t="n"/>
      <c r="F1120" s="74" t="n"/>
      <c r="G1120" s="73" t="n"/>
      <c r="H1120" s="66" t="str">
        <f>IF(M1120&lt;&gt;"OK","",INDEX(po_mo,MATCH(D1120,po_code,0)))</f>
        <v/>
      </c>
      <c r="I1120" s="66" t="str">
        <f>IF(M1120&lt;&gt;"OK","",INDEX(po_mac,MATCH(D1120,po_code,0)))</f>
        <v/>
      </c>
      <c r="J1120" s="66" t="str">
        <f>IF(M1120&lt;&gt;"OK","",N(E1120)*(H1120*IF(G1120="",1,G1120)+I1120))</f>
        <v/>
      </c>
      <c r="K1120" s="66" t="str">
        <f>IF(M1120&lt;&gt;"OK","",N(F1120)/60*H1120*IF(G1120="",1,G1120))</f>
        <v/>
      </c>
      <c r="L1120" s="66" t="str">
        <f>IF(M1120&lt;&gt;"OK","",N(F1120)/60*I1120)</f>
        <v/>
      </c>
      <c r="M1120" s="69" t="str">
        <f>IF(AND(A1120="",D1120=""),"",IF(A1120="","Produit manquant",IF(COUNTIF(prod_ref,A1120)=0,"Produit inconnu",IF(D1120="","Poste manquant",IF(ISNA(MATCH(D1120,po_code,0)),"Poste inconnu",IF(INDEX(po_check,MATCH(D1120,po_code,0))&lt;&gt;"OK","Poste à corriger",IF(AND(E1120&lt;&gt;"",OR(NOT(ISNUMBER(E1120)),N(E1120)&lt;0)),"Réglage invalide",IF(AND(F1120&lt;&gt;"",OR(NOT(ISNUMBER(F1120)),N(F1120)&lt;0)),"Temps par pièce invalide",IF(N(E1120)+N(F1120)=0,"Temps manquant",IF(AND(G1120&lt;&gt;"",OR(NOT(ISNUMBER(G1120)),N(G1120)&lt;=0)),"Opérateurs invalide","OK"))))))))))</f>
        <v/>
      </c>
      <c r="N1120" s="71" t="str">
        <f>IF(AND(fiche_sel&lt;&gt;"",A1120=fiche_sel),COUNTIF(A$6:A1120,fiche_sel),"")</f>
        <v/>
      </c>
    </row>
    <row r="1121">
      <c r="A1121" s="60" t="n"/>
      <c r="B1121" s="73" t="n"/>
      <c r="C1121" s="60" t="n"/>
      <c r="D1121" s="61" t="n"/>
      <c r="E1121" s="74" t="n"/>
      <c r="F1121" s="74" t="n"/>
      <c r="G1121" s="73" t="n"/>
      <c r="H1121" s="66" t="str">
        <f>IF(M1121&lt;&gt;"OK","",INDEX(po_mo,MATCH(D1121,po_code,0)))</f>
        <v/>
      </c>
      <c r="I1121" s="66" t="str">
        <f>IF(M1121&lt;&gt;"OK","",INDEX(po_mac,MATCH(D1121,po_code,0)))</f>
        <v/>
      </c>
      <c r="J1121" s="66" t="str">
        <f>IF(M1121&lt;&gt;"OK","",N(E1121)*(H1121*IF(G1121="",1,G1121)+I1121))</f>
        <v/>
      </c>
      <c r="K1121" s="66" t="str">
        <f>IF(M1121&lt;&gt;"OK","",N(F1121)/60*H1121*IF(G1121="",1,G1121))</f>
        <v/>
      </c>
      <c r="L1121" s="66" t="str">
        <f>IF(M1121&lt;&gt;"OK","",N(F1121)/60*I1121)</f>
        <v/>
      </c>
      <c r="M1121" s="69" t="str">
        <f>IF(AND(A1121="",D1121=""),"",IF(A1121="","Produit manquant",IF(COUNTIF(prod_ref,A1121)=0,"Produit inconnu",IF(D1121="","Poste manquant",IF(ISNA(MATCH(D1121,po_code,0)),"Poste inconnu",IF(INDEX(po_check,MATCH(D1121,po_code,0))&lt;&gt;"OK","Poste à corriger",IF(AND(E1121&lt;&gt;"",OR(NOT(ISNUMBER(E1121)),N(E1121)&lt;0)),"Réglage invalide",IF(AND(F1121&lt;&gt;"",OR(NOT(ISNUMBER(F1121)),N(F1121)&lt;0)),"Temps par pièce invalide",IF(N(E1121)+N(F1121)=0,"Temps manquant",IF(AND(G1121&lt;&gt;"",OR(NOT(ISNUMBER(G1121)),N(G1121)&lt;=0)),"Opérateurs invalide","OK"))))))))))</f>
        <v/>
      </c>
      <c r="N1121" s="71" t="str">
        <f>IF(AND(fiche_sel&lt;&gt;"",A1121=fiche_sel),COUNTIF(A$6:A1121,fiche_sel),"")</f>
        <v/>
      </c>
    </row>
    <row r="1122">
      <c r="A1122" s="60" t="n"/>
      <c r="B1122" s="73" t="n"/>
      <c r="C1122" s="60" t="n"/>
      <c r="D1122" s="61" t="n"/>
      <c r="E1122" s="74" t="n"/>
      <c r="F1122" s="74" t="n"/>
      <c r="G1122" s="73" t="n"/>
      <c r="H1122" s="66" t="str">
        <f>IF(M1122&lt;&gt;"OK","",INDEX(po_mo,MATCH(D1122,po_code,0)))</f>
        <v/>
      </c>
      <c r="I1122" s="66" t="str">
        <f>IF(M1122&lt;&gt;"OK","",INDEX(po_mac,MATCH(D1122,po_code,0)))</f>
        <v/>
      </c>
      <c r="J1122" s="66" t="str">
        <f>IF(M1122&lt;&gt;"OK","",N(E1122)*(H1122*IF(G1122="",1,G1122)+I1122))</f>
        <v/>
      </c>
      <c r="K1122" s="66" t="str">
        <f>IF(M1122&lt;&gt;"OK","",N(F1122)/60*H1122*IF(G1122="",1,G1122))</f>
        <v/>
      </c>
      <c r="L1122" s="66" t="str">
        <f>IF(M1122&lt;&gt;"OK","",N(F1122)/60*I1122)</f>
        <v/>
      </c>
      <c r="M1122" s="69" t="str">
        <f>IF(AND(A1122="",D1122=""),"",IF(A1122="","Produit manquant",IF(COUNTIF(prod_ref,A1122)=0,"Produit inconnu",IF(D1122="","Poste manquant",IF(ISNA(MATCH(D1122,po_code,0)),"Poste inconnu",IF(INDEX(po_check,MATCH(D1122,po_code,0))&lt;&gt;"OK","Poste à corriger",IF(AND(E1122&lt;&gt;"",OR(NOT(ISNUMBER(E1122)),N(E1122)&lt;0)),"Réglage invalide",IF(AND(F1122&lt;&gt;"",OR(NOT(ISNUMBER(F1122)),N(F1122)&lt;0)),"Temps par pièce invalide",IF(N(E1122)+N(F1122)=0,"Temps manquant",IF(AND(G1122&lt;&gt;"",OR(NOT(ISNUMBER(G1122)),N(G1122)&lt;=0)),"Opérateurs invalide","OK"))))))))))</f>
        <v/>
      </c>
      <c r="N1122" s="71" t="str">
        <f>IF(AND(fiche_sel&lt;&gt;"",A1122=fiche_sel),COUNTIF(A$6:A1122,fiche_sel),"")</f>
        <v/>
      </c>
    </row>
    <row r="1123">
      <c r="A1123" s="60" t="n"/>
      <c r="B1123" s="73" t="n"/>
      <c r="C1123" s="60" t="n"/>
      <c r="D1123" s="61" t="n"/>
      <c r="E1123" s="74" t="n"/>
      <c r="F1123" s="74" t="n"/>
      <c r="G1123" s="73" t="n"/>
      <c r="H1123" s="66" t="str">
        <f>IF(M1123&lt;&gt;"OK","",INDEX(po_mo,MATCH(D1123,po_code,0)))</f>
        <v/>
      </c>
      <c r="I1123" s="66" t="str">
        <f>IF(M1123&lt;&gt;"OK","",INDEX(po_mac,MATCH(D1123,po_code,0)))</f>
        <v/>
      </c>
      <c r="J1123" s="66" t="str">
        <f>IF(M1123&lt;&gt;"OK","",N(E1123)*(H1123*IF(G1123="",1,G1123)+I1123))</f>
        <v/>
      </c>
      <c r="K1123" s="66" t="str">
        <f>IF(M1123&lt;&gt;"OK","",N(F1123)/60*H1123*IF(G1123="",1,G1123))</f>
        <v/>
      </c>
      <c r="L1123" s="66" t="str">
        <f>IF(M1123&lt;&gt;"OK","",N(F1123)/60*I1123)</f>
        <v/>
      </c>
      <c r="M1123" s="69" t="str">
        <f>IF(AND(A1123="",D1123=""),"",IF(A1123="","Produit manquant",IF(COUNTIF(prod_ref,A1123)=0,"Produit inconnu",IF(D1123="","Poste manquant",IF(ISNA(MATCH(D1123,po_code,0)),"Poste inconnu",IF(INDEX(po_check,MATCH(D1123,po_code,0))&lt;&gt;"OK","Poste à corriger",IF(AND(E1123&lt;&gt;"",OR(NOT(ISNUMBER(E1123)),N(E1123)&lt;0)),"Réglage invalide",IF(AND(F1123&lt;&gt;"",OR(NOT(ISNUMBER(F1123)),N(F1123)&lt;0)),"Temps par pièce invalide",IF(N(E1123)+N(F1123)=0,"Temps manquant",IF(AND(G1123&lt;&gt;"",OR(NOT(ISNUMBER(G1123)),N(G1123)&lt;=0)),"Opérateurs invalide","OK"))))))))))</f>
        <v/>
      </c>
      <c r="N1123" s="71" t="str">
        <f>IF(AND(fiche_sel&lt;&gt;"",A1123=fiche_sel),COUNTIF(A$6:A1123,fiche_sel),"")</f>
        <v/>
      </c>
    </row>
    <row r="1124">
      <c r="A1124" s="60" t="n"/>
      <c r="B1124" s="73" t="n"/>
      <c r="C1124" s="60" t="n"/>
      <c r="D1124" s="61" t="n"/>
      <c r="E1124" s="74" t="n"/>
      <c r="F1124" s="74" t="n"/>
      <c r="G1124" s="73" t="n"/>
      <c r="H1124" s="66" t="str">
        <f>IF(M1124&lt;&gt;"OK","",INDEX(po_mo,MATCH(D1124,po_code,0)))</f>
        <v/>
      </c>
      <c r="I1124" s="66" t="str">
        <f>IF(M1124&lt;&gt;"OK","",INDEX(po_mac,MATCH(D1124,po_code,0)))</f>
        <v/>
      </c>
      <c r="J1124" s="66" t="str">
        <f>IF(M1124&lt;&gt;"OK","",N(E1124)*(H1124*IF(G1124="",1,G1124)+I1124))</f>
        <v/>
      </c>
      <c r="K1124" s="66" t="str">
        <f>IF(M1124&lt;&gt;"OK","",N(F1124)/60*H1124*IF(G1124="",1,G1124))</f>
        <v/>
      </c>
      <c r="L1124" s="66" t="str">
        <f>IF(M1124&lt;&gt;"OK","",N(F1124)/60*I1124)</f>
        <v/>
      </c>
      <c r="M1124" s="69" t="str">
        <f>IF(AND(A1124="",D1124=""),"",IF(A1124="","Produit manquant",IF(COUNTIF(prod_ref,A1124)=0,"Produit inconnu",IF(D1124="","Poste manquant",IF(ISNA(MATCH(D1124,po_code,0)),"Poste inconnu",IF(INDEX(po_check,MATCH(D1124,po_code,0))&lt;&gt;"OK","Poste à corriger",IF(AND(E1124&lt;&gt;"",OR(NOT(ISNUMBER(E1124)),N(E1124)&lt;0)),"Réglage invalide",IF(AND(F1124&lt;&gt;"",OR(NOT(ISNUMBER(F1124)),N(F1124)&lt;0)),"Temps par pièce invalide",IF(N(E1124)+N(F1124)=0,"Temps manquant",IF(AND(G1124&lt;&gt;"",OR(NOT(ISNUMBER(G1124)),N(G1124)&lt;=0)),"Opérateurs invalide","OK"))))))))))</f>
        <v/>
      </c>
      <c r="N1124" s="71" t="str">
        <f>IF(AND(fiche_sel&lt;&gt;"",A1124=fiche_sel),COUNTIF(A$6:A1124,fiche_sel),"")</f>
        <v/>
      </c>
    </row>
    <row r="1125">
      <c r="A1125" s="60" t="n"/>
      <c r="B1125" s="73" t="n"/>
      <c r="C1125" s="60" t="n"/>
      <c r="D1125" s="61" t="n"/>
      <c r="E1125" s="74" t="n"/>
      <c r="F1125" s="74" t="n"/>
      <c r="G1125" s="73" t="n"/>
      <c r="H1125" s="66" t="str">
        <f>IF(M1125&lt;&gt;"OK","",INDEX(po_mo,MATCH(D1125,po_code,0)))</f>
        <v/>
      </c>
      <c r="I1125" s="66" t="str">
        <f>IF(M1125&lt;&gt;"OK","",INDEX(po_mac,MATCH(D1125,po_code,0)))</f>
        <v/>
      </c>
      <c r="J1125" s="66" t="str">
        <f>IF(M1125&lt;&gt;"OK","",N(E1125)*(H1125*IF(G1125="",1,G1125)+I1125))</f>
        <v/>
      </c>
      <c r="K1125" s="66" t="str">
        <f>IF(M1125&lt;&gt;"OK","",N(F1125)/60*H1125*IF(G1125="",1,G1125))</f>
        <v/>
      </c>
      <c r="L1125" s="66" t="str">
        <f>IF(M1125&lt;&gt;"OK","",N(F1125)/60*I1125)</f>
        <v/>
      </c>
      <c r="M1125" s="69" t="str">
        <f>IF(AND(A1125="",D1125=""),"",IF(A1125="","Produit manquant",IF(COUNTIF(prod_ref,A1125)=0,"Produit inconnu",IF(D1125="","Poste manquant",IF(ISNA(MATCH(D1125,po_code,0)),"Poste inconnu",IF(INDEX(po_check,MATCH(D1125,po_code,0))&lt;&gt;"OK","Poste à corriger",IF(AND(E1125&lt;&gt;"",OR(NOT(ISNUMBER(E1125)),N(E1125)&lt;0)),"Réglage invalide",IF(AND(F1125&lt;&gt;"",OR(NOT(ISNUMBER(F1125)),N(F1125)&lt;0)),"Temps par pièce invalide",IF(N(E1125)+N(F1125)=0,"Temps manquant",IF(AND(G1125&lt;&gt;"",OR(NOT(ISNUMBER(G1125)),N(G1125)&lt;=0)),"Opérateurs invalide","OK"))))))))))</f>
        <v/>
      </c>
      <c r="N1125" s="71" t="str">
        <f>IF(AND(fiche_sel&lt;&gt;"",A1125=fiche_sel),COUNTIF(A$6:A1125,fiche_sel),"")</f>
        <v/>
      </c>
    </row>
    <row r="1126">
      <c r="A1126" s="60" t="n"/>
      <c r="B1126" s="73" t="n"/>
      <c r="C1126" s="60" t="n"/>
      <c r="D1126" s="61" t="n"/>
      <c r="E1126" s="74" t="n"/>
      <c r="F1126" s="74" t="n"/>
      <c r="G1126" s="73" t="n"/>
      <c r="H1126" s="66" t="str">
        <f>IF(M1126&lt;&gt;"OK","",INDEX(po_mo,MATCH(D1126,po_code,0)))</f>
        <v/>
      </c>
      <c r="I1126" s="66" t="str">
        <f>IF(M1126&lt;&gt;"OK","",INDEX(po_mac,MATCH(D1126,po_code,0)))</f>
        <v/>
      </c>
      <c r="J1126" s="66" t="str">
        <f>IF(M1126&lt;&gt;"OK","",N(E1126)*(H1126*IF(G1126="",1,G1126)+I1126))</f>
        <v/>
      </c>
      <c r="K1126" s="66" t="str">
        <f>IF(M1126&lt;&gt;"OK","",N(F1126)/60*H1126*IF(G1126="",1,G1126))</f>
        <v/>
      </c>
      <c r="L1126" s="66" t="str">
        <f>IF(M1126&lt;&gt;"OK","",N(F1126)/60*I1126)</f>
        <v/>
      </c>
      <c r="M1126" s="69" t="str">
        <f>IF(AND(A1126="",D1126=""),"",IF(A1126="","Produit manquant",IF(COUNTIF(prod_ref,A1126)=0,"Produit inconnu",IF(D1126="","Poste manquant",IF(ISNA(MATCH(D1126,po_code,0)),"Poste inconnu",IF(INDEX(po_check,MATCH(D1126,po_code,0))&lt;&gt;"OK","Poste à corriger",IF(AND(E1126&lt;&gt;"",OR(NOT(ISNUMBER(E1126)),N(E1126)&lt;0)),"Réglage invalide",IF(AND(F1126&lt;&gt;"",OR(NOT(ISNUMBER(F1126)),N(F1126)&lt;0)),"Temps par pièce invalide",IF(N(E1126)+N(F1126)=0,"Temps manquant",IF(AND(G1126&lt;&gt;"",OR(NOT(ISNUMBER(G1126)),N(G1126)&lt;=0)),"Opérateurs invalide","OK"))))))))))</f>
        <v/>
      </c>
      <c r="N1126" s="71" t="str">
        <f>IF(AND(fiche_sel&lt;&gt;"",A1126=fiche_sel),COUNTIF(A$6:A1126,fiche_sel),"")</f>
        <v/>
      </c>
    </row>
    <row r="1127">
      <c r="A1127" s="60" t="n"/>
      <c r="B1127" s="73" t="n"/>
      <c r="C1127" s="60" t="n"/>
      <c r="D1127" s="61" t="n"/>
      <c r="E1127" s="74" t="n"/>
      <c r="F1127" s="74" t="n"/>
      <c r="G1127" s="73" t="n"/>
      <c r="H1127" s="66" t="str">
        <f>IF(M1127&lt;&gt;"OK","",INDEX(po_mo,MATCH(D1127,po_code,0)))</f>
        <v/>
      </c>
      <c r="I1127" s="66" t="str">
        <f>IF(M1127&lt;&gt;"OK","",INDEX(po_mac,MATCH(D1127,po_code,0)))</f>
        <v/>
      </c>
      <c r="J1127" s="66" t="str">
        <f>IF(M1127&lt;&gt;"OK","",N(E1127)*(H1127*IF(G1127="",1,G1127)+I1127))</f>
        <v/>
      </c>
      <c r="K1127" s="66" t="str">
        <f>IF(M1127&lt;&gt;"OK","",N(F1127)/60*H1127*IF(G1127="",1,G1127))</f>
        <v/>
      </c>
      <c r="L1127" s="66" t="str">
        <f>IF(M1127&lt;&gt;"OK","",N(F1127)/60*I1127)</f>
        <v/>
      </c>
      <c r="M1127" s="69" t="str">
        <f>IF(AND(A1127="",D1127=""),"",IF(A1127="","Produit manquant",IF(COUNTIF(prod_ref,A1127)=0,"Produit inconnu",IF(D1127="","Poste manquant",IF(ISNA(MATCH(D1127,po_code,0)),"Poste inconnu",IF(INDEX(po_check,MATCH(D1127,po_code,0))&lt;&gt;"OK","Poste à corriger",IF(AND(E1127&lt;&gt;"",OR(NOT(ISNUMBER(E1127)),N(E1127)&lt;0)),"Réglage invalide",IF(AND(F1127&lt;&gt;"",OR(NOT(ISNUMBER(F1127)),N(F1127)&lt;0)),"Temps par pièce invalide",IF(N(E1127)+N(F1127)=0,"Temps manquant",IF(AND(G1127&lt;&gt;"",OR(NOT(ISNUMBER(G1127)),N(G1127)&lt;=0)),"Opérateurs invalide","OK"))))))))))</f>
        <v/>
      </c>
      <c r="N1127" s="71" t="str">
        <f>IF(AND(fiche_sel&lt;&gt;"",A1127=fiche_sel),COUNTIF(A$6:A1127,fiche_sel),"")</f>
        <v/>
      </c>
    </row>
    <row r="1128">
      <c r="A1128" s="60" t="n"/>
      <c r="B1128" s="73" t="n"/>
      <c r="C1128" s="60" t="n"/>
      <c r="D1128" s="61" t="n"/>
      <c r="E1128" s="74" t="n"/>
      <c r="F1128" s="74" t="n"/>
      <c r="G1128" s="73" t="n"/>
      <c r="H1128" s="66" t="str">
        <f>IF(M1128&lt;&gt;"OK","",INDEX(po_mo,MATCH(D1128,po_code,0)))</f>
        <v/>
      </c>
      <c r="I1128" s="66" t="str">
        <f>IF(M1128&lt;&gt;"OK","",INDEX(po_mac,MATCH(D1128,po_code,0)))</f>
        <v/>
      </c>
      <c r="J1128" s="66" t="str">
        <f>IF(M1128&lt;&gt;"OK","",N(E1128)*(H1128*IF(G1128="",1,G1128)+I1128))</f>
        <v/>
      </c>
      <c r="K1128" s="66" t="str">
        <f>IF(M1128&lt;&gt;"OK","",N(F1128)/60*H1128*IF(G1128="",1,G1128))</f>
        <v/>
      </c>
      <c r="L1128" s="66" t="str">
        <f>IF(M1128&lt;&gt;"OK","",N(F1128)/60*I1128)</f>
        <v/>
      </c>
      <c r="M1128" s="69" t="str">
        <f>IF(AND(A1128="",D1128=""),"",IF(A1128="","Produit manquant",IF(COUNTIF(prod_ref,A1128)=0,"Produit inconnu",IF(D1128="","Poste manquant",IF(ISNA(MATCH(D1128,po_code,0)),"Poste inconnu",IF(INDEX(po_check,MATCH(D1128,po_code,0))&lt;&gt;"OK","Poste à corriger",IF(AND(E1128&lt;&gt;"",OR(NOT(ISNUMBER(E1128)),N(E1128)&lt;0)),"Réglage invalide",IF(AND(F1128&lt;&gt;"",OR(NOT(ISNUMBER(F1128)),N(F1128)&lt;0)),"Temps par pièce invalide",IF(N(E1128)+N(F1128)=0,"Temps manquant",IF(AND(G1128&lt;&gt;"",OR(NOT(ISNUMBER(G1128)),N(G1128)&lt;=0)),"Opérateurs invalide","OK"))))))))))</f>
        <v/>
      </c>
      <c r="N1128" s="71" t="str">
        <f>IF(AND(fiche_sel&lt;&gt;"",A1128=fiche_sel),COUNTIF(A$6:A1128,fiche_sel),"")</f>
        <v/>
      </c>
    </row>
    <row r="1129">
      <c r="A1129" s="60" t="n"/>
      <c r="B1129" s="73" t="n"/>
      <c r="C1129" s="60" t="n"/>
      <c r="D1129" s="61" t="n"/>
      <c r="E1129" s="74" t="n"/>
      <c r="F1129" s="74" t="n"/>
      <c r="G1129" s="73" t="n"/>
      <c r="H1129" s="66" t="str">
        <f>IF(M1129&lt;&gt;"OK","",INDEX(po_mo,MATCH(D1129,po_code,0)))</f>
        <v/>
      </c>
      <c r="I1129" s="66" t="str">
        <f>IF(M1129&lt;&gt;"OK","",INDEX(po_mac,MATCH(D1129,po_code,0)))</f>
        <v/>
      </c>
      <c r="J1129" s="66" t="str">
        <f>IF(M1129&lt;&gt;"OK","",N(E1129)*(H1129*IF(G1129="",1,G1129)+I1129))</f>
        <v/>
      </c>
      <c r="K1129" s="66" t="str">
        <f>IF(M1129&lt;&gt;"OK","",N(F1129)/60*H1129*IF(G1129="",1,G1129))</f>
        <v/>
      </c>
      <c r="L1129" s="66" t="str">
        <f>IF(M1129&lt;&gt;"OK","",N(F1129)/60*I1129)</f>
        <v/>
      </c>
      <c r="M1129" s="69" t="str">
        <f>IF(AND(A1129="",D1129=""),"",IF(A1129="","Produit manquant",IF(COUNTIF(prod_ref,A1129)=0,"Produit inconnu",IF(D1129="","Poste manquant",IF(ISNA(MATCH(D1129,po_code,0)),"Poste inconnu",IF(INDEX(po_check,MATCH(D1129,po_code,0))&lt;&gt;"OK","Poste à corriger",IF(AND(E1129&lt;&gt;"",OR(NOT(ISNUMBER(E1129)),N(E1129)&lt;0)),"Réglage invalide",IF(AND(F1129&lt;&gt;"",OR(NOT(ISNUMBER(F1129)),N(F1129)&lt;0)),"Temps par pièce invalide",IF(N(E1129)+N(F1129)=0,"Temps manquant",IF(AND(G1129&lt;&gt;"",OR(NOT(ISNUMBER(G1129)),N(G1129)&lt;=0)),"Opérateurs invalide","OK"))))))))))</f>
        <v/>
      </c>
      <c r="N1129" s="71" t="str">
        <f>IF(AND(fiche_sel&lt;&gt;"",A1129=fiche_sel),COUNTIF(A$6:A1129,fiche_sel),"")</f>
        <v/>
      </c>
    </row>
    <row r="1130">
      <c r="A1130" s="60" t="n"/>
      <c r="B1130" s="73" t="n"/>
      <c r="C1130" s="60" t="n"/>
      <c r="D1130" s="61" t="n"/>
      <c r="E1130" s="74" t="n"/>
      <c r="F1130" s="74" t="n"/>
      <c r="G1130" s="73" t="n"/>
      <c r="H1130" s="66" t="str">
        <f>IF(M1130&lt;&gt;"OK","",INDEX(po_mo,MATCH(D1130,po_code,0)))</f>
        <v/>
      </c>
      <c r="I1130" s="66" t="str">
        <f>IF(M1130&lt;&gt;"OK","",INDEX(po_mac,MATCH(D1130,po_code,0)))</f>
        <v/>
      </c>
      <c r="J1130" s="66" t="str">
        <f>IF(M1130&lt;&gt;"OK","",N(E1130)*(H1130*IF(G1130="",1,G1130)+I1130))</f>
        <v/>
      </c>
      <c r="K1130" s="66" t="str">
        <f>IF(M1130&lt;&gt;"OK","",N(F1130)/60*H1130*IF(G1130="",1,G1130))</f>
        <v/>
      </c>
      <c r="L1130" s="66" t="str">
        <f>IF(M1130&lt;&gt;"OK","",N(F1130)/60*I1130)</f>
        <v/>
      </c>
      <c r="M1130" s="69" t="str">
        <f>IF(AND(A1130="",D1130=""),"",IF(A1130="","Produit manquant",IF(COUNTIF(prod_ref,A1130)=0,"Produit inconnu",IF(D1130="","Poste manquant",IF(ISNA(MATCH(D1130,po_code,0)),"Poste inconnu",IF(INDEX(po_check,MATCH(D1130,po_code,0))&lt;&gt;"OK","Poste à corriger",IF(AND(E1130&lt;&gt;"",OR(NOT(ISNUMBER(E1130)),N(E1130)&lt;0)),"Réglage invalide",IF(AND(F1130&lt;&gt;"",OR(NOT(ISNUMBER(F1130)),N(F1130)&lt;0)),"Temps par pièce invalide",IF(N(E1130)+N(F1130)=0,"Temps manquant",IF(AND(G1130&lt;&gt;"",OR(NOT(ISNUMBER(G1130)),N(G1130)&lt;=0)),"Opérateurs invalide","OK"))))))))))</f>
        <v/>
      </c>
      <c r="N1130" s="71" t="str">
        <f>IF(AND(fiche_sel&lt;&gt;"",A1130=fiche_sel),COUNTIF(A$6:A1130,fiche_sel),"")</f>
        <v/>
      </c>
    </row>
    <row r="1131">
      <c r="A1131" s="60" t="n"/>
      <c r="B1131" s="73" t="n"/>
      <c r="C1131" s="60" t="n"/>
      <c r="D1131" s="61" t="n"/>
      <c r="E1131" s="74" t="n"/>
      <c r="F1131" s="74" t="n"/>
      <c r="G1131" s="73" t="n"/>
      <c r="H1131" s="66" t="str">
        <f>IF(M1131&lt;&gt;"OK","",INDEX(po_mo,MATCH(D1131,po_code,0)))</f>
        <v/>
      </c>
      <c r="I1131" s="66" t="str">
        <f>IF(M1131&lt;&gt;"OK","",INDEX(po_mac,MATCH(D1131,po_code,0)))</f>
        <v/>
      </c>
      <c r="J1131" s="66" t="str">
        <f>IF(M1131&lt;&gt;"OK","",N(E1131)*(H1131*IF(G1131="",1,G1131)+I1131))</f>
        <v/>
      </c>
      <c r="K1131" s="66" t="str">
        <f>IF(M1131&lt;&gt;"OK","",N(F1131)/60*H1131*IF(G1131="",1,G1131))</f>
        <v/>
      </c>
      <c r="L1131" s="66" t="str">
        <f>IF(M1131&lt;&gt;"OK","",N(F1131)/60*I1131)</f>
        <v/>
      </c>
      <c r="M1131" s="69" t="str">
        <f>IF(AND(A1131="",D1131=""),"",IF(A1131="","Produit manquant",IF(COUNTIF(prod_ref,A1131)=0,"Produit inconnu",IF(D1131="","Poste manquant",IF(ISNA(MATCH(D1131,po_code,0)),"Poste inconnu",IF(INDEX(po_check,MATCH(D1131,po_code,0))&lt;&gt;"OK","Poste à corriger",IF(AND(E1131&lt;&gt;"",OR(NOT(ISNUMBER(E1131)),N(E1131)&lt;0)),"Réglage invalide",IF(AND(F1131&lt;&gt;"",OR(NOT(ISNUMBER(F1131)),N(F1131)&lt;0)),"Temps par pièce invalide",IF(N(E1131)+N(F1131)=0,"Temps manquant",IF(AND(G1131&lt;&gt;"",OR(NOT(ISNUMBER(G1131)),N(G1131)&lt;=0)),"Opérateurs invalide","OK"))))))))))</f>
        <v/>
      </c>
      <c r="N1131" s="71" t="str">
        <f>IF(AND(fiche_sel&lt;&gt;"",A1131=fiche_sel),COUNTIF(A$6:A1131,fiche_sel),"")</f>
        <v/>
      </c>
    </row>
    <row r="1132">
      <c r="A1132" s="60" t="n"/>
      <c r="B1132" s="73" t="n"/>
      <c r="C1132" s="60" t="n"/>
      <c r="D1132" s="61" t="n"/>
      <c r="E1132" s="74" t="n"/>
      <c r="F1132" s="74" t="n"/>
      <c r="G1132" s="73" t="n"/>
      <c r="H1132" s="66" t="str">
        <f>IF(M1132&lt;&gt;"OK","",INDEX(po_mo,MATCH(D1132,po_code,0)))</f>
        <v/>
      </c>
      <c r="I1132" s="66" t="str">
        <f>IF(M1132&lt;&gt;"OK","",INDEX(po_mac,MATCH(D1132,po_code,0)))</f>
        <v/>
      </c>
      <c r="J1132" s="66" t="str">
        <f>IF(M1132&lt;&gt;"OK","",N(E1132)*(H1132*IF(G1132="",1,G1132)+I1132))</f>
        <v/>
      </c>
      <c r="K1132" s="66" t="str">
        <f>IF(M1132&lt;&gt;"OK","",N(F1132)/60*H1132*IF(G1132="",1,G1132))</f>
        <v/>
      </c>
      <c r="L1132" s="66" t="str">
        <f>IF(M1132&lt;&gt;"OK","",N(F1132)/60*I1132)</f>
        <v/>
      </c>
      <c r="M1132" s="69" t="str">
        <f>IF(AND(A1132="",D1132=""),"",IF(A1132="","Produit manquant",IF(COUNTIF(prod_ref,A1132)=0,"Produit inconnu",IF(D1132="","Poste manquant",IF(ISNA(MATCH(D1132,po_code,0)),"Poste inconnu",IF(INDEX(po_check,MATCH(D1132,po_code,0))&lt;&gt;"OK","Poste à corriger",IF(AND(E1132&lt;&gt;"",OR(NOT(ISNUMBER(E1132)),N(E1132)&lt;0)),"Réglage invalide",IF(AND(F1132&lt;&gt;"",OR(NOT(ISNUMBER(F1132)),N(F1132)&lt;0)),"Temps par pièce invalide",IF(N(E1132)+N(F1132)=0,"Temps manquant",IF(AND(G1132&lt;&gt;"",OR(NOT(ISNUMBER(G1132)),N(G1132)&lt;=0)),"Opérateurs invalide","OK"))))))))))</f>
        <v/>
      </c>
      <c r="N1132" s="71" t="str">
        <f>IF(AND(fiche_sel&lt;&gt;"",A1132=fiche_sel),COUNTIF(A$6:A1132,fiche_sel),"")</f>
        <v/>
      </c>
    </row>
    <row r="1133">
      <c r="A1133" s="60" t="n"/>
      <c r="B1133" s="73" t="n"/>
      <c r="C1133" s="60" t="n"/>
      <c r="D1133" s="61" t="n"/>
      <c r="E1133" s="74" t="n"/>
      <c r="F1133" s="74" t="n"/>
      <c r="G1133" s="73" t="n"/>
      <c r="H1133" s="66" t="str">
        <f>IF(M1133&lt;&gt;"OK","",INDEX(po_mo,MATCH(D1133,po_code,0)))</f>
        <v/>
      </c>
      <c r="I1133" s="66" t="str">
        <f>IF(M1133&lt;&gt;"OK","",INDEX(po_mac,MATCH(D1133,po_code,0)))</f>
        <v/>
      </c>
      <c r="J1133" s="66" t="str">
        <f>IF(M1133&lt;&gt;"OK","",N(E1133)*(H1133*IF(G1133="",1,G1133)+I1133))</f>
        <v/>
      </c>
      <c r="K1133" s="66" t="str">
        <f>IF(M1133&lt;&gt;"OK","",N(F1133)/60*H1133*IF(G1133="",1,G1133))</f>
        <v/>
      </c>
      <c r="L1133" s="66" t="str">
        <f>IF(M1133&lt;&gt;"OK","",N(F1133)/60*I1133)</f>
        <v/>
      </c>
      <c r="M1133" s="69" t="str">
        <f>IF(AND(A1133="",D1133=""),"",IF(A1133="","Produit manquant",IF(COUNTIF(prod_ref,A1133)=0,"Produit inconnu",IF(D1133="","Poste manquant",IF(ISNA(MATCH(D1133,po_code,0)),"Poste inconnu",IF(INDEX(po_check,MATCH(D1133,po_code,0))&lt;&gt;"OK","Poste à corriger",IF(AND(E1133&lt;&gt;"",OR(NOT(ISNUMBER(E1133)),N(E1133)&lt;0)),"Réglage invalide",IF(AND(F1133&lt;&gt;"",OR(NOT(ISNUMBER(F1133)),N(F1133)&lt;0)),"Temps par pièce invalide",IF(N(E1133)+N(F1133)=0,"Temps manquant",IF(AND(G1133&lt;&gt;"",OR(NOT(ISNUMBER(G1133)),N(G1133)&lt;=0)),"Opérateurs invalide","OK"))))))))))</f>
        <v/>
      </c>
      <c r="N1133" s="71" t="str">
        <f>IF(AND(fiche_sel&lt;&gt;"",A1133=fiche_sel),COUNTIF(A$6:A1133,fiche_sel),"")</f>
        <v/>
      </c>
    </row>
    <row r="1134">
      <c r="A1134" s="60" t="n"/>
      <c r="B1134" s="73" t="n"/>
      <c r="C1134" s="60" t="n"/>
      <c r="D1134" s="61" t="n"/>
      <c r="E1134" s="74" t="n"/>
      <c r="F1134" s="74" t="n"/>
      <c r="G1134" s="73" t="n"/>
      <c r="H1134" s="66" t="str">
        <f>IF(M1134&lt;&gt;"OK","",INDEX(po_mo,MATCH(D1134,po_code,0)))</f>
        <v/>
      </c>
      <c r="I1134" s="66" t="str">
        <f>IF(M1134&lt;&gt;"OK","",INDEX(po_mac,MATCH(D1134,po_code,0)))</f>
        <v/>
      </c>
      <c r="J1134" s="66" t="str">
        <f>IF(M1134&lt;&gt;"OK","",N(E1134)*(H1134*IF(G1134="",1,G1134)+I1134))</f>
        <v/>
      </c>
      <c r="K1134" s="66" t="str">
        <f>IF(M1134&lt;&gt;"OK","",N(F1134)/60*H1134*IF(G1134="",1,G1134))</f>
        <v/>
      </c>
      <c r="L1134" s="66" t="str">
        <f>IF(M1134&lt;&gt;"OK","",N(F1134)/60*I1134)</f>
        <v/>
      </c>
      <c r="M1134" s="69" t="str">
        <f>IF(AND(A1134="",D1134=""),"",IF(A1134="","Produit manquant",IF(COUNTIF(prod_ref,A1134)=0,"Produit inconnu",IF(D1134="","Poste manquant",IF(ISNA(MATCH(D1134,po_code,0)),"Poste inconnu",IF(INDEX(po_check,MATCH(D1134,po_code,0))&lt;&gt;"OK","Poste à corriger",IF(AND(E1134&lt;&gt;"",OR(NOT(ISNUMBER(E1134)),N(E1134)&lt;0)),"Réglage invalide",IF(AND(F1134&lt;&gt;"",OR(NOT(ISNUMBER(F1134)),N(F1134)&lt;0)),"Temps par pièce invalide",IF(N(E1134)+N(F1134)=0,"Temps manquant",IF(AND(G1134&lt;&gt;"",OR(NOT(ISNUMBER(G1134)),N(G1134)&lt;=0)),"Opérateurs invalide","OK"))))))))))</f>
        <v/>
      </c>
      <c r="N1134" s="71" t="str">
        <f>IF(AND(fiche_sel&lt;&gt;"",A1134=fiche_sel),COUNTIF(A$6:A1134,fiche_sel),"")</f>
        <v/>
      </c>
    </row>
    <row r="1135">
      <c r="A1135" s="60" t="n"/>
      <c r="B1135" s="73" t="n"/>
      <c r="C1135" s="60" t="n"/>
      <c r="D1135" s="61" t="n"/>
      <c r="E1135" s="74" t="n"/>
      <c r="F1135" s="74" t="n"/>
      <c r="G1135" s="73" t="n"/>
      <c r="H1135" s="66" t="str">
        <f>IF(M1135&lt;&gt;"OK","",INDEX(po_mo,MATCH(D1135,po_code,0)))</f>
        <v/>
      </c>
      <c r="I1135" s="66" t="str">
        <f>IF(M1135&lt;&gt;"OK","",INDEX(po_mac,MATCH(D1135,po_code,0)))</f>
        <v/>
      </c>
      <c r="J1135" s="66" t="str">
        <f>IF(M1135&lt;&gt;"OK","",N(E1135)*(H1135*IF(G1135="",1,G1135)+I1135))</f>
        <v/>
      </c>
      <c r="K1135" s="66" t="str">
        <f>IF(M1135&lt;&gt;"OK","",N(F1135)/60*H1135*IF(G1135="",1,G1135))</f>
        <v/>
      </c>
      <c r="L1135" s="66" t="str">
        <f>IF(M1135&lt;&gt;"OK","",N(F1135)/60*I1135)</f>
        <v/>
      </c>
      <c r="M1135" s="69" t="str">
        <f>IF(AND(A1135="",D1135=""),"",IF(A1135="","Produit manquant",IF(COUNTIF(prod_ref,A1135)=0,"Produit inconnu",IF(D1135="","Poste manquant",IF(ISNA(MATCH(D1135,po_code,0)),"Poste inconnu",IF(INDEX(po_check,MATCH(D1135,po_code,0))&lt;&gt;"OK","Poste à corriger",IF(AND(E1135&lt;&gt;"",OR(NOT(ISNUMBER(E1135)),N(E1135)&lt;0)),"Réglage invalide",IF(AND(F1135&lt;&gt;"",OR(NOT(ISNUMBER(F1135)),N(F1135)&lt;0)),"Temps par pièce invalide",IF(N(E1135)+N(F1135)=0,"Temps manquant",IF(AND(G1135&lt;&gt;"",OR(NOT(ISNUMBER(G1135)),N(G1135)&lt;=0)),"Opérateurs invalide","OK"))))))))))</f>
        <v/>
      </c>
      <c r="N1135" s="71" t="str">
        <f>IF(AND(fiche_sel&lt;&gt;"",A1135=fiche_sel),COUNTIF(A$6:A1135,fiche_sel),"")</f>
        <v/>
      </c>
    </row>
    <row r="1136">
      <c r="A1136" s="60" t="n"/>
      <c r="B1136" s="73" t="n"/>
      <c r="C1136" s="60" t="n"/>
      <c r="D1136" s="61" t="n"/>
      <c r="E1136" s="74" t="n"/>
      <c r="F1136" s="74" t="n"/>
      <c r="G1136" s="73" t="n"/>
      <c r="H1136" s="66" t="str">
        <f>IF(M1136&lt;&gt;"OK","",INDEX(po_mo,MATCH(D1136,po_code,0)))</f>
        <v/>
      </c>
      <c r="I1136" s="66" t="str">
        <f>IF(M1136&lt;&gt;"OK","",INDEX(po_mac,MATCH(D1136,po_code,0)))</f>
        <v/>
      </c>
      <c r="J1136" s="66" t="str">
        <f>IF(M1136&lt;&gt;"OK","",N(E1136)*(H1136*IF(G1136="",1,G1136)+I1136))</f>
        <v/>
      </c>
      <c r="K1136" s="66" t="str">
        <f>IF(M1136&lt;&gt;"OK","",N(F1136)/60*H1136*IF(G1136="",1,G1136))</f>
        <v/>
      </c>
      <c r="L1136" s="66" t="str">
        <f>IF(M1136&lt;&gt;"OK","",N(F1136)/60*I1136)</f>
        <v/>
      </c>
      <c r="M1136" s="69" t="str">
        <f>IF(AND(A1136="",D1136=""),"",IF(A1136="","Produit manquant",IF(COUNTIF(prod_ref,A1136)=0,"Produit inconnu",IF(D1136="","Poste manquant",IF(ISNA(MATCH(D1136,po_code,0)),"Poste inconnu",IF(INDEX(po_check,MATCH(D1136,po_code,0))&lt;&gt;"OK","Poste à corriger",IF(AND(E1136&lt;&gt;"",OR(NOT(ISNUMBER(E1136)),N(E1136)&lt;0)),"Réglage invalide",IF(AND(F1136&lt;&gt;"",OR(NOT(ISNUMBER(F1136)),N(F1136)&lt;0)),"Temps par pièce invalide",IF(N(E1136)+N(F1136)=0,"Temps manquant",IF(AND(G1136&lt;&gt;"",OR(NOT(ISNUMBER(G1136)),N(G1136)&lt;=0)),"Opérateurs invalide","OK"))))))))))</f>
        <v/>
      </c>
      <c r="N1136" s="71" t="str">
        <f>IF(AND(fiche_sel&lt;&gt;"",A1136=fiche_sel),COUNTIF(A$6:A1136,fiche_sel),"")</f>
        <v/>
      </c>
    </row>
    <row r="1137">
      <c r="A1137" s="60" t="n"/>
      <c r="B1137" s="73" t="n"/>
      <c r="C1137" s="60" t="n"/>
      <c r="D1137" s="61" t="n"/>
      <c r="E1137" s="74" t="n"/>
      <c r="F1137" s="74" t="n"/>
      <c r="G1137" s="73" t="n"/>
      <c r="H1137" s="66" t="str">
        <f>IF(M1137&lt;&gt;"OK","",INDEX(po_mo,MATCH(D1137,po_code,0)))</f>
        <v/>
      </c>
      <c r="I1137" s="66" t="str">
        <f>IF(M1137&lt;&gt;"OK","",INDEX(po_mac,MATCH(D1137,po_code,0)))</f>
        <v/>
      </c>
      <c r="J1137" s="66" t="str">
        <f>IF(M1137&lt;&gt;"OK","",N(E1137)*(H1137*IF(G1137="",1,G1137)+I1137))</f>
        <v/>
      </c>
      <c r="K1137" s="66" t="str">
        <f>IF(M1137&lt;&gt;"OK","",N(F1137)/60*H1137*IF(G1137="",1,G1137))</f>
        <v/>
      </c>
      <c r="L1137" s="66" t="str">
        <f>IF(M1137&lt;&gt;"OK","",N(F1137)/60*I1137)</f>
        <v/>
      </c>
      <c r="M1137" s="69" t="str">
        <f>IF(AND(A1137="",D1137=""),"",IF(A1137="","Produit manquant",IF(COUNTIF(prod_ref,A1137)=0,"Produit inconnu",IF(D1137="","Poste manquant",IF(ISNA(MATCH(D1137,po_code,0)),"Poste inconnu",IF(INDEX(po_check,MATCH(D1137,po_code,0))&lt;&gt;"OK","Poste à corriger",IF(AND(E1137&lt;&gt;"",OR(NOT(ISNUMBER(E1137)),N(E1137)&lt;0)),"Réglage invalide",IF(AND(F1137&lt;&gt;"",OR(NOT(ISNUMBER(F1137)),N(F1137)&lt;0)),"Temps par pièce invalide",IF(N(E1137)+N(F1137)=0,"Temps manquant",IF(AND(G1137&lt;&gt;"",OR(NOT(ISNUMBER(G1137)),N(G1137)&lt;=0)),"Opérateurs invalide","OK"))))))))))</f>
        <v/>
      </c>
      <c r="N1137" s="71" t="str">
        <f>IF(AND(fiche_sel&lt;&gt;"",A1137=fiche_sel),COUNTIF(A$6:A1137,fiche_sel),"")</f>
        <v/>
      </c>
    </row>
    <row r="1138">
      <c r="A1138" s="60" t="n"/>
      <c r="B1138" s="73" t="n"/>
      <c r="C1138" s="60" t="n"/>
      <c r="D1138" s="61" t="n"/>
      <c r="E1138" s="74" t="n"/>
      <c r="F1138" s="74" t="n"/>
      <c r="G1138" s="73" t="n"/>
      <c r="H1138" s="66" t="str">
        <f>IF(M1138&lt;&gt;"OK","",INDEX(po_mo,MATCH(D1138,po_code,0)))</f>
        <v/>
      </c>
      <c r="I1138" s="66" t="str">
        <f>IF(M1138&lt;&gt;"OK","",INDEX(po_mac,MATCH(D1138,po_code,0)))</f>
        <v/>
      </c>
      <c r="J1138" s="66" t="str">
        <f>IF(M1138&lt;&gt;"OK","",N(E1138)*(H1138*IF(G1138="",1,G1138)+I1138))</f>
        <v/>
      </c>
      <c r="K1138" s="66" t="str">
        <f>IF(M1138&lt;&gt;"OK","",N(F1138)/60*H1138*IF(G1138="",1,G1138))</f>
        <v/>
      </c>
      <c r="L1138" s="66" t="str">
        <f>IF(M1138&lt;&gt;"OK","",N(F1138)/60*I1138)</f>
        <v/>
      </c>
      <c r="M1138" s="69" t="str">
        <f>IF(AND(A1138="",D1138=""),"",IF(A1138="","Produit manquant",IF(COUNTIF(prod_ref,A1138)=0,"Produit inconnu",IF(D1138="","Poste manquant",IF(ISNA(MATCH(D1138,po_code,0)),"Poste inconnu",IF(INDEX(po_check,MATCH(D1138,po_code,0))&lt;&gt;"OK","Poste à corriger",IF(AND(E1138&lt;&gt;"",OR(NOT(ISNUMBER(E1138)),N(E1138)&lt;0)),"Réglage invalide",IF(AND(F1138&lt;&gt;"",OR(NOT(ISNUMBER(F1138)),N(F1138)&lt;0)),"Temps par pièce invalide",IF(N(E1138)+N(F1138)=0,"Temps manquant",IF(AND(G1138&lt;&gt;"",OR(NOT(ISNUMBER(G1138)),N(G1138)&lt;=0)),"Opérateurs invalide","OK"))))))))))</f>
        <v/>
      </c>
      <c r="N1138" s="71" t="str">
        <f>IF(AND(fiche_sel&lt;&gt;"",A1138=fiche_sel),COUNTIF(A$6:A1138,fiche_sel),"")</f>
        <v/>
      </c>
    </row>
    <row r="1139">
      <c r="A1139" s="60" t="n"/>
      <c r="B1139" s="73" t="n"/>
      <c r="C1139" s="60" t="n"/>
      <c r="D1139" s="61" t="n"/>
      <c r="E1139" s="74" t="n"/>
      <c r="F1139" s="74" t="n"/>
      <c r="G1139" s="73" t="n"/>
      <c r="H1139" s="66" t="str">
        <f>IF(M1139&lt;&gt;"OK","",INDEX(po_mo,MATCH(D1139,po_code,0)))</f>
        <v/>
      </c>
      <c r="I1139" s="66" t="str">
        <f>IF(M1139&lt;&gt;"OK","",INDEX(po_mac,MATCH(D1139,po_code,0)))</f>
        <v/>
      </c>
      <c r="J1139" s="66" t="str">
        <f>IF(M1139&lt;&gt;"OK","",N(E1139)*(H1139*IF(G1139="",1,G1139)+I1139))</f>
        <v/>
      </c>
      <c r="K1139" s="66" t="str">
        <f>IF(M1139&lt;&gt;"OK","",N(F1139)/60*H1139*IF(G1139="",1,G1139))</f>
        <v/>
      </c>
      <c r="L1139" s="66" t="str">
        <f>IF(M1139&lt;&gt;"OK","",N(F1139)/60*I1139)</f>
        <v/>
      </c>
      <c r="M1139" s="69" t="str">
        <f>IF(AND(A1139="",D1139=""),"",IF(A1139="","Produit manquant",IF(COUNTIF(prod_ref,A1139)=0,"Produit inconnu",IF(D1139="","Poste manquant",IF(ISNA(MATCH(D1139,po_code,0)),"Poste inconnu",IF(INDEX(po_check,MATCH(D1139,po_code,0))&lt;&gt;"OK","Poste à corriger",IF(AND(E1139&lt;&gt;"",OR(NOT(ISNUMBER(E1139)),N(E1139)&lt;0)),"Réglage invalide",IF(AND(F1139&lt;&gt;"",OR(NOT(ISNUMBER(F1139)),N(F1139)&lt;0)),"Temps par pièce invalide",IF(N(E1139)+N(F1139)=0,"Temps manquant",IF(AND(G1139&lt;&gt;"",OR(NOT(ISNUMBER(G1139)),N(G1139)&lt;=0)),"Opérateurs invalide","OK"))))))))))</f>
        <v/>
      </c>
      <c r="N1139" s="71" t="str">
        <f>IF(AND(fiche_sel&lt;&gt;"",A1139=fiche_sel),COUNTIF(A$6:A1139,fiche_sel),"")</f>
        <v/>
      </c>
    </row>
    <row r="1140">
      <c r="A1140" s="60" t="n"/>
      <c r="B1140" s="73" t="n"/>
      <c r="C1140" s="60" t="n"/>
      <c r="D1140" s="61" t="n"/>
      <c r="E1140" s="74" t="n"/>
      <c r="F1140" s="74" t="n"/>
      <c r="G1140" s="73" t="n"/>
      <c r="H1140" s="66" t="str">
        <f>IF(M1140&lt;&gt;"OK","",INDEX(po_mo,MATCH(D1140,po_code,0)))</f>
        <v/>
      </c>
      <c r="I1140" s="66" t="str">
        <f>IF(M1140&lt;&gt;"OK","",INDEX(po_mac,MATCH(D1140,po_code,0)))</f>
        <v/>
      </c>
      <c r="J1140" s="66" t="str">
        <f>IF(M1140&lt;&gt;"OK","",N(E1140)*(H1140*IF(G1140="",1,G1140)+I1140))</f>
        <v/>
      </c>
      <c r="K1140" s="66" t="str">
        <f>IF(M1140&lt;&gt;"OK","",N(F1140)/60*H1140*IF(G1140="",1,G1140))</f>
        <v/>
      </c>
      <c r="L1140" s="66" t="str">
        <f>IF(M1140&lt;&gt;"OK","",N(F1140)/60*I1140)</f>
        <v/>
      </c>
      <c r="M1140" s="69" t="str">
        <f>IF(AND(A1140="",D1140=""),"",IF(A1140="","Produit manquant",IF(COUNTIF(prod_ref,A1140)=0,"Produit inconnu",IF(D1140="","Poste manquant",IF(ISNA(MATCH(D1140,po_code,0)),"Poste inconnu",IF(INDEX(po_check,MATCH(D1140,po_code,0))&lt;&gt;"OK","Poste à corriger",IF(AND(E1140&lt;&gt;"",OR(NOT(ISNUMBER(E1140)),N(E1140)&lt;0)),"Réglage invalide",IF(AND(F1140&lt;&gt;"",OR(NOT(ISNUMBER(F1140)),N(F1140)&lt;0)),"Temps par pièce invalide",IF(N(E1140)+N(F1140)=0,"Temps manquant",IF(AND(G1140&lt;&gt;"",OR(NOT(ISNUMBER(G1140)),N(G1140)&lt;=0)),"Opérateurs invalide","OK"))))))))))</f>
        <v/>
      </c>
      <c r="N1140" s="71" t="str">
        <f>IF(AND(fiche_sel&lt;&gt;"",A1140=fiche_sel),COUNTIF(A$6:A1140,fiche_sel),"")</f>
        <v/>
      </c>
    </row>
    <row r="1141">
      <c r="A1141" s="60" t="n"/>
      <c r="B1141" s="73" t="n"/>
      <c r="C1141" s="60" t="n"/>
      <c r="D1141" s="61" t="n"/>
      <c r="E1141" s="74" t="n"/>
      <c r="F1141" s="74" t="n"/>
      <c r="G1141" s="73" t="n"/>
      <c r="H1141" s="66" t="str">
        <f>IF(M1141&lt;&gt;"OK","",INDEX(po_mo,MATCH(D1141,po_code,0)))</f>
        <v/>
      </c>
      <c r="I1141" s="66" t="str">
        <f>IF(M1141&lt;&gt;"OK","",INDEX(po_mac,MATCH(D1141,po_code,0)))</f>
        <v/>
      </c>
      <c r="J1141" s="66" t="str">
        <f>IF(M1141&lt;&gt;"OK","",N(E1141)*(H1141*IF(G1141="",1,G1141)+I1141))</f>
        <v/>
      </c>
      <c r="K1141" s="66" t="str">
        <f>IF(M1141&lt;&gt;"OK","",N(F1141)/60*H1141*IF(G1141="",1,G1141))</f>
        <v/>
      </c>
      <c r="L1141" s="66" t="str">
        <f>IF(M1141&lt;&gt;"OK","",N(F1141)/60*I1141)</f>
        <v/>
      </c>
      <c r="M1141" s="69" t="str">
        <f>IF(AND(A1141="",D1141=""),"",IF(A1141="","Produit manquant",IF(COUNTIF(prod_ref,A1141)=0,"Produit inconnu",IF(D1141="","Poste manquant",IF(ISNA(MATCH(D1141,po_code,0)),"Poste inconnu",IF(INDEX(po_check,MATCH(D1141,po_code,0))&lt;&gt;"OK","Poste à corriger",IF(AND(E1141&lt;&gt;"",OR(NOT(ISNUMBER(E1141)),N(E1141)&lt;0)),"Réglage invalide",IF(AND(F1141&lt;&gt;"",OR(NOT(ISNUMBER(F1141)),N(F1141)&lt;0)),"Temps par pièce invalide",IF(N(E1141)+N(F1141)=0,"Temps manquant",IF(AND(G1141&lt;&gt;"",OR(NOT(ISNUMBER(G1141)),N(G1141)&lt;=0)),"Opérateurs invalide","OK"))))))))))</f>
        <v/>
      </c>
      <c r="N1141" s="71" t="str">
        <f>IF(AND(fiche_sel&lt;&gt;"",A1141=fiche_sel),COUNTIF(A$6:A1141,fiche_sel),"")</f>
        <v/>
      </c>
    </row>
    <row r="1142">
      <c r="A1142" s="60" t="n"/>
      <c r="B1142" s="73" t="n"/>
      <c r="C1142" s="60" t="n"/>
      <c r="D1142" s="61" t="n"/>
      <c r="E1142" s="74" t="n"/>
      <c r="F1142" s="74" t="n"/>
      <c r="G1142" s="73" t="n"/>
      <c r="H1142" s="66" t="str">
        <f>IF(M1142&lt;&gt;"OK","",INDEX(po_mo,MATCH(D1142,po_code,0)))</f>
        <v/>
      </c>
      <c r="I1142" s="66" t="str">
        <f>IF(M1142&lt;&gt;"OK","",INDEX(po_mac,MATCH(D1142,po_code,0)))</f>
        <v/>
      </c>
      <c r="J1142" s="66" t="str">
        <f>IF(M1142&lt;&gt;"OK","",N(E1142)*(H1142*IF(G1142="",1,G1142)+I1142))</f>
        <v/>
      </c>
      <c r="K1142" s="66" t="str">
        <f>IF(M1142&lt;&gt;"OK","",N(F1142)/60*H1142*IF(G1142="",1,G1142))</f>
        <v/>
      </c>
      <c r="L1142" s="66" t="str">
        <f>IF(M1142&lt;&gt;"OK","",N(F1142)/60*I1142)</f>
        <v/>
      </c>
      <c r="M1142" s="69" t="str">
        <f>IF(AND(A1142="",D1142=""),"",IF(A1142="","Produit manquant",IF(COUNTIF(prod_ref,A1142)=0,"Produit inconnu",IF(D1142="","Poste manquant",IF(ISNA(MATCH(D1142,po_code,0)),"Poste inconnu",IF(INDEX(po_check,MATCH(D1142,po_code,0))&lt;&gt;"OK","Poste à corriger",IF(AND(E1142&lt;&gt;"",OR(NOT(ISNUMBER(E1142)),N(E1142)&lt;0)),"Réglage invalide",IF(AND(F1142&lt;&gt;"",OR(NOT(ISNUMBER(F1142)),N(F1142)&lt;0)),"Temps par pièce invalide",IF(N(E1142)+N(F1142)=0,"Temps manquant",IF(AND(G1142&lt;&gt;"",OR(NOT(ISNUMBER(G1142)),N(G1142)&lt;=0)),"Opérateurs invalide","OK"))))))))))</f>
        <v/>
      </c>
      <c r="N1142" s="71" t="str">
        <f>IF(AND(fiche_sel&lt;&gt;"",A1142=fiche_sel),COUNTIF(A$6:A1142,fiche_sel),"")</f>
        <v/>
      </c>
    </row>
    <row r="1143">
      <c r="A1143" s="60" t="n"/>
      <c r="B1143" s="73" t="n"/>
      <c r="C1143" s="60" t="n"/>
      <c r="D1143" s="61" t="n"/>
      <c r="E1143" s="74" t="n"/>
      <c r="F1143" s="74" t="n"/>
      <c r="G1143" s="73" t="n"/>
      <c r="H1143" s="66" t="str">
        <f>IF(M1143&lt;&gt;"OK","",INDEX(po_mo,MATCH(D1143,po_code,0)))</f>
        <v/>
      </c>
      <c r="I1143" s="66" t="str">
        <f>IF(M1143&lt;&gt;"OK","",INDEX(po_mac,MATCH(D1143,po_code,0)))</f>
        <v/>
      </c>
      <c r="J1143" s="66" t="str">
        <f>IF(M1143&lt;&gt;"OK","",N(E1143)*(H1143*IF(G1143="",1,G1143)+I1143))</f>
        <v/>
      </c>
      <c r="K1143" s="66" t="str">
        <f>IF(M1143&lt;&gt;"OK","",N(F1143)/60*H1143*IF(G1143="",1,G1143))</f>
        <v/>
      </c>
      <c r="L1143" s="66" t="str">
        <f>IF(M1143&lt;&gt;"OK","",N(F1143)/60*I1143)</f>
        <v/>
      </c>
      <c r="M1143" s="69" t="str">
        <f>IF(AND(A1143="",D1143=""),"",IF(A1143="","Produit manquant",IF(COUNTIF(prod_ref,A1143)=0,"Produit inconnu",IF(D1143="","Poste manquant",IF(ISNA(MATCH(D1143,po_code,0)),"Poste inconnu",IF(INDEX(po_check,MATCH(D1143,po_code,0))&lt;&gt;"OK","Poste à corriger",IF(AND(E1143&lt;&gt;"",OR(NOT(ISNUMBER(E1143)),N(E1143)&lt;0)),"Réglage invalide",IF(AND(F1143&lt;&gt;"",OR(NOT(ISNUMBER(F1143)),N(F1143)&lt;0)),"Temps par pièce invalide",IF(N(E1143)+N(F1143)=0,"Temps manquant",IF(AND(G1143&lt;&gt;"",OR(NOT(ISNUMBER(G1143)),N(G1143)&lt;=0)),"Opérateurs invalide","OK"))))))))))</f>
        <v/>
      </c>
      <c r="N1143" s="71" t="str">
        <f>IF(AND(fiche_sel&lt;&gt;"",A1143=fiche_sel),COUNTIF(A$6:A1143,fiche_sel),"")</f>
        <v/>
      </c>
    </row>
    <row r="1144">
      <c r="A1144" s="60" t="n"/>
      <c r="B1144" s="73" t="n"/>
      <c r="C1144" s="60" t="n"/>
      <c r="D1144" s="61" t="n"/>
      <c r="E1144" s="74" t="n"/>
      <c r="F1144" s="74" t="n"/>
      <c r="G1144" s="73" t="n"/>
      <c r="H1144" s="66" t="str">
        <f>IF(M1144&lt;&gt;"OK","",INDEX(po_mo,MATCH(D1144,po_code,0)))</f>
        <v/>
      </c>
      <c r="I1144" s="66" t="str">
        <f>IF(M1144&lt;&gt;"OK","",INDEX(po_mac,MATCH(D1144,po_code,0)))</f>
        <v/>
      </c>
      <c r="J1144" s="66" t="str">
        <f>IF(M1144&lt;&gt;"OK","",N(E1144)*(H1144*IF(G1144="",1,G1144)+I1144))</f>
        <v/>
      </c>
      <c r="K1144" s="66" t="str">
        <f>IF(M1144&lt;&gt;"OK","",N(F1144)/60*H1144*IF(G1144="",1,G1144))</f>
        <v/>
      </c>
      <c r="L1144" s="66" t="str">
        <f>IF(M1144&lt;&gt;"OK","",N(F1144)/60*I1144)</f>
        <v/>
      </c>
      <c r="M1144" s="69" t="str">
        <f>IF(AND(A1144="",D1144=""),"",IF(A1144="","Produit manquant",IF(COUNTIF(prod_ref,A1144)=0,"Produit inconnu",IF(D1144="","Poste manquant",IF(ISNA(MATCH(D1144,po_code,0)),"Poste inconnu",IF(INDEX(po_check,MATCH(D1144,po_code,0))&lt;&gt;"OK","Poste à corriger",IF(AND(E1144&lt;&gt;"",OR(NOT(ISNUMBER(E1144)),N(E1144)&lt;0)),"Réglage invalide",IF(AND(F1144&lt;&gt;"",OR(NOT(ISNUMBER(F1144)),N(F1144)&lt;0)),"Temps par pièce invalide",IF(N(E1144)+N(F1144)=0,"Temps manquant",IF(AND(G1144&lt;&gt;"",OR(NOT(ISNUMBER(G1144)),N(G1144)&lt;=0)),"Opérateurs invalide","OK"))))))))))</f>
        <v/>
      </c>
      <c r="N1144" s="71" t="str">
        <f>IF(AND(fiche_sel&lt;&gt;"",A1144=fiche_sel),COUNTIF(A$6:A1144,fiche_sel),"")</f>
        <v/>
      </c>
    </row>
    <row r="1145">
      <c r="A1145" s="60" t="n"/>
      <c r="B1145" s="73" t="n"/>
      <c r="C1145" s="60" t="n"/>
      <c r="D1145" s="61" t="n"/>
      <c r="E1145" s="74" t="n"/>
      <c r="F1145" s="74" t="n"/>
      <c r="G1145" s="73" t="n"/>
      <c r="H1145" s="66" t="str">
        <f>IF(M1145&lt;&gt;"OK","",INDEX(po_mo,MATCH(D1145,po_code,0)))</f>
        <v/>
      </c>
      <c r="I1145" s="66" t="str">
        <f>IF(M1145&lt;&gt;"OK","",INDEX(po_mac,MATCH(D1145,po_code,0)))</f>
        <v/>
      </c>
      <c r="J1145" s="66" t="str">
        <f>IF(M1145&lt;&gt;"OK","",N(E1145)*(H1145*IF(G1145="",1,G1145)+I1145))</f>
        <v/>
      </c>
      <c r="K1145" s="66" t="str">
        <f>IF(M1145&lt;&gt;"OK","",N(F1145)/60*H1145*IF(G1145="",1,G1145))</f>
        <v/>
      </c>
      <c r="L1145" s="66" t="str">
        <f>IF(M1145&lt;&gt;"OK","",N(F1145)/60*I1145)</f>
        <v/>
      </c>
      <c r="M1145" s="69" t="str">
        <f>IF(AND(A1145="",D1145=""),"",IF(A1145="","Produit manquant",IF(COUNTIF(prod_ref,A1145)=0,"Produit inconnu",IF(D1145="","Poste manquant",IF(ISNA(MATCH(D1145,po_code,0)),"Poste inconnu",IF(INDEX(po_check,MATCH(D1145,po_code,0))&lt;&gt;"OK","Poste à corriger",IF(AND(E1145&lt;&gt;"",OR(NOT(ISNUMBER(E1145)),N(E1145)&lt;0)),"Réglage invalide",IF(AND(F1145&lt;&gt;"",OR(NOT(ISNUMBER(F1145)),N(F1145)&lt;0)),"Temps par pièce invalide",IF(N(E1145)+N(F1145)=0,"Temps manquant",IF(AND(G1145&lt;&gt;"",OR(NOT(ISNUMBER(G1145)),N(G1145)&lt;=0)),"Opérateurs invalide","OK"))))))))))</f>
        <v/>
      </c>
      <c r="N1145" s="71" t="str">
        <f>IF(AND(fiche_sel&lt;&gt;"",A1145=fiche_sel),COUNTIF(A$6:A1145,fiche_sel),"")</f>
        <v/>
      </c>
    </row>
    <row r="1146">
      <c r="A1146" s="60" t="n"/>
      <c r="B1146" s="73" t="n"/>
      <c r="C1146" s="60" t="n"/>
      <c r="D1146" s="61" t="n"/>
      <c r="E1146" s="74" t="n"/>
      <c r="F1146" s="74" t="n"/>
      <c r="G1146" s="73" t="n"/>
      <c r="H1146" s="66" t="str">
        <f>IF(M1146&lt;&gt;"OK","",INDEX(po_mo,MATCH(D1146,po_code,0)))</f>
        <v/>
      </c>
      <c r="I1146" s="66" t="str">
        <f>IF(M1146&lt;&gt;"OK","",INDEX(po_mac,MATCH(D1146,po_code,0)))</f>
        <v/>
      </c>
      <c r="J1146" s="66" t="str">
        <f>IF(M1146&lt;&gt;"OK","",N(E1146)*(H1146*IF(G1146="",1,G1146)+I1146))</f>
        <v/>
      </c>
      <c r="K1146" s="66" t="str">
        <f>IF(M1146&lt;&gt;"OK","",N(F1146)/60*H1146*IF(G1146="",1,G1146))</f>
        <v/>
      </c>
      <c r="L1146" s="66" t="str">
        <f>IF(M1146&lt;&gt;"OK","",N(F1146)/60*I1146)</f>
        <v/>
      </c>
      <c r="M1146" s="69" t="str">
        <f>IF(AND(A1146="",D1146=""),"",IF(A1146="","Produit manquant",IF(COUNTIF(prod_ref,A1146)=0,"Produit inconnu",IF(D1146="","Poste manquant",IF(ISNA(MATCH(D1146,po_code,0)),"Poste inconnu",IF(INDEX(po_check,MATCH(D1146,po_code,0))&lt;&gt;"OK","Poste à corriger",IF(AND(E1146&lt;&gt;"",OR(NOT(ISNUMBER(E1146)),N(E1146)&lt;0)),"Réglage invalide",IF(AND(F1146&lt;&gt;"",OR(NOT(ISNUMBER(F1146)),N(F1146)&lt;0)),"Temps par pièce invalide",IF(N(E1146)+N(F1146)=0,"Temps manquant",IF(AND(G1146&lt;&gt;"",OR(NOT(ISNUMBER(G1146)),N(G1146)&lt;=0)),"Opérateurs invalide","OK"))))))))))</f>
        <v/>
      </c>
      <c r="N1146" s="71" t="str">
        <f>IF(AND(fiche_sel&lt;&gt;"",A1146=fiche_sel),COUNTIF(A$6:A1146,fiche_sel),"")</f>
        <v/>
      </c>
    </row>
    <row r="1147">
      <c r="A1147" s="60" t="n"/>
      <c r="B1147" s="73" t="n"/>
      <c r="C1147" s="60" t="n"/>
      <c r="D1147" s="61" t="n"/>
      <c r="E1147" s="74" t="n"/>
      <c r="F1147" s="74" t="n"/>
      <c r="G1147" s="73" t="n"/>
      <c r="H1147" s="66" t="str">
        <f>IF(M1147&lt;&gt;"OK","",INDEX(po_mo,MATCH(D1147,po_code,0)))</f>
        <v/>
      </c>
      <c r="I1147" s="66" t="str">
        <f>IF(M1147&lt;&gt;"OK","",INDEX(po_mac,MATCH(D1147,po_code,0)))</f>
        <v/>
      </c>
      <c r="J1147" s="66" t="str">
        <f>IF(M1147&lt;&gt;"OK","",N(E1147)*(H1147*IF(G1147="",1,G1147)+I1147))</f>
        <v/>
      </c>
      <c r="K1147" s="66" t="str">
        <f>IF(M1147&lt;&gt;"OK","",N(F1147)/60*H1147*IF(G1147="",1,G1147))</f>
        <v/>
      </c>
      <c r="L1147" s="66" t="str">
        <f>IF(M1147&lt;&gt;"OK","",N(F1147)/60*I1147)</f>
        <v/>
      </c>
      <c r="M1147" s="69" t="str">
        <f>IF(AND(A1147="",D1147=""),"",IF(A1147="","Produit manquant",IF(COUNTIF(prod_ref,A1147)=0,"Produit inconnu",IF(D1147="","Poste manquant",IF(ISNA(MATCH(D1147,po_code,0)),"Poste inconnu",IF(INDEX(po_check,MATCH(D1147,po_code,0))&lt;&gt;"OK","Poste à corriger",IF(AND(E1147&lt;&gt;"",OR(NOT(ISNUMBER(E1147)),N(E1147)&lt;0)),"Réglage invalide",IF(AND(F1147&lt;&gt;"",OR(NOT(ISNUMBER(F1147)),N(F1147)&lt;0)),"Temps par pièce invalide",IF(N(E1147)+N(F1147)=0,"Temps manquant",IF(AND(G1147&lt;&gt;"",OR(NOT(ISNUMBER(G1147)),N(G1147)&lt;=0)),"Opérateurs invalide","OK"))))))))))</f>
        <v/>
      </c>
      <c r="N1147" s="71" t="str">
        <f>IF(AND(fiche_sel&lt;&gt;"",A1147=fiche_sel),COUNTIF(A$6:A1147,fiche_sel),"")</f>
        <v/>
      </c>
    </row>
    <row r="1148">
      <c r="A1148" s="60" t="n"/>
      <c r="B1148" s="73" t="n"/>
      <c r="C1148" s="60" t="n"/>
      <c r="D1148" s="61" t="n"/>
      <c r="E1148" s="74" t="n"/>
      <c r="F1148" s="74" t="n"/>
      <c r="G1148" s="73" t="n"/>
      <c r="H1148" s="66" t="str">
        <f>IF(M1148&lt;&gt;"OK","",INDEX(po_mo,MATCH(D1148,po_code,0)))</f>
        <v/>
      </c>
      <c r="I1148" s="66" t="str">
        <f>IF(M1148&lt;&gt;"OK","",INDEX(po_mac,MATCH(D1148,po_code,0)))</f>
        <v/>
      </c>
      <c r="J1148" s="66" t="str">
        <f>IF(M1148&lt;&gt;"OK","",N(E1148)*(H1148*IF(G1148="",1,G1148)+I1148))</f>
        <v/>
      </c>
      <c r="K1148" s="66" t="str">
        <f>IF(M1148&lt;&gt;"OK","",N(F1148)/60*H1148*IF(G1148="",1,G1148))</f>
        <v/>
      </c>
      <c r="L1148" s="66" t="str">
        <f>IF(M1148&lt;&gt;"OK","",N(F1148)/60*I1148)</f>
        <v/>
      </c>
      <c r="M1148" s="69" t="str">
        <f>IF(AND(A1148="",D1148=""),"",IF(A1148="","Produit manquant",IF(COUNTIF(prod_ref,A1148)=0,"Produit inconnu",IF(D1148="","Poste manquant",IF(ISNA(MATCH(D1148,po_code,0)),"Poste inconnu",IF(INDEX(po_check,MATCH(D1148,po_code,0))&lt;&gt;"OK","Poste à corriger",IF(AND(E1148&lt;&gt;"",OR(NOT(ISNUMBER(E1148)),N(E1148)&lt;0)),"Réglage invalide",IF(AND(F1148&lt;&gt;"",OR(NOT(ISNUMBER(F1148)),N(F1148)&lt;0)),"Temps par pièce invalide",IF(N(E1148)+N(F1148)=0,"Temps manquant",IF(AND(G1148&lt;&gt;"",OR(NOT(ISNUMBER(G1148)),N(G1148)&lt;=0)),"Opérateurs invalide","OK"))))))))))</f>
        <v/>
      </c>
      <c r="N1148" s="71" t="str">
        <f>IF(AND(fiche_sel&lt;&gt;"",A1148=fiche_sel),COUNTIF(A$6:A1148,fiche_sel),"")</f>
        <v/>
      </c>
    </row>
    <row r="1149">
      <c r="A1149" s="60" t="n"/>
      <c r="B1149" s="73" t="n"/>
      <c r="C1149" s="60" t="n"/>
      <c r="D1149" s="61" t="n"/>
      <c r="E1149" s="74" t="n"/>
      <c r="F1149" s="74" t="n"/>
      <c r="G1149" s="73" t="n"/>
      <c r="H1149" s="66" t="str">
        <f>IF(M1149&lt;&gt;"OK","",INDEX(po_mo,MATCH(D1149,po_code,0)))</f>
        <v/>
      </c>
      <c r="I1149" s="66" t="str">
        <f>IF(M1149&lt;&gt;"OK","",INDEX(po_mac,MATCH(D1149,po_code,0)))</f>
        <v/>
      </c>
      <c r="J1149" s="66" t="str">
        <f>IF(M1149&lt;&gt;"OK","",N(E1149)*(H1149*IF(G1149="",1,G1149)+I1149))</f>
        <v/>
      </c>
      <c r="K1149" s="66" t="str">
        <f>IF(M1149&lt;&gt;"OK","",N(F1149)/60*H1149*IF(G1149="",1,G1149))</f>
        <v/>
      </c>
      <c r="L1149" s="66" t="str">
        <f>IF(M1149&lt;&gt;"OK","",N(F1149)/60*I1149)</f>
        <v/>
      </c>
      <c r="M1149" s="69" t="str">
        <f>IF(AND(A1149="",D1149=""),"",IF(A1149="","Produit manquant",IF(COUNTIF(prod_ref,A1149)=0,"Produit inconnu",IF(D1149="","Poste manquant",IF(ISNA(MATCH(D1149,po_code,0)),"Poste inconnu",IF(INDEX(po_check,MATCH(D1149,po_code,0))&lt;&gt;"OK","Poste à corriger",IF(AND(E1149&lt;&gt;"",OR(NOT(ISNUMBER(E1149)),N(E1149)&lt;0)),"Réglage invalide",IF(AND(F1149&lt;&gt;"",OR(NOT(ISNUMBER(F1149)),N(F1149)&lt;0)),"Temps par pièce invalide",IF(N(E1149)+N(F1149)=0,"Temps manquant",IF(AND(G1149&lt;&gt;"",OR(NOT(ISNUMBER(G1149)),N(G1149)&lt;=0)),"Opérateurs invalide","OK"))))))))))</f>
        <v/>
      </c>
      <c r="N1149" s="71" t="str">
        <f>IF(AND(fiche_sel&lt;&gt;"",A1149=fiche_sel),COUNTIF(A$6:A1149,fiche_sel),"")</f>
        <v/>
      </c>
    </row>
    <row r="1150">
      <c r="A1150" s="60" t="n"/>
      <c r="B1150" s="73" t="n"/>
      <c r="C1150" s="60" t="n"/>
      <c r="D1150" s="61" t="n"/>
      <c r="E1150" s="74" t="n"/>
      <c r="F1150" s="74" t="n"/>
      <c r="G1150" s="73" t="n"/>
      <c r="H1150" s="66" t="str">
        <f>IF(M1150&lt;&gt;"OK","",INDEX(po_mo,MATCH(D1150,po_code,0)))</f>
        <v/>
      </c>
      <c r="I1150" s="66" t="str">
        <f>IF(M1150&lt;&gt;"OK","",INDEX(po_mac,MATCH(D1150,po_code,0)))</f>
        <v/>
      </c>
      <c r="J1150" s="66" t="str">
        <f>IF(M1150&lt;&gt;"OK","",N(E1150)*(H1150*IF(G1150="",1,G1150)+I1150))</f>
        <v/>
      </c>
      <c r="K1150" s="66" t="str">
        <f>IF(M1150&lt;&gt;"OK","",N(F1150)/60*H1150*IF(G1150="",1,G1150))</f>
        <v/>
      </c>
      <c r="L1150" s="66" t="str">
        <f>IF(M1150&lt;&gt;"OK","",N(F1150)/60*I1150)</f>
        <v/>
      </c>
      <c r="M1150" s="69" t="str">
        <f>IF(AND(A1150="",D1150=""),"",IF(A1150="","Produit manquant",IF(COUNTIF(prod_ref,A1150)=0,"Produit inconnu",IF(D1150="","Poste manquant",IF(ISNA(MATCH(D1150,po_code,0)),"Poste inconnu",IF(INDEX(po_check,MATCH(D1150,po_code,0))&lt;&gt;"OK","Poste à corriger",IF(AND(E1150&lt;&gt;"",OR(NOT(ISNUMBER(E1150)),N(E1150)&lt;0)),"Réglage invalide",IF(AND(F1150&lt;&gt;"",OR(NOT(ISNUMBER(F1150)),N(F1150)&lt;0)),"Temps par pièce invalide",IF(N(E1150)+N(F1150)=0,"Temps manquant",IF(AND(G1150&lt;&gt;"",OR(NOT(ISNUMBER(G1150)),N(G1150)&lt;=0)),"Opérateurs invalide","OK"))))))))))</f>
        <v/>
      </c>
      <c r="N1150" s="71" t="str">
        <f>IF(AND(fiche_sel&lt;&gt;"",A1150=fiche_sel),COUNTIF(A$6:A1150,fiche_sel),"")</f>
        <v/>
      </c>
    </row>
    <row r="1151">
      <c r="A1151" s="60" t="n"/>
      <c r="B1151" s="73" t="n"/>
      <c r="C1151" s="60" t="n"/>
      <c r="D1151" s="61" t="n"/>
      <c r="E1151" s="74" t="n"/>
      <c r="F1151" s="74" t="n"/>
      <c r="G1151" s="73" t="n"/>
      <c r="H1151" s="66" t="str">
        <f>IF(M1151&lt;&gt;"OK","",INDEX(po_mo,MATCH(D1151,po_code,0)))</f>
        <v/>
      </c>
      <c r="I1151" s="66" t="str">
        <f>IF(M1151&lt;&gt;"OK","",INDEX(po_mac,MATCH(D1151,po_code,0)))</f>
        <v/>
      </c>
      <c r="J1151" s="66" t="str">
        <f>IF(M1151&lt;&gt;"OK","",N(E1151)*(H1151*IF(G1151="",1,G1151)+I1151))</f>
        <v/>
      </c>
      <c r="K1151" s="66" t="str">
        <f>IF(M1151&lt;&gt;"OK","",N(F1151)/60*H1151*IF(G1151="",1,G1151))</f>
        <v/>
      </c>
      <c r="L1151" s="66" t="str">
        <f>IF(M1151&lt;&gt;"OK","",N(F1151)/60*I1151)</f>
        <v/>
      </c>
      <c r="M1151" s="69" t="str">
        <f>IF(AND(A1151="",D1151=""),"",IF(A1151="","Produit manquant",IF(COUNTIF(prod_ref,A1151)=0,"Produit inconnu",IF(D1151="","Poste manquant",IF(ISNA(MATCH(D1151,po_code,0)),"Poste inconnu",IF(INDEX(po_check,MATCH(D1151,po_code,0))&lt;&gt;"OK","Poste à corriger",IF(AND(E1151&lt;&gt;"",OR(NOT(ISNUMBER(E1151)),N(E1151)&lt;0)),"Réglage invalide",IF(AND(F1151&lt;&gt;"",OR(NOT(ISNUMBER(F1151)),N(F1151)&lt;0)),"Temps par pièce invalide",IF(N(E1151)+N(F1151)=0,"Temps manquant",IF(AND(G1151&lt;&gt;"",OR(NOT(ISNUMBER(G1151)),N(G1151)&lt;=0)),"Opérateurs invalide","OK"))))))))))</f>
        <v/>
      </c>
      <c r="N1151" s="71" t="str">
        <f>IF(AND(fiche_sel&lt;&gt;"",A1151=fiche_sel),COUNTIF(A$6:A1151,fiche_sel),"")</f>
        <v/>
      </c>
    </row>
    <row r="1152">
      <c r="A1152" s="60" t="n"/>
      <c r="B1152" s="73" t="n"/>
      <c r="C1152" s="60" t="n"/>
      <c r="D1152" s="61" t="n"/>
      <c r="E1152" s="74" t="n"/>
      <c r="F1152" s="74" t="n"/>
      <c r="G1152" s="73" t="n"/>
      <c r="H1152" s="66" t="str">
        <f>IF(M1152&lt;&gt;"OK","",INDEX(po_mo,MATCH(D1152,po_code,0)))</f>
        <v/>
      </c>
      <c r="I1152" s="66" t="str">
        <f>IF(M1152&lt;&gt;"OK","",INDEX(po_mac,MATCH(D1152,po_code,0)))</f>
        <v/>
      </c>
      <c r="J1152" s="66" t="str">
        <f>IF(M1152&lt;&gt;"OK","",N(E1152)*(H1152*IF(G1152="",1,G1152)+I1152))</f>
        <v/>
      </c>
      <c r="K1152" s="66" t="str">
        <f>IF(M1152&lt;&gt;"OK","",N(F1152)/60*H1152*IF(G1152="",1,G1152))</f>
        <v/>
      </c>
      <c r="L1152" s="66" t="str">
        <f>IF(M1152&lt;&gt;"OK","",N(F1152)/60*I1152)</f>
        <v/>
      </c>
      <c r="M1152" s="69" t="str">
        <f>IF(AND(A1152="",D1152=""),"",IF(A1152="","Produit manquant",IF(COUNTIF(prod_ref,A1152)=0,"Produit inconnu",IF(D1152="","Poste manquant",IF(ISNA(MATCH(D1152,po_code,0)),"Poste inconnu",IF(INDEX(po_check,MATCH(D1152,po_code,0))&lt;&gt;"OK","Poste à corriger",IF(AND(E1152&lt;&gt;"",OR(NOT(ISNUMBER(E1152)),N(E1152)&lt;0)),"Réglage invalide",IF(AND(F1152&lt;&gt;"",OR(NOT(ISNUMBER(F1152)),N(F1152)&lt;0)),"Temps par pièce invalide",IF(N(E1152)+N(F1152)=0,"Temps manquant",IF(AND(G1152&lt;&gt;"",OR(NOT(ISNUMBER(G1152)),N(G1152)&lt;=0)),"Opérateurs invalide","OK"))))))))))</f>
        <v/>
      </c>
      <c r="N1152" s="71" t="str">
        <f>IF(AND(fiche_sel&lt;&gt;"",A1152=fiche_sel),COUNTIF(A$6:A1152,fiche_sel),"")</f>
        <v/>
      </c>
    </row>
    <row r="1153">
      <c r="A1153" s="60" t="n"/>
      <c r="B1153" s="73" t="n"/>
      <c r="C1153" s="60" t="n"/>
      <c r="D1153" s="61" t="n"/>
      <c r="E1153" s="74" t="n"/>
      <c r="F1153" s="74" t="n"/>
      <c r="G1153" s="73" t="n"/>
      <c r="H1153" s="66" t="str">
        <f>IF(M1153&lt;&gt;"OK","",INDEX(po_mo,MATCH(D1153,po_code,0)))</f>
        <v/>
      </c>
      <c r="I1153" s="66" t="str">
        <f>IF(M1153&lt;&gt;"OK","",INDEX(po_mac,MATCH(D1153,po_code,0)))</f>
        <v/>
      </c>
      <c r="J1153" s="66" t="str">
        <f>IF(M1153&lt;&gt;"OK","",N(E1153)*(H1153*IF(G1153="",1,G1153)+I1153))</f>
        <v/>
      </c>
      <c r="K1153" s="66" t="str">
        <f>IF(M1153&lt;&gt;"OK","",N(F1153)/60*H1153*IF(G1153="",1,G1153))</f>
        <v/>
      </c>
      <c r="L1153" s="66" t="str">
        <f>IF(M1153&lt;&gt;"OK","",N(F1153)/60*I1153)</f>
        <v/>
      </c>
      <c r="M1153" s="69" t="str">
        <f>IF(AND(A1153="",D1153=""),"",IF(A1153="","Produit manquant",IF(COUNTIF(prod_ref,A1153)=0,"Produit inconnu",IF(D1153="","Poste manquant",IF(ISNA(MATCH(D1153,po_code,0)),"Poste inconnu",IF(INDEX(po_check,MATCH(D1153,po_code,0))&lt;&gt;"OK","Poste à corriger",IF(AND(E1153&lt;&gt;"",OR(NOT(ISNUMBER(E1153)),N(E1153)&lt;0)),"Réglage invalide",IF(AND(F1153&lt;&gt;"",OR(NOT(ISNUMBER(F1153)),N(F1153)&lt;0)),"Temps par pièce invalide",IF(N(E1153)+N(F1153)=0,"Temps manquant",IF(AND(G1153&lt;&gt;"",OR(NOT(ISNUMBER(G1153)),N(G1153)&lt;=0)),"Opérateurs invalide","OK"))))))))))</f>
        <v/>
      </c>
      <c r="N1153" s="71" t="str">
        <f>IF(AND(fiche_sel&lt;&gt;"",A1153=fiche_sel),COUNTIF(A$6:A1153,fiche_sel),"")</f>
        <v/>
      </c>
    </row>
    <row r="1154">
      <c r="A1154" s="60" t="n"/>
      <c r="B1154" s="73" t="n"/>
      <c r="C1154" s="60" t="n"/>
      <c r="D1154" s="61" t="n"/>
      <c r="E1154" s="74" t="n"/>
      <c r="F1154" s="74" t="n"/>
      <c r="G1154" s="73" t="n"/>
      <c r="H1154" s="66" t="str">
        <f>IF(M1154&lt;&gt;"OK","",INDEX(po_mo,MATCH(D1154,po_code,0)))</f>
        <v/>
      </c>
      <c r="I1154" s="66" t="str">
        <f>IF(M1154&lt;&gt;"OK","",INDEX(po_mac,MATCH(D1154,po_code,0)))</f>
        <v/>
      </c>
      <c r="J1154" s="66" t="str">
        <f>IF(M1154&lt;&gt;"OK","",N(E1154)*(H1154*IF(G1154="",1,G1154)+I1154))</f>
        <v/>
      </c>
      <c r="K1154" s="66" t="str">
        <f>IF(M1154&lt;&gt;"OK","",N(F1154)/60*H1154*IF(G1154="",1,G1154))</f>
        <v/>
      </c>
      <c r="L1154" s="66" t="str">
        <f>IF(M1154&lt;&gt;"OK","",N(F1154)/60*I1154)</f>
        <v/>
      </c>
      <c r="M1154" s="69" t="str">
        <f>IF(AND(A1154="",D1154=""),"",IF(A1154="","Produit manquant",IF(COUNTIF(prod_ref,A1154)=0,"Produit inconnu",IF(D1154="","Poste manquant",IF(ISNA(MATCH(D1154,po_code,0)),"Poste inconnu",IF(INDEX(po_check,MATCH(D1154,po_code,0))&lt;&gt;"OK","Poste à corriger",IF(AND(E1154&lt;&gt;"",OR(NOT(ISNUMBER(E1154)),N(E1154)&lt;0)),"Réglage invalide",IF(AND(F1154&lt;&gt;"",OR(NOT(ISNUMBER(F1154)),N(F1154)&lt;0)),"Temps par pièce invalide",IF(N(E1154)+N(F1154)=0,"Temps manquant",IF(AND(G1154&lt;&gt;"",OR(NOT(ISNUMBER(G1154)),N(G1154)&lt;=0)),"Opérateurs invalide","OK"))))))))))</f>
        <v/>
      </c>
      <c r="N1154" s="71" t="str">
        <f>IF(AND(fiche_sel&lt;&gt;"",A1154=fiche_sel),COUNTIF(A$6:A1154,fiche_sel),"")</f>
        <v/>
      </c>
    </row>
    <row r="1155">
      <c r="A1155" s="60" t="n"/>
      <c r="B1155" s="73" t="n"/>
      <c r="C1155" s="60" t="n"/>
      <c r="D1155" s="61" t="n"/>
      <c r="E1155" s="74" t="n"/>
      <c r="F1155" s="74" t="n"/>
      <c r="G1155" s="73" t="n"/>
      <c r="H1155" s="66" t="str">
        <f>IF(M1155&lt;&gt;"OK","",INDEX(po_mo,MATCH(D1155,po_code,0)))</f>
        <v/>
      </c>
      <c r="I1155" s="66" t="str">
        <f>IF(M1155&lt;&gt;"OK","",INDEX(po_mac,MATCH(D1155,po_code,0)))</f>
        <v/>
      </c>
      <c r="J1155" s="66" t="str">
        <f>IF(M1155&lt;&gt;"OK","",N(E1155)*(H1155*IF(G1155="",1,G1155)+I1155))</f>
        <v/>
      </c>
      <c r="K1155" s="66" t="str">
        <f>IF(M1155&lt;&gt;"OK","",N(F1155)/60*H1155*IF(G1155="",1,G1155))</f>
        <v/>
      </c>
      <c r="L1155" s="66" t="str">
        <f>IF(M1155&lt;&gt;"OK","",N(F1155)/60*I1155)</f>
        <v/>
      </c>
      <c r="M1155" s="69" t="str">
        <f>IF(AND(A1155="",D1155=""),"",IF(A1155="","Produit manquant",IF(COUNTIF(prod_ref,A1155)=0,"Produit inconnu",IF(D1155="","Poste manquant",IF(ISNA(MATCH(D1155,po_code,0)),"Poste inconnu",IF(INDEX(po_check,MATCH(D1155,po_code,0))&lt;&gt;"OK","Poste à corriger",IF(AND(E1155&lt;&gt;"",OR(NOT(ISNUMBER(E1155)),N(E1155)&lt;0)),"Réglage invalide",IF(AND(F1155&lt;&gt;"",OR(NOT(ISNUMBER(F1155)),N(F1155)&lt;0)),"Temps par pièce invalide",IF(N(E1155)+N(F1155)=0,"Temps manquant",IF(AND(G1155&lt;&gt;"",OR(NOT(ISNUMBER(G1155)),N(G1155)&lt;=0)),"Opérateurs invalide","OK"))))))))))</f>
        <v/>
      </c>
      <c r="N1155" s="71" t="str">
        <f>IF(AND(fiche_sel&lt;&gt;"",A1155=fiche_sel),COUNTIF(A$6:A1155,fiche_sel),"")</f>
        <v/>
      </c>
    </row>
    <row r="1156">
      <c r="A1156" s="60" t="n"/>
      <c r="B1156" s="73" t="n"/>
      <c r="C1156" s="60" t="n"/>
      <c r="D1156" s="61" t="n"/>
      <c r="E1156" s="74" t="n"/>
      <c r="F1156" s="74" t="n"/>
      <c r="G1156" s="73" t="n"/>
      <c r="H1156" s="66" t="str">
        <f>IF(M1156&lt;&gt;"OK","",INDEX(po_mo,MATCH(D1156,po_code,0)))</f>
        <v/>
      </c>
      <c r="I1156" s="66" t="str">
        <f>IF(M1156&lt;&gt;"OK","",INDEX(po_mac,MATCH(D1156,po_code,0)))</f>
        <v/>
      </c>
      <c r="J1156" s="66" t="str">
        <f>IF(M1156&lt;&gt;"OK","",N(E1156)*(H1156*IF(G1156="",1,G1156)+I1156))</f>
        <v/>
      </c>
      <c r="K1156" s="66" t="str">
        <f>IF(M1156&lt;&gt;"OK","",N(F1156)/60*H1156*IF(G1156="",1,G1156))</f>
        <v/>
      </c>
      <c r="L1156" s="66" t="str">
        <f>IF(M1156&lt;&gt;"OK","",N(F1156)/60*I1156)</f>
        <v/>
      </c>
      <c r="M1156" s="69" t="str">
        <f>IF(AND(A1156="",D1156=""),"",IF(A1156="","Produit manquant",IF(COUNTIF(prod_ref,A1156)=0,"Produit inconnu",IF(D1156="","Poste manquant",IF(ISNA(MATCH(D1156,po_code,0)),"Poste inconnu",IF(INDEX(po_check,MATCH(D1156,po_code,0))&lt;&gt;"OK","Poste à corriger",IF(AND(E1156&lt;&gt;"",OR(NOT(ISNUMBER(E1156)),N(E1156)&lt;0)),"Réglage invalide",IF(AND(F1156&lt;&gt;"",OR(NOT(ISNUMBER(F1156)),N(F1156)&lt;0)),"Temps par pièce invalide",IF(N(E1156)+N(F1156)=0,"Temps manquant",IF(AND(G1156&lt;&gt;"",OR(NOT(ISNUMBER(G1156)),N(G1156)&lt;=0)),"Opérateurs invalide","OK"))))))))))</f>
        <v/>
      </c>
      <c r="N1156" s="71" t="str">
        <f>IF(AND(fiche_sel&lt;&gt;"",A1156=fiche_sel),COUNTIF(A$6:A1156,fiche_sel),"")</f>
        <v/>
      </c>
    </row>
    <row r="1157">
      <c r="A1157" s="60" t="n"/>
      <c r="B1157" s="73" t="n"/>
      <c r="C1157" s="60" t="n"/>
      <c r="D1157" s="61" t="n"/>
      <c r="E1157" s="74" t="n"/>
      <c r="F1157" s="74" t="n"/>
      <c r="G1157" s="73" t="n"/>
      <c r="H1157" s="66" t="str">
        <f>IF(M1157&lt;&gt;"OK","",INDEX(po_mo,MATCH(D1157,po_code,0)))</f>
        <v/>
      </c>
      <c r="I1157" s="66" t="str">
        <f>IF(M1157&lt;&gt;"OK","",INDEX(po_mac,MATCH(D1157,po_code,0)))</f>
        <v/>
      </c>
      <c r="J1157" s="66" t="str">
        <f>IF(M1157&lt;&gt;"OK","",N(E1157)*(H1157*IF(G1157="",1,G1157)+I1157))</f>
        <v/>
      </c>
      <c r="K1157" s="66" t="str">
        <f>IF(M1157&lt;&gt;"OK","",N(F1157)/60*H1157*IF(G1157="",1,G1157))</f>
        <v/>
      </c>
      <c r="L1157" s="66" t="str">
        <f>IF(M1157&lt;&gt;"OK","",N(F1157)/60*I1157)</f>
        <v/>
      </c>
      <c r="M1157" s="69" t="str">
        <f>IF(AND(A1157="",D1157=""),"",IF(A1157="","Produit manquant",IF(COUNTIF(prod_ref,A1157)=0,"Produit inconnu",IF(D1157="","Poste manquant",IF(ISNA(MATCH(D1157,po_code,0)),"Poste inconnu",IF(INDEX(po_check,MATCH(D1157,po_code,0))&lt;&gt;"OK","Poste à corriger",IF(AND(E1157&lt;&gt;"",OR(NOT(ISNUMBER(E1157)),N(E1157)&lt;0)),"Réglage invalide",IF(AND(F1157&lt;&gt;"",OR(NOT(ISNUMBER(F1157)),N(F1157)&lt;0)),"Temps par pièce invalide",IF(N(E1157)+N(F1157)=0,"Temps manquant",IF(AND(G1157&lt;&gt;"",OR(NOT(ISNUMBER(G1157)),N(G1157)&lt;=0)),"Opérateurs invalide","OK"))))))))))</f>
        <v/>
      </c>
      <c r="N1157" s="71" t="str">
        <f>IF(AND(fiche_sel&lt;&gt;"",A1157=fiche_sel),COUNTIF(A$6:A1157,fiche_sel),"")</f>
        <v/>
      </c>
    </row>
    <row r="1158">
      <c r="A1158" s="60" t="n"/>
      <c r="B1158" s="73" t="n"/>
      <c r="C1158" s="60" t="n"/>
      <c r="D1158" s="61" t="n"/>
      <c r="E1158" s="74" t="n"/>
      <c r="F1158" s="74" t="n"/>
      <c r="G1158" s="73" t="n"/>
      <c r="H1158" s="66" t="str">
        <f>IF(M1158&lt;&gt;"OK","",INDEX(po_mo,MATCH(D1158,po_code,0)))</f>
        <v/>
      </c>
      <c r="I1158" s="66" t="str">
        <f>IF(M1158&lt;&gt;"OK","",INDEX(po_mac,MATCH(D1158,po_code,0)))</f>
        <v/>
      </c>
      <c r="J1158" s="66" t="str">
        <f>IF(M1158&lt;&gt;"OK","",N(E1158)*(H1158*IF(G1158="",1,G1158)+I1158))</f>
        <v/>
      </c>
      <c r="K1158" s="66" t="str">
        <f>IF(M1158&lt;&gt;"OK","",N(F1158)/60*H1158*IF(G1158="",1,G1158))</f>
        <v/>
      </c>
      <c r="L1158" s="66" t="str">
        <f>IF(M1158&lt;&gt;"OK","",N(F1158)/60*I1158)</f>
        <v/>
      </c>
      <c r="M1158" s="69" t="str">
        <f>IF(AND(A1158="",D1158=""),"",IF(A1158="","Produit manquant",IF(COUNTIF(prod_ref,A1158)=0,"Produit inconnu",IF(D1158="","Poste manquant",IF(ISNA(MATCH(D1158,po_code,0)),"Poste inconnu",IF(INDEX(po_check,MATCH(D1158,po_code,0))&lt;&gt;"OK","Poste à corriger",IF(AND(E1158&lt;&gt;"",OR(NOT(ISNUMBER(E1158)),N(E1158)&lt;0)),"Réglage invalide",IF(AND(F1158&lt;&gt;"",OR(NOT(ISNUMBER(F1158)),N(F1158)&lt;0)),"Temps par pièce invalide",IF(N(E1158)+N(F1158)=0,"Temps manquant",IF(AND(G1158&lt;&gt;"",OR(NOT(ISNUMBER(G1158)),N(G1158)&lt;=0)),"Opérateurs invalide","OK"))))))))))</f>
        <v/>
      </c>
      <c r="N1158" s="71" t="str">
        <f>IF(AND(fiche_sel&lt;&gt;"",A1158=fiche_sel),COUNTIF(A$6:A1158,fiche_sel),"")</f>
        <v/>
      </c>
    </row>
    <row r="1159">
      <c r="A1159" s="60" t="n"/>
      <c r="B1159" s="73" t="n"/>
      <c r="C1159" s="60" t="n"/>
      <c r="D1159" s="61" t="n"/>
      <c r="E1159" s="74" t="n"/>
      <c r="F1159" s="74" t="n"/>
      <c r="G1159" s="73" t="n"/>
      <c r="H1159" s="66" t="str">
        <f>IF(M1159&lt;&gt;"OK","",INDEX(po_mo,MATCH(D1159,po_code,0)))</f>
        <v/>
      </c>
      <c r="I1159" s="66" t="str">
        <f>IF(M1159&lt;&gt;"OK","",INDEX(po_mac,MATCH(D1159,po_code,0)))</f>
        <v/>
      </c>
      <c r="J1159" s="66" t="str">
        <f>IF(M1159&lt;&gt;"OK","",N(E1159)*(H1159*IF(G1159="",1,G1159)+I1159))</f>
        <v/>
      </c>
      <c r="K1159" s="66" t="str">
        <f>IF(M1159&lt;&gt;"OK","",N(F1159)/60*H1159*IF(G1159="",1,G1159))</f>
        <v/>
      </c>
      <c r="L1159" s="66" t="str">
        <f>IF(M1159&lt;&gt;"OK","",N(F1159)/60*I1159)</f>
        <v/>
      </c>
      <c r="M1159" s="69" t="str">
        <f>IF(AND(A1159="",D1159=""),"",IF(A1159="","Produit manquant",IF(COUNTIF(prod_ref,A1159)=0,"Produit inconnu",IF(D1159="","Poste manquant",IF(ISNA(MATCH(D1159,po_code,0)),"Poste inconnu",IF(INDEX(po_check,MATCH(D1159,po_code,0))&lt;&gt;"OK","Poste à corriger",IF(AND(E1159&lt;&gt;"",OR(NOT(ISNUMBER(E1159)),N(E1159)&lt;0)),"Réglage invalide",IF(AND(F1159&lt;&gt;"",OR(NOT(ISNUMBER(F1159)),N(F1159)&lt;0)),"Temps par pièce invalide",IF(N(E1159)+N(F1159)=0,"Temps manquant",IF(AND(G1159&lt;&gt;"",OR(NOT(ISNUMBER(G1159)),N(G1159)&lt;=0)),"Opérateurs invalide","OK"))))))))))</f>
        <v/>
      </c>
      <c r="N1159" s="71" t="str">
        <f>IF(AND(fiche_sel&lt;&gt;"",A1159=fiche_sel),COUNTIF(A$6:A1159,fiche_sel),"")</f>
        <v/>
      </c>
    </row>
    <row r="1160">
      <c r="A1160" s="60" t="n"/>
      <c r="B1160" s="73" t="n"/>
      <c r="C1160" s="60" t="n"/>
      <c r="D1160" s="61" t="n"/>
      <c r="E1160" s="74" t="n"/>
      <c r="F1160" s="74" t="n"/>
      <c r="G1160" s="73" t="n"/>
      <c r="H1160" s="66" t="str">
        <f>IF(M1160&lt;&gt;"OK","",INDEX(po_mo,MATCH(D1160,po_code,0)))</f>
        <v/>
      </c>
      <c r="I1160" s="66" t="str">
        <f>IF(M1160&lt;&gt;"OK","",INDEX(po_mac,MATCH(D1160,po_code,0)))</f>
        <v/>
      </c>
      <c r="J1160" s="66" t="str">
        <f>IF(M1160&lt;&gt;"OK","",N(E1160)*(H1160*IF(G1160="",1,G1160)+I1160))</f>
        <v/>
      </c>
      <c r="K1160" s="66" t="str">
        <f>IF(M1160&lt;&gt;"OK","",N(F1160)/60*H1160*IF(G1160="",1,G1160))</f>
        <v/>
      </c>
      <c r="L1160" s="66" t="str">
        <f>IF(M1160&lt;&gt;"OK","",N(F1160)/60*I1160)</f>
        <v/>
      </c>
      <c r="M1160" s="69" t="str">
        <f>IF(AND(A1160="",D1160=""),"",IF(A1160="","Produit manquant",IF(COUNTIF(prod_ref,A1160)=0,"Produit inconnu",IF(D1160="","Poste manquant",IF(ISNA(MATCH(D1160,po_code,0)),"Poste inconnu",IF(INDEX(po_check,MATCH(D1160,po_code,0))&lt;&gt;"OK","Poste à corriger",IF(AND(E1160&lt;&gt;"",OR(NOT(ISNUMBER(E1160)),N(E1160)&lt;0)),"Réglage invalide",IF(AND(F1160&lt;&gt;"",OR(NOT(ISNUMBER(F1160)),N(F1160)&lt;0)),"Temps par pièce invalide",IF(N(E1160)+N(F1160)=0,"Temps manquant",IF(AND(G1160&lt;&gt;"",OR(NOT(ISNUMBER(G1160)),N(G1160)&lt;=0)),"Opérateurs invalide","OK"))))))))))</f>
        <v/>
      </c>
      <c r="N1160" s="71" t="str">
        <f>IF(AND(fiche_sel&lt;&gt;"",A1160=fiche_sel),COUNTIF(A$6:A1160,fiche_sel),"")</f>
        <v/>
      </c>
    </row>
    <row r="1161">
      <c r="A1161" s="60" t="n"/>
      <c r="B1161" s="73" t="n"/>
      <c r="C1161" s="60" t="n"/>
      <c r="D1161" s="61" t="n"/>
      <c r="E1161" s="74" t="n"/>
      <c r="F1161" s="74" t="n"/>
      <c r="G1161" s="73" t="n"/>
      <c r="H1161" s="66" t="str">
        <f>IF(M1161&lt;&gt;"OK","",INDEX(po_mo,MATCH(D1161,po_code,0)))</f>
        <v/>
      </c>
      <c r="I1161" s="66" t="str">
        <f>IF(M1161&lt;&gt;"OK","",INDEX(po_mac,MATCH(D1161,po_code,0)))</f>
        <v/>
      </c>
      <c r="J1161" s="66" t="str">
        <f>IF(M1161&lt;&gt;"OK","",N(E1161)*(H1161*IF(G1161="",1,G1161)+I1161))</f>
        <v/>
      </c>
      <c r="K1161" s="66" t="str">
        <f>IF(M1161&lt;&gt;"OK","",N(F1161)/60*H1161*IF(G1161="",1,G1161))</f>
        <v/>
      </c>
      <c r="L1161" s="66" t="str">
        <f>IF(M1161&lt;&gt;"OK","",N(F1161)/60*I1161)</f>
        <v/>
      </c>
      <c r="M1161" s="69" t="str">
        <f>IF(AND(A1161="",D1161=""),"",IF(A1161="","Produit manquant",IF(COUNTIF(prod_ref,A1161)=0,"Produit inconnu",IF(D1161="","Poste manquant",IF(ISNA(MATCH(D1161,po_code,0)),"Poste inconnu",IF(INDEX(po_check,MATCH(D1161,po_code,0))&lt;&gt;"OK","Poste à corriger",IF(AND(E1161&lt;&gt;"",OR(NOT(ISNUMBER(E1161)),N(E1161)&lt;0)),"Réglage invalide",IF(AND(F1161&lt;&gt;"",OR(NOT(ISNUMBER(F1161)),N(F1161)&lt;0)),"Temps par pièce invalide",IF(N(E1161)+N(F1161)=0,"Temps manquant",IF(AND(G1161&lt;&gt;"",OR(NOT(ISNUMBER(G1161)),N(G1161)&lt;=0)),"Opérateurs invalide","OK"))))))))))</f>
        <v/>
      </c>
      <c r="N1161" s="71" t="str">
        <f>IF(AND(fiche_sel&lt;&gt;"",A1161=fiche_sel),COUNTIF(A$6:A1161,fiche_sel),"")</f>
        <v/>
      </c>
    </row>
    <row r="1162">
      <c r="A1162" s="60" t="n"/>
      <c r="B1162" s="73" t="n"/>
      <c r="C1162" s="60" t="n"/>
      <c r="D1162" s="61" t="n"/>
      <c r="E1162" s="74" t="n"/>
      <c r="F1162" s="74" t="n"/>
      <c r="G1162" s="73" t="n"/>
      <c r="H1162" s="66" t="str">
        <f>IF(M1162&lt;&gt;"OK","",INDEX(po_mo,MATCH(D1162,po_code,0)))</f>
        <v/>
      </c>
      <c r="I1162" s="66" t="str">
        <f>IF(M1162&lt;&gt;"OK","",INDEX(po_mac,MATCH(D1162,po_code,0)))</f>
        <v/>
      </c>
      <c r="J1162" s="66" t="str">
        <f>IF(M1162&lt;&gt;"OK","",N(E1162)*(H1162*IF(G1162="",1,G1162)+I1162))</f>
        <v/>
      </c>
      <c r="K1162" s="66" t="str">
        <f>IF(M1162&lt;&gt;"OK","",N(F1162)/60*H1162*IF(G1162="",1,G1162))</f>
        <v/>
      </c>
      <c r="L1162" s="66" t="str">
        <f>IF(M1162&lt;&gt;"OK","",N(F1162)/60*I1162)</f>
        <v/>
      </c>
      <c r="M1162" s="69" t="str">
        <f>IF(AND(A1162="",D1162=""),"",IF(A1162="","Produit manquant",IF(COUNTIF(prod_ref,A1162)=0,"Produit inconnu",IF(D1162="","Poste manquant",IF(ISNA(MATCH(D1162,po_code,0)),"Poste inconnu",IF(INDEX(po_check,MATCH(D1162,po_code,0))&lt;&gt;"OK","Poste à corriger",IF(AND(E1162&lt;&gt;"",OR(NOT(ISNUMBER(E1162)),N(E1162)&lt;0)),"Réglage invalide",IF(AND(F1162&lt;&gt;"",OR(NOT(ISNUMBER(F1162)),N(F1162)&lt;0)),"Temps par pièce invalide",IF(N(E1162)+N(F1162)=0,"Temps manquant",IF(AND(G1162&lt;&gt;"",OR(NOT(ISNUMBER(G1162)),N(G1162)&lt;=0)),"Opérateurs invalide","OK"))))))))))</f>
        <v/>
      </c>
      <c r="N1162" s="71" t="str">
        <f>IF(AND(fiche_sel&lt;&gt;"",A1162=fiche_sel),COUNTIF(A$6:A1162,fiche_sel),"")</f>
        <v/>
      </c>
    </row>
    <row r="1163">
      <c r="A1163" s="60" t="n"/>
      <c r="B1163" s="73" t="n"/>
      <c r="C1163" s="60" t="n"/>
      <c r="D1163" s="61" t="n"/>
      <c r="E1163" s="74" t="n"/>
      <c r="F1163" s="74" t="n"/>
      <c r="G1163" s="73" t="n"/>
      <c r="H1163" s="66" t="str">
        <f>IF(M1163&lt;&gt;"OK","",INDEX(po_mo,MATCH(D1163,po_code,0)))</f>
        <v/>
      </c>
      <c r="I1163" s="66" t="str">
        <f>IF(M1163&lt;&gt;"OK","",INDEX(po_mac,MATCH(D1163,po_code,0)))</f>
        <v/>
      </c>
      <c r="J1163" s="66" t="str">
        <f>IF(M1163&lt;&gt;"OK","",N(E1163)*(H1163*IF(G1163="",1,G1163)+I1163))</f>
        <v/>
      </c>
      <c r="K1163" s="66" t="str">
        <f>IF(M1163&lt;&gt;"OK","",N(F1163)/60*H1163*IF(G1163="",1,G1163))</f>
        <v/>
      </c>
      <c r="L1163" s="66" t="str">
        <f>IF(M1163&lt;&gt;"OK","",N(F1163)/60*I1163)</f>
        <v/>
      </c>
      <c r="M1163" s="69" t="str">
        <f>IF(AND(A1163="",D1163=""),"",IF(A1163="","Produit manquant",IF(COUNTIF(prod_ref,A1163)=0,"Produit inconnu",IF(D1163="","Poste manquant",IF(ISNA(MATCH(D1163,po_code,0)),"Poste inconnu",IF(INDEX(po_check,MATCH(D1163,po_code,0))&lt;&gt;"OK","Poste à corriger",IF(AND(E1163&lt;&gt;"",OR(NOT(ISNUMBER(E1163)),N(E1163)&lt;0)),"Réglage invalide",IF(AND(F1163&lt;&gt;"",OR(NOT(ISNUMBER(F1163)),N(F1163)&lt;0)),"Temps par pièce invalide",IF(N(E1163)+N(F1163)=0,"Temps manquant",IF(AND(G1163&lt;&gt;"",OR(NOT(ISNUMBER(G1163)),N(G1163)&lt;=0)),"Opérateurs invalide","OK"))))))))))</f>
        <v/>
      </c>
      <c r="N1163" s="71" t="str">
        <f>IF(AND(fiche_sel&lt;&gt;"",A1163=fiche_sel),COUNTIF(A$6:A1163,fiche_sel),"")</f>
        <v/>
      </c>
    </row>
    <row r="1164">
      <c r="A1164" s="60" t="n"/>
      <c r="B1164" s="73" t="n"/>
      <c r="C1164" s="60" t="n"/>
      <c r="D1164" s="61" t="n"/>
      <c r="E1164" s="74" t="n"/>
      <c r="F1164" s="74" t="n"/>
      <c r="G1164" s="73" t="n"/>
      <c r="H1164" s="66" t="str">
        <f>IF(M1164&lt;&gt;"OK","",INDEX(po_mo,MATCH(D1164,po_code,0)))</f>
        <v/>
      </c>
      <c r="I1164" s="66" t="str">
        <f>IF(M1164&lt;&gt;"OK","",INDEX(po_mac,MATCH(D1164,po_code,0)))</f>
        <v/>
      </c>
      <c r="J1164" s="66" t="str">
        <f>IF(M1164&lt;&gt;"OK","",N(E1164)*(H1164*IF(G1164="",1,G1164)+I1164))</f>
        <v/>
      </c>
      <c r="K1164" s="66" t="str">
        <f>IF(M1164&lt;&gt;"OK","",N(F1164)/60*H1164*IF(G1164="",1,G1164))</f>
        <v/>
      </c>
      <c r="L1164" s="66" t="str">
        <f>IF(M1164&lt;&gt;"OK","",N(F1164)/60*I1164)</f>
        <v/>
      </c>
      <c r="M1164" s="69" t="str">
        <f>IF(AND(A1164="",D1164=""),"",IF(A1164="","Produit manquant",IF(COUNTIF(prod_ref,A1164)=0,"Produit inconnu",IF(D1164="","Poste manquant",IF(ISNA(MATCH(D1164,po_code,0)),"Poste inconnu",IF(INDEX(po_check,MATCH(D1164,po_code,0))&lt;&gt;"OK","Poste à corriger",IF(AND(E1164&lt;&gt;"",OR(NOT(ISNUMBER(E1164)),N(E1164)&lt;0)),"Réglage invalide",IF(AND(F1164&lt;&gt;"",OR(NOT(ISNUMBER(F1164)),N(F1164)&lt;0)),"Temps par pièce invalide",IF(N(E1164)+N(F1164)=0,"Temps manquant",IF(AND(G1164&lt;&gt;"",OR(NOT(ISNUMBER(G1164)),N(G1164)&lt;=0)),"Opérateurs invalide","OK"))))))))))</f>
        <v/>
      </c>
      <c r="N1164" s="71" t="str">
        <f>IF(AND(fiche_sel&lt;&gt;"",A1164=fiche_sel),COUNTIF(A$6:A1164,fiche_sel),"")</f>
        <v/>
      </c>
    </row>
    <row r="1165">
      <c r="A1165" s="60" t="n"/>
      <c r="B1165" s="73" t="n"/>
      <c r="C1165" s="60" t="n"/>
      <c r="D1165" s="61" t="n"/>
      <c r="E1165" s="74" t="n"/>
      <c r="F1165" s="74" t="n"/>
      <c r="G1165" s="73" t="n"/>
      <c r="H1165" s="66" t="str">
        <f>IF(M1165&lt;&gt;"OK","",INDEX(po_mo,MATCH(D1165,po_code,0)))</f>
        <v/>
      </c>
      <c r="I1165" s="66" t="str">
        <f>IF(M1165&lt;&gt;"OK","",INDEX(po_mac,MATCH(D1165,po_code,0)))</f>
        <v/>
      </c>
      <c r="J1165" s="66" t="str">
        <f>IF(M1165&lt;&gt;"OK","",N(E1165)*(H1165*IF(G1165="",1,G1165)+I1165))</f>
        <v/>
      </c>
      <c r="K1165" s="66" t="str">
        <f>IF(M1165&lt;&gt;"OK","",N(F1165)/60*H1165*IF(G1165="",1,G1165))</f>
        <v/>
      </c>
      <c r="L1165" s="66" t="str">
        <f>IF(M1165&lt;&gt;"OK","",N(F1165)/60*I1165)</f>
        <v/>
      </c>
      <c r="M1165" s="69" t="str">
        <f>IF(AND(A1165="",D1165=""),"",IF(A1165="","Produit manquant",IF(COUNTIF(prod_ref,A1165)=0,"Produit inconnu",IF(D1165="","Poste manquant",IF(ISNA(MATCH(D1165,po_code,0)),"Poste inconnu",IF(INDEX(po_check,MATCH(D1165,po_code,0))&lt;&gt;"OK","Poste à corriger",IF(AND(E1165&lt;&gt;"",OR(NOT(ISNUMBER(E1165)),N(E1165)&lt;0)),"Réglage invalide",IF(AND(F1165&lt;&gt;"",OR(NOT(ISNUMBER(F1165)),N(F1165)&lt;0)),"Temps par pièce invalide",IF(N(E1165)+N(F1165)=0,"Temps manquant",IF(AND(G1165&lt;&gt;"",OR(NOT(ISNUMBER(G1165)),N(G1165)&lt;=0)),"Opérateurs invalide","OK"))))))))))</f>
        <v/>
      </c>
      <c r="N1165" s="71" t="str">
        <f>IF(AND(fiche_sel&lt;&gt;"",A1165=fiche_sel),COUNTIF(A$6:A1165,fiche_sel),"")</f>
        <v/>
      </c>
    </row>
    <row r="1166">
      <c r="A1166" s="60" t="n"/>
      <c r="B1166" s="73" t="n"/>
      <c r="C1166" s="60" t="n"/>
      <c r="D1166" s="61" t="n"/>
      <c r="E1166" s="74" t="n"/>
      <c r="F1166" s="74" t="n"/>
      <c r="G1166" s="73" t="n"/>
      <c r="H1166" s="66" t="str">
        <f>IF(M1166&lt;&gt;"OK","",INDEX(po_mo,MATCH(D1166,po_code,0)))</f>
        <v/>
      </c>
      <c r="I1166" s="66" t="str">
        <f>IF(M1166&lt;&gt;"OK","",INDEX(po_mac,MATCH(D1166,po_code,0)))</f>
        <v/>
      </c>
      <c r="J1166" s="66" t="str">
        <f>IF(M1166&lt;&gt;"OK","",N(E1166)*(H1166*IF(G1166="",1,G1166)+I1166))</f>
        <v/>
      </c>
      <c r="K1166" s="66" t="str">
        <f>IF(M1166&lt;&gt;"OK","",N(F1166)/60*H1166*IF(G1166="",1,G1166))</f>
        <v/>
      </c>
      <c r="L1166" s="66" t="str">
        <f>IF(M1166&lt;&gt;"OK","",N(F1166)/60*I1166)</f>
        <v/>
      </c>
      <c r="M1166" s="69" t="str">
        <f>IF(AND(A1166="",D1166=""),"",IF(A1166="","Produit manquant",IF(COUNTIF(prod_ref,A1166)=0,"Produit inconnu",IF(D1166="","Poste manquant",IF(ISNA(MATCH(D1166,po_code,0)),"Poste inconnu",IF(INDEX(po_check,MATCH(D1166,po_code,0))&lt;&gt;"OK","Poste à corriger",IF(AND(E1166&lt;&gt;"",OR(NOT(ISNUMBER(E1166)),N(E1166)&lt;0)),"Réglage invalide",IF(AND(F1166&lt;&gt;"",OR(NOT(ISNUMBER(F1166)),N(F1166)&lt;0)),"Temps par pièce invalide",IF(N(E1166)+N(F1166)=0,"Temps manquant",IF(AND(G1166&lt;&gt;"",OR(NOT(ISNUMBER(G1166)),N(G1166)&lt;=0)),"Opérateurs invalide","OK"))))))))))</f>
        <v/>
      </c>
      <c r="N1166" s="71" t="str">
        <f>IF(AND(fiche_sel&lt;&gt;"",A1166=fiche_sel),COUNTIF(A$6:A1166,fiche_sel),"")</f>
        <v/>
      </c>
    </row>
    <row r="1167">
      <c r="A1167" s="60" t="n"/>
      <c r="B1167" s="73" t="n"/>
      <c r="C1167" s="60" t="n"/>
      <c r="D1167" s="61" t="n"/>
      <c r="E1167" s="74" t="n"/>
      <c r="F1167" s="74" t="n"/>
      <c r="G1167" s="73" t="n"/>
      <c r="H1167" s="66" t="str">
        <f>IF(M1167&lt;&gt;"OK","",INDEX(po_mo,MATCH(D1167,po_code,0)))</f>
        <v/>
      </c>
      <c r="I1167" s="66" t="str">
        <f>IF(M1167&lt;&gt;"OK","",INDEX(po_mac,MATCH(D1167,po_code,0)))</f>
        <v/>
      </c>
      <c r="J1167" s="66" t="str">
        <f>IF(M1167&lt;&gt;"OK","",N(E1167)*(H1167*IF(G1167="",1,G1167)+I1167))</f>
        <v/>
      </c>
      <c r="K1167" s="66" t="str">
        <f>IF(M1167&lt;&gt;"OK","",N(F1167)/60*H1167*IF(G1167="",1,G1167))</f>
        <v/>
      </c>
      <c r="L1167" s="66" t="str">
        <f>IF(M1167&lt;&gt;"OK","",N(F1167)/60*I1167)</f>
        <v/>
      </c>
      <c r="M1167" s="69" t="str">
        <f>IF(AND(A1167="",D1167=""),"",IF(A1167="","Produit manquant",IF(COUNTIF(prod_ref,A1167)=0,"Produit inconnu",IF(D1167="","Poste manquant",IF(ISNA(MATCH(D1167,po_code,0)),"Poste inconnu",IF(INDEX(po_check,MATCH(D1167,po_code,0))&lt;&gt;"OK","Poste à corriger",IF(AND(E1167&lt;&gt;"",OR(NOT(ISNUMBER(E1167)),N(E1167)&lt;0)),"Réglage invalide",IF(AND(F1167&lt;&gt;"",OR(NOT(ISNUMBER(F1167)),N(F1167)&lt;0)),"Temps par pièce invalide",IF(N(E1167)+N(F1167)=0,"Temps manquant",IF(AND(G1167&lt;&gt;"",OR(NOT(ISNUMBER(G1167)),N(G1167)&lt;=0)),"Opérateurs invalide","OK"))))))))))</f>
        <v/>
      </c>
      <c r="N1167" s="71" t="str">
        <f>IF(AND(fiche_sel&lt;&gt;"",A1167=fiche_sel),COUNTIF(A$6:A1167,fiche_sel),"")</f>
        <v/>
      </c>
    </row>
    <row r="1168">
      <c r="A1168" s="60" t="n"/>
      <c r="B1168" s="73" t="n"/>
      <c r="C1168" s="60" t="n"/>
      <c r="D1168" s="61" t="n"/>
      <c r="E1168" s="74" t="n"/>
      <c r="F1168" s="74" t="n"/>
      <c r="G1168" s="73" t="n"/>
      <c r="H1168" s="66" t="str">
        <f>IF(M1168&lt;&gt;"OK","",INDEX(po_mo,MATCH(D1168,po_code,0)))</f>
        <v/>
      </c>
      <c r="I1168" s="66" t="str">
        <f>IF(M1168&lt;&gt;"OK","",INDEX(po_mac,MATCH(D1168,po_code,0)))</f>
        <v/>
      </c>
      <c r="J1168" s="66" t="str">
        <f>IF(M1168&lt;&gt;"OK","",N(E1168)*(H1168*IF(G1168="",1,G1168)+I1168))</f>
        <v/>
      </c>
      <c r="K1168" s="66" t="str">
        <f>IF(M1168&lt;&gt;"OK","",N(F1168)/60*H1168*IF(G1168="",1,G1168))</f>
        <v/>
      </c>
      <c r="L1168" s="66" t="str">
        <f>IF(M1168&lt;&gt;"OK","",N(F1168)/60*I1168)</f>
        <v/>
      </c>
      <c r="M1168" s="69" t="str">
        <f>IF(AND(A1168="",D1168=""),"",IF(A1168="","Produit manquant",IF(COUNTIF(prod_ref,A1168)=0,"Produit inconnu",IF(D1168="","Poste manquant",IF(ISNA(MATCH(D1168,po_code,0)),"Poste inconnu",IF(INDEX(po_check,MATCH(D1168,po_code,0))&lt;&gt;"OK","Poste à corriger",IF(AND(E1168&lt;&gt;"",OR(NOT(ISNUMBER(E1168)),N(E1168)&lt;0)),"Réglage invalide",IF(AND(F1168&lt;&gt;"",OR(NOT(ISNUMBER(F1168)),N(F1168)&lt;0)),"Temps par pièce invalide",IF(N(E1168)+N(F1168)=0,"Temps manquant",IF(AND(G1168&lt;&gt;"",OR(NOT(ISNUMBER(G1168)),N(G1168)&lt;=0)),"Opérateurs invalide","OK"))))))))))</f>
        <v/>
      </c>
      <c r="N1168" s="71" t="str">
        <f>IF(AND(fiche_sel&lt;&gt;"",A1168=fiche_sel),COUNTIF(A$6:A1168,fiche_sel),"")</f>
        <v/>
      </c>
    </row>
    <row r="1169">
      <c r="A1169" s="60" t="n"/>
      <c r="B1169" s="73" t="n"/>
      <c r="C1169" s="60" t="n"/>
      <c r="D1169" s="61" t="n"/>
      <c r="E1169" s="74" t="n"/>
      <c r="F1169" s="74" t="n"/>
      <c r="G1169" s="73" t="n"/>
      <c r="H1169" s="66" t="str">
        <f>IF(M1169&lt;&gt;"OK","",INDEX(po_mo,MATCH(D1169,po_code,0)))</f>
        <v/>
      </c>
      <c r="I1169" s="66" t="str">
        <f>IF(M1169&lt;&gt;"OK","",INDEX(po_mac,MATCH(D1169,po_code,0)))</f>
        <v/>
      </c>
      <c r="J1169" s="66" t="str">
        <f>IF(M1169&lt;&gt;"OK","",N(E1169)*(H1169*IF(G1169="",1,G1169)+I1169))</f>
        <v/>
      </c>
      <c r="K1169" s="66" t="str">
        <f>IF(M1169&lt;&gt;"OK","",N(F1169)/60*H1169*IF(G1169="",1,G1169))</f>
        <v/>
      </c>
      <c r="L1169" s="66" t="str">
        <f>IF(M1169&lt;&gt;"OK","",N(F1169)/60*I1169)</f>
        <v/>
      </c>
      <c r="M1169" s="69" t="str">
        <f>IF(AND(A1169="",D1169=""),"",IF(A1169="","Produit manquant",IF(COUNTIF(prod_ref,A1169)=0,"Produit inconnu",IF(D1169="","Poste manquant",IF(ISNA(MATCH(D1169,po_code,0)),"Poste inconnu",IF(INDEX(po_check,MATCH(D1169,po_code,0))&lt;&gt;"OK","Poste à corriger",IF(AND(E1169&lt;&gt;"",OR(NOT(ISNUMBER(E1169)),N(E1169)&lt;0)),"Réglage invalide",IF(AND(F1169&lt;&gt;"",OR(NOT(ISNUMBER(F1169)),N(F1169)&lt;0)),"Temps par pièce invalide",IF(N(E1169)+N(F1169)=0,"Temps manquant",IF(AND(G1169&lt;&gt;"",OR(NOT(ISNUMBER(G1169)),N(G1169)&lt;=0)),"Opérateurs invalide","OK"))))))))))</f>
        <v/>
      </c>
      <c r="N1169" s="71" t="str">
        <f>IF(AND(fiche_sel&lt;&gt;"",A1169=fiche_sel),COUNTIF(A$6:A1169,fiche_sel),"")</f>
        <v/>
      </c>
    </row>
    <row r="1170">
      <c r="A1170" s="60" t="n"/>
      <c r="B1170" s="73" t="n"/>
      <c r="C1170" s="60" t="n"/>
      <c r="D1170" s="61" t="n"/>
      <c r="E1170" s="74" t="n"/>
      <c r="F1170" s="74" t="n"/>
      <c r="G1170" s="73" t="n"/>
      <c r="H1170" s="66" t="str">
        <f>IF(M1170&lt;&gt;"OK","",INDEX(po_mo,MATCH(D1170,po_code,0)))</f>
        <v/>
      </c>
      <c r="I1170" s="66" t="str">
        <f>IF(M1170&lt;&gt;"OK","",INDEX(po_mac,MATCH(D1170,po_code,0)))</f>
        <v/>
      </c>
      <c r="J1170" s="66" t="str">
        <f>IF(M1170&lt;&gt;"OK","",N(E1170)*(H1170*IF(G1170="",1,G1170)+I1170))</f>
        <v/>
      </c>
      <c r="K1170" s="66" t="str">
        <f>IF(M1170&lt;&gt;"OK","",N(F1170)/60*H1170*IF(G1170="",1,G1170))</f>
        <v/>
      </c>
      <c r="L1170" s="66" t="str">
        <f>IF(M1170&lt;&gt;"OK","",N(F1170)/60*I1170)</f>
        <v/>
      </c>
      <c r="M1170" s="69" t="str">
        <f>IF(AND(A1170="",D1170=""),"",IF(A1170="","Produit manquant",IF(COUNTIF(prod_ref,A1170)=0,"Produit inconnu",IF(D1170="","Poste manquant",IF(ISNA(MATCH(D1170,po_code,0)),"Poste inconnu",IF(INDEX(po_check,MATCH(D1170,po_code,0))&lt;&gt;"OK","Poste à corriger",IF(AND(E1170&lt;&gt;"",OR(NOT(ISNUMBER(E1170)),N(E1170)&lt;0)),"Réglage invalide",IF(AND(F1170&lt;&gt;"",OR(NOT(ISNUMBER(F1170)),N(F1170)&lt;0)),"Temps par pièce invalide",IF(N(E1170)+N(F1170)=0,"Temps manquant",IF(AND(G1170&lt;&gt;"",OR(NOT(ISNUMBER(G1170)),N(G1170)&lt;=0)),"Opérateurs invalide","OK"))))))))))</f>
        <v/>
      </c>
      <c r="N1170" s="71" t="str">
        <f>IF(AND(fiche_sel&lt;&gt;"",A1170=fiche_sel),COUNTIF(A$6:A1170,fiche_sel),"")</f>
        <v/>
      </c>
    </row>
    <row r="1171">
      <c r="A1171" s="60" t="n"/>
      <c r="B1171" s="73" t="n"/>
      <c r="C1171" s="60" t="n"/>
      <c r="D1171" s="61" t="n"/>
      <c r="E1171" s="74" t="n"/>
      <c r="F1171" s="74" t="n"/>
      <c r="G1171" s="73" t="n"/>
      <c r="H1171" s="66" t="str">
        <f>IF(M1171&lt;&gt;"OK","",INDEX(po_mo,MATCH(D1171,po_code,0)))</f>
        <v/>
      </c>
      <c r="I1171" s="66" t="str">
        <f>IF(M1171&lt;&gt;"OK","",INDEX(po_mac,MATCH(D1171,po_code,0)))</f>
        <v/>
      </c>
      <c r="J1171" s="66" t="str">
        <f>IF(M1171&lt;&gt;"OK","",N(E1171)*(H1171*IF(G1171="",1,G1171)+I1171))</f>
        <v/>
      </c>
      <c r="K1171" s="66" t="str">
        <f>IF(M1171&lt;&gt;"OK","",N(F1171)/60*H1171*IF(G1171="",1,G1171))</f>
        <v/>
      </c>
      <c r="L1171" s="66" t="str">
        <f>IF(M1171&lt;&gt;"OK","",N(F1171)/60*I1171)</f>
        <v/>
      </c>
      <c r="M1171" s="69" t="str">
        <f>IF(AND(A1171="",D1171=""),"",IF(A1171="","Produit manquant",IF(COUNTIF(prod_ref,A1171)=0,"Produit inconnu",IF(D1171="","Poste manquant",IF(ISNA(MATCH(D1171,po_code,0)),"Poste inconnu",IF(INDEX(po_check,MATCH(D1171,po_code,0))&lt;&gt;"OK","Poste à corriger",IF(AND(E1171&lt;&gt;"",OR(NOT(ISNUMBER(E1171)),N(E1171)&lt;0)),"Réglage invalide",IF(AND(F1171&lt;&gt;"",OR(NOT(ISNUMBER(F1171)),N(F1171)&lt;0)),"Temps par pièce invalide",IF(N(E1171)+N(F1171)=0,"Temps manquant",IF(AND(G1171&lt;&gt;"",OR(NOT(ISNUMBER(G1171)),N(G1171)&lt;=0)),"Opérateurs invalide","OK"))))))))))</f>
        <v/>
      </c>
      <c r="N1171" s="71" t="str">
        <f>IF(AND(fiche_sel&lt;&gt;"",A1171=fiche_sel),COUNTIF(A$6:A1171,fiche_sel),"")</f>
        <v/>
      </c>
    </row>
    <row r="1172">
      <c r="A1172" s="60" t="n"/>
      <c r="B1172" s="73" t="n"/>
      <c r="C1172" s="60" t="n"/>
      <c r="D1172" s="61" t="n"/>
      <c r="E1172" s="74" t="n"/>
      <c r="F1172" s="74" t="n"/>
      <c r="G1172" s="73" t="n"/>
      <c r="H1172" s="66" t="str">
        <f>IF(M1172&lt;&gt;"OK","",INDEX(po_mo,MATCH(D1172,po_code,0)))</f>
        <v/>
      </c>
      <c r="I1172" s="66" t="str">
        <f>IF(M1172&lt;&gt;"OK","",INDEX(po_mac,MATCH(D1172,po_code,0)))</f>
        <v/>
      </c>
      <c r="J1172" s="66" t="str">
        <f>IF(M1172&lt;&gt;"OK","",N(E1172)*(H1172*IF(G1172="",1,G1172)+I1172))</f>
        <v/>
      </c>
      <c r="K1172" s="66" t="str">
        <f>IF(M1172&lt;&gt;"OK","",N(F1172)/60*H1172*IF(G1172="",1,G1172))</f>
        <v/>
      </c>
      <c r="L1172" s="66" t="str">
        <f>IF(M1172&lt;&gt;"OK","",N(F1172)/60*I1172)</f>
        <v/>
      </c>
      <c r="M1172" s="69" t="str">
        <f>IF(AND(A1172="",D1172=""),"",IF(A1172="","Produit manquant",IF(COUNTIF(prod_ref,A1172)=0,"Produit inconnu",IF(D1172="","Poste manquant",IF(ISNA(MATCH(D1172,po_code,0)),"Poste inconnu",IF(INDEX(po_check,MATCH(D1172,po_code,0))&lt;&gt;"OK","Poste à corriger",IF(AND(E1172&lt;&gt;"",OR(NOT(ISNUMBER(E1172)),N(E1172)&lt;0)),"Réglage invalide",IF(AND(F1172&lt;&gt;"",OR(NOT(ISNUMBER(F1172)),N(F1172)&lt;0)),"Temps par pièce invalide",IF(N(E1172)+N(F1172)=0,"Temps manquant",IF(AND(G1172&lt;&gt;"",OR(NOT(ISNUMBER(G1172)),N(G1172)&lt;=0)),"Opérateurs invalide","OK"))))))))))</f>
        <v/>
      </c>
      <c r="N1172" s="71" t="str">
        <f>IF(AND(fiche_sel&lt;&gt;"",A1172=fiche_sel),COUNTIF(A$6:A1172,fiche_sel),"")</f>
        <v/>
      </c>
    </row>
    <row r="1173">
      <c r="A1173" s="60" t="n"/>
      <c r="B1173" s="73" t="n"/>
      <c r="C1173" s="60" t="n"/>
      <c r="D1173" s="61" t="n"/>
      <c r="E1173" s="74" t="n"/>
      <c r="F1173" s="74" t="n"/>
      <c r="G1173" s="73" t="n"/>
      <c r="H1173" s="66" t="str">
        <f>IF(M1173&lt;&gt;"OK","",INDEX(po_mo,MATCH(D1173,po_code,0)))</f>
        <v/>
      </c>
      <c r="I1173" s="66" t="str">
        <f>IF(M1173&lt;&gt;"OK","",INDEX(po_mac,MATCH(D1173,po_code,0)))</f>
        <v/>
      </c>
      <c r="J1173" s="66" t="str">
        <f>IF(M1173&lt;&gt;"OK","",N(E1173)*(H1173*IF(G1173="",1,G1173)+I1173))</f>
        <v/>
      </c>
      <c r="K1173" s="66" t="str">
        <f>IF(M1173&lt;&gt;"OK","",N(F1173)/60*H1173*IF(G1173="",1,G1173))</f>
        <v/>
      </c>
      <c r="L1173" s="66" t="str">
        <f>IF(M1173&lt;&gt;"OK","",N(F1173)/60*I1173)</f>
        <v/>
      </c>
      <c r="M1173" s="69" t="str">
        <f>IF(AND(A1173="",D1173=""),"",IF(A1173="","Produit manquant",IF(COUNTIF(prod_ref,A1173)=0,"Produit inconnu",IF(D1173="","Poste manquant",IF(ISNA(MATCH(D1173,po_code,0)),"Poste inconnu",IF(INDEX(po_check,MATCH(D1173,po_code,0))&lt;&gt;"OK","Poste à corriger",IF(AND(E1173&lt;&gt;"",OR(NOT(ISNUMBER(E1173)),N(E1173)&lt;0)),"Réglage invalide",IF(AND(F1173&lt;&gt;"",OR(NOT(ISNUMBER(F1173)),N(F1173)&lt;0)),"Temps par pièce invalide",IF(N(E1173)+N(F1173)=0,"Temps manquant",IF(AND(G1173&lt;&gt;"",OR(NOT(ISNUMBER(G1173)),N(G1173)&lt;=0)),"Opérateurs invalide","OK"))))))))))</f>
        <v/>
      </c>
      <c r="N1173" s="71" t="str">
        <f>IF(AND(fiche_sel&lt;&gt;"",A1173=fiche_sel),COUNTIF(A$6:A1173,fiche_sel),"")</f>
        <v/>
      </c>
    </row>
    <row r="1174">
      <c r="A1174" s="60" t="n"/>
      <c r="B1174" s="73" t="n"/>
      <c r="C1174" s="60" t="n"/>
      <c r="D1174" s="61" t="n"/>
      <c r="E1174" s="74" t="n"/>
      <c r="F1174" s="74" t="n"/>
      <c r="G1174" s="73" t="n"/>
      <c r="H1174" s="66" t="str">
        <f>IF(M1174&lt;&gt;"OK","",INDEX(po_mo,MATCH(D1174,po_code,0)))</f>
        <v/>
      </c>
      <c r="I1174" s="66" t="str">
        <f>IF(M1174&lt;&gt;"OK","",INDEX(po_mac,MATCH(D1174,po_code,0)))</f>
        <v/>
      </c>
      <c r="J1174" s="66" t="str">
        <f>IF(M1174&lt;&gt;"OK","",N(E1174)*(H1174*IF(G1174="",1,G1174)+I1174))</f>
        <v/>
      </c>
      <c r="K1174" s="66" t="str">
        <f>IF(M1174&lt;&gt;"OK","",N(F1174)/60*H1174*IF(G1174="",1,G1174))</f>
        <v/>
      </c>
      <c r="L1174" s="66" t="str">
        <f>IF(M1174&lt;&gt;"OK","",N(F1174)/60*I1174)</f>
        <v/>
      </c>
      <c r="M1174" s="69" t="str">
        <f>IF(AND(A1174="",D1174=""),"",IF(A1174="","Produit manquant",IF(COUNTIF(prod_ref,A1174)=0,"Produit inconnu",IF(D1174="","Poste manquant",IF(ISNA(MATCH(D1174,po_code,0)),"Poste inconnu",IF(INDEX(po_check,MATCH(D1174,po_code,0))&lt;&gt;"OK","Poste à corriger",IF(AND(E1174&lt;&gt;"",OR(NOT(ISNUMBER(E1174)),N(E1174)&lt;0)),"Réglage invalide",IF(AND(F1174&lt;&gt;"",OR(NOT(ISNUMBER(F1174)),N(F1174)&lt;0)),"Temps par pièce invalide",IF(N(E1174)+N(F1174)=0,"Temps manquant",IF(AND(G1174&lt;&gt;"",OR(NOT(ISNUMBER(G1174)),N(G1174)&lt;=0)),"Opérateurs invalide","OK"))))))))))</f>
        <v/>
      </c>
      <c r="N1174" s="71" t="str">
        <f>IF(AND(fiche_sel&lt;&gt;"",A1174=fiche_sel),COUNTIF(A$6:A1174,fiche_sel),"")</f>
        <v/>
      </c>
    </row>
    <row r="1175">
      <c r="A1175" s="60" t="n"/>
      <c r="B1175" s="73" t="n"/>
      <c r="C1175" s="60" t="n"/>
      <c r="D1175" s="61" t="n"/>
      <c r="E1175" s="74" t="n"/>
      <c r="F1175" s="74" t="n"/>
      <c r="G1175" s="73" t="n"/>
      <c r="H1175" s="66" t="str">
        <f>IF(M1175&lt;&gt;"OK","",INDEX(po_mo,MATCH(D1175,po_code,0)))</f>
        <v/>
      </c>
      <c r="I1175" s="66" t="str">
        <f>IF(M1175&lt;&gt;"OK","",INDEX(po_mac,MATCH(D1175,po_code,0)))</f>
        <v/>
      </c>
      <c r="J1175" s="66" t="str">
        <f>IF(M1175&lt;&gt;"OK","",N(E1175)*(H1175*IF(G1175="",1,G1175)+I1175))</f>
        <v/>
      </c>
      <c r="K1175" s="66" t="str">
        <f>IF(M1175&lt;&gt;"OK","",N(F1175)/60*H1175*IF(G1175="",1,G1175))</f>
        <v/>
      </c>
      <c r="L1175" s="66" t="str">
        <f>IF(M1175&lt;&gt;"OK","",N(F1175)/60*I1175)</f>
        <v/>
      </c>
      <c r="M1175" s="69" t="str">
        <f>IF(AND(A1175="",D1175=""),"",IF(A1175="","Produit manquant",IF(COUNTIF(prod_ref,A1175)=0,"Produit inconnu",IF(D1175="","Poste manquant",IF(ISNA(MATCH(D1175,po_code,0)),"Poste inconnu",IF(INDEX(po_check,MATCH(D1175,po_code,0))&lt;&gt;"OK","Poste à corriger",IF(AND(E1175&lt;&gt;"",OR(NOT(ISNUMBER(E1175)),N(E1175)&lt;0)),"Réglage invalide",IF(AND(F1175&lt;&gt;"",OR(NOT(ISNUMBER(F1175)),N(F1175)&lt;0)),"Temps par pièce invalide",IF(N(E1175)+N(F1175)=0,"Temps manquant",IF(AND(G1175&lt;&gt;"",OR(NOT(ISNUMBER(G1175)),N(G1175)&lt;=0)),"Opérateurs invalide","OK"))))))))))</f>
        <v/>
      </c>
      <c r="N1175" s="71" t="str">
        <f>IF(AND(fiche_sel&lt;&gt;"",A1175=fiche_sel),COUNTIF(A$6:A1175,fiche_sel),"")</f>
        <v/>
      </c>
    </row>
    <row r="1176">
      <c r="A1176" s="60" t="n"/>
      <c r="B1176" s="73" t="n"/>
      <c r="C1176" s="60" t="n"/>
      <c r="D1176" s="61" t="n"/>
      <c r="E1176" s="74" t="n"/>
      <c r="F1176" s="74" t="n"/>
      <c r="G1176" s="73" t="n"/>
      <c r="H1176" s="66" t="str">
        <f>IF(M1176&lt;&gt;"OK","",INDEX(po_mo,MATCH(D1176,po_code,0)))</f>
        <v/>
      </c>
      <c r="I1176" s="66" t="str">
        <f>IF(M1176&lt;&gt;"OK","",INDEX(po_mac,MATCH(D1176,po_code,0)))</f>
        <v/>
      </c>
      <c r="J1176" s="66" t="str">
        <f>IF(M1176&lt;&gt;"OK","",N(E1176)*(H1176*IF(G1176="",1,G1176)+I1176))</f>
        <v/>
      </c>
      <c r="K1176" s="66" t="str">
        <f>IF(M1176&lt;&gt;"OK","",N(F1176)/60*H1176*IF(G1176="",1,G1176))</f>
        <v/>
      </c>
      <c r="L1176" s="66" t="str">
        <f>IF(M1176&lt;&gt;"OK","",N(F1176)/60*I1176)</f>
        <v/>
      </c>
      <c r="M1176" s="69" t="str">
        <f>IF(AND(A1176="",D1176=""),"",IF(A1176="","Produit manquant",IF(COUNTIF(prod_ref,A1176)=0,"Produit inconnu",IF(D1176="","Poste manquant",IF(ISNA(MATCH(D1176,po_code,0)),"Poste inconnu",IF(INDEX(po_check,MATCH(D1176,po_code,0))&lt;&gt;"OK","Poste à corriger",IF(AND(E1176&lt;&gt;"",OR(NOT(ISNUMBER(E1176)),N(E1176)&lt;0)),"Réglage invalide",IF(AND(F1176&lt;&gt;"",OR(NOT(ISNUMBER(F1176)),N(F1176)&lt;0)),"Temps par pièce invalide",IF(N(E1176)+N(F1176)=0,"Temps manquant",IF(AND(G1176&lt;&gt;"",OR(NOT(ISNUMBER(G1176)),N(G1176)&lt;=0)),"Opérateurs invalide","OK"))))))))))</f>
        <v/>
      </c>
      <c r="N1176" s="71" t="str">
        <f>IF(AND(fiche_sel&lt;&gt;"",A1176=fiche_sel),COUNTIF(A$6:A1176,fiche_sel),"")</f>
        <v/>
      </c>
    </row>
    <row r="1177">
      <c r="A1177" s="60" t="n"/>
      <c r="B1177" s="73" t="n"/>
      <c r="C1177" s="60" t="n"/>
      <c r="D1177" s="61" t="n"/>
      <c r="E1177" s="74" t="n"/>
      <c r="F1177" s="74" t="n"/>
      <c r="G1177" s="73" t="n"/>
      <c r="H1177" s="66" t="str">
        <f>IF(M1177&lt;&gt;"OK","",INDEX(po_mo,MATCH(D1177,po_code,0)))</f>
        <v/>
      </c>
      <c r="I1177" s="66" t="str">
        <f>IF(M1177&lt;&gt;"OK","",INDEX(po_mac,MATCH(D1177,po_code,0)))</f>
        <v/>
      </c>
      <c r="J1177" s="66" t="str">
        <f>IF(M1177&lt;&gt;"OK","",N(E1177)*(H1177*IF(G1177="",1,G1177)+I1177))</f>
        <v/>
      </c>
      <c r="K1177" s="66" t="str">
        <f>IF(M1177&lt;&gt;"OK","",N(F1177)/60*H1177*IF(G1177="",1,G1177))</f>
        <v/>
      </c>
      <c r="L1177" s="66" t="str">
        <f>IF(M1177&lt;&gt;"OK","",N(F1177)/60*I1177)</f>
        <v/>
      </c>
      <c r="M1177" s="69" t="str">
        <f>IF(AND(A1177="",D1177=""),"",IF(A1177="","Produit manquant",IF(COUNTIF(prod_ref,A1177)=0,"Produit inconnu",IF(D1177="","Poste manquant",IF(ISNA(MATCH(D1177,po_code,0)),"Poste inconnu",IF(INDEX(po_check,MATCH(D1177,po_code,0))&lt;&gt;"OK","Poste à corriger",IF(AND(E1177&lt;&gt;"",OR(NOT(ISNUMBER(E1177)),N(E1177)&lt;0)),"Réglage invalide",IF(AND(F1177&lt;&gt;"",OR(NOT(ISNUMBER(F1177)),N(F1177)&lt;0)),"Temps par pièce invalide",IF(N(E1177)+N(F1177)=0,"Temps manquant",IF(AND(G1177&lt;&gt;"",OR(NOT(ISNUMBER(G1177)),N(G1177)&lt;=0)),"Opérateurs invalide","OK"))))))))))</f>
        <v/>
      </c>
      <c r="N1177" s="71" t="str">
        <f>IF(AND(fiche_sel&lt;&gt;"",A1177=fiche_sel),COUNTIF(A$6:A1177,fiche_sel),"")</f>
        <v/>
      </c>
    </row>
    <row r="1178">
      <c r="A1178" s="60" t="n"/>
      <c r="B1178" s="73" t="n"/>
      <c r="C1178" s="60" t="n"/>
      <c r="D1178" s="61" t="n"/>
      <c r="E1178" s="74" t="n"/>
      <c r="F1178" s="74" t="n"/>
      <c r="G1178" s="73" t="n"/>
      <c r="H1178" s="66" t="str">
        <f>IF(M1178&lt;&gt;"OK","",INDEX(po_mo,MATCH(D1178,po_code,0)))</f>
        <v/>
      </c>
      <c r="I1178" s="66" t="str">
        <f>IF(M1178&lt;&gt;"OK","",INDEX(po_mac,MATCH(D1178,po_code,0)))</f>
        <v/>
      </c>
      <c r="J1178" s="66" t="str">
        <f>IF(M1178&lt;&gt;"OK","",N(E1178)*(H1178*IF(G1178="",1,G1178)+I1178))</f>
        <v/>
      </c>
      <c r="K1178" s="66" t="str">
        <f>IF(M1178&lt;&gt;"OK","",N(F1178)/60*H1178*IF(G1178="",1,G1178))</f>
        <v/>
      </c>
      <c r="L1178" s="66" t="str">
        <f>IF(M1178&lt;&gt;"OK","",N(F1178)/60*I1178)</f>
        <v/>
      </c>
      <c r="M1178" s="69" t="str">
        <f>IF(AND(A1178="",D1178=""),"",IF(A1178="","Produit manquant",IF(COUNTIF(prod_ref,A1178)=0,"Produit inconnu",IF(D1178="","Poste manquant",IF(ISNA(MATCH(D1178,po_code,0)),"Poste inconnu",IF(INDEX(po_check,MATCH(D1178,po_code,0))&lt;&gt;"OK","Poste à corriger",IF(AND(E1178&lt;&gt;"",OR(NOT(ISNUMBER(E1178)),N(E1178)&lt;0)),"Réglage invalide",IF(AND(F1178&lt;&gt;"",OR(NOT(ISNUMBER(F1178)),N(F1178)&lt;0)),"Temps par pièce invalide",IF(N(E1178)+N(F1178)=0,"Temps manquant",IF(AND(G1178&lt;&gt;"",OR(NOT(ISNUMBER(G1178)),N(G1178)&lt;=0)),"Opérateurs invalide","OK"))))))))))</f>
        <v/>
      </c>
      <c r="N1178" s="71" t="str">
        <f>IF(AND(fiche_sel&lt;&gt;"",A1178=fiche_sel),COUNTIF(A$6:A1178,fiche_sel),"")</f>
        <v/>
      </c>
    </row>
    <row r="1179">
      <c r="A1179" s="60" t="n"/>
      <c r="B1179" s="73" t="n"/>
      <c r="C1179" s="60" t="n"/>
      <c r="D1179" s="61" t="n"/>
      <c r="E1179" s="74" t="n"/>
      <c r="F1179" s="74" t="n"/>
      <c r="G1179" s="73" t="n"/>
      <c r="H1179" s="66" t="str">
        <f>IF(M1179&lt;&gt;"OK","",INDEX(po_mo,MATCH(D1179,po_code,0)))</f>
        <v/>
      </c>
      <c r="I1179" s="66" t="str">
        <f>IF(M1179&lt;&gt;"OK","",INDEX(po_mac,MATCH(D1179,po_code,0)))</f>
        <v/>
      </c>
      <c r="J1179" s="66" t="str">
        <f>IF(M1179&lt;&gt;"OK","",N(E1179)*(H1179*IF(G1179="",1,G1179)+I1179))</f>
        <v/>
      </c>
      <c r="K1179" s="66" t="str">
        <f>IF(M1179&lt;&gt;"OK","",N(F1179)/60*H1179*IF(G1179="",1,G1179))</f>
        <v/>
      </c>
      <c r="L1179" s="66" t="str">
        <f>IF(M1179&lt;&gt;"OK","",N(F1179)/60*I1179)</f>
        <v/>
      </c>
      <c r="M1179" s="69" t="str">
        <f>IF(AND(A1179="",D1179=""),"",IF(A1179="","Produit manquant",IF(COUNTIF(prod_ref,A1179)=0,"Produit inconnu",IF(D1179="","Poste manquant",IF(ISNA(MATCH(D1179,po_code,0)),"Poste inconnu",IF(INDEX(po_check,MATCH(D1179,po_code,0))&lt;&gt;"OK","Poste à corriger",IF(AND(E1179&lt;&gt;"",OR(NOT(ISNUMBER(E1179)),N(E1179)&lt;0)),"Réglage invalide",IF(AND(F1179&lt;&gt;"",OR(NOT(ISNUMBER(F1179)),N(F1179)&lt;0)),"Temps par pièce invalide",IF(N(E1179)+N(F1179)=0,"Temps manquant",IF(AND(G1179&lt;&gt;"",OR(NOT(ISNUMBER(G1179)),N(G1179)&lt;=0)),"Opérateurs invalide","OK"))))))))))</f>
        <v/>
      </c>
      <c r="N1179" s="71" t="str">
        <f>IF(AND(fiche_sel&lt;&gt;"",A1179=fiche_sel),COUNTIF(A$6:A1179,fiche_sel),"")</f>
        <v/>
      </c>
    </row>
    <row r="1180">
      <c r="A1180" s="60" t="n"/>
      <c r="B1180" s="73" t="n"/>
      <c r="C1180" s="60" t="n"/>
      <c r="D1180" s="61" t="n"/>
      <c r="E1180" s="74" t="n"/>
      <c r="F1180" s="74" t="n"/>
      <c r="G1180" s="73" t="n"/>
      <c r="H1180" s="66" t="str">
        <f>IF(M1180&lt;&gt;"OK","",INDEX(po_mo,MATCH(D1180,po_code,0)))</f>
        <v/>
      </c>
      <c r="I1180" s="66" t="str">
        <f>IF(M1180&lt;&gt;"OK","",INDEX(po_mac,MATCH(D1180,po_code,0)))</f>
        <v/>
      </c>
      <c r="J1180" s="66" t="str">
        <f>IF(M1180&lt;&gt;"OK","",N(E1180)*(H1180*IF(G1180="",1,G1180)+I1180))</f>
        <v/>
      </c>
      <c r="K1180" s="66" t="str">
        <f>IF(M1180&lt;&gt;"OK","",N(F1180)/60*H1180*IF(G1180="",1,G1180))</f>
        <v/>
      </c>
      <c r="L1180" s="66" t="str">
        <f>IF(M1180&lt;&gt;"OK","",N(F1180)/60*I1180)</f>
        <v/>
      </c>
      <c r="M1180" s="69" t="str">
        <f>IF(AND(A1180="",D1180=""),"",IF(A1180="","Produit manquant",IF(COUNTIF(prod_ref,A1180)=0,"Produit inconnu",IF(D1180="","Poste manquant",IF(ISNA(MATCH(D1180,po_code,0)),"Poste inconnu",IF(INDEX(po_check,MATCH(D1180,po_code,0))&lt;&gt;"OK","Poste à corriger",IF(AND(E1180&lt;&gt;"",OR(NOT(ISNUMBER(E1180)),N(E1180)&lt;0)),"Réglage invalide",IF(AND(F1180&lt;&gt;"",OR(NOT(ISNUMBER(F1180)),N(F1180)&lt;0)),"Temps par pièce invalide",IF(N(E1180)+N(F1180)=0,"Temps manquant",IF(AND(G1180&lt;&gt;"",OR(NOT(ISNUMBER(G1180)),N(G1180)&lt;=0)),"Opérateurs invalide","OK"))))))))))</f>
        <v/>
      </c>
      <c r="N1180" s="71" t="str">
        <f>IF(AND(fiche_sel&lt;&gt;"",A1180=fiche_sel),COUNTIF(A$6:A1180,fiche_sel),"")</f>
        <v/>
      </c>
    </row>
    <row r="1181">
      <c r="A1181" s="60" t="n"/>
      <c r="B1181" s="73" t="n"/>
      <c r="C1181" s="60" t="n"/>
      <c r="D1181" s="61" t="n"/>
      <c r="E1181" s="74" t="n"/>
      <c r="F1181" s="74" t="n"/>
      <c r="G1181" s="73" t="n"/>
      <c r="H1181" s="66" t="str">
        <f>IF(M1181&lt;&gt;"OK","",INDEX(po_mo,MATCH(D1181,po_code,0)))</f>
        <v/>
      </c>
      <c r="I1181" s="66" t="str">
        <f>IF(M1181&lt;&gt;"OK","",INDEX(po_mac,MATCH(D1181,po_code,0)))</f>
        <v/>
      </c>
      <c r="J1181" s="66" t="str">
        <f>IF(M1181&lt;&gt;"OK","",N(E1181)*(H1181*IF(G1181="",1,G1181)+I1181))</f>
        <v/>
      </c>
      <c r="K1181" s="66" t="str">
        <f>IF(M1181&lt;&gt;"OK","",N(F1181)/60*H1181*IF(G1181="",1,G1181))</f>
        <v/>
      </c>
      <c r="L1181" s="66" t="str">
        <f>IF(M1181&lt;&gt;"OK","",N(F1181)/60*I1181)</f>
        <v/>
      </c>
      <c r="M1181" s="69" t="str">
        <f>IF(AND(A1181="",D1181=""),"",IF(A1181="","Produit manquant",IF(COUNTIF(prod_ref,A1181)=0,"Produit inconnu",IF(D1181="","Poste manquant",IF(ISNA(MATCH(D1181,po_code,0)),"Poste inconnu",IF(INDEX(po_check,MATCH(D1181,po_code,0))&lt;&gt;"OK","Poste à corriger",IF(AND(E1181&lt;&gt;"",OR(NOT(ISNUMBER(E1181)),N(E1181)&lt;0)),"Réglage invalide",IF(AND(F1181&lt;&gt;"",OR(NOT(ISNUMBER(F1181)),N(F1181)&lt;0)),"Temps par pièce invalide",IF(N(E1181)+N(F1181)=0,"Temps manquant",IF(AND(G1181&lt;&gt;"",OR(NOT(ISNUMBER(G1181)),N(G1181)&lt;=0)),"Opérateurs invalide","OK"))))))))))</f>
        <v/>
      </c>
      <c r="N1181" s="71" t="str">
        <f>IF(AND(fiche_sel&lt;&gt;"",A1181=fiche_sel),COUNTIF(A$6:A1181,fiche_sel),"")</f>
        <v/>
      </c>
    </row>
    <row r="1182">
      <c r="A1182" s="60" t="n"/>
      <c r="B1182" s="73" t="n"/>
      <c r="C1182" s="60" t="n"/>
      <c r="D1182" s="61" t="n"/>
      <c r="E1182" s="74" t="n"/>
      <c r="F1182" s="74" t="n"/>
      <c r="G1182" s="73" t="n"/>
      <c r="H1182" s="66" t="str">
        <f>IF(M1182&lt;&gt;"OK","",INDEX(po_mo,MATCH(D1182,po_code,0)))</f>
        <v/>
      </c>
      <c r="I1182" s="66" t="str">
        <f>IF(M1182&lt;&gt;"OK","",INDEX(po_mac,MATCH(D1182,po_code,0)))</f>
        <v/>
      </c>
      <c r="J1182" s="66" t="str">
        <f>IF(M1182&lt;&gt;"OK","",N(E1182)*(H1182*IF(G1182="",1,G1182)+I1182))</f>
        <v/>
      </c>
      <c r="K1182" s="66" t="str">
        <f>IF(M1182&lt;&gt;"OK","",N(F1182)/60*H1182*IF(G1182="",1,G1182))</f>
        <v/>
      </c>
      <c r="L1182" s="66" t="str">
        <f>IF(M1182&lt;&gt;"OK","",N(F1182)/60*I1182)</f>
        <v/>
      </c>
      <c r="M1182" s="69" t="str">
        <f>IF(AND(A1182="",D1182=""),"",IF(A1182="","Produit manquant",IF(COUNTIF(prod_ref,A1182)=0,"Produit inconnu",IF(D1182="","Poste manquant",IF(ISNA(MATCH(D1182,po_code,0)),"Poste inconnu",IF(INDEX(po_check,MATCH(D1182,po_code,0))&lt;&gt;"OK","Poste à corriger",IF(AND(E1182&lt;&gt;"",OR(NOT(ISNUMBER(E1182)),N(E1182)&lt;0)),"Réglage invalide",IF(AND(F1182&lt;&gt;"",OR(NOT(ISNUMBER(F1182)),N(F1182)&lt;0)),"Temps par pièce invalide",IF(N(E1182)+N(F1182)=0,"Temps manquant",IF(AND(G1182&lt;&gt;"",OR(NOT(ISNUMBER(G1182)),N(G1182)&lt;=0)),"Opérateurs invalide","OK"))))))))))</f>
        <v/>
      </c>
      <c r="N1182" s="71" t="str">
        <f>IF(AND(fiche_sel&lt;&gt;"",A1182=fiche_sel),COUNTIF(A$6:A1182,fiche_sel),"")</f>
        <v/>
      </c>
    </row>
    <row r="1183">
      <c r="A1183" s="60" t="n"/>
      <c r="B1183" s="73" t="n"/>
      <c r="C1183" s="60" t="n"/>
      <c r="D1183" s="61" t="n"/>
      <c r="E1183" s="74" t="n"/>
      <c r="F1183" s="74" t="n"/>
      <c r="G1183" s="73" t="n"/>
      <c r="H1183" s="66" t="str">
        <f>IF(M1183&lt;&gt;"OK","",INDEX(po_mo,MATCH(D1183,po_code,0)))</f>
        <v/>
      </c>
      <c r="I1183" s="66" t="str">
        <f>IF(M1183&lt;&gt;"OK","",INDEX(po_mac,MATCH(D1183,po_code,0)))</f>
        <v/>
      </c>
      <c r="J1183" s="66" t="str">
        <f>IF(M1183&lt;&gt;"OK","",N(E1183)*(H1183*IF(G1183="",1,G1183)+I1183))</f>
        <v/>
      </c>
      <c r="K1183" s="66" t="str">
        <f>IF(M1183&lt;&gt;"OK","",N(F1183)/60*H1183*IF(G1183="",1,G1183))</f>
        <v/>
      </c>
      <c r="L1183" s="66" t="str">
        <f>IF(M1183&lt;&gt;"OK","",N(F1183)/60*I1183)</f>
        <v/>
      </c>
      <c r="M1183" s="69" t="str">
        <f>IF(AND(A1183="",D1183=""),"",IF(A1183="","Produit manquant",IF(COUNTIF(prod_ref,A1183)=0,"Produit inconnu",IF(D1183="","Poste manquant",IF(ISNA(MATCH(D1183,po_code,0)),"Poste inconnu",IF(INDEX(po_check,MATCH(D1183,po_code,0))&lt;&gt;"OK","Poste à corriger",IF(AND(E1183&lt;&gt;"",OR(NOT(ISNUMBER(E1183)),N(E1183)&lt;0)),"Réglage invalide",IF(AND(F1183&lt;&gt;"",OR(NOT(ISNUMBER(F1183)),N(F1183)&lt;0)),"Temps par pièce invalide",IF(N(E1183)+N(F1183)=0,"Temps manquant",IF(AND(G1183&lt;&gt;"",OR(NOT(ISNUMBER(G1183)),N(G1183)&lt;=0)),"Opérateurs invalide","OK"))))))))))</f>
        <v/>
      </c>
      <c r="N1183" s="71" t="str">
        <f>IF(AND(fiche_sel&lt;&gt;"",A1183=fiche_sel),COUNTIF(A$6:A1183,fiche_sel),"")</f>
        <v/>
      </c>
    </row>
    <row r="1184">
      <c r="A1184" s="60" t="n"/>
      <c r="B1184" s="73" t="n"/>
      <c r="C1184" s="60" t="n"/>
      <c r="D1184" s="61" t="n"/>
      <c r="E1184" s="74" t="n"/>
      <c r="F1184" s="74" t="n"/>
      <c r="G1184" s="73" t="n"/>
      <c r="H1184" s="66" t="str">
        <f>IF(M1184&lt;&gt;"OK","",INDEX(po_mo,MATCH(D1184,po_code,0)))</f>
        <v/>
      </c>
      <c r="I1184" s="66" t="str">
        <f>IF(M1184&lt;&gt;"OK","",INDEX(po_mac,MATCH(D1184,po_code,0)))</f>
        <v/>
      </c>
      <c r="J1184" s="66" t="str">
        <f>IF(M1184&lt;&gt;"OK","",N(E1184)*(H1184*IF(G1184="",1,G1184)+I1184))</f>
        <v/>
      </c>
      <c r="K1184" s="66" t="str">
        <f>IF(M1184&lt;&gt;"OK","",N(F1184)/60*H1184*IF(G1184="",1,G1184))</f>
        <v/>
      </c>
      <c r="L1184" s="66" t="str">
        <f>IF(M1184&lt;&gt;"OK","",N(F1184)/60*I1184)</f>
        <v/>
      </c>
      <c r="M1184" s="69" t="str">
        <f>IF(AND(A1184="",D1184=""),"",IF(A1184="","Produit manquant",IF(COUNTIF(prod_ref,A1184)=0,"Produit inconnu",IF(D1184="","Poste manquant",IF(ISNA(MATCH(D1184,po_code,0)),"Poste inconnu",IF(INDEX(po_check,MATCH(D1184,po_code,0))&lt;&gt;"OK","Poste à corriger",IF(AND(E1184&lt;&gt;"",OR(NOT(ISNUMBER(E1184)),N(E1184)&lt;0)),"Réglage invalide",IF(AND(F1184&lt;&gt;"",OR(NOT(ISNUMBER(F1184)),N(F1184)&lt;0)),"Temps par pièce invalide",IF(N(E1184)+N(F1184)=0,"Temps manquant",IF(AND(G1184&lt;&gt;"",OR(NOT(ISNUMBER(G1184)),N(G1184)&lt;=0)),"Opérateurs invalide","OK"))))))))))</f>
        <v/>
      </c>
      <c r="N1184" s="71" t="str">
        <f>IF(AND(fiche_sel&lt;&gt;"",A1184=fiche_sel),COUNTIF(A$6:A1184,fiche_sel),"")</f>
        <v/>
      </c>
    </row>
    <row r="1185">
      <c r="A1185" s="60" t="n"/>
      <c r="B1185" s="73" t="n"/>
      <c r="C1185" s="60" t="n"/>
      <c r="D1185" s="61" t="n"/>
      <c r="E1185" s="74" t="n"/>
      <c r="F1185" s="74" t="n"/>
      <c r="G1185" s="73" t="n"/>
      <c r="H1185" s="66" t="str">
        <f>IF(M1185&lt;&gt;"OK","",INDEX(po_mo,MATCH(D1185,po_code,0)))</f>
        <v/>
      </c>
      <c r="I1185" s="66" t="str">
        <f>IF(M1185&lt;&gt;"OK","",INDEX(po_mac,MATCH(D1185,po_code,0)))</f>
        <v/>
      </c>
      <c r="J1185" s="66" t="str">
        <f>IF(M1185&lt;&gt;"OK","",N(E1185)*(H1185*IF(G1185="",1,G1185)+I1185))</f>
        <v/>
      </c>
      <c r="K1185" s="66" t="str">
        <f>IF(M1185&lt;&gt;"OK","",N(F1185)/60*H1185*IF(G1185="",1,G1185))</f>
        <v/>
      </c>
      <c r="L1185" s="66" t="str">
        <f>IF(M1185&lt;&gt;"OK","",N(F1185)/60*I1185)</f>
        <v/>
      </c>
      <c r="M1185" s="69" t="str">
        <f>IF(AND(A1185="",D1185=""),"",IF(A1185="","Produit manquant",IF(COUNTIF(prod_ref,A1185)=0,"Produit inconnu",IF(D1185="","Poste manquant",IF(ISNA(MATCH(D1185,po_code,0)),"Poste inconnu",IF(INDEX(po_check,MATCH(D1185,po_code,0))&lt;&gt;"OK","Poste à corriger",IF(AND(E1185&lt;&gt;"",OR(NOT(ISNUMBER(E1185)),N(E1185)&lt;0)),"Réglage invalide",IF(AND(F1185&lt;&gt;"",OR(NOT(ISNUMBER(F1185)),N(F1185)&lt;0)),"Temps par pièce invalide",IF(N(E1185)+N(F1185)=0,"Temps manquant",IF(AND(G1185&lt;&gt;"",OR(NOT(ISNUMBER(G1185)),N(G1185)&lt;=0)),"Opérateurs invalide","OK"))))))))))</f>
        <v/>
      </c>
      <c r="N1185" s="71" t="str">
        <f>IF(AND(fiche_sel&lt;&gt;"",A1185=fiche_sel),COUNTIF(A$6:A1185,fiche_sel),"")</f>
        <v/>
      </c>
    </row>
    <row r="1186">
      <c r="A1186" s="60" t="n"/>
      <c r="B1186" s="73" t="n"/>
      <c r="C1186" s="60" t="n"/>
      <c r="D1186" s="61" t="n"/>
      <c r="E1186" s="74" t="n"/>
      <c r="F1186" s="74" t="n"/>
      <c r="G1186" s="73" t="n"/>
      <c r="H1186" s="66" t="str">
        <f>IF(M1186&lt;&gt;"OK","",INDEX(po_mo,MATCH(D1186,po_code,0)))</f>
        <v/>
      </c>
      <c r="I1186" s="66" t="str">
        <f>IF(M1186&lt;&gt;"OK","",INDEX(po_mac,MATCH(D1186,po_code,0)))</f>
        <v/>
      </c>
      <c r="J1186" s="66" t="str">
        <f>IF(M1186&lt;&gt;"OK","",N(E1186)*(H1186*IF(G1186="",1,G1186)+I1186))</f>
        <v/>
      </c>
      <c r="K1186" s="66" t="str">
        <f>IF(M1186&lt;&gt;"OK","",N(F1186)/60*H1186*IF(G1186="",1,G1186))</f>
        <v/>
      </c>
      <c r="L1186" s="66" t="str">
        <f>IF(M1186&lt;&gt;"OK","",N(F1186)/60*I1186)</f>
        <v/>
      </c>
      <c r="M1186" s="69" t="str">
        <f>IF(AND(A1186="",D1186=""),"",IF(A1186="","Produit manquant",IF(COUNTIF(prod_ref,A1186)=0,"Produit inconnu",IF(D1186="","Poste manquant",IF(ISNA(MATCH(D1186,po_code,0)),"Poste inconnu",IF(INDEX(po_check,MATCH(D1186,po_code,0))&lt;&gt;"OK","Poste à corriger",IF(AND(E1186&lt;&gt;"",OR(NOT(ISNUMBER(E1186)),N(E1186)&lt;0)),"Réglage invalide",IF(AND(F1186&lt;&gt;"",OR(NOT(ISNUMBER(F1186)),N(F1186)&lt;0)),"Temps par pièce invalide",IF(N(E1186)+N(F1186)=0,"Temps manquant",IF(AND(G1186&lt;&gt;"",OR(NOT(ISNUMBER(G1186)),N(G1186)&lt;=0)),"Opérateurs invalide","OK"))))))))))</f>
        <v/>
      </c>
      <c r="N1186" s="71" t="str">
        <f>IF(AND(fiche_sel&lt;&gt;"",A1186=fiche_sel),COUNTIF(A$6:A1186,fiche_sel),"")</f>
        <v/>
      </c>
    </row>
    <row r="1187">
      <c r="A1187" s="60" t="n"/>
      <c r="B1187" s="73" t="n"/>
      <c r="C1187" s="60" t="n"/>
      <c r="D1187" s="61" t="n"/>
      <c r="E1187" s="74" t="n"/>
      <c r="F1187" s="74" t="n"/>
      <c r="G1187" s="73" t="n"/>
      <c r="H1187" s="66" t="str">
        <f>IF(M1187&lt;&gt;"OK","",INDEX(po_mo,MATCH(D1187,po_code,0)))</f>
        <v/>
      </c>
      <c r="I1187" s="66" t="str">
        <f>IF(M1187&lt;&gt;"OK","",INDEX(po_mac,MATCH(D1187,po_code,0)))</f>
        <v/>
      </c>
      <c r="J1187" s="66" t="str">
        <f>IF(M1187&lt;&gt;"OK","",N(E1187)*(H1187*IF(G1187="",1,G1187)+I1187))</f>
        <v/>
      </c>
      <c r="K1187" s="66" t="str">
        <f>IF(M1187&lt;&gt;"OK","",N(F1187)/60*H1187*IF(G1187="",1,G1187))</f>
        <v/>
      </c>
      <c r="L1187" s="66" t="str">
        <f>IF(M1187&lt;&gt;"OK","",N(F1187)/60*I1187)</f>
        <v/>
      </c>
      <c r="M1187" s="69" t="str">
        <f>IF(AND(A1187="",D1187=""),"",IF(A1187="","Produit manquant",IF(COUNTIF(prod_ref,A1187)=0,"Produit inconnu",IF(D1187="","Poste manquant",IF(ISNA(MATCH(D1187,po_code,0)),"Poste inconnu",IF(INDEX(po_check,MATCH(D1187,po_code,0))&lt;&gt;"OK","Poste à corriger",IF(AND(E1187&lt;&gt;"",OR(NOT(ISNUMBER(E1187)),N(E1187)&lt;0)),"Réglage invalide",IF(AND(F1187&lt;&gt;"",OR(NOT(ISNUMBER(F1187)),N(F1187)&lt;0)),"Temps par pièce invalide",IF(N(E1187)+N(F1187)=0,"Temps manquant",IF(AND(G1187&lt;&gt;"",OR(NOT(ISNUMBER(G1187)),N(G1187)&lt;=0)),"Opérateurs invalide","OK"))))))))))</f>
        <v/>
      </c>
      <c r="N1187" s="71" t="str">
        <f>IF(AND(fiche_sel&lt;&gt;"",A1187=fiche_sel),COUNTIF(A$6:A1187,fiche_sel),"")</f>
        <v/>
      </c>
    </row>
    <row r="1188">
      <c r="A1188" s="60" t="n"/>
      <c r="B1188" s="73" t="n"/>
      <c r="C1188" s="60" t="n"/>
      <c r="D1188" s="61" t="n"/>
      <c r="E1188" s="74" t="n"/>
      <c r="F1188" s="74" t="n"/>
      <c r="G1188" s="73" t="n"/>
      <c r="H1188" s="66" t="str">
        <f>IF(M1188&lt;&gt;"OK","",INDEX(po_mo,MATCH(D1188,po_code,0)))</f>
        <v/>
      </c>
      <c r="I1188" s="66" t="str">
        <f>IF(M1188&lt;&gt;"OK","",INDEX(po_mac,MATCH(D1188,po_code,0)))</f>
        <v/>
      </c>
      <c r="J1188" s="66" t="str">
        <f>IF(M1188&lt;&gt;"OK","",N(E1188)*(H1188*IF(G1188="",1,G1188)+I1188))</f>
        <v/>
      </c>
      <c r="K1188" s="66" t="str">
        <f>IF(M1188&lt;&gt;"OK","",N(F1188)/60*H1188*IF(G1188="",1,G1188))</f>
        <v/>
      </c>
      <c r="L1188" s="66" t="str">
        <f>IF(M1188&lt;&gt;"OK","",N(F1188)/60*I1188)</f>
        <v/>
      </c>
      <c r="M1188" s="69" t="str">
        <f>IF(AND(A1188="",D1188=""),"",IF(A1188="","Produit manquant",IF(COUNTIF(prod_ref,A1188)=0,"Produit inconnu",IF(D1188="","Poste manquant",IF(ISNA(MATCH(D1188,po_code,0)),"Poste inconnu",IF(INDEX(po_check,MATCH(D1188,po_code,0))&lt;&gt;"OK","Poste à corriger",IF(AND(E1188&lt;&gt;"",OR(NOT(ISNUMBER(E1188)),N(E1188)&lt;0)),"Réglage invalide",IF(AND(F1188&lt;&gt;"",OR(NOT(ISNUMBER(F1188)),N(F1188)&lt;0)),"Temps par pièce invalide",IF(N(E1188)+N(F1188)=0,"Temps manquant",IF(AND(G1188&lt;&gt;"",OR(NOT(ISNUMBER(G1188)),N(G1188)&lt;=0)),"Opérateurs invalide","OK"))))))))))</f>
        <v/>
      </c>
      <c r="N1188" s="71" t="str">
        <f>IF(AND(fiche_sel&lt;&gt;"",A1188=fiche_sel),COUNTIF(A$6:A1188,fiche_sel),"")</f>
        <v/>
      </c>
    </row>
    <row r="1189">
      <c r="A1189" s="60" t="n"/>
      <c r="B1189" s="73" t="n"/>
      <c r="C1189" s="60" t="n"/>
      <c r="D1189" s="61" t="n"/>
      <c r="E1189" s="74" t="n"/>
      <c r="F1189" s="74" t="n"/>
      <c r="G1189" s="73" t="n"/>
      <c r="H1189" s="66" t="str">
        <f>IF(M1189&lt;&gt;"OK","",INDEX(po_mo,MATCH(D1189,po_code,0)))</f>
        <v/>
      </c>
      <c r="I1189" s="66" t="str">
        <f>IF(M1189&lt;&gt;"OK","",INDEX(po_mac,MATCH(D1189,po_code,0)))</f>
        <v/>
      </c>
      <c r="J1189" s="66" t="str">
        <f>IF(M1189&lt;&gt;"OK","",N(E1189)*(H1189*IF(G1189="",1,G1189)+I1189))</f>
        <v/>
      </c>
      <c r="K1189" s="66" t="str">
        <f>IF(M1189&lt;&gt;"OK","",N(F1189)/60*H1189*IF(G1189="",1,G1189))</f>
        <v/>
      </c>
      <c r="L1189" s="66" t="str">
        <f>IF(M1189&lt;&gt;"OK","",N(F1189)/60*I1189)</f>
        <v/>
      </c>
      <c r="M1189" s="69" t="str">
        <f>IF(AND(A1189="",D1189=""),"",IF(A1189="","Produit manquant",IF(COUNTIF(prod_ref,A1189)=0,"Produit inconnu",IF(D1189="","Poste manquant",IF(ISNA(MATCH(D1189,po_code,0)),"Poste inconnu",IF(INDEX(po_check,MATCH(D1189,po_code,0))&lt;&gt;"OK","Poste à corriger",IF(AND(E1189&lt;&gt;"",OR(NOT(ISNUMBER(E1189)),N(E1189)&lt;0)),"Réglage invalide",IF(AND(F1189&lt;&gt;"",OR(NOT(ISNUMBER(F1189)),N(F1189)&lt;0)),"Temps par pièce invalide",IF(N(E1189)+N(F1189)=0,"Temps manquant",IF(AND(G1189&lt;&gt;"",OR(NOT(ISNUMBER(G1189)),N(G1189)&lt;=0)),"Opérateurs invalide","OK"))))))))))</f>
        <v/>
      </c>
      <c r="N1189" s="71" t="str">
        <f>IF(AND(fiche_sel&lt;&gt;"",A1189=fiche_sel),COUNTIF(A$6:A1189,fiche_sel),"")</f>
        <v/>
      </c>
    </row>
    <row r="1190">
      <c r="A1190" s="60" t="n"/>
      <c r="B1190" s="73" t="n"/>
      <c r="C1190" s="60" t="n"/>
      <c r="D1190" s="61" t="n"/>
      <c r="E1190" s="74" t="n"/>
      <c r="F1190" s="74" t="n"/>
      <c r="G1190" s="73" t="n"/>
      <c r="H1190" s="66" t="str">
        <f>IF(M1190&lt;&gt;"OK","",INDEX(po_mo,MATCH(D1190,po_code,0)))</f>
        <v/>
      </c>
      <c r="I1190" s="66" t="str">
        <f>IF(M1190&lt;&gt;"OK","",INDEX(po_mac,MATCH(D1190,po_code,0)))</f>
        <v/>
      </c>
      <c r="J1190" s="66" t="str">
        <f>IF(M1190&lt;&gt;"OK","",N(E1190)*(H1190*IF(G1190="",1,G1190)+I1190))</f>
        <v/>
      </c>
      <c r="K1190" s="66" t="str">
        <f>IF(M1190&lt;&gt;"OK","",N(F1190)/60*H1190*IF(G1190="",1,G1190))</f>
        <v/>
      </c>
      <c r="L1190" s="66" t="str">
        <f>IF(M1190&lt;&gt;"OK","",N(F1190)/60*I1190)</f>
        <v/>
      </c>
      <c r="M1190" s="69" t="str">
        <f>IF(AND(A1190="",D1190=""),"",IF(A1190="","Produit manquant",IF(COUNTIF(prod_ref,A1190)=0,"Produit inconnu",IF(D1190="","Poste manquant",IF(ISNA(MATCH(D1190,po_code,0)),"Poste inconnu",IF(INDEX(po_check,MATCH(D1190,po_code,0))&lt;&gt;"OK","Poste à corriger",IF(AND(E1190&lt;&gt;"",OR(NOT(ISNUMBER(E1190)),N(E1190)&lt;0)),"Réglage invalide",IF(AND(F1190&lt;&gt;"",OR(NOT(ISNUMBER(F1190)),N(F1190)&lt;0)),"Temps par pièce invalide",IF(N(E1190)+N(F1190)=0,"Temps manquant",IF(AND(G1190&lt;&gt;"",OR(NOT(ISNUMBER(G1190)),N(G1190)&lt;=0)),"Opérateurs invalide","OK"))))))))))</f>
        <v/>
      </c>
      <c r="N1190" s="71" t="str">
        <f>IF(AND(fiche_sel&lt;&gt;"",A1190=fiche_sel),COUNTIF(A$6:A1190,fiche_sel),"")</f>
        <v/>
      </c>
    </row>
    <row r="1191">
      <c r="A1191" s="60" t="n"/>
      <c r="B1191" s="73" t="n"/>
      <c r="C1191" s="60" t="n"/>
      <c r="D1191" s="61" t="n"/>
      <c r="E1191" s="74" t="n"/>
      <c r="F1191" s="74" t="n"/>
      <c r="G1191" s="73" t="n"/>
      <c r="H1191" s="66" t="str">
        <f>IF(M1191&lt;&gt;"OK","",INDEX(po_mo,MATCH(D1191,po_code,0)))</f>
        <v/>
      </c>
      <c r="I1191" s="66" t="str">
        <f>IF(M1191&lt;&gt;"OK","",INDEX(po_mac,MATCH(D1191,po_code,0)))</f>
        <v/>
      </c>
      <c r="J1191" s="66" t="str">
        <f>IF(M1191&lt;&gt;"OK","",N(E1191)*(H1191*IF(G1191="",1,G1191)+I1191))</f>
        <v/>
      </c>
      <c r="K1191" s="66" t="str">
        <f>IF(M1191&lt;&gt;"OK","",N(F1191)/60*H1191*IF(G1191="",1,G1191))</f>
        <v/>
      </c>
      <c r="L1191" s="66" t="str">
        <f>IF(M1191&lt;&gt;"OK","",N(F1191)/60*I1191)</f>
        <v/>
      </c>
      <c r="M1191" s="69" t="str">
        <f>IF(AND(A1191="",D1191=""),"",IF(A1191="","Produit manquant",IF(COUNTIF(prod_ref,A1191)=0,"Produit inconnu",IF(D1191="","Poste manquant",IF(ISNA(MATCH(D1191,po_code,0)),"Poste inconnu",IF(INDEX(po_check,MATCH(D1191,po_code,0))&lt;&gt;"OK","Poste à corriger",IF(AND(E1191&lt;&gt;"",OR(NOT(ISNUMBER(E1191)),N(E1191)&lt;0)),"Réglage invalide",IF(AND(F1191&lt;&gt;"",OR(NOT(ISNUMBER(F1191)),N(F1191)&lt;0)),"Temps par pièce invalide",IF(N(E1191)+N(F1191)=0,"Temps manquant",IF(AND(G1191&lt;&gt;"",OR(NOT(ISNUMBER(G1191)),N(G1191)&lt;=0)),"Opérateurs invalide","OK"))))))))))</f>
        <v/>
      </c>
      <c r="N1191" s="71" t="str">
        <f>IF(AND(fiche_sel&lt;&gt;"",A1191=fiche_sel),COUNTIF(A$6:A1191,fiche_sel),"")</f>
        <v/>
      </c>
    </row>
    <row r="1192">
      <c r="A1192" s="60" t="n"/>
      <c r="B1192" s="73" t="n"/>
      <c r="C1192" s="60" t="n"/>
      <c r="D1192" s="61" t="n"/>
      <c r="E1192" s="74" t="n"/>
      <c r="F1192" s="74" t="n"/>
      <c r="G1192" s="73" t="n"/>
      <c r="H1192" s="66" t="str">
        <f>IF(M1192&lt;&gt;"OK","",INDEX(po_mo,MATCH(D1192,po_code,0)))</f>
        <v/>
      </c>
      <c r="I1192" s="66" t="str">
        <f>IF(M1192&lt;&gt;"OK","",INDEX(po_mac,MATCH(D1192,po_code,0)))</f>
        <v/>
      </c>
      <c r="J1192" s="66" t="str">
        <f>IF(M1192&lt;&gt;"OK","",N(E1192)*(H1192*IF(G1192="",1,G1192)+I1192))</f>
        <v/>
      </c>
      <c r="K1192" s="66" t="str">
        <f>IF(M1192&lt;&gt;"OK","",N(F1192)/60*H1192*IF(G1192="",1,G1192))</f>
        <v/>
      </c>
      <c r="L1192" s="66" t="str">
        <f>IF(M1192&lt;&gt;"OK","",N(F1192)/60*I1192)</f>
        <v/>
      </c>
      <c r="M1192" s="69" t="str">
        <f>IF(AND(A1192="",D1192=""),"",IF(A1192="","Produit manquant",IF(COUNTIF(prod_ref,A1192)=0,"Produit inconnu",IF(D1192="","Poste manquant",IF(ISNA(MATCH(D1192,po_code,0)),"Poste inconnu",IF(INDEX(po_check,MATCH(D1192,po_code,0))&lt;&gt;"OK","Poste à corriger",IF(AND(E1192&lt;&gt;"",OR(NOT(ISNUMBER(E1192)),N(E1192)&lt;0)),"Réglage invalide",IF(AND(F1192&lt;&gt;"",OR(NOT(ISNUMBER(F1192)),N(F1192)&lt;0)),"Temps par pièce invalide",IF(N(E1192)+N(F1192)=0,"Temps manquant",IF(AND(G1192&lt;&gt;"",OR(NOT(ISNUMBER(G1192)),N(G1192)&lt;=0)),"Opérateurs invalide","OK"))))))))))</f>
        <v/>
      </c>
      <c r="N1192" s="71" t="str">
        <f>IF(AND(fiche_sel&lt;&gt;"",A1192=fiche_sel),COUNTIF(A$6:A1192,fiche_sel),"")</f>
        <v/>
      </c>
    </row>
    <row r="1193">
      <c r="A1193" s="60" t="n"/>
      <c r="B1193" s="73" t="n"/>
      <c r="C1193" s="60" t="n"/>
      <c r="D1193" s="61" t="n"/>
      <c r="E1193" s="74" t="n"/>
      <c r="F1193" s="74" t="n"/>
      <c r="G1193" s="73" t="n"/>
      <c r="H1193" s="66" t="str">
        <f>IF(M1193&lt;&gt;"OK","",INDEX(po_mo,MATCH(D1193,po_code,0)))</f>
        <v/>
      </c>
      <c r="I1193" s="66" t="str">
        <f>IF(M1193&lt;&gt;"OK","",INDEX(po_mac,MATCH(D1193,po_code,0)))</f>
        <v/>
      </c>
      <c r="J1193" s="66" t="str">
        <f>IF(M1193&lt;&gt;"OK","",N(E1193)*(H1193*IF(G1193="",1,G1193)+I1193))</f>
        <v/>
      </c>
      <c r="K1193" s="66" t="str">
        <f>IF(M1193&lt;&gt;"OK","",N(F1193)/60*H1193*IF(G1193="",1,G1193))</f>
        <v/>
      </c>
      <c r="L1193" s="66" t="str">
        <f>IF(M1193&lt;&gt;"OK","",N(F1193)/60*I1193)</f>
        <v/>
      </c>
      <c r="M1193" s="69" t="str">
        <f>IF(AND(A1193="",D1193=""),"",IF(A1193="","Produit manquant",IF(COUNTIF(prod_ref,A1193)=0,"Produit inconnu",IF(D1193="","Poste manquant",IF(ISNA(MATCH(D1193,po_code,0)),"Poste inconnu",IF(INDEX(po_check,MATCH(D1193,po_code,0))&lt;&gt;"OK","Poste à corriger",IF(AND(E1193&lt;&gt;"",OR(NOT(ISNUMBER(E1193)),N(E1193)&lt;0)),"Réglage invalide",IF(AND(F1193&lt;&gt;"",OR(NOT(ISNUMBER(F1193)),N(F1193)&lt;0)),"Temps par pièce invalide",IF(N(E1193)+N(F1193)=0,"Temps manquant",IF(AND(G1193&lt;&gt;"",OR(NOT(ISNUMBER(G1193)),N(G1193)&lt;=0)),"Opérateurs invalide","OK"))))))))))</f>
        <v/>
      </c>
      <c r="N1193" s="71" t="str">
        <f>IF(AND(fiche_sel&lt;&gt;"",A1193=fiche_sel),COUNTIF(A$6:A1193,fiche_sel),"")</f>
        <v/>
      </c>
    </row>
    <row r="1194">
      <c r="A1194" s="60" t="n"/>
      <c r="B1194" s="73" t="n"/>
      <c r="C1194" s="60" t="n"/>
      <c r="D1194" s="61" t="n"/>
      <c r="E1194" s="74" t="n"/>
      <c r="F1194" s="74" t="n"/>
      <c r="G1194" s="73" t="n"/>
      <c r="H1194" s="66" t="str">
        <f>IF(M1194&lt;&gt;"OK","",INDEX(po_mo,MATCH(D1194,po_code,0)))</f>
        <v/>
      </c>
      <c r="I1194" s="66" t="str">
        <f>IF(M1194&lt;&gt;"OK","",INDEX(po_mac,MATCH(D1194,po_code,0)))</f>
        <v/>
      </c>
      <c r="J1194" s="66" t="str">
        <f>IF(M1194&lt;&gt;"OK","",N(E1194)*(H1194*IF(G1194="",1,G1194)+I1194))</f>
        <v/>
      </c>
      <c r="K1194" s="66" t="str">
        <f>IF(M1194&lt;&gt;"OK","",N(F1194)/60*H1194*IF(G1194="",1,G1194))</f>
        <v/>
      </c>
      <c r="L1194" s="66" t="str">
        <f>IF(M1194&lt;&gt;"OK","",N(F1194)/60*I1194)</f>
        <v/>
      </c>
      <c r="M1194" s="69" t="str">
        <f>IF(AND(A1194="",D1194=""),"",IF(A1194="","Produit manquant",IF(COUNTIF(prod_ref,A1194)=0,"Produit inconnu",IF(D1194="","Poste manquant",IF(ISNA(MATCH(D1194,po_code,0)),"Poste inconnu",IF(INDEX(po_check,MATCH(D1194,po_code,0))&lt;&gt;"OK","Poste à corriger",IF(AND(E1194&lt;&gt;"",OR(NOT(ISNUMBER(E1194)),N(E1194)&lt;0)),"Réglage invalide",IF(AND(F1194&lt;&gt;"",OR(NOT(ISNUMBER(F1194)),N(F1194)&lt;0)),"Temps par pièce invalide",IF(N(E1194)+N(F1194)=0,"Temps manquant",IF(AND(G1194&lt;&gt;"",OR(NOT(ISNUMBER(G1194)),N(G1194)&lt;=0)),"Opérateurs invalide","OK"))))))))))</f>
        <v/>
      </c>
      <c r="N1194" s="71" t="str">
        <f>IF(AND(fiche_sel&lt;&gt;"",A1194=fiche_sel),COUNTIF(A$6:A1194,fiche_sel),"")</f>
        <v/>
      </c>
    </row>
    <row r="1195">
      <c r="A1195" s="60" t="n"/>
      <c r="B1195" s="73" t="n"/>
      <c r="C1195" s="60" t="n"/>
      <c r="D1195" s="61" t="n"/>
      <c r="E1195" s="74" t="n"/>
      <c r="F1195" s="74" t="n"/>
      <c r="G1195" s="73" t="n"/>
      <c r="H1195" s="66" t="str">
        <f>IF(M1195&lt;&gt;"OK","",INDEX(po_mo,MATCH(D1195,po_code,0)))</f>
        <v/>
      </c>
      <c r="I1195" s="66" t="str">
        <f>IF(M1195&lt;&gt;"OK","",INDEX(po_mac,MATCH(D1195,po_code,0)))</f>
        <v/>
      </c>
      <c r="J1195" s="66" t="str">
        <f>IF(M1195&lt;&gt;"OK","",N(E1195)*(H1195*IF(G1195="",1,G1195)+I1195))</f>
        <v/>
      </c>
      <c r="K1195" s="66" t="str">
        <f>IF(M1195&lt;&gt;"OK","",N(F1195)/60*H1195*IF(G1195="",1,G1195))</f>
        <v/>
      </c>
      <c r="L1195" s="66" t="str">
        <f>IF(M1195&lt;&gt;"OK","",N(F1195)/60*I1195)</f>
        <v/>
      </c>
      <c r="M1195" s="69" t="str">
        <f>IF(AND(A1195="",D1195=""),"",IF(A1195="","Produit manquant",IF(COUNTIF(prod_ref,A1195)=0,"Produit inconnu",IF(D1195="","Poste manquant",IF(ISNA(MATCH(D1195,po_code,0)),"Poste inconnu",IF(INDEX(po_check,MATCH(D1195,po_code,0))&lt;&gt;"OK","Poste à corriger",IF(AND(E1195&lt;&gt;"",OR(NOT(ISNUMBER(E1195)),N(E1195)&lt;0)),"Réglage invalide",IF(AND(F1195&lt;&gt;"",OR(NOT(ISNUMBER(F1195)),N(F1195)&lt;0)),"Temps par pièce invalide",IF(N(E1195)+N(F1195)=0,"Temps manquant",IF(AND(G1195&lt;&gt;"",OR(NOT(ISNUMBER(G1195)),N(G1195)&lt;=0)),"Opérateurs invalide","OK"))))))))))</f>
        <v/>
      </c>
      <c r="N1195" s="71" t="str">
        <f>IF(AND(fiche_sel&lt;&gt;"",A1195=fiche_sel),COUNTIF(A$6:A1195,fiche_sel),"")</f>
        <v/>
      </c>
    </row>
    <row r="1196">
      <c r="A1196" s="60" t="n"/>
      <c r="B1196" s="73" t="n"/>
      <c r="C1196" s="60" t="n"/>
      <c r="D1196" s="61" t="n"/>
      <c r="E1196" s="74" t="n"/>
      <c r="F1196" s="74" t="n"/>
      <c r="G1196" s="73" t="n"/>
      <c r="H1196" s="66" t="str">
        <f>IF(M1196&lt;&gt;"OK","",INDEX(po_mo,MATCH(D1196,po_code,0)))</f>
        <v/>
      </c>
      <c r="I1196" s="66" t="str">
        <f>IF(M1196&lt;&gt;"OK","",INDEX(po_mac,MATCH(D1196,po_code,0)))</f>
        <v/>
      </c>
      <c r="J1196" s="66" t="str">
        <f>IF(M1196&lt;&gt;"OK","",N(E1196)*(H1196*IF(G1196="",1,G1196)+I1196))</f>
        <v/>
      </c>
      <c r="K1196" s="66" t="str">
        <f>IF(M1196&lt;&gt;"OK","",N(F1196)/60*H1196*IF(G1196="",1,G1196))</f>
        <v/>
      </c>
      <c r="L1196" s="66" t="str">
        <f>IF(M1196&lt;&gt;"OK","",N(F1196)/60*I1196)</f>
        <v/>
      </c>
      <c r="M1196" s="69" t="str">
        <f>IF(AND(A1196="",D1196=""),"",IF(A1196="","Produit manquant",IF(COUNTIF(prod_ref,A1196)=0,"Produit inconnu",IF(D1196="","Poste manquant",IF(ISNA(MATCH(D1196,po_code,0)),"Poste inconnu",IF(INDEX(po_check,MATCH(D1196,po_code,0))&lt;&gt;"OK","Poste à corriger",IF(AND(E1196&lt;&gt;"",OR(NOT(ISNUMBER(E1196)),N(E1196)&lt;0)),"Réglage invalide",IF(AND(F1196&lt;&gt;"",OR(NOT(ISNUMBER(F1196)),N(F1196)&lt;0)),"Temps par pièce invalide",IF(N(E1196)+N(F1196)=0,"Temps manquant",IF(AND(G1196&lt;&gt;"",OR(NOT(ISNUMBER(G1196)),N(G1196)&lt;=0)),"Opérateurs invalide","OK"))))))))))</f>
        <v/>
      </c>
      <c r="N1196" s="71" t="str">
        <f>IF(AND(fiche_sel&lt;&gt;"",A1196=fiche_sel),COUNTIF(A$6:A1196,fiche_sel),"")</f>
        <v/>
      </c>
    </row>
    <row r="1197">
      <c r="A1197" s="60" t="n"/>
      <c r="B1197" s="73" t="n"/>
      <c r="C1197" s="60" t="n"/>
      <c r="D1197" s="61" t="n"/>
      <c r="E1197" s="74" t="n"/>
      <c r="F1197" s="74" t="n"/>
      <c r="G1197" s="73" t="n"/>
      <c r="H1197" s="66" t="str">
        <f>IF(M1197&lt;&gt;"OK","",INDEX(po_mo,MATCH(D1197,po_code,0)))</f>
        <v/>
      </c>
      <c r="I1197" s="66" t="str">
        <f>IF(M1197&lt;&gt;"OK","",INDEX(po_mac,MATCH(D1197,po_code,0)))</f>
        <v/>
      </c>
      <c r="J1197" s="66" t="str">
        <f>IF(M1197&lt;&gt;"OK","",N(E1197)*(H1197*IF(G1197="",1,G1197)+I1197))</f>
        <v/>
      </c>
      <c r="K1197" s="66" t="str">
        <f>IF(M1197&lt;&gt;"OK","",N(F1197)/60*H1197*IF(G1197="",1,G1197))</f>
        <v/>
      </c>
      <c r="L1197" s="66" t="str">
        <f>IF(M1197&lt;&gt;"OK","",N(F1197)/60*I1197)</f>
        <v/>
      </c>
      <c r="M1197" s="69" t="str">
        <f>IF(AND(A1197="",D1197=""),"",IF(A1197="","Produit manquant",IF(COUNTIF(prod_ref,A1197)=0,"Produit inconnu",IF(D1197="","Poste manquant",IF(ISNA(MATCH(D1197,po_code,0)),"Poste inconnu",IF(INDEX(po_check,MATCH(D1197,po_code,0))&lt;&gt;"OK","Poste à corriger",IF(AND(E1197&lt;&gt;"",OR(NOT(ISNUMBER(E1197)),N(E1197)&lt;0)),"Réglage invalide",IF(AND(F1197&lt;&gt;"",OR(NOT(ISNUMBER(F1197)),N(F1197)&lt;0)),"Temps par pièce invalide",IF(N(E1197)+N(F1197)=0,"Temps manquant",IF(AND(G1197&lt;&gt;"",OR(NOT(ISNUMBER(G1197)),N(G1197)&lt;=0)),"Opérateurs invalide","OK"))))))))))</f>
        <v/>
      </c>
      <c r="N1197" s="71" t="str">
        <f>IF(AND(fiche_sel&lt;&gt;"",A1197=fiche_sel),COUNTIF(A$6:A1197,fiche_sel),"")</f>
        <v/>
      </c>
    </row>
    <row r="1198">
      <c r="A1198" s="60" t="n"/>
      <c r="B1198" s="73" t="n"/>
      <c r="C1198" s="60" t="n"/>
      <c r="D1198" s="61" t="n"/>
      <c r="E1198" s="74" t="n"/>
      <c r="F1198" s="74" t="n"/>
      <c r="G1198" s="73" t="n"/>
      <c r="H1198" s="66" t="str">
        <f>IF(M1198&lt;&gt;"OK","",INDEX(po_mo,MATCH(D1198,po_code,0)))</f>
        <v/>
      </c>
      <c r="I1198" s="66" t="str">
        <f>IF(M1198&lt;&gt;"OK","",INDEX(po_mac,MATCH(D1198,po_code,0)))</f>
        <v/>
      </c>
      <c r="J1198" s="66" t="str">
        <f>IF(M1198&lt;&gt;"OK","",N(E1198)*(H1198*IF(G1198="",1,G1198)+I1198))</f>
        <v/>
      </c>
      <c r="K1198" s="66" t="str">
        <f>IF(M1198&lt;&gt;"OK","",N(F1198)/60*H1198*IF(G1198="",1,G1198))</f>
        <v/>
      </c>
      <c r="L1198" s="66" t="str">
        <f>IF(M1198&lt;&gt;"OK","",N(F1198)/60*I1198)</f>
        <v/>
      </c>
      <c r="M1198" s="69" t="str">
        <f>IF(AND(A1198="",D1198=""),"",IF(A1198="","Produit manquant",IF(COUNTIF(prod_ref,A1198)=0,"Produit inconnu",IF(D1198="","Poste manquant",IF(ISNA(MATCH(D1198,po_code,0)),"Poste inconnu",IF(INDEX(po_check,MATCH(D1198,po_code,0))&lt;&gt;"OK","Poste à corriger",IF(AND(E1198&lt;&gt;"",OR(NOT(ISNUMBER(E1198)),N(E1198)&lt;0)),"Réglage invalide",IF(AND(F1198&lt;&gt;"",OR(NOT(ISNUMBER(F1198)),N(F1198)&lt;0)),"Temps par pièce invalide",IF(N(E1198)+N(F1198)=0,"Temps manquant",IF(AND(G1198&lt;&gt;"",OR(NOT(ISNUMBER(G1198)),N(G1198)&lt;=0)),"Opérateurs invalide","OK"))))))))))</f>
        <v/>
      </c>
      <c r="N1198" s="71" t="str">
        <f>IF(AND(fiche_sel&lt;&gt;"",A1198=fiche_sel),COUNTIF(A$6:A1198,fiche_sel),"")</f>
        <v/>
      </c>
    </row>
    <row r="1199">
      <c r="A1199" s="60" t="n"/>
      <c r="B1199" s="73" t="n"/>
      <c r="C1199" s="60" t="n"/>
      <c r="D1199" s="61" t="n"/>
      <c r="E1199" s="74" t="n"/>
      <c r="F1199" s="74" t="n"/>
      <c r="G1199" s="73" t="n"/>
      <c r="H1199" s="66" t="str">
        <f>IF(M1199&lt;&gt;"OK","",INDEX(po_mo,MATCH(D1199,po_code,0)))</f>
        <v/>
      </c>
      <c r="I1199" s="66" t="str">
        <f>IF(M1199&lt;&gt;"OK","",INDEX(po_mac,MATCH(D1199,po_code,0)))</f>
        <v/>
      </c>
      <c r="J1199" s="66" t="str">
        <f>IF(M1199&lt;&gt;"OK","",N(E1199)*(H1199*IF(G1199="",1,G1199)+I1199))</f>
        <v/>
      </c>
      <c r="K1199" s="66" t="str">
        <f>IF(M1199&lt;&gt;"OK","",N(F1199)/60*H1199*IF(G1199="",1,G1199))</f>
        <v/>
      </c>
      <c r="L1199" s="66" t="str">
        <f>IF(M1199&lt;&gt;"OK","",N(F1199)/60*I1199)</f>
        <v/>
      </c>
      <c r="M1199" s="69" t="str">
        <f>IF(AND(A1199="",D1199=""),"",IF(A1199="","Produit manquant",IF(COUNTIF(prod_ref,A1199)=0,"Produit inconnu",IF(D1199="","Poste manquant",IF(ISNA(MATCH(D1199,po_code,0)),"Poste inconnu",IF(INDEX(po_check,MATCH(D1199,po_code,0))&lt;&gt;"OK","Poste à corriger",IF(AND(E1199&lt;&gt;"",OR(NOT(ISNUMBER(E1199)),N(E1199)&lt;0)),"Réglage invalide",IF(AND(F1199&lt;&gt;"",OR(NOT(ISNUMBER(F1199)),N(F1199)&lt;0)),"Temps par pièce invalide",IF(N(E1199)+N(F1199)=0,"Temps manquant",IF(AND(G1199&lt;&gt;"",OR(NOT(ISNUMBER(G1199)),N(G1199)&lt;=0)),"Opérateurs invalide","OK"))))))))))</f>
        <v/>
      </c>
      <c r="N1199" s="71" t="str">
        <f>IF(AND(fiche_sel&lt;&gt;"",A1199=fiche_sel),COUNTIF(A$6:A1199,fiche_sel),"")</f>
        <v/>
      </c>
    </row>
    <row r="1200">
      <c r="A1200" s="60" t="n"/>
      <c r="B1200" s="73" t="n"/>
      <c r="C1200" s="60" t="n"/>
      <c r="D1200" s="61" t="n"/>
      <c r="E1200" s="74" t="n"/>
      <c r="F1200" s="74" t="n"/>
      <c r="G1200" s="73" t="n"/>
      <c r="H1200" s="66" t="str">
        <f>IF(M1200&lt;&gt;"OK","",INDEX(po_mo,MATCH(D1200,po_code,0)))</f>
        <v/>
      </c>
      <c r="I1200" s="66" t="str">
        <f>IF(M1200&lt;&gt;"OK","",INDEX(po_mac,MATCH(D1200,po_code,0)))</f>
        <v/>
      </c>
      <c r="J1200" s="66" t="str">
        <f>IF(M1200&lt;&gt;"OK","",N(E1200)*(H1200*IF(G1200="",1,G1200)+I1200))</f>
        <v/>
      </c>
      <c r="K1200" s="66" t="str">
        <f>IF(M1200&lt;&gt;"OK","",N(F1200)/60*H1200*IF(G1200="",1,G1200))</f>
        <v/>
      </c>
      <c r="L1200" s="66" t="str">
        <f>IF(M1200&lt;&gt;"OK","",N(F1200)/60*I1200)</f>
        <v/>
      </c>
      <c r="M1200" s="69" t="str">
        <f>IF(AND(A1200="",D1200=""),"",IF(A1200="","Produit manquant",IF(COUNTIF(prod_ref,A1200)=0,"Produit inconnu",IF(D1200="","Poste manquant",IF(ISNA(MATCH(D1200,po_code,0)),"Poste inconnu",IF(INDEX(po_check,MATCH(D1200,po_code,0))&lt;&gt;"OK","Poste à corriger",IF(AND(E1200&lt;&gt;"",OR(NOT(ISNUMBER(E1200)),N(E1200)&lt;0)),"Réglage invalide",IF(AND(F1200&lt;&gt;"",OR(NOT(ISNUMBER(F1200)),N(F1200)&lt;0)),"Temps par pièce invalide",IF(N(E1200)+N(F1200)=0,"Temps manquant",IF(AND(G1200&lt;&gt;"",OR(NOT(ISNUMBER(G1200)),N(G1200)&lt;=0)),"Opérateurs invalide","OK"))))))))))</f>
        <v/>
      </c>
      <c r="N1200" s="71" t="str">
        <f>IF(AND(fiche_sel&lt;&gt;"",A1200=fiche_sel),COUNTIF(A$6:A1200,fiche_sel),"")</f>
        <v/>
      </c>
    </row>
    <row r="1201">
      <c r="A1201" s="60" t="n"/>
      <c r="B1201" s="73" t="n"/>
      <c r="C1201" s="60" t="n"/>
      <c r="D1201" s="61" t="n"/>
      <c r="E1201" s="74" t="n"/>
      <c r="F1201" s="74" t="n"/>
      <c r="G1201" s="73" t="n"/>
      <c r="H1201" s="66" t="str">
        <f>IF(M1201&lt;&gt;"OK","",INDEX(po_mo,MATCH(D1201,po_code,0)))</f>
        <v/>
      </c>
      <c r="I1201" s="66" t="str">
        <f>IF(M1201&lt;&gt;"OK","",INDEX(po_mac,MATCH(D1201,po_code,0)))</f>
        <v/>
      </c>
      <c r="J1201" s="66" t="str">
        <f>IF(M1201&lt;&gt;"OK","",N(E1201)*(H1201*IF(G1201="",1,G1201)+I1201))</f>
        <v/>
      </c>
      <c r="K1201" s="66" t="str">
        <f>IF(M1201&lt;&gt;"OK","",N(F1201)/60*H1201*IF(G1201="",1,G1201))</f>
        <v/>
      </c>
      <c r="L1201" s="66" t="str">
        <f>IF(M1201&lt;&gt;"OK","",N(F1201)/60*I1201)</f>
        <v/>
      </c>
      <c r="M1201" s="69" t="str">
        <f>IF(AND(A1201="",D1201=""),"",IF(A1201="","Produit manquant",IF(COUNTIF(prod_ref,A1201)=0,"Produit inconnu",IF(D1201="","Poste manquant",IF(ISNA(MATCH(D1201,po_code,0)),"Poste inconnu",IF(INDEX(po_check,MATCH(D1201,po_code,0))&lt;&gt;"OK","Poste à corriger",IF(AND(E1201&lt;&gt;"",OR(NOT(ISNUMBER(E1201)),N(E1201)&lt;0)),"Réglage invalide",IF(AND(F1201&lt;&gt;"",OR(NOT(ISNUMBER(F1201)),N(F1201)&lt;0)),"Temps par pièce invalide",IF(N(E1201)+N(F1201)=0,"Temps manquant",IF(AND(G1201&lt;&gt;"",OR(NOT(ISNUMBER(G1201)),N(G1201)&lt;=0)),"Opérateurs invalide","OK"))))))))))</f>
        <v/>
      </c>
      <c r="N1201" s="71" t="str">
        <f>IF(AND(fiche_sel&lt;&gt;"",A1201=fiche_sel),COUNTIF(A$6:A1201,fiche_sel),"")</f>
        <v/>
      </c>
    </row>
    <row r="1202">
      <c r="A1202" s="60" t="n"/>
      <c r="B1202" s="73" t="n"/>
      <c r="C1202" s="60" t="n"/>
      <c r="D1202" s="61" t="n"/>
      <c r="E1202" s="74" t="n"/>
      <c r="F1202" s="74" t="n"/>
      <c r="G1202" s="73" t="n"/>
      <c r="H1202" s="66" t="str">
        <f>IF(M1202&lt;&gt;"OK","",INDEX(po_mo,MATCH(D1202,po_code,0)))</f>
        <v/>
      </c>
      <c r="I1202" s="66" t="str">
        <f>IF(M1202&lt;&gt;"OK","",INDEX(po_mac,MATCH(D1202,po_code,0)))</f>
        <v/>
      </c>
      <c r="J1202" s="66" t="str">
        <f>IF(M1202&lt;&gt;"OK","",N(E1202)*(H1202*IF(G1202="",1,G1202)+I1202))</f>
        <v/>
      </c>
      <c r="K1202" s="66" t="str">
        <f>IF(M1202&lt;&gt;"OK","",N(F1202)/60*H1202*IF(G1202="",1,G1202))</f>
        <v/>
      </c>
      <c r="L1202" s="66" t="str">
        <f>IF(M1202&lt;&gt;"OK","",N(F1202)/60*I1202)</f>
        <v/>
      </c>
      <c r="M1202" s="69" t="str">
        <f>IF(AND(A1202="",D1202=""),"",IF(A1202="","Produit manquant",IF(COUNTIF(prod_ref,A1202)=0,"Produit inconnu",IF(D1202="","Poste manquant",IF(ISNA(MATCH(D1202,po_code,0)),"Poste inconnu",IF(INDEX(po_check,MATCH(D1202,po_code,0))&lt;&gt;"OK","Poste à corriger",IF(AND(E1202&lt;&gt;"",OR(NOT(ISNUMBER(E1202)),N(E1202)&lt;0)),"Réglage invalide",IF(AND(F1202&lt;&gt;"",OR(NOT(ISNUMBER(F1202)),N(F1202)&lt;0)),"Temps par pièce invalide",IF(N(E1202)+N(F1202)=0,"Temps manquant",IF(AND(G1202&lt;&gt;"",OR(NOT(ISNUMBER(G1202)),N(G1202)&lt;=0)),"Opérateurs invalide","OK"))))))))))</f>
        <v/>
      </c>
      <c r="N1202" s="71" t="str">
        <f>IF(AND(fiche_sel&lt;&gt;"",A1202=fiche_sel),COUNTIF(A$6:A1202,fiche_sel),"")</f>
        <v/>
      </c>
    </row>
    <row r="1203">
      <c r="A1203" s="60" t="n"/>
      <c r="B1203" s="73" t="n"/>
      <c r="C1203" s="60" t="n"/>
      <c r="D1203" s="61" t="n"/>
      <c r="E1203" s="74" t="n"/>
      <c r="F1203" s="74" t="n"/>
      <c r="G1203" s="73" t="n"/>
      <c r="H1203" s="66" t="str">
        <f>IF(M1203&lt;&gt;"OK","",INDEX(po_mo,MATCH(D1203,po_code,0)))</f>
        <v/>
      </c>
      <c r="I1203" s="66" t="str">
        <f>IF(M1203&lt;&gt;"OK","",INDEX(po_mac,MATCH(D1203,po_code,0)))</f>
        <v/>
      </c>
      <c r="J1203" s="66" t="str">
        <f>IF(M1203&lt;&gt;"OK","",N(E1203)*(H1203*IF(G1203="",1,G1203)+I1203))</f>
        <v/>
      </c>
      <c r="K1203" s="66" t="str">
        <f>IF(M1203&lt;&gt;"OK","",N(F1203)/60*H1203*IF(G1203="",1,G1203))</f>
        <v/>
      </c>
      <c r="L1203" s="66" t="str">
        <f>IF(M1203&lt;&gt;"OK","",N(F1203)/60*I1203)</f>
        <v/>
      </c>
      <c r="M1203" s="69" t="str">
        <f>IF(AND(A1203="",D1203=""),"",IF(A1203="","Produit manquant",IF(COUNTIF(prod_ref,A1203)=0,"Produit inconnu",IF(D1203="","Poste manquant",IF(ISNA(MATCH(D1203,po_code,0)),"Poste inconnu",IF(INDEX(po_check,MATCH(D1203,po_code,0))&lt;&gt;"OK","Poste à corriger",IF(AND(E1203&lt;&gt;"",OR(NOT(ISNUMBER(E1203)),N(E1203)&lt;0)),"Réglage invalide",IF(AND(F1203&lt;&gt;"",OR(NOT(ISNUMBER(F1203)),N(F1203)&lt;0)),"Temps par pièce invalide",IF(N(E1203)+N(F1203)=0,"Temps manquant",IF(AND(G1203&lt;&gt;"",OR(NOT(ISNUMBER(G1203)),N(G1203)&lt;=0)),"Opérateurs invalide","OK"))))))))))</f>
        <v/>
      </c>
      <c r="N1203" s="71" t="str">
        <f>IF(AND(fiche_sel&lt;&gt;"",A1203=fiche_sel),COUNTIF(A$6:A1203,fiche_sel),"")</f>
        <v/>
      </c>
    </row>
    <row r="1204">
      <c r="A1204" s="60" t="n"/>
      <c r="B1204" s="73" t="n"/>
      <c r="C1204" s="60" t="n"/>
      <c r="D1204" s="61" t="n"/>
      <c r="E1204" s="74" t="n"/>
      <c r="F1204" s="74" t="n"/>
      <c r="G1204" s="73" t="n"/>
      <c r="H1204" s="66" t="str">
        <f>IF(M1204&lt;&gt;"OK","",INDEX(po_mo,MATCH(D1204,po_code,0)))</f>
        <v/>
      </c>
      <c r="I1204" s="66" t="str">
        <f>IF(M1204&lt;&gt;"OK","",INDEX(po_mac,MATCH(D1204,po_code,0)))</f>
        <v/>
      </c>
      <c r="J1204" s="66" t="str">
        <f>IF(M1204&lt;&gt;"OK","",N(E1204)*(H1204*IF(G1204="",1,G1204)+I1204))</f>
        <v/>
      </c>
      <c r="K1204" s="66" t="str">
        <f>IF(M1204&lt;&gt;"OK","",N(F1204)/60*H1204*IF(G1204="",1,G1204))</f>
        <v/>
      </c>
      <c r="L1204" s="66" t="str">
        <f>IF(M1204&lt;&gt;"OK","",N(F1204)/60*I1204)</f>
        <v/>
      </c>
      <c r="M1204" s="69" t="str">
        <f>IF(AND(A1204="",D1204=""),"",IF(A1204="","Produit manquant",IF(COUNTIF(prod_ref,A1204)=0,"Produit inconnu",IF(D1204="","Poste manquant",IF(ISNA(MATCH(D1204,po_code,0)),"Poste inconnu",IF(INDEX(po_check,MATCH(D1204,po_code,0))&lt;&gt;"OK","Poste à corriger",IF(AND(E1204&lt;&gt;"",OR(NOT(ISNUMBER(E1204)),N(E1204)&lt;0)),"Réglage invalide",IF(AND(F1204&lt;&gt;"",OR(NOT(ISNUMBER(F1204)),N(F1204)&lt;0)),"Temps par pièce invalide",IF(N(E1204)+N(F1204)=0,"Temps manquant",IF(AND(G1204&lt;&gt;"",OR(NOT(ISNUMBER(G1204)),N(G1204)&lt;=0)),"Opérateurs invalide","OK"))))))))))</f>
        <v/>
      </c>
      <c r="N1204" s="71" t="str">
        <f>IF(AND(fiche_sel&lt;&gt;"",A1204=fiche_sel),COUNTIF(A$6:A1204,fiche_sel),"")</f>
        <v/>
      </c>
    </row>
    <row r="1205">
      <c r="A1205" s="60" t="n"/>
      <c r="B1205" s="73" t="n"/>
      <c r="C1205" s="60" t="n"/>
      <c r="D1205" s="61" t="n"/>
      <c r="E1205" s="74" t="n"/>
      <c r="F1205" s="74" t="n"/>
      <c r="G1205" s="73" t="n"/>
      <c r="H1205" s="66" t="str">
        <f>IF(M1205&lt;&gt;"OK","",INDEX(po_mo,MATCH(D1205,po_code,0)))</f>
        <v/>
      </c>
      <c r="I1205" s="66" t="str">
        <f>IF(M1205&lt;&gt;"OK","",INDEX(po_mac,MATCH(D1205,po_code,0)))</f>
        <v/>
      </c>
      <c r="J1205" s="66" t="str">
        <f>IF(M1205&lt;&gt;"OK","",N(E1205)*(H1205*IF(G1205="",1,G1205)+I1205))</f>
        <v/>
      </c>
      <c r="K1205" s="66" t="str">
        <f>IF(M1205&lt;&gt;"OK","",N(F1205)/60*H1205*IF(G1205="",1,G1205))</f>
        <v/>
      </c>
      <c r="L1205" s="66" t="str">
        <f>IF(M1205&lt;&gt;"OK","",N(F1205)/60*I1205)</f>
        <v/>
      </c>
      <c r="M1205" s="69" t="str">
        <f>IF(AND(A1205="",D1205=""),"",IF(A1205="","Produit manquant",IF(COUNTIF(prod_ref,A1205)=0,"Produit inconnu",IF(D1205="","Poste manquant",IF(ISNA(MATCH(D1205,po_code,0)),"Poste inconnu",IF(INDEX(po_check,MATCH(D1205,po_code,0))&lt;&gt;"OK","Poste à corriger",IF(AND(E1205&lt;&gt;"",OR(NOT(ISNUMBER(E1205)),N(E1205)&lt;0)),"Réglage invalide",IF(AND(F1205&lt;&gt;"",OR(NOT(ISNUMBER(F1205)),N(F1205)&lt;0)),"Temps par pièce invalide",IF(N(E1205)+N(F1205)=0,"Temps manquant",IF(AND(G1205&lt;&gt;"",OR(NOT(ISNUMBER(G1205)),N(G1205)&lt;=0)),"Opérateurs invalide","OK"))))))))))</f>
        <v/>
      </c>
      <c r="N1205" s="71" t="str">
        <f>IF(AND(fiche_sel&lt;&gt;"",A1205=fiche_sel),COUNTIF(A$6:A1205,fiche_sel),"")</f>
        <v/>
      </c>
    </row>
    <row r="1206">
      <c r="A1206" s="60" t="n"/>
      <c r="B1206" s="73" t="n"/>
      <c r="C1206" s="60" t="n"/>
      <c r="D1206" s="61" t="n"/>
      <c r="E1206" s="74" t="n"/>
      <c r="F1206" s="74" t="n"/>
      <c r="G1206" s="73" t="n"/>
      <c r="H1206" s="66" t="str">
        <f>IF(M1206&lt;&gt;"OK","",INDEX(po_mo,MATCH(D1206,po_code,0)))</f>
        <v/>
      </c>
      <c r="I1206" s="66" t="str">
        <f>IF(M1206&lt;&gt;"OK","",INDEX(po_mac,MATCH(D1206,po_code,0)))</f>
        <v/>
      </c>
      <c r="J1206" s="66" t="str">
        <f>IF(M1206&lt;&gt;"OK","",N(E1206)*(H1206*IF(G1206="",1,G1206)+I1206))</f>
        <v/>
      </c>
      <c r="K1206" s="66" t="str">
        <f>IF(M1206&lt;&gt;"OK","",N(F1206)/60*H1206*IF(G1206="",1,G1206))</f>
        <v/>
      </c>
      <c r="L1206" s="66" t="str">
        <f>IF(M1206&lt;&gt;"OK","",N(F1206)/60*I1206)</f>
        <v/>
      </c>
      <c r="M1206" s="69" t="str">
        <f>IF(AND(A1206="",D1206=""),"",IF(A1206="","Produit manquant",IF(COUNTIF(prod_ref,A1206)=0,"Produit inconnu",IF(D1206="","Poste manquant",IF(ISNA(MATCH(D1206,po_code,0)),"Poste inconnu",IF(INDEX(po_check,MATCH(D1206,po_code,0))&lt;&gt;"OK","Poste à corriger",IF(AND(E1206&lt;&gt;"",OR(NOT(ISNUMBER(E1206)),N(E1206)&lt;0)),"Réglage invalide",IF(AND(F1206&lt;&gt;"",OR(NOT(ISNUMBER(F1206)),N(F1206)&lt;0)),"Temps par pièce invalide",IF(N(E1206)+N(F1206)=0,"Temps manquant",IF(AND(G1206&lt;&gt;"",OR(NOT(ISNUMBER(G1206)),N(G1206)&lt;=0)),"Opérateurs invalide","OK"))))))))))</f>
        <v/>
      </c>
      <c r="N1206" s="71" t="str">
        <f>IF(AND(fiche_sel&lt;&gt;"",A1206=fiche_sel),COUNTIF(A$6:A1206,fiche_sel),"")</f>
        <v/>
      </c>
    </row>
    <row r="1207">
      <c r="A1207" s="60" t="n"/>
      <c r="B1207" s="73" t="n"/>
      <c r="C1207" s="60" t="n"/>
      <c r="D1207" s="61" t="n"/>
      <c r="E1207" s="74" t="n"/>
      <c r="F1207" s="74" t="n"/>
      <c r="G1207" s="73" t="n"/>
      <c r="H1207" s="66" t="str">
        <f>IF(M1207&lt;&gt;"OK","",INDEX(po_mo,MATCH(D1207,po_code,0)))</f>
        <v/>
      </c>
      <c r="I1207" s="66" t="str">
        <f>IF(M1207&lt;&gt;"OK","",INDEX(po_mac,MATCH(D1207,po_code,0)))</f>
        <v/>
      </c>
      <c r="J1207" s="66" t="str">
        <f>IF(M1207&lt;&gt;"OK","",N(E1207)*(H1207*IF(G1207="",1,G1207)+I1207))</f>
        <v/>
      </c>
      <c r="K1207" s="66" t="str">
        <f>IF(M1207&lt;&gt;"OK","",N(F1207)/60*H1207*IF(G1207="",1,G1207))</f>
        <v/>
      </c>
      <c r="L1207" s="66" t="str">
        <f>IF(M1207&lt;&gt;"OK","",N(F1207)/60*I1207)</f>
        <v/>
      </c>
      <c r="M1207" s="69" t="str">
        <f>IF(AND(A1207="",D1207=""),"",IF(A1207="","Produit manquant",IF(COUNTIF(prod_ref,A1207)=0,"Produit inconnu",IF(D1207="","Poste manquant",IF(ISNA(MATCH(D1207,po_code,0)),"Poste inconnu",IF(INDEX(po_check,MATCH(D1207,po_code,0))&lt;&gt;"OK","Poste à corriger",IF(AND(E1207&lt;&gt;"",OR(NOT(ISNUMBER(E1207)),N(E1207)&lt;0)),"Réglage invalide",IF(AND(F1207&lt;&gt;"",OR(NOT(ISNUMBER(F1207)),N(F1207)&lt;0)),"Temps par pièce invalide",IF(N(E1207)+N(F1207)=0,"Temps manquant",IF(AND(G1207&lt;&gt;"",OR(NOT(ISNUMBER(G1207)),N(G1207)&lt;=0)),"Opérateurs invalide","OK"))))))))))</f>
        <v/>
      </c>
      <c r="N1207" s="71" t="str">
        <f>IF(AND(fiche_sel&lt;&gt;"",A1207=fiche_sel),COUNTIF(A$6:A1207,fiche_sel),"")</f>
        <v/>
      </c>
    </row>
    <row r="1208">
      <c r="A1208" s="60" t="n"/>
      <c r="B1208" s="73" t="n"/>
      <c r="C1208" s="60" t="n"/>
      <c r="D1208" s="61" t="n"/>
      <c r="E1208" s="74" t="n"/>
      <c r="F1208" s="74" t="n"/>
      <c r="G1208" s="73" t="n"/>
      <c r="H1208" s="66" t="str">
        <f>IF(M1208&lt;&gt;"OK","",INDEX(po_mo,MATCH(D1208,po_code,0)))</f>
        <v/>
      </c>
      <c r="I1208" s="66" t="str">
        <f>IF(M1208&lt;&gt;"OK","",INDEX(po_mac,MATCH(D1208,po_code,0)))</f>
        <v/>
      </c>
      <c r="J1208" s="66" t="str">
        <f>IF(M1208&lt;&gt;"OK","",N(E1208)*(H1208*IF(G1208="",1,G1208)+I1208))</f>
        <v/>
      </c>
      <c r="K1208" s="66" t="str">
        <f>IF(M1208&lt;&gt;"OK","",N(F1208)/60*H1208*IF(G1208="",1,G1208))</f>
        <v/>
      </c>
      <c r="L1208" s="66" t="str">
        <f>IF(M1208&lt;&gt;"OK","",N(F1208)/60*I1208)</f>
        <v/>
      </c>
      <c r="M1208" s="69" t="str">
        <f>IF(AND(A1208="",D1208=""),"",IF(A1208="","Produit manquant",IF(COUNTIF(prod_ref,A1208)=0,"Produit inconnu",IF(D1208="","Poste manquant",IF(ISNA(MATCH(D1208,po_code,0)),"Poste inconnu",IF(INDEX(po_check,MATCH(D1208,po_code,0))&lt;&gt;"OK","Poste à corriger",IF(AND(E1208&lt;&gt;"",OR(NOT(ISNUMBER(E1208)),N(E1208)&lt;0)),"Réglage invalide",IF(AND(F1208&lt;&gt;"",OR(NOT(ISNUMBER(F1208)),N(F1208)&lt;0)),"Temps par pièce invalide",IF(N(E1208)+N(F1208)=0,"Temps manquant",IF(AND(G1208&lt;&gt;"",OR(NOT(ISNUMBER(G1208)),N(G1208)&lt;=0)),"Opérateurs invalide","OK"))))))))))</f>
        <v/>
      </c>
      <c r="N1208" s="71" t="str">
        <f>IF(AND(fiche_sel&lt;&gt;"",A1208=fiche_sel),COUNTIF(A$6:A1208,fiche_sel),"")</f>
        <v/>
      </c>
    </row>
    <row r="1209">
      <c r="A1209" s="60" t="n"/>
      <c r="B1209" s="73" t="n"/>
      <c r="C1209" s="60" t="n"/>
      <c r="D1209" s="61" t="n"/>
      <c r="E1209" s="74" t="n"/>
      <c r="F1209" s="74" t="n"/>
      <c r="G1209" s="73" t="n"/>
      <c r="H1209" s="66" t="str">
        <f>IF(M1209&lt;&gt;"OK","",INDEX(po_mo,MATCH(D1209,po_code,0)))</f>
        <v/>
      </c>
      <c r="I1209" s="66" t="str">
        <f>IF(M1209&lt;&gt;"OK","",INDEX(po_mac,MATCH(D1209,po_code,0)))</f>
        <v/>
      </c>
      <c r="J1209" s="66" t="str">
        <f>IF(M1209&lt;&gt;"OK","",N(E1209)*(H1209*IF(G1209="",1,G1209)+I1209))</f>
        <v/>
      </c>
      <c r="K1209" s="66" t="str">
        <f>IF(M1209&lt;&gt;"OK","",N(F1209)/60*H1209*IF(G1209="",1,G1209))</f>
        <v/>
      </c>
      <c r="L1209" s="66" t="str">
        <f>IF(M1209&lt;&gt;"OK","",N(F1209)/60*I1209)</f>
        <v/>
      </c>
      <c r="M1209" s="69" t="str">
        <f>IF(AND(A1209="",D1209=""),"",IF(A1209="","Produit manquant",IF(COUNTIF(prod_ref,A1209)=0,"Produit inconnu",IF(D1209="","Poste manquant",IF(ISNA(MATCH(D1209,po_code,0)),"Poste inconnu",IF(INDEX(po_check,MATCH(D1209,po_code,0))&lt;&gt;"OK","Poste à corriger",IF(AND(E1209&lt;&gt;"",OR(NOT(ISNUMBER(E1209)),N(E1209)&lt;0)),"Réglage invalide",IF(AND(F1209&lt;&gt;"",OR(NOT(ISNUMBER(F1209)),N(F1209)&lt;0)),"Temps par pièce invalide",IF(N(E1209)+N(F1209)=0,"Temps manquant",IF(AND(G1209&lt;&gt;"",OR(NOT(ISNUMBER(G1209)),N(G1209)&lt;=0)),"Opérateurs invalide","OK"))))))))))</f>
        <v/>
      </c>
      <c r="N1209" s="71" t="str">
        <f>IF(AND(fiche_sel&lt;&gt;"",A1209=fiche_sel),COUNTIF(A$6:A1209,fiche_sel),"")</f>
        <v/>
      </c>
    </row>
    <row r="1210">
      <c r="A1210" s="60" t="n"/>
      <c r="B1210" s="73" t="n"/>
      <c r="C1210" s="60" t="n"/>
      <c r="D1210" s="61" t="n"/>
      <c r="E1210" s="74" t="n"/>
      <c r="F1210" s="74" t="n"/>
      <c r="G1210" s="73" t="n"/>
      <c r="H1210" s="66" t="str">
        <f>IF(M1210&lt;&gt;"OK","",INDEX(po_mo,MATCH(D1210,po_code,0)))</f>
        <v/>
      </c>
      <c r="I1210" s="66" t="str">
        <f>IF(M1210&lt;&gt;"OK","",INDEX(po_mac,MATCH(D1210,po_code,0)))</f>
        <v/>
      </c>
      <c r="J1210" s="66" t="str">
        <f>IF(M1210&lt;&gt;"OK","",N(E1210)*(H1210*IF(G1210="",1,G1210)+I1210))</f>
        <v/>
      </c>
      <c r="K1210" s="66" t="str">
        <f>IF(M1210&lt;&gt;"OK","",N(F1210)/60*H1210*IF(G1210="",1,G1210))</f>
        <v/>
      </c>
      <c r="L1210" s="66" t="str">
        <f>IF(M1210&lt;&gt;"OK","",N(F1210)/60*I1210)</f>
        <v/>
      </c>
      <c r="M1210" s="69" t="str">
        <f>IF(AND(A1210="",D1210=""),"",IF(A1210="","Produit manquant",IF(COUNTIF(prod_ref,A1210)=0,"Produit inconnu",IF(D1210="","Poste manquant",IF(ISNA(MATCH(D1210,po_code,0)),"Poste inconnu",IF(INDEX(po_check,MATCH(D1210,po_code,0))&lt;&gt;"OK","Poste à corriger",IF(AND(E1210&lt;&gt;"",OR(NOT(ISNUMBER(E1210)),N(E1210)&lt;0)),"Réglage invalide",IF(AND(F1210&lt;&gt;"",OR(NOT(ISNUMBER(F1210)),N(F1210)&lt;0)),"Temps par pièce invalide",IF(N(E1210)+N(F1210)=0,"Temps manquant",IF(AND(G1210&lt;&gt;"",OR(NOT(ISNUMBER(G1210)),N(G1210)&lt;=0)),"Opérateurs invalide","OK"))))))))))</f>
        <v/>
      </c>
      <c r="N1210" s="71" t="str">
        <f>IF(AND(fiche_sel&lt;&gt;"",A1210=fiche_sel),COUNTIF(A$6:A1210,fiche_sel),"")</f>
        <v/>
      </c>
    </row>
    <row r="1211">
      <c r="A1211" s="60" t="n"/>
      <c r="B1211" s="73" t="n"/>
      <c r="C1211" s="60" t="n"/>
      <c r="D1211" s="61" t="n"/>
      <c r="E1211" s="74" t="n"/>
      <c r="F1211" s="74" t="n"/>
      <c r="G1211" s="73" t="n"/>
      <c r="H1211" s="66" t="str">
        <f>IF(M1211&lt;&gt;"OK","",INDEX(po_mo,MATCH(D1211,po_code,0)))</f>
        <v/>
      </c>
      <c r="I1211" s="66" t="str">
        <f>IF(M1211&lt;&gt;"OK","",INDEX(po_mac,MATCH(D1211,po_code,0)))</f>
        <v/>
      </c>
      <c r="J1211" s="66" t="str">
        <f>IF(M1211&lt;&gt;"OK","",N(E1211)*(H1211*IF(G1211="",1,G1211)+I1211))</f>
        <v/>
      </c>
      <c r="K1211" s="66" t="str">
        <f>IF(M1211&lt;&gt;"OK","",N(F1211)/60*H1211*IF(G1211="",1,G1211))</f>
        <v/>
      </c>
      <c r="L1211" s="66" t="str">
        <f>IF(M1211&lt;&gt;"OK","",N(F1211)/60*I1211)</f>
        <v/>
      </c>
      <c r="M1211" s="69" t="str">
        <f>IF(AND(A1211="",D1211=""),"",IF(A1211="","Produit manquant",IF(COUNTIF(prod_ref,A1211)=0,"Produit inconnu",IF(D1211="","Poste manquant",IF(ISNA(MATCH(D1211,po_code,0)),"Poste inconnu",IF(INDEX(po_check,MATCH(D1211,po_code,0))&lt;&gt;"OK","Poste à corriger",IF(AND(E1211&lt;&gt;"",OR(NOT(ISNUMBER(E1211)),N(E1211)&lt;0)),"Réglage invalide",IF(AND(F1211&lt;&gt;"",OR(NOT(ISNUMBER(F1211)),N(F1211)&lt;0)),"Temps par pièce invalide",IF(N(E1211)+N(F1211)=0,"Temps manquant",IF(AND(G1211&lt;&gt;"",OR(NOT(ISNUMBER(G1211)),N(G1211)&lt;=0)),"Opérateurs invalide","OK"))))))))))</f>
        <v/>
      </c>
      <c r="N1211" s="71" t="str">
        <f>IF(AND(fiche_sel&lt;&gt;"",A1211=fiche_sel),COUNTIF(A$6:A1211,fiche_sel),"")</f>
        <v/>
      </c>
    </row>
    <row r="1212">
      <c r="A1212" s="60" t="n"/>
      <c r="B1212" s="73" t="n"/>
      <c r="C1212" s="60" t="n"/>
      <c r="D1212" s="61" t="n"/>
      <c r="E1212" s="74" t="n"/>
      <c r="F1212" s="74" t="n"/>
      <c r="G1212" s="73" t="n"/>
      <c r="H1212" s="66" t="str">
        <f>IF(M1212&lt;&gt;"OK","",INDEX(po_mo,MATCH(D1212,po_code,0)))</f>
        <v/>
      </c>
      <c r="I1212" s="66" t="str">
        <f>IF(M1212&lt;&gt;"OK","",INDEX(po_mac,MATCH(D1212,po_code,0)))</f>
        <v/>
      </c>
      <c r="J1212" s="66" t="str">
        <f>IF(M1212&lt;&gt;"OK","",N(E1212)*(H1212*IF(G1212="",1,G1212)+I1212))</f>
        <v/>
      </c>
      <c r="K1212" s="66" t="str">
        <f>IF(M1212&lt;&gt;"OK","",N(F1212)/60*H1212*IF(G1212="",1,G1212))</f>
        <v/>
      </c>
      <c r="L1212" s="66" t="str">
        <f>IF(M1212&lt;&gt;"OK","",N(F1212)/60*I1212)</f>
        <v/>
      </c>
      <c r="M1212" s="69" t="str">
        <f>IF(AND(A1212="",D1212=""),"",IF(A1212="","Produit manquant",IF(COUNTIF(prod_ref,A1212)=0,"Produit inconnu",IF(D1212="","Poste manquant",IF(ISNA(MATCH(D1212,po_code,0)),"Poste inconnu",IF(INDEX(po_check,MATCH(D1212,po_code,0))&lt;&gt;"OK","Poste à corriger",IF(AND(E1212&lt;&gt;"",OR(NOT(ISNUMBER(E1212)),N(E1212)&lt;0)),"Réglage invalide",IF(AND(F1212&lt;&gt;"",OR(NOT(ISNUMBER(F1212)),N(F1212)&lt;0)),"Temps par pièce invalide",IF(N(E1212)+N(F1212)=0,"Temps manquant",IF(AND(G1212&lt;&gt;"",OR(NOT(ISNUMBER(G1212)),N(G1212)&lt;=0)),"Opérateurs invalide","OK"))))))))))</f>
        <v/>
      </c>
      <c r="N1212" s="71" t="str">
        <f>IF(AND(fiche_sel&lt;&gt;"",A1212=fiche_sel),COUNTIF(A$6:A1212,fiche_sel),"")</f>
        <v/>
      </c>
    </row>
    <row r="1213">
      <c r="A1213" s="60" t="n"/>
      <c r="B1213" s="73" t="n"/>
      <c r="C1213" s="60" t="n"/>
      <c r="D1213" s="61" t="n"/>
      <c r="E1213" s="74" t="n"/>
      <c r="F1213" s="74" t="n"/>
      <c r="G1213" s="73" t="n"/>
      <c r="H1213" s="66" t="str">
        <f>IF(M1213&lt;&gt;"OK","",INDEX(po_mo,MATCH(D1213,po_code,0)))</f>
        <v/>
      </c>
      <c r="I1213" s="66" t="str">
        <f>IF(M1213&lt;&gt;"OK","",INDEX(po_mac,MATCH(D1213,po_code,0)))</f>
        <v/>
      </c>
      <c r="J1213" s="66" t="str">
        <f>IF(M1213&lt;&gt;"OK","",N(E1213)*(H1213*IF(G1213="",1,G1213)+I1213))</f>
        <v/>
      </c>
      <c r="K1213" s="66" t="str">
        <f>IF(M1213&lt;&gt;"OK","",N(F1213)/60*H1213*IF(G1213="",1,G1213))</f>
        <v/>
      </c>
      <c r="L1213" s="66" t="str">
        <f>IF(M1213&lt;&gt;"OK","",N(F1213)/60*I1213)</f>
        <v/>
      </c>
      <c r="M1213" s="69" t="str">
        <f>IF(AND(A1213="",D1213=""),"",IF(A1213="","Produit manquant",IF(COUNTIF(prod_ref,A1213)=0,"Produit inconnu",IF(D1213="","Poste manquant",IF(ISNA(MATCH(D1213,po_code,0)),"Poste inconnu",IF(INDEX(po_check,MATCH(D1213,po_code,0))&lt;&gt;"OK","Poste à corriger",IF(AND(E1213&lt;&gt;"",OR(NOT(ISNUMBER(E1213)),N(E1213)&lt;0)),"Réglage invalide",IF(AND(F1213&lt;&gt;"",OR(NOT(ISNUMBER(F1213)),N(F1213)&lt;0)),"Temps par pièce invalide",IF(N(E1213)+N(F1213)=0,"Temps manquant",IF(AND(G1213&lt;&gt;"",OR(NOT(ISNUMBER(G1213)),N(G1213)&lt;=0)),"Opérateurs invalide","OK"))))))))))</f>
        <v/>
      </c>
      <c r="N1213" s="71" t="str">
        <f>IF(AND(fiche_sel&lt;&gt;"",A1213=fiche_sel),COUNTIF(A$6:A1213,fiche_sel),"")</f>
        <v/>
      </c>
    </row>
    <row r="1214">
      <c r="A1214" s="60" t="n"/>
      <c r="B1214" s="73" t="n"/>
      <c r="C1214" s="60" t="n"/>
      <c r="D1214" s="61" t="n"/>
      <c r="E1214" s="74" t="n"/>
      <c r="F1214" s="74" t="n"/>
      <c r="G1214" s="73" t="n"/>
      <c r="H1214" s="66" t="str">
        <f>IF(M1214&lt;&gt;"OK","",INDEX(po_mo,MATCH(D1214,po_code,0)))</f>
        <v/>
      </c>
      <c r="I1214" s="66" t="str">
        <f>IF(M1214&lt;&gt;"OK","",INDEX(po_mac,MATCH(D1214,po_code,0)))</f>
        <v/>
      </c>
      <c r="J1214" s="66" t="str">
        <f>IF(M1214&lt;&gt;"OK","",N(E1214)*(H1214*IF(G1214="",1,G1214)+I1214))</f>
        <v/>
      </c>
      <c r="K1214" s="66" t="str">
        <f>IF(M1214&lt;&gt;"OK","",N(F1214)/60*H1214*IF(G1214="",1,G1214))</f>
        <v/>
      </c>
      <c r="L1214" s="66" t="str">
        <f>IF(M1214&lt;&gt;"OK","",N(F1214)/60*I1214)</f>
        <v/>
      </c>
      <c r="M1214" s="69" t="str">
        <f>IF(AND(A1214="",D1214=""),"",IF(A1214="","Produit manquant",IF(COUNTIF(prod_ref,A1214)=0,"Produit inconnu",IF(D1214="","Poste manquant",IF(ISNA(MATCH(D1214,po_code,0)),"Poste inconnu",IF(INDEX(po_check,MATCH(D1214,po_code,0))&lt;&gt;"OK","Poste à corriger",IF(AND(E1214&lt;&gt;"",OR(NOT(ISNUMBER(E1214)),N(E1214)&lt;0)),"Réglage invalide",IF(AND(F1214&lt;&gt;"",OR(NOT(ISNUMBER(F1214)),N(F1214)&lt;0)),"Temps par pièce invalide",IF(N(E1214)+N(F1214)=0,"Temps manquant",IF(AND(G1214&lt;&gt;"",OR(NOT(ISNUMBER(G1214)),N(G1214)&lt;=0)),"Opérateurs invalide","OK"))))))))))</f>
        <v/>
      </c>
      <c r="N1214" s="71" t="str">
        <f>IF(AND(fiche_sel&lt;&gt;"",A1214=fiche_sel),COUNTIF(A$6:A1214,fiche_sel),"")</f>
        <v/>
      </c>
    </row>
    <row r="1215">
      <c r="A1215" s="60" t="n"/>
      <c r="B1215" s="73" t="n"/>
      <c r="C1215" s="60" t="n"/>
      <c r="D1215" s="61" t="n"/>
      <c r="E1215" s="74" t="n"/>
      <c r="F1215" s="74" t="n"/>
      <c r="G1215" s="73" t="n"/>
      <c r="H1215" s="66" t="str">
        <f>IF(M1215&lt;&gt;"OK","",INDEX(po_mo,MATCH(D1215,po_code,0)))</f>
        <v/>
      </c>
      <c r="I1215" s="66" t="str">
        <f>IF(M1215&lt;&gt;"OK","",INDEX(po_mac,MATCH(D1215,po_code,0)))</f>
        <v/>
      </c>
      <c r="J1215" s="66" t="str">
        <f>IF(M1215&lt;&gt;"OK","",N(E1215)*(H1215*IF(G1215="",1,G1215)+I1215))</f>
        <v/>
      </c>
      <c r="K1215" s="66" t="str">
        <f>IF(M1215&lt;&gt;"OK","",N(F1215)/60*H1215*IF(G1215="",1,G1215))</f>
        <v/>
      </c>
      <c r="L1215" s="66" t="str">
        <f>IF(M1215&lt;&gt;"OK","",N(F1215)/60*I1215)</f>
        <v/>
      </c>
      <c r="M1215" s="69" t="str">
        <f>IF(AND(A1215="",D1215=""),"",IF(A1215="","Produit manquant",IF(COUNTIF(prod_ref,A1215)=0,"Produit inconnu",IF(D1215="","Poste manquant",IF(ISNA(MATCH(D1215,po_code,0)),"Poste inconnu",IF(INDEX(po_check,MATCH(D1215,po_code,0))&lt;&gt;"OK","Poste à corriger",IF(AND(E1215&lt;&gt;"",OR(NOT(ISNUMBER(E1215)),N(E1215)&lt;0)),"Réglage invalide",IF(AND(F1215&lt;&gt;"",OR(NOT(ISNUMBER(F1215)),N(F1215)&lt;0)),"Temps par pièce invalide",IF(N(E1215)+N(F1215)=0,"Temps manquant",IF(AND(G1215&lt;&gt;"",OR(NOT(ISNUMBER(G1215)),N(G1215)&lt;=0)),"Opérateurs invalide","OK"))))))))))</f>
        <v/>
      </c>
      <c r="N1215" s="71" t="str">
        <f>IF(AND(fiche_sel&lt;&gt;"",A1215=fiche_sel),COUNTIF(A$6:A1215,fiche_sel),"")</f>
        <v/>
      </c>
    </row>
    <row r="1216">
      <c r="A1216" s="60" t="n"/>
      <c r="B1216" s="73" t="n"/>
      <c r="C1216" s="60" t="n"/>
      <c r="D1216" s="61" t="n"/>
      <c r="E1216" s="74" t="n"/>
      <c r="F1216" s="74" t="n"/>
      <c r="G1216" s="73" t="n"/>
      <c r="H1216" s="66" t="str">
        <f>IF(M1216&lt;&gt;"OK","",INDEX(po_mo,MATCH(D1216,po_code,0)))</f>
        <v/>
      </c>
      <c r="I1216" s="66" t="str">
        <f>IF(M1216&lt;&gt;"OK","",INDEX(po_mac,MATCH(D1216,po_code,0)))</f>
        <v/>
      </c>
      <c r="J1216" s="66" t="str">
        <f>IF(M1216&lt;&gt;"OK","",N(E1216)*(H1216*IF(G1216="",1,G1216)+I1216))</f>
        <v/>
      </c>
      <c r="K1216" s="66" t="str">
        <f>IF(M1216&lt;&gt;"OK","",N(F1216)/60*H1216*IF(G1216="",1,G1216))</f>
        <v/>
      </c>
      <c r="L1216" s="66" t="str">
        <f>IF(M1216&lt;&gt;"OK","",N(F1216)/60*I1216)</f>
        <v/>
      </c>
      <c r="M1216" s="69" t="str">
        <f>IF(AND(A1216="",D1216=""),"",IF(A1216="","Produit manquant",IF(COUNTIF(prod_ref,A1216)=0,"Produit inconnu",IF(D1216="","Poste manquant",IF(ISNA(MATCH(D1216,po_code,0)),"Poste inconnu",IF(INDEX(po_check,MATCH(D1216,po_code,0))&lt;&gt;"OK","Poste à corriger",IF(AND(E1216&lt;&gt;"",OR(NOT(ISNUMBER(E1216)),N(E1216)&lt;0)),"Réglage invalide",IF(AND(F1216&lt;&gt;"",OR(NOT(ISNUMBER(F1216)),N(F1216)&lt;0)),"Temps par pièce invalide",IF(N(E1216)+N(F1216)=0,"Temps manquant",IF(AND(G1216&lt;&gt;"",OR(NOT(ISNUMBER(G1216)),N(G1216)&lt;=0)),"Opérateurs invalide","OK"))))))))))</f>
        <v/>
      </c>
      <c r="N1216" s="71" t="str">
        <f>IF(AND(fiche_sel&lt;&gt;"",A1216=fiche_sel),COUNTIF(A$6:A1216,fiche_sel),"")</f>
        <v/>
      </c>
    </row>
    <row r="1217">
      <c r="A1217" s="60" t="n"/>
      <c r="B1217" s="73" t="n"/>
      <c r="C1217" s="60" t="n"/>
      <c r="D1217" s="61" t="n"/>
      <c r="E1217" s="74" t="n"/>
      <c r="F1217" s="74" t="n"/>
      <c r="G1217" s="73" t="n"/>
      <c r="H1217" s="66" t="str">
        <f>IF(M1217&lt;&gt;"OK","",INDEX(po_mo,MATCH(D1217,po_code,0)))</f>
        <v/>
      </c>
      <c r="I1217" s="66" t="str">
        <f>IF(M1217&lt;&gt;"OK","",INDEX(po_mac,MATCH(D1217,po_code,0)))</f>
        <v/>
      </c>
      <c r="J1217" s="66" t="str">
        <f>IF(M1217&lt;&gt;"OK","",N(E1217)*(H1217*IF(G1217="",1,G1217)+I1217))</f>
        <v/>
      </c>
      <c r="K1217" s="66" t="str">
        <f>IF(M1217&lt;&gt;"OK","",N(F1217)/60*H1217*IF(G1217="",1,G1217))</f>
        <v/>
      </c>
      <c r="L1217" s="66" t="str">
        <f>IF(M1217&lt;&gt;"OK","",N(F1217)/60*I1217)</f>
        <v/>
      </c>
      <c r="M1217" s="69" t="str">
        <f>IF(AND(A1217="",D1217=""),"",IF(A1217="","Produit manquant",IF(COUNTIF(prod_ref,A1217)=0,"Produit inconnu",IF(D1217="","Poste manquant",IF(ISNA(MATCH(D1217,po_code,0)),"Poste inconnu",IF(INDEX(po_check,MATCH(D1217,po_code,0))&lt;&gt;"OK","Poste à corriger",IF(AND(E1217&lt;&gt;"",OR(NOT(ISNUMBER(E1217)),N(E1217)&lt;0)),"Réglage invalide",IF(AND(F1217&lt;&gt;"",OR(NOT(ISNUMBER(F1217)),N(F1217)&lt;0)),"Temps par pièce invalide",IF(N(E1217)+N(F1217)=0,"Temps manquant",IF(AND(G1217&lt;&gt;"",OR(NOT(ISNUMBER(G1217)),N(G1217)&lt;=0)),"Opérateurs invalide","OK"))))))))))</f>
        <v/>
      </c>
      <c r="N1217" s="71" t="str">
        <f>IF(AND(fiche_sel&lt;&gt;"",A1217=fiche_sel),COUNTIF(A$6:A1217,fiche_sel),"")</f>
        <v/>
      </c>
    </row>
    <row r="1218">
      <c r="A1218" s="60" t="n"/>
      <c r="B1218" s="73" t="n"/>
      <c r="C1218" s="60" t="n"/>
      <c r="D1218" s="61" t="n"/>
      <c r="E1218" s="74" t="n"/>
      <c r="F1218" s="74" t="n"/>
      <c r="G1218" s="73" t="n"/>
      <c r="H1218" s="66" t="str">
        <f>IF(M1218&lt;&gt;"OK","",INDEX(po_mo,MATCH(D1218,po_code,0)))</f>
        <v/>
      </c>
      <c r="I1218" s="66" t="str">
        <f>IF(M1218&lt;&gt;"OK","",INDEX(po_mac,MATCH(D1218,po_code,0)))</f>
        <v/>
      </c>
      <c r="J1218" s="66" t="str">
        <f>IF(M1218&lt;&gt;"OK","",N(E1218)*(H1218*IF(G1218="",1,G1218)+I1218))</f>
        <v/>
      </c>
      <c r="K1218" s="66" t="str">
        <f>IF(M1218&lt;&gt;"OK","",N(F1218)/60*H1218*IF(G1218="",1,G1218))</f>
        <v/>
      </c>
      <c r="L1218" s="66" t="str">
        <f>IF(M1218&lt;&gt;"OK","",N(F1218)/60*I1218)</f>
        <v/>
      </c>
      <c r="M1218" s="69" t="str">
        <f>IF(AND(A1218="",D1218=""),"",IF(A1218="","Produit manquant",IF(COUNTIF(prod_ref,A1218)=0,"Produit inconnu",IF(D1218="","Poste manquant",IF(ISNA(MATCH(D1218,po_code,0)),"Poste inconnu",IF(INDEX(po_check,MATCH(D1218,po_code,0))&lt;&gt;"OK","Poste à corriger",IF(AND(E1218&lt;&gt;"",OR(NOT(ISNUMBER(E1218)),N(E1218)&lt;0)),"Réglage invalide",IF(AND(F1218&lt;&gt;"",OR(NOT(ISNUMBER(F1218)),N(F1218)&lt;0)),"Temps par pièce invalide",IF(N(E1218)+N(F1218)=0,"Temps manquant",IF(AND(G1218&lt;&gt;"",OR(NOT(ISNUMBER(G1218)),N(G1218)&lt;=0)),"Opérateurs invalide","OK"))))))))))</f>
        <v/>
      </c>
      <c r="N1218" s="71" t="str">
        <f>IF(AND(fiche_sel&lt;&gt;"",A1218=fiche_sel),COUNTIF(A$6:A1218,fiche_sel),"")</f>
        <v/>
      </c>
    </row>
    <row r="1219">
      <c r="A1219" s="60" t="n"/>
      <c r="B1219" s="73" t="n"/>
      <c r="C1219" s="60" t="n"/>
      <c r="D1219" s="61" t="n"/>
      <c r="E1219" s="74" t="n"/>
      <c r="F1219" s="74" t="n"/>
      <c r="G1219" s="73" t="n"/>
      <c r="H1219" s="66" t="str">
        <f>IF(M1219&lt;&gt;"OK","",INDEX(po_mo,MATCH(D1219,po_code,0)))</f>
        <v/>
      </c>
      <c r="I1219" s="66" t="str">
        <f>IF(M1219&lt;&gt;"OK","",INDEX(po_mac,MATCH(D1219,po_code,0)))</f>
        <v/>
      </c>
      <c r="J1219" s="66" t="str">
        <f>IF(M1219&lt;&gt;"OK","",N(E1219)*(H1219*IF(G1219="",1,G1219)+I1219))</f>
        <v/>
      </c>
      <c r="K1219" s="66" t="str">
        <f>IF(M1219&lt;&gt;"OK","",N(F1219)/60*H1219*IF(G1219="",1,G1219))</f>
        <v/>
      </c>
      <c r="L1219" s="66" t="str">
        <f>IF(M1219&lt;&gt;"OK","",N(F1219)/60*I1219)</f>
        <v/>
      </c>
      <c r="M1219" s="69" t="str">
        <f>IF(AND(A1219="",D1219=""),"",IF(A1219="","Produit manquant",IF(COUNTIF(prod_ref,A1219)=0,"Produit inconnu",IF(D1219="","Poste manquant",IF(ISNA(MATCH(D1219,po_code,0)),"Poste inconnu",IF(INDEX(po_check,MATCH(D1219,po_code,0))&lt;&gt;"OK","Poste à corriger",IF(AND(E1219&lt;&gt;"",OR(NOT(ISNUMBER(E1219)),N(E1219)&lt;0)),"Réglage invalide",IF(AND(F1219&lt;&gt;"",OR(NOT(ISNUMBER(F1219)),N(F1219)&lt;0)),"Temps par pièce invalide",IF(N(E1219)+N(F1219)=0,"Temps manquant",IF(AND(G1219&lt;&gt;"",OR(NOT(ISNUMBER(G1219)),N(G1219)&lt;=0)),"Opérateurs invalide","OK"))))))))))</f>
        <v/>
      </c>
      <c r="N1219" s="71" t="str">
        <f>IF(AND(fiche_sel&lt;&gt;"",A1219=fiche_sel),COUNTIF(A$6:A1219,fiche_sel),"")</f>
        <v/>
      </c>
    </row>
    <row r="1220">
      <c r="A1220" s="60" t="n"/>
      <c r="B1220" s="73" t="n"/>
      <c r="C1220" s="60" t="n"/>
      <c r="D1220" s="61" t="n"/>
      <c r="E1220" s="74" t="n"/>
      <c r="F1220" s="74" t="n"/>
      <c r="G1220" s="73" t="n"/>
      <c r="H1220" s="66" t="str">
        <f>IF(M1220&lt;&gt;"OK","",INDEX(po_mo,MATCH(D1220,po_code,0)))</f>
        <v/>
      </c>
      <c r="I1220" s="66" t="str">
        <f>IF(M1220&lt;&gt;"OK","",INDEX(po_mac,MATCH(D1220,po_code,0)))</f>
        <v/>
      </c>
      <c r="J1220" s="66" t="str">
        <f>IF(M1220&lt;&gt;"OK","",N(E1220)*(H1220*IF(G1220="",1,G1220)+I1220))</f>
        <v/>
      </c>
      <c r="K1220" s="66" t="str">
        <f>IF(M1220&lt;&gt;"OK","",N(F1220)/60*H1220*IF(G1220="",1,G1220))</f>
        <v/>
      </c>
      <c r="L1220" s="66" t="str">
        <f>IF(M1220&lt;&gt;"OK","",N(F1220)/60*I1220)</f>
        <v/>
      </c>
      <c r="M1220" s="69" t="str">
        <f>IF(AND(A1220="",D1220=""),"",IF(A1220="","Produit manquant",IF(COUNTIF(prod_ref,A1220)=0,"Produit inconnu",IF(D1220="","Poste manquant",IF(ISNA(MATCH(D1220,po_code,0)),"Poste inconnu",IF(INDEX(po_check,MATCH(D1220,po_code,0))&lt;&gt;"OK","Poste à corriger",IF(AND(E1220&lt;&gt;"",OR(NOT(ISNUMBER(E1220)),N(E1220)&lt;0)),"Réglage invalide",IF(AND(F1220&lt;&gt;"",OR(NOT(ISNUMBER(F1220)),N(F1220)&lt;0)),"Temps par pièce invalide",IF(N(E1220)+N(F1220)=0,"Temps manquant",IF(AND(G1220&lt;&gt;"",OR(NOT(ISNUMBER(G1220)),N(G1220)&lt;=0)),"Opérateurs invalide","OK"))))))))))</f>
        <v/>
      </c>
      <c r="N1220" s="71" t="str">
        <f>IF(AND(fiche_sel&lt;&gt;"",A1220=fiche_sel),COUNTIF(A$6:A1220,fiche_sel),"")</f>
        <v/>
      </c>
    </row>
    <row r="1221">
      <c r="A1221" s="60" t="n"/>
      <c r="B1221" s="73" t="n"/>
      <c r="C1221" s="60" t="n"/>
      <c r="D1221" s="61" t="n"/>
      <c r="E1221" s="74" t="n"/>
      <c r="F1221" s="74" t="n"/>
      <c r="G1221" s="73" t="n"/>
      <c r="H1221" s="66" t="str">
        <f>IF(M1221&lt;&gt;"OK","",INDEX(po_mo,MATCH(D1221,po_code,0)))</f>
        <v/>
      </c>
      <c r="I1221" s="66" t="str">
        <f>IF(M1221&lt;&gt;"OK","",INDEX(po_mac,MATCH(D1221,po_code,0)))</f>
        <v/>
      </c>
      <c r="J1221" s="66" t="str">
        <f>IF(M1221&lt;&gt;"OK","",N(E1221)*(H1221*IF(G1221="",1,G1221)+I1221))</f>
        <v/>
      </c>
      <c r="K1221" s="66" t="str">
        <f>IF(M1221&lt;&gt;"OK","",N(F1221)/60*H1221*IF(G1221="",1,G1221))</f>
        <v/>
      </c>
      <c r="L1221" s="66" t="str">
        <f>IF(M1221&lt;&gt;"OK","",N(F1221)/60*I1221)</f>
        <v/>
      </c>
      <c r="M1221" s="69" t="str">
        <f>IF(AND(A1221="",D1221=""),"",IF(A1221="","Produit manquant",IF(COUNTIF(prod_ref,A1221)=0,"Produit inconnu",IF(D1221="","Poste manquant",IF(ISNA(MATCH(D1221,po_code,0)),"Poste inconnu",IF(INDEX(po_check,MATCH(D1221,po_code,0))&lt;&gt;"OK","Poste à corriger",IF(AND(E1221&lt;&gt;"",OR(NOT(ISNUMBER(E1221)),N(E1221)&lt;0)),"Réglage invalide",IF(AND(F1221&lt;&gt;"",OR(NOT(ISNUMBER(F1221)),N(F1221)&lt;0)),"Temps par pièce invalide",IF(N(E1221)+N(F1221)=0,"Temps manquant",IF(AND(G1221&lt;&gt;"",OR(NOT(ISNUMBER(G1221)),N(G1221)&lt;=0)),"Opérateurs invalide","OK"))))))))))</f>
        <v/>
      </c>
      <c r="N1221" s="71" t="str">
        <f>IF(AND(fiche_sel&lt;&gt;"",A1221=fiche_sel),COUNTIF(A$6:A1221,fiche_sel),"")</f>
        <v/>
      </c>
    </row>
    <row r="1222">
      <c r="A1222" s="60" t="n"/>
      <c r="B1222" s="73" t="n"/>
      <c r="C1222" s="60" t="n"/>
      <c r="D1222" s="61" t="n"/>
      <c r="E1222" s="74" t="n"/>
      <c r="F1222" s="74" t="n"/>
      <c r="G1222" s="73" t="n"/>
      <c r="H1222" s="66" t="str">
        <f>IF(M1222&lt;&gt;"OK","",INDEX(po_mo,MATCH(D1222,po_code,0)))</f>
        <v/>
      </c>
      <c r="I1222" s="66" t="str">
        <f>IF(M1222&lt;&gt;"OK","",INDEX(po_mac,MATCH(D1222,po_code,0)))</f>
        <v/>
      </c>
      <c r="J1222" s="66" t="str">
        <f>IF(M1222&lt;&gt;"OK","",N(E1222)*(H1222*IF(G1222="",1,G1222)+I1222))</f>
        <v/>
      </c>
      <c r="K1222" s="66" t="str">
        <f>IF(M1222&lt;&gt;"OK","",N(F1222)/60*H1222*IF(G1222="",1,G1222))</f>
        <v/>
      </c>
      <c r="L1222" s="66" t="str">
        <f>IF(M1222&lt;&gt;"OK","",N(F1222)/60*I1222)</f>
        <v/>
      </c>
      <c r="M1222" s="69" t="str">
        <f>IF(AND(A1222="",D1222=""),"",IF(A1222="","Produit manquant",IF(COUNTIF(prod_ref,A1222)=0,"Produit inconnu",IF(D1222="","Poste manquant",IF(ISNA(MATCH(D1222,po_code,0)),"Poste inconnu",IF(INDEX(po_check,MATCH(D1222,po_code,0))&lt;&gt;"OK","Poste à corriger",IF(AND(E1222&lt;&gt;"",OR(NOT(ISNUMBER(E1222)),N(E1222)&lt;0)),"Réglage invalide",IF(AND(F1222&lt;&gt;"",OR(NOT(ISNUMBER(F1222)),N(F1222)&lt;0)),"Temps par pièce invalide",IF(N(E1222)+N(F1222)=0,"Temps manquant",IF(AND(G1222&lt;&gt;"",OR(NOT(ISNUMBER(G1222)),N(G1222)&lt;=0)),"Opérateurs invalide","OK"))))))))))</f>
        <v/>
      </c>
      <c r="N1222" s="71" t="str">
        <f>IF(AND(fiche_sel&lt;&gt;"",A1222=fiche_sel),COUNTIF(A$6:A1222,fiche_sel),"")</f>
        <v/>
      </c>
    </row>
    <row r="1223">
      <c r="A1223" s="60" t="n"/>
      <c r="B1223" s="73" t="n"/>
      <c r="C1223" s="60" t="n"/>
      <c r="D1223" s="61" t="n"/>
      <c r="E1223" s="74" t="n"/>
      <c r="F1223" s="74" t="n"/>
      <c r="G1223" s="73" t="n"/>
      <c r="H1223" s="66" t="str">
        <f>IF(M1223&lt;&gt;"OK","",INDEX(po_mo,MATCH(D1223,po_code,0)))</f>
        <v/>
      </c>
      <c r="I1223" s="66" t="str">
        <f>IF(M1223&lt;&gt;"OK","",INDEX(po_mac,MATCH(D1223,po_code,0)))</f>
        <v/>
      </c>
      <c r="J1223" s="66" t="str">
        <f>IF(M1223&lt;&gt;"OK","",N(E1223)*(H1223*IF(G1223="",1,G1223)+I1223))</f>
        <v/>
      </c>
      <c r="K1223" s="66" t="str">
        <f>IF(M1223&lt;&gt;"OK","",N(F1223)/60*H1223*IF(G1223="",1,G1223))</f>
        <v/>
      </c>
      <c r="L1223" s="66" t="str">
        <f>IF(M1223&lt;&gt;"OK","",N(F1223)/60*I1223)</f>
        <v/>
      </c>
      <c r="M1223" s="69" t="str">
        <f>IF(AND(A1223="",D1223=""),"",IF(A1223="","Produit manquant",IF(COUNTIF(prod_ref,A1223)=0,"Produit inconnu",IF(D1223="","Poste manquant",IF(ISNA(MATCH(D1223,po_code,0)),"Poste inconnu",IF(INDEX(po_check,MATCH(D1223,po_code,0))&lt;&gt;"OK","Poste à corriger",IF(AND(E1223&lt;&gt;"",OR(NOT(ISNUMBER(E1223)),N(E1223)&lt;0)),"Réglage invalide",IF(AND(F1223&lt;&gt;"",OR(NOT(ISNUMBER(F1223)),N(F1223)&lt;0)),"Temps par pièce invalide",IF(N(E1223)+N(F1223)=0,"Temps manquant",IF(AND(G1223&lt;&gt;"",OR(NOT(ISNUMBER(G1223)),N(G1223)&lt;=0)),"Opérateurs invalide","OK"))))))))))</f>
        <v/>
      </c>
      <c r="N1223" s="71" t="str">
        <f>IF(AND(fiche_sel&lt;&gt;"",A1223=fiche_sel),COUNTIF(A$6:A1223,fiche_sel),"")</f>
        <v/>
      </c>
    </row>
    <row r="1224">
      <c r="A1224" s="60" t="n"/>
      <c r="B1224" s="73" t="n"/>
      <c r="C1224" s="60" t="n"/>
      <c r="D1224" s="61" t="n"/>
      <c r="E1224" s="74" t="n"/>
      <c r="F1224" s="74" t="n"/>
      <c r="G1224" s="73" t="n"/>
      <c r="H1224" s="66" t="str">
        <f>IF(M1224&lt;&gt;"OK","",INDEX(po_mo,MATCH(D1224,po_code,0)))</f>
        <v/>
      </c>
      <c r="I1224" s="66" t="str">
        <f>IF(M1224&lt;&gt;"OK","",INDEX(po_mac,MATCH(D1224,po_code,0)))</f>
        <v/>
      </c>
      <c r="J1224" s="66" t="str">
        <f>IF(M1224&lt;&gt;"OK","",N(E1224)*(H1224*IF(G1224="",1,G1224)+I1224))</f>
        <v/>
      </c>
      <c r="K1224" s="66" t="str">
        <f>IF(M1224&lt;&gt;"OK","",N(F1224)/60*H1224*IF(G1224="",1,G1224))</f>
        <v/>
      </c>
      <c r="L1224" s="66" t="str">
        <f>IF(M1224&lt;&gt;"OK","",N(F1224)/60*I1224)</f>
        <v/>
      </c>
      <c r="M1224" s="69" t="str">
        <f>IF(AND(A1224="",D1224=""),"",IF(A1224="","Produit manquant",IF(COUNTIF(prod_ref,A1224)=0,"Produit inconnu",IF(D1224="","Poste manquant",IF(ISNA(MATCH(D1224,po_code,0)),"Poste inconnu",IF(INDEX(po_check,MATCH(D1224,po_code,0))&lt;&gt;"OK","Poste à corriger",IF(AND(E1224&lt;&gt;"",OR(NOT(ISNUMBER(E1224)),N(E1224)&lt;0)),"Réglage invalide",IF(AND(F1224&lt;&gt;"",OR(NOT(ISNUMBER(F1224)),N(F1224)&lt;0)),"Temps par pièce invalide",IF(N(E1224)+N(F1224)=0,"Temps manquant",IF(AND(G1224&lt;&gt;"",OR(NOT(ISNUMBER(G1224)),N(G1224)&lt;=0)),"Opérateurs invalide","OK"))))))))))</f>
        <v/>
      </c>
      <c r="N1224" s="71" t="str">
        <f>IF(AND(fiche_sel&lt;&gt;"",A1224=fiche_sel),COUNTIF(A$6:A1224,fiche_sel),"")</f>
        <v/>
      </c>
    </row>
    <row r="1225">
      <c r="A1225" s="60" t="n"/>
      <c r="B1225" s="73" t="n"/>
      <c r="C1225" s="60" t="n"/>
      <c r="D1225" s="61" t="n"/>
      <c r="E1225" s="74" t="n"/>
      <c r="F1225" s="74" t="n"/>
      <c r="G1225" s="73" t="n"/>
      <c r="H1225" s="66" t="str">
        <f>IF(M1225&lt;&gt;"OK","",INDEX(po_mo,MATCH(D1225,po_code,0)))</f>
        <v/>
      </c>
      <c r="I1225" s="66" t="str">
        <f>IF(M1225&lt;&gt;"OK","",INDEX(po_mac,MATCH(D1225,po_code,0)))</f>
        <v/>
      </c>
      <c r="J1225" s="66" t="str">
        <f>IF(M1225&lt;&gt;"OK","",N(E1225)*(H1225*IF(G1225="",1,G1225)+I1225))</f>
        <v/>
      </c>
      <c r="K1225" s="66" t="str">
        <f>IF(M1225&lt;&gt;"OK","",N(F1225)/60*H1225*IF(G1225="",1,G1225))</f>
        <v/>
      </c>
      <c r="L1225" s="66" t="str">
        <f>IF(M1225&lt;&gt;"OK","",N(F1225)/60*I1225)</f>
        <v/>
      </c>
      <c r="M1225" s="69" t="str">
        <f>IF(AND(A1225="",D1225=""),"",IF(A1225="","Produit manquant",IF(COUNTIF(prod_ref,A1225)=0,"Produit inconnu",IF(D1225="","Poste manquant",IF(ISNA(MATCH(D1225,po_code,0)),"Poste inconnu",IF(INDEX(po_check,MATCH(D1225,po_code,0))&lt;&gt;"OK","Poste à corriger",IF(AND(E1225&lt;&gt;"",OR(NOT(ISNUMBER(E1225)),N(E1225)&lt;0)),"Réglage invalide",IF(AND(F1225&lt;&gt;"",OR(NOT(ISNUMBER(F1225)),N(F1225)&lt;0)),"Temps par pièce invalide",IF(N(E1225)+N(F1225)=0,"Temps manquant",IF(AND(G1225&lt;&gt;"",OR(NOT(ISNUMBER(G1225)),N(G1225)&lt;=0)),"Opérateurs invalide","OK"))))))))))</f>
        <v/>
      </c>
      <c r="N1225" s="71" t="str">
        <f>IF(AND(fiche_sel&lt;&gt;"",A1225=fiche_sel),COUNTIF(A$6:A1225,fiche_sel),"")</f>
        <v/>
      </c>
    </row>
    <row r="1226">
      <c r="A1226" s="60" t="n"/>
      <c r="B1226" s="73" t="n"/>
      <c r="C1226" s="60" t="n"/>
      <c r="D1226" s="61" t="n"/>
      <c r="E1226" s="74" t="n"/>
      <c r="F1226" s="74" t="n"/>
      <c r="G1226" s="73" t="n"/>
      <c r="H1226" s="66" t="str">
        <f>IF(M1226&lt;&gt;"OK","",INDEX(po_mo,MATCH(D1226,po_code,0)))</f>
        <v/>
      </c>
      <c r="I1226" s="66" t="str">
        <f>IF(M1226&lt;&gt;"OK","",INDEX(po_mac,MATCH(D1226,po_code,0)))</f>
        <v/>
      </c>
      <c r="J1226" s="66" t="str">
        <f>IF(M1226&lt;&gt;"OK","",N(E1226)*(H1226*IF(G1226="",1,G1226)+I1226))</f>
        <v/>
      </c>
      <c r="K1226" s="66" t="str">
        <f>IF(M1226&lt;&gt;"OK","",N(F1226)/60*H1226*IF(G1226="",1,G1226))</f>
        <v/>
      </c>
      <c r="L1226" s="66" t="str">
        <f>IF(M1226&lt;&gt;"OK","",N(F1226)/60*I1226)</f>
        <v/>
      </c>
      <c r="M1226" s="69" t="str">
        <f>IF(AND(A1226="",D1226=""),"",IF(A1226="","Produit manquant",IF(COUNTIF(prod_ref,A1226)=0,"Produit inconnu",IF(D1226="","Poste manquant",IF(ISNA(MATCH(D1226,po_code,0)),"Poste inconnu",IF(INDEX(po_check,MATCH(D1226,po_code,0))&lt;&gt;"OK","Poste à corriger",IF(AND(E1226&lt;&gt;"",OR(NOT(ISNUMBER(E1226)),N(E1226)&lt;0)),"Réglage invalide",IF(AND(F1226&lt;&gt;"",OR(NOT(ISNUMBER(F1226)),N(F1226)&lt;0)),"Temps par pièce invalide",IF(N(E1226)+N(F1226)=0,"Temps manquant",IF(AND(G1226&lt;&gt;"",OR(NOT(ISNUMBER(G1226)),N(G1226)&lt;=0)),"Opérateurs invalide","OK"))))))))))</f>
        <v/>
      </c>
      <c r="N1226" s="71" t="str">
        <f>IF(AND(fiche_sel&lt;&gt;"",A1226=fiche_sel),COUNTIF(A$6:A1226,fiche_sel),"")</f>
        <v/>
      </c>
    </row>
    <row r="1227">
      <c r="A1227" s="60" t="n"/>
      <c r="B1227" s="73" t="n"/>
      <c r="C1227" s="60" t="n"/>
      <c r="D1227" s="61" t="n"/>
      <c r="E1227" s="74" t="n"/>
      <c r="F1227" s="74" t="n"/>
      <c r="G1227" s="73" t="n"/>
      <c r="H1227" s="66" t="str">
        <f>IF(M1227&lt;&gt;"OK","",INDEX(po_mo,MATCH(D1227,po_code,0)))</f>
        <v/>
      </c>
      <c r="I1227" s="66" t="str">
        <f>IF(M1227&lt;&gt;"OK","",INDEX(po_mac,MATCH(D1227,po_code,0)))</f>
        <v/>
      </c>
      <c r="J1227" s="66" t="str">
        <f>IF(M1227&lt;&gt;"OK","",N(E1227)*(H1227*IF(G1227="",1,G1227)+I1227))</f>
        <v/>
      </c>
      <c r="K1227" s="66" t="str">
        <f>IF(M1227&lt;&gt;"OK","",N(F1227)/60*H1227*IF(G1227="",1,G1227))</f>
        <v/>
      </c>
      <c r="L1227" s="66" t="str">
        <f>IF(M1227&lt;&gt;"OK","",N(F1227)/60*I1227)</f>
        <v/>
      </c>
      <c r="M1227" s="69" t="str">
        <f>IF(AND(A1227="",D1227=""),"",IF(A1227="","Produit manquant",IF(COUNTIF(prod_ref,A1227)=0,"Produit inconnu",IF(D1227="","Poste manquant",IF(ISNA(MATCH(D1227,po_code,0)),"Poste inconnu",IF(INDEX(po_check,MATCH(D1227,po_code,0))&lt;&gt;"OK","Poste à corriger",IF(AND(E1227&lt;&gt;"",OR(NOT(ISNUMBER(E1227)),N(E1227)&lt;0)),"Réglage invalide",IF(AND(F1227&lt;&gt;"",OR(NOT(ISNUMBER(F1227)),N(F1227)&lt;0)),"Temps par pièce invalide",IF(N(E1227)+N(F1227)=0,"Temps manquant",IF(AND(G1227&lt;&gt;"",OR(NOT(ISNUMBER(G1227)),N(G1227)&lt;=0)),"Opérateurs invalide","OK"))))))))))</f>
        <v/>
      </c>
      <c r="N1227" s="71" t="str">
        <f>IF(AND(fiche_sel&lt;&gt;"",A1227=fiche_sel),COUNTIF(A$6:A1227,fiche_sel),"")</f>
        <v/>
      </c>
    </row>
    <row r="1228">
      <c r="A1228" s="60" t="n"/>
      <c r="B1228" s="73" t="n"/>
      <c r="C1228" s="60" t="n"/>
      <c r="D1228" s="61" t="n"/>
      <c r="E1228" s="74" t="n"/>
      <c r="F1228" s="74" t="n"/>
      <c r="G1228" s="73" t="n"/>
      <c r="H1228" s="66" t="str">
        <f>IF(M1228&lt;&gt;"OK","",INDEX(po_mo,MATCH(D1228,po_code,0)))</f>
        <v/>
      </c>
      <c r="I1228" s="66" t="str">
        <f>IF(M1228&lt;&gt;"OK","",INDEX(po_mac,MATCH(D1228,po_code,0)))</f>
        <v/>
      </c>
      <c r="J1228" s="66" t="str">
        <f>IF(M1228&lt;&gt;"OK","",N(E1228)*(H1228*IF(G1228="",1,G1228)+I1228))</f>
        <v/>
      </c>
      <c r="K1228" s="66" t="str">
        <f>IF(M1228&lt;&gt;"OK","",N(F1228)/60*H1228*IF(G1228="",1,G1228))</f>
        <v/>
      </c>
      <c r="L1228" s="66" t="str">
        <f>IF(M1228&lt;&gt;"OK","",N(F1228)/60*I1228)</f>
        <v/>
      </c>
      <c r="M1228" s="69" t="str">
        <f>IF(AND(A1228="",D1228=""),"",IF(A1228="","Produit manquant",IF(COUNTIF(prod_ref,A1228)=0,"Produit inconnu",IF(D1228="","Poste manquant",IF(ISNA(MATCH(D1228,po_code,0)),"Poste inconnu",IF(INDEX(po_check,MATCH(D1228,po_code,0))&lt;&gt;"OK","Poste à corriger",IF(AND(E1228&lt;&gt;"",OR(NOT(ISNUMBER(E1228)),N(E1228)&lt;0)),"Réglage invalide",IF(AND(F1228&lt;&gt;"",OR(NOT(ISNUMBER(F1228)),N(F1228)&lt;0)),"Temps par pièce invalide",IF(N(E1228)+N(F1228)=0,"Temps manquant",IF(AND(G1228&lt;&gt;"",OR(NOT(ISNUMBER(G1228)),N(G1228)&lt;=0)),"Opérateurs invalide","OK"))))))))))</f>
        <v/>
      </c>
      <c r="N1228" s="71" t="str">
        <f>IF(AND(fiche_sel&lt;&gt;"",A1228=fiche_sel),COUNTIF(A$6:A1228,fiche_sel),"")</f>
        <v/>
      </c>
    </row>
    <row r="1229">
      <c r="A1229" s="60" t="n"/>
      <c r="B1229" s="73" t="n"/>
      <c r="C1229" s="60" t="n"/>
      <c r="D1229" s="61" t="n"/>
      <c r="E1229" s="74" t="n"/>
      <c r="F1229" s="74" t="n"/>
      <c r="G1229" s="73" t="n"/>
      <c r="H1229" s="66" t="str">
        <f>IF(M1229&lt;&gt;"OK","",INDEX(po_mo,MATCH(D1229,po_code,0)))</f>
        <v/>
      </c>
      <c r="I1229" s="66" t="str">
        <f>IF(M1229&lt;&gt;"OK","",INDEX(po_mac,MATCH(D1229,po_code,0)))</f>
        <v/>
      </c>
      <c r="J1229" s="66" t="str">
        <f>IF(M1229&lt;&gt;"OK","",N(E1229)*(H1229*IF(G1229="",1,G1229)+I1229))</f>
        <v/>
      </c>
      <c r="K1229" s="66" t="str">
        <f>IF(M1229&lt;&gt;"OK","",N(F1229)/60*H1229*IF(G1229="",1,G1229))</f>
        <v/>
      </c>
      <c r="L1229" s="66" t="str">
        <f>IF(M1229&lt;&gt;"OK","",N(F1229)/60*I1229)</f>
        <v/>
      </c>
      <c r="M1229" s="69" t="str">
        <f>IF(AND(A1229="",D1229=""),"",IF(A1229="","Produit manquant",IF(COUNTIF(prod_ref,A1229)=0,"Produit inconnu",IF(D1229="","Poste manquant",IF(ISNA(MATCH(D1229,po_code,0)),"Poste inconnu",IF(INDEX(po_check,MATCH(D1229,po_code,0))&lt;&gt;"OK","Poste à corriger",IF(AND(E1229&lt;&gt;"",OR(NOT(ISNUMBER(E1229)),N(E1229)&lt;0)),"Réglage invalide",IF(AND(F1229&lt;&gt;"",OR(NOT(ISNUMBER(F1229)),N(F1229)&lt;0)),"Temps par pièce invalide",IF(N(E1229)+N(F1229)=0,"Temps manquant",IF(AND(G1229&lt;&gt;"",OR(NOT(ISNUMBER(G1229)),N(G1229)&lt;=0)),"Opérateurs invalide","OK"))))))))))</f>
        <v/>
      </c>
      <c r="N1229" s="71" t="str">
        <f>IF(AND(fiche_sel&lt;&gt;"",A1229=fiche_sel),COUNTIF(A$6:A1229,fiche_sel),"")</f>
        <v/>
      </c>
    </row>
    <row r="1230">
      <c r="A1230" s="60" t="n"/>
      <c r="B1230" s="73" t="n"/>
      <c r="C1230" s="60" t="n"/>
      <c r="D1230" s="61" t="n"/>
      <c r="E1230" s="74" t="n"/>
      <c r="F1230" s="74" t="n"/>
      <c r="G1230" s="73" t="n"/>
      <c r="H1230" s="66" t="str">
        <f>IF(M1230&lt;&gt;"OK","",INDEX(po_mo,MATCH(D1230,po_code,0)))</f>
        <v/>
      </c>
      <c r="I1230" s="66" t="str">
        <f>IF(M1230&lt;&gt;"OK","",INDEX(po_mac,MATCH(D1230,po_code,0)))</f>
        <v/>
      </c>
      <c r="J1230" s="66" t="str">
        <f>IF(M1230&lt;&gt;"OK","",N(E1230)*(H1230*IF(G1230="",1,G1230)+I1230))</f>
        <v/>
      </c>
      <c r="K1230" s="66" t="str">
        <f>IF(M1230&lt;&gt;"OK","",N(F1230)/60*H1230*IF(G1230="",1,G1230))</f>
        <v/>
      </c>
      <c r="L1230" s="66" t="str">
        <f>IF(M1230&lt;&gt;"OK","",N(F1230)/60*I1230)</f>
        <v/>
      </c>
      <c r="M1230" s="69" t="str">
        <f>IF(AND(A1230="",D1230=""),"",IF(A1230="","Produit manquant",IF(COUNTIF(prod_ref,A1230)=0,"Produit inconnu",IF(D1230="","Poste manquant",IF(ISNA(MATCH(D1230,po_code,0)),"Poste inconnu",IF(INDEX(po_check,MATCH(D1230,po_code,0))&lt;&gt;"OK","Poste à corriger",IF(AND(E1230&lt;&gt;"",OR(NOT(ISNUMBER(E1230)),N(E1230)&lt;0)),"Réglage invalide",IF(AND(F1230&lt;&gt;"",OR(NOT(ISNUMBER(F1230)),N(F1230)&lt;0)),"Temps par pièce invalide",IF(N(E1230)+N(F1230)=0,"Temps manquant",IF(AND(G1230&lt;&gt;"",OR(NOT(ISNUMBER(G1230)),N(G1230)&lt;=0)),"Opérateurs invalide","OK"))))))))))</f>
        <v/>
      </c>
      <c r="N1230" s="71" t="str">
        <f>IF(AND(fiche_sel&lt;&gt;"",A1230=fiche_sel),COUNTIF(A$6:A1230,fiche_sel),"")</f>
        <v/>
      </c>
    </row>
    <row r="1231">
      <c r="A1231" s="60" t="n"/>
      <c r="B1231" s="73" t="n"/>
      <c r="C1231" s="60" t="n"/>
      <c r="D1231" s="61" t="n"/>
      <c r="E1231" s="74" t="n"/>
      <c r="F1231" s="74" t="n"/>
      <c r="G1231" s="73" t="n"/>
      <c r="H1231" s="66" t="str">
        <f>IF(M1231&lt;&gt;"OK","",INDEX(po_mo,MATCH(D1231,po_code,0)))</f>
        <v/>
      </c>
      <c r="I1231" s="66" t="str">
        <f>IF(M1231&lt;&gt;"OK","",INDEX(po_mac,MATCH(D1231,po_code,0)))</f>
        <v/>
      </c>
      <c r="J1231" s="66" t="str">
        <f>IF(M1231&lt;&gt;"OK","",N(E1231)*(H1231*IF(G1231="",1,G1231)+I1231))</f>
        <v/>
      </c>
      <c r="K1231" s="66" t="str">
        <f>IF(M1231&lt;&gt;"OK","",N(F1231)/60*H1231*IF(G1231="",1,G1231))</f>
        <v/>
      </c>
      <c r="L1231" s="66" t="str">
        <f>IF(M1231&lt;&gt;"OK","",N(F1231)/60*I1231)</f>
        <v/>
      </c>
      <c r="M1231" s="69" t="str">
        <f>IF(AND(A1231="",D1231=""),"",IF(A1231="","Produit manquant",IF(COUNTIF(prod_ref,A1231)=0,"Produit inconnu",IF(D1231="","Poste manquant",IF(ISNA(MATCH(D1231,po_code,0)),"Poste inconnu",IF(INDEX(po_check,MATCH(D1231,po_code,0))&lt;&gt;"OK","Poste à corriger",IF(AND(E1231&lt;&gt;"",OR(NOT(ISNUMBER(E1231)),N(E1231)&lt;0)),"Réglage invalide",IF(AND(F1231&lt;&gt;"",OR(NOT(ISNUMBER(F1231)),N(F1231)&lt;0)),"Temps par pièce invalide",IF(N(E1231)+N(F1231)=0,"Temps manquant",IF(AND(G1231&lt;&gt;"",OR(NOT(ISNUMBER(G1231)),N(G1231)&lt;=0)),"Opérateurs invalide","OK"))))))))))</f>
        <v/>
      </c>
      <c r="N1231" s="71" t="str">
        <f>IF(AND(fiche_sel&lt;&gt;"",A1231=fiche_sel),COUNTIF(A$6:A1231,fiche_sel),"")</f>
        <v/>
      </c>
    </row>
    <row r="1232">
      <c r="A1232" s="60" t="n"/>
      <c r="B1232" s="73" t="n"/>
      <c r="C1232" s="60" t="n"/>
      <c r="D1232" s="61" t="n"/>
      <c r="E1232" s="74" t="n"/>
      <c r="F1232" s="74" t="n"/>
      <c r="G1232" s="73" t="n"/>
      <c r="H1232" s="66" t="str">
        <f>IF(M1232&lt;&gt;"OK","",INDEX(po_mo,MATCH(D1232,po_code,0)))</f>
        <v/>
      </c>
      <c r="I1232" s="66" t="str">
        <f>IF(M1232&lt;&gt;"OK","",INDEX(po_mac,MATCH(D1232,po_code,0)))</f>
        <v/>
      </c>
      <c r="J1232" s="66" t="str">
        <f>IF(M1232&lt;&gt;"OK","",N(E1232)*(H1232*IF(G1232="",1,G1232)+I1232))</f>
        <v/>
      </c>
      <c r="K1232" s="66" t="str">
        <f>IF(M1232&lt;&gt;"OK","",N(F1232)/60*H1232*IF(G1232="",1,G1232))</f>
        <v/>
      </c>
      <c r="L1232" s="66" t="str">
        <f>IF(M1232&lt;&gt;"OK","",N(F1232)/60*I1232)</f>
        <v/>
      </c>
      <c r="M1232" s="69" t="str">
        <f>IF(AND(A1232="",D1232=""),"",IF(A1232="","Produit manquant",IF(COUNTIF(prod_ref,A1232)=0,"Produit inconnu",IF(D1232="","Poste manquant",IF(ISNA(MATCH(D1232,po_code,0)),"Poste inconnu",IF(INDEX(po_check,MATCH(D1232,po_code,0))&lt;&gt;"OK","Poste à corriger",IF(AND(E1232&lt;&gt;"",OR(NOT(ISNUMBER(E1232)),N(E1232)&lt;0)),"Réglage invalide",IF(AND(F1232&lt;&gt;"",OR(NOT(ISNUMBER(F1232)),N(F1232)&lt;0)),"Temps par pièce invalide",IF(N(E1232)+N(F1232)=0,"Temps manquant",IF(AND(G1232&lt;&gt;"",OR(NOT(ISNUMBER(G1232)),N(G1232)&lt;=0)),"Opérateurs invalide","OK"))))))))))</f>
        <v/>
      </c>
      <c r="N1232" s="71" t="str">
        <f>IF(AND(fiche_sel&lt;&gt;"",A1232=fiche_sel),COUNTIF(A$6:A1232,fiche_sel),"")</f>
        <v/>
      </c>
    </row>
    <row r="1233">
      <c r="A1233" s="60" t="n"/>
      <c r="B1233" s="73" t="n"/>
      <c r="C1233" s="60" t="n"/>
      <c r="D1233" s="61" t="n"/>
      <c r="E1233" s="74" t="n"/>
      <c r="F1233" s="74" t="n"/>
      <c r="G1233" s="73" t="n"/>
      <c r="H1233" s="66" t="str">
        <f>IF(M1233&lt;&gt;"OK","",INDEX(po_mo,MATCH(D1233,po_code,0)))</f>
        <v/>
      </c>
      <c r="I1233" s="66" t="str">
        <f>IF(M1233&lt;&gt;"OK","",INDEX(po_mac,MATCH(D1233,po_code,0)))</f>
        <v/>
      </c>
      <c r="J1233" s="66" t="str">
        <f>IF(M1233&lt;&gt;"OK","",N(E1233)*(H1233*IF(G1233="",1,G1233)+I1233))</f>
        <v/>
      </c>
      <c r="K1233" s="66" t="str">
        <f>IF(M1233&lt;&gt;"OK","",N(F1233)/60*H1233*IF(G1233="",1,G1233))</f>
        <v/>
      </c>
      <c r="L1233" s="66" t="str">
        <f>IF(M1233&lt;&gt;"OK","",N(F1233)/60*I1233)</f>
        <v/>
      </c>
      <c r="M1233" s="69" t="str">
        <f>IF(AND(A1233="",D1233=""),"",IF(A1233="","Produit manquant",IF(COUNTIF(prod_ref,A1233)=0,"Produit inconnu",IF(D1233="","Poste manquant",IF(ISNA(MATCH(D1233,po_code,0)),"Poste inconnu",IF(INDEX(po_check,MATCH(D1233,po_code,0))&lt;&gt;"OK","Poste à corriger",IF(AND(E1233&lt;&gt;"",OR(NOT(ISNUMBER(E1233)),N(E1233)&lt;0)),"Réglage invalide",IF(AND(F1233&lt;&gt;"",OR(NOT(ISNUMBER(F1233)),N(F1233)&lt;0)),"Temps par pièce invalide",IF(N(E1233)+N(F1233)=0,"Temps manquant",IF(AND(G1233&lt;&gt;"",OR(NOT(ISNUMBER(G1233)),N(G1233)&lt;=0)),"Opérateurs invalide","OK"))))))))))</f>
        <v/>
      </c>
      <c r="N1233" s="71" t="str">
        <f>IF(AND(fiche_sel&lt;&gt;"",A1233=fiche_sel),COUNTIF(A$6:A1233,fiche_sel),"")</f>
        <v/>
      </c>
    </row>
    <row r="1234">
      <c r="A1234" s="60" t="n"/>
      <c r="B1234" s="73" t="n"/>
      <c r="C1234" s="60" t="n"/>
      <c r="D1234" s="61" t="n"/>
      <c r="E1234" s="74" t="n"/>
      <c r="F1234" s="74" t="n"/>
      <c r="G1234" s="73" t="n"/>
      <c r="H1234" s="66" t="str">
        <f>IF(M1234&lt;&gt;"OK","",INDEX(po_mo,MATCH(D1234,po_code,0)))</f>
        <v/>
      </c>
      <c r="I1234" s="66" t="str">
        <f>IF(M1234&lt;&gt;"OK","",INDEX(po_mac,MATCH(D1234,po_code,0)))</f>
        <v/>
      </c>
      <c r="J1234" s="66" t="str">
        <f>IF(M1234&lt;&gt;"OK","",N(E1234)*(H1234*IF(G1234="",1,G1234)+I1234))</f>
        <v/>
      </c>
      <c r="K1234" s="66" t="str">
        <f>IF(M1234&lt;&gt;"OK","",N(F1234)/60*H1234*IF(G1234="",1,G1234))</f>
        <v/>
      </c>
      <c r="L1234" s="66" t="str">
        <f>IF(M1234&lt;&gt;"OK","",N(F1234)/60*I1234)</f>
        <v/>
      </c>
      <c r="M1234" s="69" t="str">
        <f>IF(AND(A1234="",D1234=""),"",IF(A1234="","Produit manquant",IF(COUNTIF(prod_ref,A1234)=0,"Produit inconnu",IF(D1234="","Poste manquant",IF(ISNA(MATCH(D1234,po_code,0)),"Poste inconnu",IF(INDEX(po_check,MATCH(D1234,po_code,0))&lt;&gt;"OK","Poste à corriger",IF(AND(E1234&lt;&gt;"",OR(NOT(ISNUMBER(E1234)),N(E1234)&lt;0)),"Réglage invalide",IF(AND(F1234&lt;&gt;"",OR(NOT(ISNUMBER(F1234)),N(F1234)&lt;0)),"Temps par pièce invalide",IF(N(E1234)+N(F1234)=0,"Temps manquant",IF(AND(G1234&lt;&gt;"",OR(NOT(ISNUMBER(G1234)),N(G1234)&lt;=0)),"Opérateurs invalide","OK"))))))))))</f>
        <v/>
      </c>
      <c r="N1234" s="71" t="str">
        <f>IF(AND(fiche_sel&lt;&gt;"",A1234=fiche_sel),COUNTIF(A$6:A1234,fiche_sel),"")</f>
        <v/>
      </c>
    </row>
    <row r="1235">
      <c r="A1235" s="60" t="n"/>
      <c r="B1235" s="73" t="n"/>
      <c r="C1235" s="60" t="n"/>
      <c r="D1235" s="61" t="n"/>
      <c r="E1235" s="74" t="n"/>
      <c r="F1235" s="74" t="n"/>
      <c r="G1235" s="73" t="n"/>
      <c r="H1235" s="66" t="str">
        <f>IF(M1235&lt;&gt;"OK","",INDEX(po_mo,MATCH(D1235,po_code,0)))</f>
        <v/>
      </c>
      <c r="I1235" s="66" t="str">
        <f>IF(M1235&lt;&gt;"OK","",INDEX(po_mac,MATCH(D1235,po_code,0)))</f>
        <v/>
      </c>
      <c r="J1235" s="66" t="str">
        <f>IF(M1235&lt;&gt;"OK","",N(E1235)*(H1235*IF(G1235="",1,G1235)+I1235))</f>
        <v/>
      </c>
      <c r="K1235" s="66" t="str">
        <f>IF(M1235&lt;&gt;"OK","",N(F1235)/60*H1235*IF(G1235="",1,G1235))</f>
        <v/>
      </c>
      <c r="L1235" s="66" t="str">
        <f>IF(M1235&lt;&gt;"OK","",N(F1235)/60*I1235)</f>
        <v/>
      </c>
      <c r="M1235" s="69" t="str">
        <f>IF(AND(A1235="",D1235=""),"",IF(A1235="","Produit manquant",IF(COUNTIF(prod_ref,A1235)=0,"Produit inconnu",IF(D1235="","Poste manquant",IF(ISNA(MATCH(D1235,po_code,0)),"Poste inconnu",IF(INDEX(po_check,MATCH(D1235,po_code,0))&lt;&gt;"OK","Poste à corriger",IF(AND(E1235&lt;&gt;"",OR(NOT(ISNUMBER(E1235)),N(E1235)&lt;0)),"Réglage invalide",IF(AND(F1235&lt;&gt;"",OR(NOT(ISNUMBER(F1235)),N(F1235)&lt;0)),"Temps par pièce invalide",IF(N(E1235)+N(F1235)=0,"Temps manquant",IF(AND(G1235&lt;&gt;"",OR(NOT(ISNUMBER(G1235)),N(G1235)&lt;=0)),"Opérateurs invalide","OK"))))))))))</f>
        <v/>
      </c>
      <c r="N1235" s="71" t="str">
        <f>IF(AND(fiche_sel&lt;&gt;"",A1235=fiche_sel),COUNTIF(A$6:A1235,fiche_sel),"")</f>
        <v/>
      </c>
    </row>
    <row r="1236">
      <c r="A1236" s="60" t="n"/>
      <c r="B1236" s="73" t="n"/>
      <c r="C1236" s="60" t="n"/>
      <c r="D1236" s="61" t="n"/>
      <c r="E1236" s="74" t="n"/>
      <c r="F1236" s="74" t="n"/>
      <c r="G1236" s="73" t="n"/>
      <c r="H1236" s="66" t="str">
        <f>IF(M1236&lt;&gt;"OK","",INDEX(po_mo,MATCH(D1236,po_code,0)))</f>
        <v/>
      </c>
      <c r="I1236" s="66" t="str">
        <f>IF(M1236&lt;&gt;"OK","",INDEX(po_mac,MATCH(D1236,po_code,0)))</f>
        <v/>
      </c>
      <c r="J1236" s="66" t="str">
        <f>IF(M1236&lt;&gt;"OK","",N(E1236)*(H1236*IF(G1236="",1,G1236)+I1236))</f>
        <v/>
      </c>
      <c r="K1236" s="66" t="str">
        <f>IF(M1236&lt;&gt;"OK","",N(F1236)/60*H1236*IF(G1236="",1,G1236))</f>
        <v/>
      </c>
      <c r="L1236" s="66" t="str">
        <f>IF(M1236&lt;&gt;"OK","",N(F1236)/60*I1236)</f>
        <v/>
      </c>
      <c r="M1236" s="69" t="str">
        <f>IF(AND(A1236="",D1236=""),"",IF(A1236="","Produit manquant",IF(COUNTIF(prod_ref,A1236)=0,"Produit inconnu",IF(D1236="","Poste manquant",IF(ISNA(MATCH(D1236,po_code,0)),"Poste inconnu",IF(INDEX(po_check,MATCH(D1236,po_code,0))&lt;&gt;"OK","Poste à corriger",IF(AND(E1236&lt;&gt;"",OR(NOT(ISNUMBER(E1236)),N(E1236)&lt;0)),"Réglage invalide",IF(AND(F1236&lt;&gt;"",OR(NOT(ISNUMBER(F1236)),N(F1236)&lt;0)),"Temps par pièce invalide",IF(N(E1236)+N(F1236)=0,"Temps manquant",IF(AND(G1236&lt;&gt;"",OR(NOT(ISNUMBER(G1236)),N(G1236)&lt;=0)),"Opérateurs invalide","OK"))))))))))</f>
        <v/>
      </c>
      <c r="N1236" s="71" t="str">
        <f>IF(AND(fiche_sel&lt;&gt;"",A1236=fiche_sel),COUNTIF(A$6:A1236,fiche_sel),"")</f>
        <v/>
      </c>
    </row>
    <row r="1237">
      <c r="A1237" s="60" t="n"/>
      <c r="B1237" s="73" t="n"/>
      <c r="C1237" s="60" t="n"/>
      <c r="D1237" s="61" t="n"/>
      <c r="E1237" s="74" t="n"/>
      <c r="F1237" s="74" t="n"/>
      <c r="G1237" s="73" t="n"/>
      <c r="H1237" s="66" t="str">
        <f>IF(M1237&lt;&gt;"OK","",INDEX(po_mo,MATCH(D1237,po_code,0)))</f>
        <v/>
      </c>
      <c r="I1237" s="66" t="str">
        <f>IF(M1237&lt;&gt;"OK","",INDEX(po_mac,MATCH(D1237,po_code,0)))</f>
        <v/>
      </c>
      <c r="J1237" s="66" t="str">
        <f>IF(M1237&lt;&gt;"OK","",N(E1237)*(H1237*IF(G1237="",1,G1237)+I1237))</f>
        <v/>
      </c>
      <c r="K1237" s="66" t="str">
        <f>IF(M1237&lt;&gt;"OK","",N(F1237)/60*H1237*IF(G1237="",1,G1237))</f>
        <v/>
      </c>
      <c r="L1237" s="66" t="str">
        <f>IF(M1237&lt;&gt;"OK","",N(F1237)/60*I1237)</f>
        <v/>
      </c>
      <c r="M1237" s="69" t="str">
        <f>IF(AND(A1237="",D1237=""),"",IF(A1237="","Produit manquant",IF(COUNTIF(prod_ref,A1237)=0,"Produit inconnu",IF(D1237="","Poste manquant",IF(ISNA(MATCH(D1237,po_code,0)),"Poste inconnu",IF(INDEX(po_check,MATCH(D1237,po_code,0))&lt;&gt;"OK","Poste à corriger",IF(AND(E1237&lt;&gt;"",OR(NOT(ISNUMBER(E1237)),N(E1237)&lt;0)),"Réglage invalide",IF(AND(F1237&lt;&gt;"",OR(NOT(ISNUMBER(F1237)),N(F1237)&lt;0)),"Temps par pièce invalide",IF(N(E1237)+N(F1237)=0,"Temps manquant",IF(AND(G1237&lt;&gt;"",OR(NOT(ISNUMBER(G1237)),N(G1237)&lt;=0)),"Opérateurs invalide","OK"))))))))))</f>
        <v/>
      </c>
      <c r="N1237" s="71" t="str">
        <f>IF(AND(fiche_sel&lt;&gt;"",A1237=fiche_sel),COUNTIF(A$6:A1237,fiche_sel),"")</f>
        <v/>
      </c>
    </row>
    <row r="1238">
      <c r="A1238" s="60" t="n"/>
      <c r="B1238" s="73" t="n"/>
      <c r="C1238" s="60" t="n"/>
      <c r="D1238" s="61" t="n"/>
      <c r="E1238" s="74" t="n"/>
      <c r="F1238" s="74" t="n"/>
      <c r="G1238" s="73" t="n"/>
      <c r="H1238" s="66" t="str">
        <f>IF(M1238&lt;&gt;"OK","",INDEX(po_mo,MATCH(D1238,po_code,0)))</f>
        <v/>
      </c>
      <c r="I1238" s="66" t="str">
        <f>IF(M1238&lt;&gt;"OK","",INDEX(po_mac,MATCH(D1238,po_code,0)))</f>
        <v/>
      </c>
      <c r="J1238" s="66" t="str">
        <f>IF(M1238&lt;&gt;"OK","",N(E1238)*(H1238*IF(G1238="",1,G1238)+I1238))</f>
        <v/>
      </c>
      <c r="K1238" s="66" t="str">
        <f>IF(M1238&lt;&gt;"OK","",N(F1238)/60*H1238*IF(G1238="",1,G1238))</f>
        <v/>
      </c>
      <c r="L1238" s="66" t="str">
        <f>IF(M1238&lt;&gt;"OK","",N(F1238)/60*I1238)</f>
        <v/>
      </c>
      <c r="M1238" s="69" t="str">
        <f>IF(AND(A1238="",D1238=""),"",IF(A1238="","Produit manquant",IF(COUNTIF(prod_ref,A1238)=0,"Produit inconnu",IF(D1238="","Poste manquant",IF(ISNA(MATCH(D1238,po_code,0)),"Poste inconnu",IF(INDEX(po_check,MATCH(D1238,po_code,0))&lt;&gt;"OK","Poste à corriger",IF(AND(E1238&lt;&gt;"",OR(NOT(ISNUMBER(E1238)),N(E1238)&lt;0)),"Réglage invalide",IF(AND(F1238&lt;&gt;"",OR(NOT(ISNUMBER(F1238)),N(F1238)&lt;0)),"Temps par pièce invalide",IF(N(E1238)+N(F1238)=0,"Temps manquant",IF(AND(G1238&lt;&gt;"",OR(NOT(ISNUMBER(G1238)),N(G1238)&lt;=0)),"Opérateurs invalide","OK"))))))))))</f>
        <v/>
      </c>
      <c r="N1238" s="71" t="str">
        <f>IF(AND(fiche_sel&lt;&gt;"",A1238=fiche_sel),COUNTIF(A$6:A1238,fiche_sel),"")</f>
        <v/>
      </c>
    </row>
    <row r="1239">
      <c r="A1239" s="60" t="n"/>
      <c r="B1239" s="73" t="n"/>
      <c r="C1239" s="60" t="n"/>
      <c r="D1239" s="61" t="n"/>
      <c r="E1239" s="74" t="n"/>
      <c r="F1239" s="74" t="n"/>
      <c r="G1239" s="73" t="n"/>
      <c r="H1239" s="66" t="str">
        <f>IF(M1239&lt;&gt;"OK","",INDEX(po_mo,MATCH(D1239,po_code,0)))</f>
        <v/>
      </c>
      <c r="I1239" s="66" t="str">
        <f>IF(M1239&lt;&gt;"OK","",INDEX(po_mac,MATCH(D1239,po_code,0)))</f>
        <v/>
      </c>
      <c r="J1239" s="66" t="str">
        <f>IF(M1239&lt;&gt;"OK","",N(E1239)*(H1239*IF(G1239="",1,G1239)+I1239))</f>
        <v/>
      </c>
      <c r="K1239" s="66" t="str">
        <f>IF(M1239&lt;&gt;"OK","",N(F1239)/60*H1239*IF(G1239="",1,G1239))</f>
        <v/>
      </c>
      <c r="L1239" s="66" t="str">
        <f>IF(M1239&lt;&gt;"OK","",N(F1239)/60*I1239)</f>
        <v/>
      </c>
      <c r="M1239" s="69" t="str">
        <f>IF(AND(A1239="",D1239=""),"",IF(A1239="","Produit manquant",IF(COUNTIF(prod_ref,A1239)=0,"Produit inconnu",IF(D1239="","Poste manquant",IF(ISNA(MATCH(D1239,po_code,0)),"Poste inconnu",IF(INDEX(po_check,MATCH(D1239,po_code,0))&lt;&gt;"OK","Poste à corriger",IF(AND(E1239&lt;&gt;"",OR(NOT(ISNUMBER(E1239)),N(E1239)&lt;0)),"Réglage invalide",IF(AND(F1239&lt;&gt;"",OR(NOT(ISNUMBER(F1239)),N(F1239)&lt;0)),"Temps par pièce invalide",IF(N(E1239)+N(F1239)=0,"Temps manquant",IF(AND(G1239&lt;&gt;"",OR(NOT(ISNUMBER(G1239)),N(G1239)&lt;=0)),"Opérateurs invalide","OK"))))))))))</f>
        <v/>
      </c>
      <c r="N1239" s="71" t="str">
        <f>IF(AND(fiche_sel&lt;&gt;"",A1239=fiche_sel),COUNTIF(A$6:A1239,fiche_sel),"")</f>
        <v/>
      </c>
    </row>
    <row r="1240">
      <c r="A1240" s="60" t="n"/>
      <c r="B1240" s="73" t="n"/>
      <c r="C1240" s="60" t="n"/>
      <c r="D1240" s="61" t="n"/>
      <c r="E1240" s="74" t="n"/>
      <c r="F1240" s="74" t="n"/>
      <c r="G1240" s="73" t="n"/>
      <c r="H1240" s="66" t="str">
        <f>IF(M1240&lt;&gt;"OK","",INDEX(po_mo,MATCH(D1240,po_code,0)))</f>
        <v/>
      </c>
      <c r="I1240" s="66" t="str">
        <f>IF(M1240&lt;&gt;"OK","",INDEX(po_mac,MATCH(D1240,po_code,0)))</f>
        <v/>
      </c>
      <c r="J1240" s="66" t="str">
        <f>IF(M1240&lt;&gt;"OK","",N(E1240)*(H1240*IF(G1240="",1,G1240)+I1240))</f>
        <v/>
      </c>
      <c r="K1240" s="66" t="str">
        <f>IF(M1240&lt;&gt;"OK","",N(F1240)/60*H1240*IF(G1240="",1,G1240))</f>
        <v/>
      </c>
      <c r="L1240" s="66" t="str">
        <f>IF(M1240&lt;&gt;"OK","",N(F1240)/60*I1240)</f>
        <v/>
      </c>
      <c r="M1240" s="69" t="str">
        <f>IF(AND(A1240="",D1240=""),"",IF(A1240="","Produit manquant",IF(COUNTIF(prod_ref,A1240)=0,"Produit inconnu",IF(D1240="","Poste manquant",IF(ISNA(MATCH(D1240,po_code,0)),"Poste inconnu",IF(INDEX(po_check,MATCH(D1240,po_code,0))&lt;&gt;"OK","Poste à corriger",IF(AND(E1240&lt;&gt;"",OR(NOT(ISNUMBER(E1240)),N(E1240)&lt;0)),"Réglage invalide",IF(AND(F1240&lt;&gt;"",OR(NOT(ISNUMBER(F1240)),N(F1240)&lt;0)),"Temps par pièce invalide",IF(N(E1240)+N(F1240)=0,"Temps manquant",IF(AND(G1240&lt;&gt;"",OR(NOT(ISNUMBER(G1240)),N(G1240)&lt;=0)),"Opérateurs invalide","OK"))))))))))</f>
        <v/>
      </c>
      <c r="N1240" s="71" t="str">
        <f>IF(AND(fiche_sel&lt;&gt;"",A1240=fiche_sel),COUNTIF(A$6:A1240,fiche_sel),"")</f>
        <v/>
      </c>
    </row>
    <row r="1241">
      <c r="A1241" s="60" t="n"/>
      <c r="B1241" s="73" t="n"/>
      <c r="C1241" s="60" t="n"/>
      <c r="D1241" s="61" t="n"/>
      <c r="E1241" s="74" t="n"/>
      <c r="F1241" s="74" t="n"/>
      <c r="G1241" s="73" t="n"/>
      <c r="H1241" s="66" t="str">
        <f>IF(M1241&lt;&gt;"OK","",INDEX(po_mo,MATCH(D1241,po_code,0)))</f>
        <v/>
      </c>
      <c r="I1241" s="66" t="str">
        <f>IF(M1241&lt;&gt;"OK","",INDEX(po_mac,MATCH(D1241,po_code,0)))</f>
        <v/>
      </c>
      <c r="J1241" s="66" t="str">
        <f>IF(M1241&lt;&gt;"OK","",N(E1241)*(H1241*IF(G1241="",1,G1241)+I1241))</f>
        <v/>
      </c>
      <c r="K1241" s="66" t="str">
        <f>IF(M1241&lt;&gt;"OK","",N(F1241)/60*H1241*IF(G1241="",1,G1241))</f>
        <v/>
      </c>
      <c r="L1241" s="66" t="str">
        <f>IF(M1241&lt;&gt;"OK","",N(F1241)/60*I1241)</f>
        <v/>
      </c>
      <c r="M1241" s="69" t="str">
        <f>IF(AND(A1241="",D1241=""),"",IF(A1241="","Produit manquant",IF(COUNTIF(prod_ref,A1241)=0,"Produit inconnu",IF(D1241="","Poste manquant",IF(ISNA(MATCH(D1241,po_code,0)),"Poste inconnu",IF(INDEX(po_check,MATCH(D1241,po_code,0))&lt;&gt;"OK","Poste à corriger",IF(AND(E1241&lt;&gt;"",OR(NOT(ISNUMBER(E1241)),N(E1241)&lt;0)),"Réglage invalide",IF(AND(F1241&lt;&gt;"",OR(NOT(ISNUMBER(F1241)),N(F1241)&lt;0)),"Temps par pièce invalide",IF(N(E1241)+N(F1241)=0,"Temps manquant",IF(AND(G1241&lt;&gt;"",OR(NOT(ISNUMBER(G1241)),N(G1241)&lt;=0)),"Opérateurs invalide","OK"))))))))))</f>
        <v/>
      </c>
      <c r="N1241" s="71" t="str">
        <f>IF(AND(fiche_sel&lt;&gt;"",A1241=fiche_sel),COUNTIF(A$6:A1241,fiche_sel),"")</f>
        <v/>
      </c>
    </row>
    <row r="1242">
      <c r="A1242" s="60" t="n"/>
      <c r="B1242" s="73" t="n"/>
      <c r="C1242" s="60" t="n"/>
      <c r="D1242" s="61" t="n"/>
      <c r="E1242" s="74" t="n"/>
      <c r="F1242" s="74" t="n"/>
      <c r="G1242" s="73" t="n"/>
      <c r="H1242" s="66" t="str">
        <f>IF(M1242&lt;&gt;"OK","",INDEX(po_mo,MATCH(D1242,po_code,0)))</f>
        <v/>
      </c>
      <c r="I1242" s="66" t="str">
        <f>IF(M1242&lt;&gt;"OK","",INDEX(po_mac,MATCH(D1242,po_code,0)))</f>
        <v/>
      </c>
      <c r="J1242" s="66" t="str">
        <f>IF(M1242&lt;&gt;"OK","",N(E1242)*(H1242*IF(G1242="",1,G1242)+I1242))</f>
        <v/>
      </c>
      <c r="K1242" s="66" t="str">
        <f>IF(M1242&lt;&gt;"OK","",N(F1242)/60*H1242*IF(G1242="",1,G1242))</f>
        <v/>
      </c>
      <c r="L1242" s="66" t="str">
        <f>IF(M1242&lt;&gt;"OK","",N(F1242)/60*I1242)</f>
        <v/>
      </c>
      <c r="M1242" s="69" t="str">
        <f>IF(AND(A1242="",D1242=""),"",IF(A1242="","Produit manquant",IF(COUNTIF(prod_ref,A1242)=0,"Produit inconnu",IF(D1242="","Poste manquant",IF(ISNA(MATCH(D1242,po_code,0)),"Poste inconnu",IF(INDEX(po_check,MATCH(D1242,po_code,0))&lt;&gt;"OK","Poste à corriger",IF(AND(E1242&lt;&gt;"",OR(NOT(ISNUMBER(E1242)),N(E1242)&lt;0)),"Réglage invalide",IF(AND(F1242&lt;&gt;"",OR(NOT(ISNUMBER(F1242)),N(F1242)&lt;0)),"Temps par pièce invalide",IF(N(E1242)+N(F1242)=0,"Temps manquant",IF(AND(G1242&lt;&gt;"",OR(NOT(ISNUMBER(G1242)),N(G1242)&lt;=0)),"Opérateurs invalide","OK"))))))))))</f>
        <v/>
      </c>
      <c r="N1242" s="71" t="str">
        <f>IF(AND(fiche_sel&lt;&gt;"",A1242=fiche_sel),COUNTIF(A$6:A1242,fiche_sel),"")</f>
        <v/>
      </c>
    </row>
    <row r="1243">
      <c r="A1243" s="60" t="n"/>
      <c r="B1243" s="73" t="n"/>
      <c r="C1243" s="60" t="n"/>
      <c r="D1243" s="61" t="n"/>
      <c r="E1243" s="74" t="n"/>
      <c r="F1243" s="74" t="n"/>
      <c r="G1243" s="73" t="n"/>
      <c r="H1243" s="66" t="str">
        <f>IF(M1243&lt;&gt;"OK","",INDEX(po_mo,MATCH(D1243,po_code,0)))</f>
        <v/>
      </c>
      <c r="I1243" s="66" t="str">
        <f>IF(M1243&lt;&gt;"OK","",INDEX(po_mac,MATCH(D1243,po_code,0)))</f>
        <v/>
      </c>
      <c r="J1243" s="66" t="str">
        <f>IF(M1243&lt;&gt;"OK","",N(E1243)*(H1243*IF(G1243="",1,G1243)+I1243))</f>
        <v/>
      </c>
      <c r="K1243" s="66" t="str">
        <f>IF(M1243&lt;&gt;"OK","",N(F1243)/60*H1243*IF(G1243="",1,G1243))</f>
        <v/>
      </c>
      <c r="L1243" s="66" t="str">
        <f>IF(M1243&lt;&gt;"OK","",N(F1243)/60*I1243)</f>
        <v/>
      </c>
      <c r="M1243" s="69" t="str">
        <f>IF(AND(A1243="",D1243=""),"",IF(A1243="","Produit manquant",IF(COUNTIF(prod_ref,A1243)=0,"Produit inconnu",IF(D1243="","Poste manquant",IF(ISNA(MATCH(D1243,po_code,0)),"Poste inconnu",IF(INDEX(po_check,MATCH(D1243,po_code,0))&lt;&gt;"OK","Poste à corriger",IF(AND(E1243&lt;&gt;"",OR(NOT(ISNUMBER(E1243)),N(E1243)&lt;0)),"Réglage invalide",IF(AND(F1243&lt;&gt;"",OR(NOT(ISNUMBER(F1243)),N(F1243)&lt;0)),"Temps par pièce invalide",IF(N(E1243)+N(F1243)=0,"Temps manquant",IF(AND(G1243&lt;&gt;"",OR(NOT(ISNUMBER(G1243)),N(G1243)&lt;=0)),"Opérateurs invalide","OK"))))))))))</f>
        <v/>
      </c>
      <c r="N1243" s="71" t="str">
        <f>IF(AND(fiche_sel&lt;&gt;"",A1243=fiche_sel),COUNTIF(A$6:A1243,fiche_sel),"")</f>
        <v/>
      </c>
    </row>
    <row r="1244">
      <c r="A1244" s="60" t="n"/>
      <c r="B1244" s="73" t="n"/>
      <c r="C1244" s="60" t="n"/>
      <c r="D1244" s="61" t="n"/>
      <c r="E1244" s="74" t="n"/>
      <c r="F1244" s="74" t="n"/>
      <c r="G1244" s="73" t="n"/>
      <c r="H1244" s="66" t="str">
        <f>IF(M1244&lt;&gt;"OK","",INDEX(po_mo,MATCH(D1244,po_code,0)))</f>
        <v/>
      </c>
      <c r="I1244" s="66" t="str">
        <f>IF(M1244&lt;&gt;"OK","",INDEX(po_mac,MATCH(D1244,po_code,0)))</f>
        <v/>
      </c>
      <c r="J1244" s="66" t="str">
        <f>IF(M1244&lt;&gt;"OK","",N(E1244)*(H1244*IF(G1244="",1,G1244)+I1244))</f>
        <v/>
      </c>
      <c r="K1244" s="66" t="str">
        <f>IF(M1244&lt;&gt;"OK","",N(F1244)/60*H1244*IF(G1244="",1,G1244))</f>
        <v/>
      </c>
      <c r="L1244" s="66" t="str">
        <f>IF(M1244&lt;&gt;"OK","",N(F1244)/60*I1244)</f>
        <v/>
      </c>
      <c r="M1244" s="69" t="str">
        <f>IF(AND(A1244="",D1244=""),"",IF(A1244="","Produit manquant",IF(COUNTIF(prod_ref,A1244)=0,"Produit inconnu",IF(D1244="","Poste manquant",IF(ISNA(MATCH(D1244,po_code,0)),"Poste inconnu",IF(INDEX(po_check,MATCH(D1244,po_code,0))&lt;&gt;"OK","Poste à corriger",IF(AND(E1244&lt;&gt;"",OR(NOT(ISNUMBER(E1244)),N(E1244)&lt;0)),"Réglage invalide",IF(AND(F1244&lt;&gt;"",OR(NOT(ISNUMBER(F1244)),N(F1244)&lt;0)),"Temps par pièce invalide",IF(N(E1244)+N(F1244)=0,"Temps manquant",IF(AND(G1244&lt;&gt;"",OR(NOT(ISNUMBER(G1244)),N(G1244)&lt;=0)),"Opérateurs invalide","OK"))))))))))</f>
        <v/>
      </c>
      <c r="N1244" s="71" t="str">
        <f>IF(AND(fiche_sel&lt;&gt;"",A1244=fiche_sel),COUNTIF(A$6:A1244,fiche_sel),"")</f>
        <v/>
      </c>
    </row>
    <row r="1245">
      <c r="A1245" s="60" t="n"/>
      <c r="B1245" s="73" t="n"/>
      <c r="C1245" s="60" t="n"/>
      <c r="D1245" s="61" t="n"/>
      <c r="E1245" s="74" t="n"/>
      <c r="F1245" s="74" t="n"/>
      <c r="G1245" s="73" t="n"/>
      <c r="H1245" s="66" t="str">
        <f>IF(M1245&lt;&gt;"OK","",INDEX(po_mo,MATCH(D1245,po_code,0)))</f>
        <v/>
      </c>
      <c r="I1245" s="66" t="str">
        <f>IF(M1245&lt;&gt;"OK","",INDEX(po_mac,MATCH(D1245,po_code,0)))</f>
        <v/>
      </c>
      <c r="J1245" s="66" t="str">
        <f>IF(M1245&lt;&gt;"OK","",N(E1245)*(H1245*IF(G1245="",1,G1245)+I1245))</f>
        <v/>
      </c>
      <c r="K1245" s="66" t="str">
        <f>IF(M1245&lt;&gt;"OK","",N(F1245)/60*H1245*IF(G1245="",1,G1245))</f>
        <v/>
      </c>
      <c r="L1245" s="66" t="str">
        <f>IF(M1245&lt;&gt;"OK","",N(F1245)/60*I1245)</f>
        <v/>
      </c>
      <c r="M1245" s="69" t="str">
        <f>IF(AND(A1245="",D1245=""),"",IF(A1245="","Produit manquant",IF(COUNTIF(prod_ref,A1245)=0,"Produit inconnu",IF(D1245="","Poste manquant",IF(ISNA(MATCH(D1245,po_code,0)),"Poste inconnu",IF(INDEX(po_check,MATCH(D1245,po_code,0))&lt;&gt;"OK","Poste à corriger",IF(AND(E1245&lt;&gt;"",OR(NOT(ISNUMBER(E1245)),N(E1245)&lt;0)),"Réglage invalide",IF(AND(F1245&lt;&gt;"",OR(NOT(ISNUMBER(F1245)),N(F1245)&lt;0)),"Temps par pièce invalide",IF(N(E1245)+N(F1245)=0,"Temps manquant",IF(AND(G1245&lt;&gt;"",OR(NOT(ISNUMBER(G1245)),N(G1245)&lt;=0)),"Opérateurs invalide","OK"))))))))))</f>
        <v/>
      </c>
      <c r="N1245" s="71" t="str">
        <f>IF(AND(fiche_sel&lt;&gt;"",A1245=fiche_sel),COUNTIF(A$6:A1245,fiche_sel),"")</f>
        <v/>
      </c>
    </row>
    <row r="1246">
      <c r="A1246" s="60" t="n"/>
      <c r="B1246" s="73" t="n"/>
      <c r="C1246" s="60" t="n"/>
      <c r="D1246" s="61" t="n"/>
      <c r="E1246" s="74" t="n"/>
      <c r="F1246" s="74" t="n"/>
      <c r="G1246" s="73" t="n"/>
      <c r="H1246" s="66" t="str">
        <f>IF(M1246&lt;&gt;"OK","",INDEX(po_mo,MATCH(D1246,po_code,0)))</f>
        <v/>
      </c>
      <c r="I1246" s="66" t="str">
        <f>IF(M1246&lt;&gt;"OK","",INDEX(po_mac,MATCH(D1246,po_code,0)))</f>
        <v/>
      </c>
      <c r="J1246" s="66" t="str">
        <f>IF(M1246&lt;&gt;"OK","",N(E1246)*(H1246*IF(G1246="",1,G1246)+I1246))</f>
        <v/>
      </c>
      <c r="K1246" s="66" t="str">
        <f>IF(M1246&lt;&gt;"OK","",N(F1246)/60*H1246*IF(G1246="",1,G1246))</f>
        <v/>
      </c>
      <c r="L1246" s="66" t="str">
        <f>IF(M1246&lt;&gt;"OK","",N(F1246)/60*I1246)</f>
        <v/>
      </c>
      <c r="M1246" s="69" t="str">
        <f>IF(AND(A1246="",D1246=""),"",IF(A1246="","Produit manquant",IF(COUNTIF(prod_ref,A1246)=0,"Produit inconnu",IF(D1246="","Poste manquant",IF(ISNA(MATCH(D1246,po_code,0)),"Poste inconnu",IF(INDEX(po_check,MATCH(D1246,po_code,0))&lt;&gt;"OK","Poste à corriger",IF(AND(E1246&lt;&gt;"",OR(NOT(ISNUMBER(E1246)),N(E1246)&lt;0)),"Réglage invalide",IF(AND(F1246&lt;&gt;"",OR(NOT(ISNUMBER(F1246)),N(F1246)&lt;0)),"Temps par pièce invalide",IF(N(E1246)+N(F1246)=0,"Temps manquant",IF(AND(G1246&lt;&gt;"",OR(NOT(ISNUMBER(G1246)),N(G1246)&lt;=0)),"Opérateurs invalide","OK"))))))))))</f>
        <v/>
      </c>
      <c r="N1246" s="71" t="str">
        <f>IF(AND(fiche_sel&lt;&gt;"",A1246=fiche_sel),COUNTIF(A$6:A1246,fiche_sel),"")</f>
        <v/>
      </c>
    </row>
    <row r="1247">
      <c r="A1247" s="60" t="n"/>
      <c r="B1247" s="73" t="n"/>
      <c r="C1247" s="60" t="n"/>
      <c r="D1247" s="61" t="n"/>
      <c r="E1247" s="74" t="n"/>
      <c r="F1247" s="74" t="n"/>
      <c r="G1247" s="73" t="n"/>
      <c r="H1247" s="66" t="str">
        <f>IF(M1247&lt;&gt;"OK","",INDEX(po_mo,MATCH(D1247,po_code,0)))</f>
        <v/>
      </c>
      <c r="I1247" s="66" t="str">
        <f>IF(M1247&lt;&gt;"OK","",INDEX(po_mac,MATCH(D1247,po_code,0)))</f>
        <v/>
      </c>
      <c r="J1247" s="66" t="str">
        <f>IF(M1247&lt;&gt;"OK","",N(E1247)*(H1247*IF(G1247="",1,G1247)+I1247))</f>
        <v/>
      </c>
      <c r="K1247" s="66" t="str">
        <f>IF(M1247&lt;&gt;"OK","",N(F1247)/60*H1247*IF(G1247="",1,G1247))</f>
        <v/>
      </c>
      <c r="L1247" s="66" t="str">
        <f>IF(M1247&lt;&gt;"OK","",N(F1247)/60*I1247)</f>
        <v/>
      </c>
      <c r="M1247" s="69" t="str">
        <f>IF(AND(A1247="",D1247=""),"",IF(A1247="","Produit manquant",IF(COUNTIF(prod_ref,A1247)=0,"Produit inconnu",IF(D1247="","Poste manquant",IF(ISNA(MATCH(D1247,po_code,0)),"Poste inconnu",IF(INDEX(po_check,MATCH(D1247,po_code,0))&lt;&gt;"OK","Poste à corriger",IF(AND(E1247&lt;&gt;"",OR(NOT(ISNUMBER(E1247)),N(E1247)&lt;0)),"Réglage invalide",IF(AND(F1247&lt;&gt;"",OR(NOT(ISNUMBER(F1247)),N(F1247)&lt;0)),"Temps par pièce invalide",IF(N(E1247)+N(F1247)=0,"Temps manquant",IF(AND(G1247&lt;&gt;"",OR(NOT(ISNUMBER(G1247)),N(G1247)&lt;=0)),"Opérateurs invalide","OK"))))))))))</f>
        <v/>
      </c>
      <c r="N1247" s="71" t="str">
        <f>IF(AND(fiche_sel&lt;&gt;"",A1247=fiche_sel),COUNTIF(A$6:A1247,fiche_sel),"")</f>
        <v/>
      </c>
    </row>
    <row r="1248">
      <c r="A1248" s="60" t="n"/>
      <c r="B1248" s="73" t="n"/>
      <c r="C1248" s="60" t="n"/>
      <c r="D1248" s="61" t="n"/>
      <c r="E1248" s="74" t="n"/>
      <c r="F1248" s="74" t="n"/>
      <c r="G1248" s="73" t="n"/>
      <c r="H1248" s="66" t="str">
        <f>IF(M1248&lt;&gt;"OK","",INDEX(po_mo,MATCH(D1248,po_code,0)))</f>
        <v/>
      </c>
      <c r="I1248" s="66" t="str">
        <f>IF(M1248&lt;&gt;"OK","",INDEX(po_mac,MATCH(D1248,po_code,0)))</f>
        <v/>
      </c>
      <c r="J1248" s="66" t="str">
        <f>IF(M1248&lt;&gt;"OK","",N(E1248)*(H1248*IF(G1248="",1,G1248)+I1248))</f>
        <v/>
      </c>
      <c r="K1248" s="66" t="str">
        <f>IF(M1248&lt;&gt;"OK","",N(F1248)/60*H1248*IF(G1248="",1,G1248))</f>
        <v/>
      </c>
      <c r="L1248" s="66" t="str">
        <f>IF(M1248&lt;&gt;"OK","",N(F1248)/60*I1248)</f>
        <v/>
      </c>
      <c r="M1248" s="69" t="str">
        <f>IF(AND(A1248="",D1248=""),"",IF(A1248="","Produit manquant",IF(COUNTIF(prod_ref,A1248)=0,"Produit inconnu",IF(D1248="","Poste manquant",IF(ISNA(MATCH(D1248,po_code,0)),"Poste inconnu",IF(INDEX(po_check,MATCH(D1248,po_code,0))&lt;&gt;"OK","Poste à corriger",IF(AND(E1248&lt;&gt;"",OR(NOT(ISNUMBER(E1248)),N(E1248)&lt;0)),"Réglage invalide",IF(AND(F1248&lt;&gt;"",OR(NOT(ISNUMBER(F1248)),N(F1248)&lt;0)),"Temps par pièce invalide",IF(N(E1248)+N(F1248)=0,"Temps manquant",IF(AND(G1248&lt;&gt;"",OR(NOT(ISNUMBER(G1248)),N(G1248)&lt;=0)),"Opérateurs invalide","OK"))))))))))</f>
        <v/>
      </c>
      <c r="N1248" s="71" t="str">
        <f>IF(AND(fiche_sel&lt;&gt;"",A1248=fiche_sel),COUNTIF(A$6:A1248,fiche_sel),"")</f>
        <v/>
      </c>
    </row>
    <row r="1249">
      <c r="A1249" s="60" t="n"/>
      <c r="B1249" s="73" t="n"/>
      <c r="C1249" s="60" t="n"/>
      <c r="D1249" s="61" t="n"/>
      <c r="E1249" s="74" t="n"/>
      <c r="F1249" s="74" t="n"/>
      <c r="G1249" s="73" t="n"/>
      <c r="H1249" s="66" t="str">
        <f>IF(M1249&lt;&gt;"OK","",INDEX(po_mo,MATCH(D1249,po_code,0)))</f>
        <v/>
      </c>
      <c r="I1249" s="66" t="str">
        <f>IF(M1249&lt;&gt;"OK","",INDEX(po_mac,MATCH(D1249,po_code,0)))</f>
        <v/>
      </c>
      <c r="J1249" s="66" t="str">
        <f>IF(M1249&lt;&gt;"OK","",N(E1249)*(H1249*IF(G1249="",1,G1249)+I1249))</f>
        <v/>
      </c>
      <c r="K1249" s="66" t="str">
        <f>IF(M1249&lt;&gt;"OK","",N(F1249)/60*H1249*IF(G1249="",1,G1249))</f>
        <v/>
      </c>
      <c r="L1249" s="66" t="str">
        <f>IF(M1249&lt;&gt;"OK","",N(F1249)/60*I1249)</f>
        <v/>
      </c>
      <c r="M1249" s="69" t="str">
        <f>IF(AND(A1249="",D1249=""),"",IF(A1249="","Produit manquant",IF(COUNTIF(prod_ref,A1249)=0,"Produit inconnu",IF(D1249="","Poste manquant",IF(ISNA(MATCH(D1249,po_code,0)),"Poste inconnu",IF(INDEX(po_check,MATCH(D1249,po_code,0))&lt;&gt;"OK","Poste à corriger",IF(AND(E1249&lt;&gt;"",OR(NOT(ISNUMBER(E1249)),N(E1249)&lt;0)),"Réglage invalide",IF(AND(F1249&lt;&gt;"",OR(NOT(ISNUMBER(F1249)),N(F1249)&lt;0)),"Temps par pièce invalide",IF(N(E1249)+N(F1249)=0,"Temps manquant",IF(AND(G1249&lt;&gt;"",OR(NOT(ISNUMBER(G1249)),N(G1249)&lt;=0)),"Opérateurs invalide","OK"))))))))))</f>
        <v/>
      </c>
      <c r="N1249" s="71" t="str">
        <f>IF(AND(fiche_sel&lt;&gt;"",A1249=fiche_sel),COUNTIF(A$6:A1249,fiche_sel),"")</f>
        <v/>
      </c>
    </row>
    <row r="1250">
      <c r="A1250" s="60" t="n"/>
      <c r="B1250" s="73" t="n"/>
      <c r="C1250" s="60" t="n"/>
      <c r="D1250" s="61" t="n"/>
      <c r="E1250" s="74" t="n"/>
      <c r="F1250" s="74" t="n"/>
      <c r="G1250" s="73" t="n"/>
      <c r="H1250" s="66" t="str">
        <f>IF(M1250&lt;&gt;"OK","",INDEX(po_mo,MATCH(D1250,po_code,0)))</f>
        <v/>
      </c>
      <c r="I1250" s="66" t="str">
        <f>IF(M1250&lt;&gt;"OK","",INDEX(po_mac,MATCH(D1250,po_code,0)))</f>
        <v/>
      </c>
      <c r="J1250" s="66" t="str">
        <f>IF(M1250&lt;&gt;"OK","",N(E1250)*(H1250*IF(G1250="",1,G1250)+I1250))</f>
        <v/>
      </c>
      <c r="K1250" s="66" t="str">
        <f>IF(M1250&lt;&gt;"OK","",N(F1250)/60*H1250*IF(G1250="",1,G1250))</f>
        <v/>
      </c>
      <c r="L1250" s="66" t="str">
        <f>IF(M1250&lt;&gt;"OK","",N(F1250)/60*I1250)</f>
        <v/>
      </c>
      <c r="M1250" s="69" t="str">
        <f>IF(AND(A1250="",D1250=""),"",IF(A1250="","Produit manquant",IF(COUNTIF(prod_ref,A1250)=0,"Produit inconnu",IF(D1250="","Poste manquant",IF(ISNA(MATCH(D1250,po_code,0)),"Poste inconnu",IF(INDEX(po_check,MATCH(D1250,po_code,0))&lt;&gt;"OK","Poste à corriger",IF(AND(E1250&lt;&gt;"",OR(NOT(ISNUMBER(E1250)),N(E1250)&lt;0)),"Réglage invalide",IF(AND(F1250&lt;&gt;"",OR(NOT(ISNUMBER(F1250)),N(F1250)&lt;0)),"Temps par pièce invalide",IF(N(E1250)+N(F1250)=0,"Temps manquant",IF(AND(G1250&lt;&gt;"",OR(NOT(ISNUMBER(G1250)),N(G1250)&lt;=0)),"Opérateurs invalide","OK"))))))))))</f>
        <v/>
      </c>
      <c r="N1250" s="71" t="str">
        <f>IF(AND(fiche_sel&lt;&gt;"",A1250=fiche_sel),COUNTIF(A$6:A1250,fiche_sel),"")</f>
        <v/>
      </c>
    </row>
    <row r="1251">
      <c r="A1251" s="60" t="n"/>
      <c r="B1251" s="73" t="n"/>
      <c r="C1251" s="60" t="n"/>
      <c r="D1251" s="61" t="n"/>
      <c r="E1251" s="74" t="n"/>
      <c r="F1251" s="74" t="n"/>
      <c r="G1251" s="73" t="n"/>
      <c r="H1251" s="66" t="str">
        <f>IF(M1251&lt;&gt;"OK","",INDEX(po_mo,MATCH(D1251,po_code,0)))</f>
        <v/>
      </c>
      <c r="I1251" s="66" t="str">
        <f>IF(M1251&lt;&gt;"OK","",INDEX(po_mac,MATCH(D1251,po_code,0)))</f>
        <v/>
      </c>
      <c r="J1251" s="66" t="str">
        <f>IF(M1251&lt;&gt;"OK","",N(E1251)*(H1251*IF(G1251="",1,G1251)+I1251))</f>
        <v/>
      </c>
      <c r="K1251" s="66" t="str">
        <f>IF(M1251&lt;&gt;"OK","",N(F1251)/60*H1251*IF(G1251="",1,G1251))</f>
        <v/>
      </c>
      <c r="L1251" s="66" t="str">
        <f>IF(M1251&lt;&gt;"OK","",N(F1251)/60*I1251)</f>
        <v/>
      </c>
      <c r="M1251" s="69" t="str">
        <f>IF(AND(A1251="",D1251=""),"",IF(A1251="","Produit manquant",IF(COUNTIF(prod_ref,A1251)=0,"Produit inconnu",IF(D1251="","Poste manquant",IF(ISNA(MATCH(D1251,po_code,0)),"Poste inconnu",IF(INDEX(po_check,MATCH(D1251,po_code,0))&lt;&gt;"OK","Poste à corriger",IF(AND(E1251&lt;&gt;"",OR(NOT(ISNUMBER(E1251)),N(E1251)&lt;0)),"Réglage invalide",IF(AND(F1251&lt;&gt;"",OR(NOT(ISNUMBER(F1251)),N(F1251)&lt;0)),"Temps par pièce invalide",IF(N(E1251)+N(F1251)=0,"Temps manquant",IF(AND(G1251&lt;&gt;"",OR(NOT(ISNUMBER(G1251)),N(G1251)&lt;=0)),"Opérateurs invalide","OK"))))))))))</f>
        <v/>
      </c>
      <c r="N1251" s="71" t="str">
        <f>IF(AND(fiche_sel&lt;&gt;"",A1251=fiche_sel),COUNTIF(A$6:A1251,fiche_sel),"")</f>
        <v/>
      </c>
    </row>
    <row r="1252">
      <c r="A1252" s="60" t="n"/>
      <c r="B1252" s="73" t="n"/>
      <c r="C1252" s="60" t="n"/>
      <c r="D1252" s="61" t="n"/>
      <c r="E1252" s="74" t="n"/>
      <c r="F1252" s="74" t="n"/>
      <c r="G1252" s="73" t="n"/>
      <c r="H1252" s="66" t="str">
        <f>IF(M1252&lt;&gt;"OK","",INDEX(po_mo,MATCH(D1252,po_code,0)))</f>
        <v/>
      </c>
      <c r="I1252" s="66" t="str">
        <f>IF(M1252&lt;&gt;"OK","",INDEX(po_mac,MATCH(D1252,po_code,0)))</f>
        <v/>
      </c>
      <c r="J1252" s="66" t="str">
        <f>IF(M1252&lt;&gt;"OK","",N(E1252)*(H1252*IF(G1252="",1,G1252)+I1252))</f>
        <v/>
      </c>
      <c r="K1252" s="66" t="str">
        <f>IF(M1252&lt;&gt;"OK","",N(F1252)/60*H1252*IF(G1252="",1,G1252))</f>
        <v/>
      </c>
      <c r="L1252" s="66" t="str">
        <f>IF(M1252&lt;&gt;"OK","",N(F1252)/60*I1252)</f>
        <v/>
      </c>
      <c r="M1252" s="69" t="str">
        <f>IF(AND(A1252="",D1252=""),"",IF(A1252="","Produit manquant",IF(COUNTIF(prod_ref,A1252)=0,"Produit inconnu",IF(D1252="","Poste manquant",IF(ISNA(MATCH(D1252,po_code,0)),"Poste inconnu",IF(INDEX(po_check,MATCH(D1252,po_code,0))&lt;&gt;"OK","Poste à corriger",IF(AND(E1252&lt;&gt;"",OR(NOT(ISNUMBER(E1252)),N(E1252)&lt;0)),"Réglage invalide",IF(AND(F1252&lt;&gt;"",OR(NOT(ISNUMBER(F1252)),N(F1252)&lt;0)),"Temps par pièce invalide",IF(N(E1252)+N(F1252)=0,"Temps manquant",IF(AND(G1252&lt;&gt;"",OR(NOT(ISNUMBER(G1252)),N(G1252)&lt;=0)),"Opérateurs invalide","OK"))))))))))</f>
        <v/>
      </c>
      <c r="N1252" s="71" t="str">
        <f>IF(AND(fiche_sel&lt;&gt;"",A1252=fiche_sel),COUNTIF(A$6:A1252,fiche_sel),"")</f>
        <v/>
      </c>
    </row>
    <row r="1253">
      <c r="A1253" s="60" t="n"/>
      <c r="B1253" s="73" t="n"/>
      <c r="C1253" s="60" t="n"/>
      <c r="D1253" s="61" t="n"/>
      <c r="E1253" s="74" t="n"/>
      <c r="F1253" s="74" t="n"/>
      <c r="G1253" s="73" t="n"/>
      <c r="H1253" s="66" t="str">
        <f>IF(M1253&lt;&gt;"OK","",INDEX(po_mo,MATCH(D1253,po_code,0)))</f>
        <v/>
      </c>
      <c r="I1253" s="66" t="str">
        <f>IF(M1253&lt;&gt;"OK","",INDEX(po_mac,MATCH(D1253,po_code,0)))</f>
        <v/>
      </c>
      <c r="J1253" s="66" t="str">
        <f>IF(M1253&lt;&gt;"OK","",N(E1253)*(H1253*IF(G1253="",1,G1253)+I1253))</f>
        <v/>
      </c>
      <c r="K1253" s="66" t="str">
        <f>IF(M1253&lt;&gt;"OK","",N(F1253)/60*H1253*IF(G1253="",1,G1253))</f>
        <v/>
      </c>
      <c r="L1253" s="66" t="str">
        <f>IF(M1253&lt;&gt;"OK","",N(F1253)/60*I1253)</f>
        <v/>
      </c>
      <c r="M1253" s="69" t="str">
        <f>IF(AND(A1253="",D1253=""),"",IF(A1253="","Produit manquant",IF(COUNTIF(prod_ref,A1253)=0,"Produit inconnu",IF(D1253="","Poste manquant",IF(ISNA(MATCH(D1253,po_code,0)),"Poste inconnu",IF(INDEX(po_check,MATCH(D1253,po_code,0))&lt;&gt;"OK","Poste à corriger",IF(AND(E1253&lt;&gt;"",OR(NOT(ISNUMBER(E1253)),N(E1253)&lt;0)),"Réglage invalide",IF(AND(F1253&lt;&gt;"",OR(NOT(ISNUMBER(F1253)),N(F1253)&lt;0)),"Temps par pièce invalide",IF(N(E1253)+N(F1253)=0,"Temps manquant",IF(AND(G1253&lt;&gt;"",OR(NOT(ISNUMBER(G1253)),N(G1253)&lt;=0)),"Opérateurs invalide","OK"))))))))))</f>
        <v/>
      </c>
      <c r="N1253" s="71" t="str">
        <f>IF(AND(fiche_sel&lt;&gt;"",A1253=fiche_sel),COUNTIF(A$6:A1253,fiche_sel),"")</f>
        <v/>
      </c>
    </row>
    <row r="1254">
      <c r="A1254" s="60" t="n"/>
      <c r="B1254" s="73" t="n"/>
      <c r="C1254" s="60" t="n"/>
      <c r="D1254" s="61" t="n"/>
      <c r="E1254" s="74" t="n"/>
      <c r="F1254" s="74" t="n"/>
      <c r="G1254" s="73" t="n"/>
      <c r="H1254" s="66" t="str">
        <f>IF(M1254&lt;&gt;"OK","",INDEX(po_mo,MATCH(D1254,po_code,0)))</f>
        <v/>
      </c>
      <c r="I1254" s="66" t="str">
        <f>IF(M1254&lt;&gt;"OK","",INDEX(po_mac,MATCH(D1254,po_code,0)))</f>
        <v/>
      </c>
      <c r="J1254" s="66" t="str">
        <f>IF(M1254&lt;&gt;"OK","",N(E1254)*(H1254*IF(G1254="",1,G1254)+I1254))</f>
        <v/>
      </c>
      <c r="K1254" s="66" t="str">
        <f>IF(M1254&lt;&gt;"OK","",N(F1254)/60*H1254*IF(G1254="",1,G1254))</f>
        <v/>
      </c>
      <c r="L1254" s="66" t="str">
        <f>IF(M1254&lt;&gt;"OK","",N(F1254)/60*I1254)</f>
        <v/>
      </c>
      <c r="M1254" s="69" t="str">
        <f>IF(AND(A1254="",D1254=""),"",IF(A1254="","Produit manquant",IF(COUNTIF(prod_ref,A1254)=0,"Produit inconnu",IF(D1254="","Poste manquant",IF(ISNA(MATCH(D1254,po_code,0)),"Poste inconnu",IF(INDEX(po_check,MATCH(D1254,po_code,0))&lt;&gt;"OK","Poste à corriger",IF(AND(E1254&lt;&gt;"",OR(NOT(ISNUMBER(E1254)),N(E1254)&lt;0)),"Réglage invalide",IF(AND(F1254&lt;&gt;"",OR(NOT(ISNUMBER(F1254)),N(F1254)&lt;0)),"Temps par pièce invalide",IF(N(E1254)+N(F1254)=0,"Temps manquant",IF(AND(G1254&lt;&gt;"",OR(NOT(ISNUMBER(G1254)),N(G1254)&lt;=0)),"Opérateurs invalide","OK"))))))))))</f>
        <v/>
      </c>
      <c r="N1254" s="71" t="str">
        <f>IF(AND(fiche_sel&lt;&gt;"",A1254=fiche_sel),COUNTIF(A$6:A1254,fiche_sel),"")</f>
        <v/>
      </c>
    </row>
    <row r="1255">
      <c r="A1255" s="60" t="n"/>
      <c r="B1255" s="73" t="n"/>
      <c r="C1255" s="60" t="n"/>
      <c r="D1255" s="61" t="n"/>
      <c r="E1255" s="74" t="n"/>
      <c r="F1255" s="74" t="n"/>
      <c r="G1255" s="73" t="n"/>
      <c r="H1255" s="66" t="str">
        <f>IF(M1255&lt;&gt;"OK","",INDEX(po_mo,MATCH(D1255,po_code,0)))</f>
        <v/>
      </c>
      <c r="I1255" s="66" t="str">
        <f>IF(M1255&lt;&gt;"OK","",INDEX(po_mac,MATCH(D1255,po_code,0)))</f>
        <v/>
      </c>
      <c r="J1255" s="66" t="str">
        <f>IF(M1255&lt;&gt;"OK","",N(E1255)*(H1255*IF(G1255="",1,G1255)+I1255))</f>
        <v/>
      </c>
      <c r="K1255" s="66" t="str">
        <f>IF(M1255&lt;&gt;"OK","",N(F1255)/60*H1255*IF(G1255="",1,G1255))</f>
        <v/>
      </c>
      <c r="L1255" s="66" t="str">
        <f>IF(M1255&lt;&gt;"OK","",N(F1255)/60*I1255)</f>
        <v/>
      </c>
      <c r="M1255" s="69" t="str">
        <f>IF(AND(A1255="",D1255=""),"",IF(A1255="","Produit manquant",IF(COUNTIF(prod_ref,A1255)=0,"Produit inconnu",IF(D1255="","Poste manquant",IF(ISNA(MATCH(D1255,po_code,0)),"Poste inconnu",IF(INDEX(po_check,MATCH(D1255,po_code,0))&lt;&gt;"OK","Poste à corriger",IF(AND(E1255&lt;&gt;"",OR(NOT(ISNUMBER(E1255)),N(E1255)&lt;0)),"Réglage invalide",IF(AND(F1255&lt;&gt;"",OR(NOT(ISNUMBER(F1255)),N(F1255)&lt;0)),"Temps par pièce invalide",IF(N(E1255)+N(F1255)=0,"Temps manquant",IF(AND(G1255&lt;&gt;"",OR(NOT(ISNUMBER(G1255)),N(G1255)&lt;=0)),"Opérateurs invalide","OK"))))))))))</f>
        <v/>
      </c>
      <c r="N1255" s="71" t="str">
        <f>IF(AND(fiche_sel&lt;&gt;"",A1255=fiche_sel),COUNTIF(A$6:A1255,fiche_sel),"")</f>
        <v/>
      </c>
    </row>
    <row r="1256">
      <c r="A1256" s="60" t="n"/>
      <c r="B1256" s="73" t="n"/>
      <c r="C1256" s="60" t="n"/>
      <c r="D1256" s="61" t="n"/>
      <c r="E1256" s="74" t="n"/>
      <c r="F1256" s="74" t="n"/>
      <c r="G1256" s="73" t="n"/>
      <c r="H1256" s="66" t="str">
        <f>IF(M1256&lt;&gt;"OK","",INDEX(po_mo,MATCH(D1256,po_code,0)))</f>
        <v/>
      </c>
      <c r="I1256" s="66" t="str">
        <f>IF(M1256&lt;&gt;"OK","",INDEX(po_mac,MATCH(D1256,po_code,0)))</f>
        <v/>
      </c>
      <c r="J1256" s="66" t="str">
        <f>IF(M1256&lt;&gt;"OK","",N(E1256)*(H1256*IF(G1256="",1,G1256)+I1256))</f>
        <v/>
      </c>
      <c r="K1256" s="66" t="str">
        <f>IF(M1256&lt;&gt;"OK","",N(F1256)/60*H1256*IF(G1256="",1,G1256))</f>
        <v/>
      </c>
      <c r="L1256" s="66" t="str">
        <f>IF(M1256&lt;&gt;"OK","",N(F1256)/60*I1256)</f>
        <v/>
      </c>
      <c r="M1256" s="69" t="str">
        <f>IF(AND(A1256="",D1256=""),"",IF(A1256="","Produit manquant",IF(COUNTIF(prod_ref,A1256)=0,"Produit inconnu",IF(D1256="","Poste manquant",IF(ISNA(MATCH(D1256,po_code,0)),"Poste inconnu",IF(INDEX(po_check,MATCH(D1256,po_code,0))&lt;&gt;"OK","Poste à corriger",IF(AND(E1256&lt;&gt;"",OR(NOT(ISNUMBER(E1256)),N(E1256)&lt;0)),"Réglage invalide",IF(AND(F1256&lt;&gt;"",OR(NOT(ISNUMBER(F1256)),N(F1256)&lt;0)),"Temps par pièce invalide",IF(N(E1256)+N(F1256)=0,"Temps manquant",IF(AND(G1256&lt;&gt;"",OR(NOT(ISNUMBER(G1256)),N(G1256)&lt;=0)),"Opérateurs invalide","OK"))))))))))</f>
        <v/>
      </c>
      <c r="N1256" s="71" t="str">
        <f>IF(AND(fiche_sel&lt;&gt;"",A1256=fiche_sel),COUNTIF(A$6:A1256,fiche_sel),"")</f>
        <v/>
      </c>
    </row>
    <row r="1257">
      <c r="A1257" s="60" t="n"/>
      <c r="B1257" s="73" t="n"/>
      <c r="C1257" s="60" t="n"/>
      <c r="D1257" s="61" t="n"/>
      <c r="E1257" s="74" t="n"/>
      <c r="F1257" s="74" t="n"/>
      <c r="G1257" s="73" t="n"/>
      <c r="H1257" s="66" t="str">
        <f>IF(M1257&lt;&gt;"OK","",INDEX(po_mo,MATCH(D1257,po_code,0)))</f>
        <v/>
      </c>
      <c r="I1257" s="66" t="str">
        <f>IF(M1257&lt;&gt;"OK","",INDEX(po_mac,MATCH(D1257,po_code,0)))</f>
        <v/>
      </c>
      <c r="J1257" s="66" t="str">
        <f>IF(M1257&lt;&gt;"OK","",N(E1257)*(H1257*IF(G1257="",1,G1257)+I1257))</f>
        <v/>
      </c>
      <c r="K1257" s="66" t="str">
        <f>IF(M1257&lt;&gt;"OK","",N(F1257)/60*H1257*IF(G1257="",1,G1257))</f>
        <v/>
      </c>
      <c r="L1257" s="66" t="str">
        <f>IF(M1257&lt;&gt;"OK","",N(F1257)/60*I1257)</f>
        <v/>
      </c>
      <c r="M1257" s="69" t="str">
        <f>IF(AND(A1257="",D1257=""),"",IF(A1257="","Produit manquant",IF(COUNTIF(prod_ref,A1257)=0,"Produit inconnu",IF(D1257="","Poste manquant",IF(ISNA(MATCH(D1257,po_code,0)),"Poste inconnu",IF(INDEX(po_check,MATCH(D1257,po_code,0))&lt;&gt;"OK","Poste à corriger",IF(AND(E1257&lt;&gt;"",OR(NOT(ISNUMBER(E1257)),N(E1257)&lt;0)),"Réglage invalide",IF(AND(F1257&lt;&gt;"",OR(NOT(ISNUMBER(F1257)),N(F1257)&lt;0)),"Temps par pièce invalide",IF(N(E1257)+N(F1257)=0,"Temps manquant",IF(AND(G1257&lt;&gt;"",OR(NOT(ISNUMBER(G1257)),N(G1257)&lt;=0)),"Opérateurs invalide","OK"))))))))))</f>
        <v/>
      </c>
      <c r="N1257" s="71" t="str">
        <f>IF(AND(fiche_sel&lt;&gt;"",A1257=fiche_sel),COUNTIF(A$6:A1257,fiche_sel),"")</f>
        <v/>
      </c>
    </row>
    <row r="1258">
      <c r="A1258" s="60" t="n"/>
      <c r="B1258" s="73" t="n"/>
      <c r="C1258" s="60" t="n"/>
      <c r="D1258" s="61" t="n"/>
      <c r="E1258" s="74" t="n"/>
      <c r="F1258" s="74" t="n"/>
      <c r="G1258" s="73" t="n"/>
      <c r="H1258" s="66" t="str">
        <f>IF(M1258&lt;&gt;"OK","",INDEX(po_mo,MATCH(D1258,po_code,0)))</f>
        <v/>
      </c>
      <c r="I1258" s="66" t="str">
        <f>IF(M1258&lt;&gt;"OK","",INDEX(po_mac,MATCH(D1258,po_code,0)))</f>
        <v/>
      </c>
      <c r="J1258" s="66" t="str">
        <f>IF(M1258&lt;&gt;"OK","",N(E1258)*(H1258*IF(G1258="",1,G1258)+I1258))</f>
        <v/>
      </c>
      <c r="K1258" s="66" t="str">
        <f>IF(M1258&lt;&gt;"OK","",N(F1258)/60*H1258*IF(G1258="",1,G1258))</f>
        <v/>
      </c>
      <c r="L1258" s="66" t="str">
        <f>IF(M1258&lt;&gt;"OK","",N(F1258)/60*I1258)</f>
        <v/>
      </c>
      <c r="M1258" s="69" t="str">
        <f>IF(AND(A1258="",D1258=""),"",IF(A1258="","Produit manquant",IF(COUNTIF(prod_ref,A1258)=0,"Produit inconnu",IF(D1258="","Poste manquant",IF(ISNA(MATCH(D1258,po_code,0)),"Poste inconnu",IF(INDEX(po_check,MATCH(D1258,po_code,0))&lt;&gt;"OK","Poste à corriger",IF(AND(E1258&lt;&gt;"",OR(NOT(ISNUMBER(E1258)),N(E1258)&lt;0)),"Réglage invalide",IF(AND(F1258&lt;&gt;"",OR(NOT(ISNUMBER(F1258)),N(F1258)&lt;0)),"Temps par pièce invalide",IF(N(E1258)+N(F1258)=0,"Temps manquant",IF(AND(G1258&lt;&gt;"",OR(NOT(ISNUMBER(G1258)),N(G1258)&lt;=0)),"Opérateurs invalide","OK"))))))))))</f>
        <v/>
      </c>
      <c r="N1258" s="71" t="str">
        <f>IF(AND(fiche_sel&lt;&gt;"",A1258=fiche_sel),COUNTIF(A$6:A1258,fiche_sel),"")</f>
        <v/>
      </c>
    </row>
    <row r="1259">
      <c r="A1259" s="60" t="n"/>
      <c r="B1259" s="73" t="n"/>
      <c r="C1259" s="60" t="n"/>
      <c r="D1259" s="61" t="n"/>
      <c r="E1259" s="74" t="n"/>
      <c r="F1259" s="74" t="n"/>
      <c r="G1259" s="73" t="n"/>
      <c r="H1259" s="66" t="str">
        <f>IF(M1259&lt;&gt;"OK","",INDEX(po_mo,MATCH(D1259,po_code,0)))</f>
        <v/>
      </c>
      <c r="I1259" s="66" t="str">
        <f>IF(M1259&lt;&gt;"OK","",INDEX(po_mac,MATCH(D1259,po_code,0)))</f>
        <v/>
      </c>
      <c r="J1259" s="66" t="str">
        <f>IF(M1259&lt;&gt;"OK","",N(E1259)*(H1259*IF(G1259="",1,G1259)+I1259))</f>
        <v/>
      </c>
      <c r="K1259" s="66" t="str">
        <f>IF(M1259&lt;&gt;"OK","",N(F1259)/60*H1259*IF(G1259="",1,G1259))</f>
        <v/>
      </c>
      <c r="L1259" s="66" t="str">
        <f>IF(M1259&lt;&gt;"OK","",N(F1259)/60*I1259)</f>
        <v/>
      </c>
      <c r="M1259" s="69" t="str">
        <f>IF(AND(A1259="",D1259=""),"",IF(A1259="","Produit manquant",IF(COUNTIF(prod_ref,A1259)=0,"Produit inconnu",IF(D1259="","Poste manquant",IF(ISNA(MATCH(D1259,po_code,0)),"Poste inconnu",IF(INDEX(po_check,MATCH(D1259,po_code,0))&lt;&gt;"OK","Poste à corriger",IF(AND(E1259&lt;&gt;"",OR(NOT(ISNUMBER(E1259)),N(E1259)&lt;0)),"Réglage invalide",IF(AND(F1259&lt;&gt;"",OR(NOT(ISNUMBER(F1259)),N(F1259)&lt;0)),"Temps par pièce invalide",IF(N(E1259)+N(F1259)=0,"Temps manquant",IF(AND(G1259&lt;&gt;"",OR(NOT(ISNUMBER(G1259)),N(G1259)&lt;=0)),"Opérateurs invalide","OK"))))))))))</f>
        <v/>
      </c>
      <c r="N1259" s="71" t="str">
        <f>IF(AND(fiche_sel&lt;&gt;"",A1259=fiche_sel),COUNTIF(A$6:A1259,fiche_sel),"")</f>
        <v/>
      </c>
    </row>
    <row r="1260">
      <c r="A1260" s="60" t="n"/>
      <c r="B1260" s="73" t="n"/>
      <c r="C1260" s="60" t="n"/>
      <c r="D1260" s="61" t="n"/>
      <c r="E1260" s="74" t="n"/>
      <c r="F1260" s="74" t="n"/>
      <c r="G1260" s="73" t="n"/>
      <c r="H1260" s="66" t="str">
        <f>IF(M1260&lt;&gt;"OK","",INDEX(po_mo,MATCH(D1260,po_code,0)))</f>
        <v/>
      </c>
      <c r="I1260" s="66" t="str">
        <f>IF(M1260&lt;&gt;"OK","",INDEX(po_mac,MATCH(D1260,po_code,0)))</f>
        <v/>
      </c>
      <c r="J1260" s="66" t="str">
        <f>IF(M1260&lt;&gt;"OK","",N(E1260)*(H1260*IF(G1260="",1,G1260)+I1260))</f>
        <v/>
      </c>
      <c r="K1260" s="66" t="str">
        <f>IF(M1260&lt;&gt;"OK","",N(F1260)/60*H1260*IF(G1260="",1,G1260))</f>
        <v/>
      </c>
      <c r="L1260" s="66" t="str">
        <f>IF(M1260&lt;&gt;"OK","",N(F1260)/60*I1260)</f>
        <v/>
      </c>
      <c r="M1260" s="69" t="str">
        <f>IF(AND(A1260="",D1260=""),"",IF(A1260="","Produit manquant",IF(COUNTIF(prod_ref,A1260)=0,"Produit inconnu",IF(D1260="","Poste manquant",IF(ISNA(MATCH(D1260,po_code,0)),"Poste inconnu",IF(INDEX(po_check,MATCH(D1260,po_code,0))&lt;&gt;"OK","Poste à corriger",IF(AND(E1260&lt;&gt;"",OR(NOT(ISNUMBER(E1260)),N(E1260)&lt;0)),"Réglage invalide",IF(AND(F1260&lt;&gt;"",OR(NOT(ISNUMBER(F1260)),N(F1260)&lt;0)),"Temps par pièce invalide",IF(N(E1260)+N(F1260)=0,"Temps manquant",IF(AND(G1260&lt;&gt;"",OR(NOT(ISNUMBER(G1260)),N(G1260)&lt;=0)),"Opérateurs invalide","OK"))))))))))</f>
        <v/>
      </c>
      <c r="N1260" s="71" t="str">
        <f>IF(AND(fiche_sel&lt;&gt;"",A1260=fiche_sel),COUNTIF(A$6:A1260,fiche_sel),"")</f>
        <v/>
      </c>
    </row>
    <row r="1261">
      <c r="A1261" s="60" t="n"/>
      <c r="B1261" s="73" t="n"/>
      <c r="C1261" s="60" t="n"/>
      <c r="D1261" s="61" t="n"/>
      <c r="E1261" s="74" t="n"/>
      <c r="F1261" s="74" t="n"/>
      <c r="G1261" s="73" t="n"/>
      <c r="H1261" s="66" t="str">
        <f>IF(M1261&lt;&gt;"OK","",INDEX(po_mo,MATCH(D1261,po_code,0)))</f>
        <v/>
      </c>
      <c r="I1261" s="66" t="str">
        <f>IF(M1261&lt;&gt;"OK","",INDEX(po_mac,MATCH(D1261,po_code,0)))</f>
        <v/>
      </c>
      <c r="J1261" s="66" t="str">
        <f>IF(M1261&lt;&gt;"OK","",N(E1261)*(H1261*IF(G1261="",1,G1261)+I1261))</f>
        <v/>
      </c>
      <c r="K1261" s="66" t="str">
        <f>IF(M1261&lt;&gt;"OK","",N(F1261)/60*H1261*IF(G1261="",1,G1261))</f>
        <v/>
      </c>
      <c r="L1261" s="66" t="str">
        <f>IF(M1261&lt;&gt;"OK","",N(F1261)/60*I1261)</f>
        <v/>
      </c>
      <c r="M1261" s="69" t="str">
        <f>IF(AND(A1261="",D1261=""),"",IF(A1261="","Produit manquant",IF(COUNTIF(prod_ref,A1261)=0,"Produit inconnu",IF(D1261="","Poste manquant",IF(ISNA(MATCH(D1261,po_code,0)),"Poste inconnu",IF(INDEX(po_check,MATCH(D1261,po_code,0))&lt;&gt;"OK","Poste à corriger",IF(AND(E1261&lt;&gt;"",OR(NOT(ISNUMBER(E1261)),N(E1261)&lt;0)),"Réglage invalide",IF(AND(F1261&lt;&gt;"",OR(NOT(ISNUMBER(F1261)),N(F1261)&lt;0)),"Temps par pièce invalide",IF(N(E1261)+N(F1261)=0,"Temps manquant",IF(AND(G1261&lt;&gt;"",OR(NOT(ISNUMBER(G1261)),N(G1261)&lt;=0)),"Opérateurs invalide","OK"))))))))))</f>
        <v/>
      </c>
      <c r="N1261" s="71" t="str">
        <f>IF(AND(fiche_sel&lt;&gt;"",A1261=fiche_sel),COUNTIF(A$6:A1261,fiche_sel),"")</f>
        <v/>
      </c>
    </row>
    <row r="1262">
      <c r="A1262" s="60" t="n"/>
      <c r="B1262" s="73" t="n"/>
      <c r="C1262" s="60" t="n"/>
      <c r="D1262" s="61" t="n"/>
      <c r="E1262" s="74" t="n"/>
      <c r="F1262" s="74" t="n"/>
      <c r="G1262" s="73" t="n"/>
      <c r="H1262" s="66" t="str">
        <f>IF(M1262&lt;&gt;"OK","",INDEX(po_mo,MATCH(D1262,po_code,0)))</f>
        <v/>
      </c>
      <c r="I1262" s="66" t="str">
        <f>IF(M1262&lt;&gt;"OK","",INDEX(po_mac,MATCH(D1262,po_code,0)))</f>
        <v/>
      </c>
      <c r="J1262" s="66" t="str">
        <f>IF(M1262&lt;&gt;"OK","",N(E1262)*(H1262*IF(G1262="",1,G1262)+I1262))</f>
        <v/>
      </c>
      <c r="K1262" s="66" t="str">
        <f>IF(M1262&lt;&gt;"OK","",N(F1262)/60*H1262*IF(G1262="",1,G1262))</f>
        <v/>
      </c>
      <c r="L1262" s="66" t="str">
        <f>IF(M1262&lt;&gt;"OK","",N(F1262)/60*I1262)</f>
        <v/>
      </c>
      <c r="M1262" s="69" t="str">
        <f>IF(AND(A1262="",D1262=""),"",IF(A1262="","Produit manquant",IF(COUNTIF(prod_ref,A1262)=0,"Produit inconnu",IF(D1262="","Poste manquant",IF(ISNA(MATCH(D1262,po_code,0)),"Poste inconnu",IF(INDEX(po_check,MATCH(D1262,po_code,0))&lt;&gt;"OK","Poste à corriger",IF(AND(E1262&lt;&gt;"",OR(NOT(ISNUMBER(E1262)),N(E1262)&lt;0)),"Réglage invalide",IF(AND(F1262&lt;&gt;"",OR(NOT(ISNUMBER(F1262)),N(F1262)&lt;0)),"Temps par pièce invalide",IF(N(E1262)+N(F1262)=0,"Temps manquant",IF(AND(G1262&lt;&gt;"",OR(NOT(ISNUMBER(G1262)),N(G1262)&lt;=0)),"Opérateurs invalide","OK"))))))))))</f>
        <v/>
      </c>
      <c r="N1262" s="71" t="str">
        <f>IF(AND(fiche_sel&lt;&gt;"",A1262=fiche_sel),COUNTIF(A$6:A1262,fiche_sel),"")</f>
        <v/>
      </c>
    </row>
    <row r="1263">
      <c r="A1263" s="60" t="n"/>
      <c r="B1263" s="73" t="n"/>
      <c r="C1263" s="60" t="n"/>
      <c r="D1263" s="61" t="n"/>
      <c r="E1263" s="74" t="n"/>
      <c r="F1263" s="74" t="n"/>
      <c r="G1263" s="73" t="n"/>
      <c r="H1263" s="66" t="str">
        <f>IF(M1263&lt;&gt;"OK","",INDEX(po_mo,MATCH(D1263,po_code,0)))</f>
        <v/>
      </c>
      <c r="I1263" s="66" t="str">
        <f>IF(M1263&lt;&gt;"OK","",INDEX(po_mac,MATCH(D1263,po_code,0)))</f>
        <v/>
      </c>
      <c r="J1263" s="66" t="str">
        <f>IF(M1263&lt;&gt;"OK","",N(E1263)*(H1263*IF(G1263="",1,G1263)+I1263))</f>
        <v/>
      </c>
      <c r="K1263" s="66" t="str">
        <f>IF(M1263&lt;&gt;"OK","",N(F1263)/60*H1263*IF(G1263="",1,G1263))</f>
        <v/>
      </c>
      <c r="L1263" s="66" t="str">
        <f>IF(M1263&lt;&gt;"OK","",N(F1263)/60*I1263)</f>
        <v/>
      </c>
      <c r="M1263" s="69" t="str">
        <f>IF(AND(A1263="",D1263=""),"",IF(A1263="","Produit manquant",IF(COUNTIF(prod_ref,A1263)=0,"Produit inconnu",IF(D1263="","Poste manquant",IF(ISNA(MATCH(D1263,po_code,0)),"Poste inconnu",IF(INDEX(po_check,MATCH(D1263,po_code,0))&lt;&gt;"OK","Poste à corriger",IF(AND(E1263&lt;&gt;"",OR(NOT(ISNUMBER(E1263)),N(E1263)&lt;0)),"Réglage invalide",IF(AND(F1263&lt;&gt;"",OR(NOT(ISNUMBER(F1263)),N(F1263)&lt;0)),"Temps par pièce invalide",IF(N(E1263)+N(F1263)=0,"Temps manquant",IF(AND(G1263&lt;&gt;"",OR(NOT(ISNUMBER(G1263)),N(G1263)&lt;=0)),"Opérateurs invalide","OK"))))))))))</f>
        <v/>
      </c>
      <c r="N1263" s="71" t="str">
        <f>IF(AND(fiche_sel&lt;&gt;"",A1263=fiche_sel),COUNTIF(A$6:A1263,fiche_sel),"")</f>
        <v/>
      </c>
    </row>
    <row r="1264">
      <c r="A1264" s="60" t="n"/>
      <c r="B1264" s="73" t="n"/>
      <c r="C1264" s="60" t="n"/>
      <c r="D1264" s="61" t="n"/>
      <c r="E1264" s="74" t="n"/>
      <c r="F1264" s="74" t="n"/>
      <c r="G1264" s="73" t="n"/>
      <c r="H1264" s="66" t="str">
        <f>IF(M1264&lt;&gt;"OK","",INDEX(po_mo,MATCH(D1264,po_code,0)))</f>
        <v/>
      </c>
      <c r="I1264" s="66" t="str">
        <f>IF(M1264&lt;&gt;"OK","",INDEX(po_mac,MATCH(D1264,po_code,0)))</f>
        <v/>
      </c>
      <c r="J1264" s="66" t="str">
        <f>IF(M1264&lt;&gt;"OK","",N(E1264)*(H1264*IF(G1264="",1,G1264)+I1264))</f>
        <v/>
      </c>
      <c r="K1264" s="66" t="str">
        <f>IF(M1264&lt;&gt;"OK","",N(F1264)/60*H1264*IF(G1264="",1,G1264))</f>
        <v/>
      </c>
      <c r="L1264" s="66" t="str">
        <f>IF(M1264&lt;&gt;"OK","",N(F1264)/60*I1264)</f>
        <v/>
      </c>
      <c r="M1264" s="69" t="str">
        <f>IF(AND(A1264="",D1264=""),"",IF(A1264="","Produit manquant",IF(COUNTIF(prod_ref,A1264)=0,"Produit inconnu",IF(D1264="","Poste manquant",IF(ISNA(MATCH(D1264,po_code,0)),"Poste inconnu",IF(INDEX(po_check,MATCH(D1264,po_code,0))&lt;&gt;"OK","Poste à corriger",IF(AND(E1264&lt;&gt;"",OR(NOT(ISNUMBER(E1264)),N(E1264)&lt;0)),"Réglage invalide",IF(AND(F1264&lt;&gt;"",OR(NOT(ISNUMBER(F1264)),N(F1264)&lt;0)),"Temps par pièce invalide",IF(N(E1264)+N(F1264)=0,"Temps manquant",IF(AND(G1264&lt;&gt;"",OR(NOT(ISNUMBER(G1264)),N(G1264)&lt;=0)),"Opérateurs invalide","OK"))))))))))</f>
        <v/>
      </c>
      <c r="N1264" s="71" t="str">
        <f>IF(AND(fiche_sel&lt;&gt;"",A1264=fiche_sel),COUNTIF(A$6:A1264,fiche_sel),"")</f>
        <v/>
      </c>
    </row>
    <row r="1265">
      <c r="A1265" s="60" t="n"/>
      <c r="B1265" s="73" t="n"/>
      <c r="C1265" s="60" t="n"/>
      <c r="D1265" s="61" t="n"/>
      <c r="E1265" s="74" t="n"/>
      <c r="F1265" s="74" t="n"/>
      <c r="G1265" s="73" t="n"/>
      <c r="H1265" s="66" t="str">
        <f>IF(M1265&lt;&gt;"OK","",INDEX(po_mo,MATCH(D1265,po_code,0)))</f>
        <v/>
      </c>
      <c r="I1265" s="66" t="str">
        <f>IF(M1265&lt;&gt;"OK","",INDEX(po_mac,MATCH(D1265,po_code,0)))</f>
        <v/>
      </c>
      <c r="J1265" s="66" t="str">
        <f>IF(M1265&lt;&gt;"OK","",N(E1265)*(H1265*IF(G1265="",1,G1265)+I1265))</f>
        <v/>
      </c>
      <c r="K1265" s="66" t="str">
        <f>IF(M1265&lt;&gt;"OK","",N(F1265)/60*H1265*IF(G1265="",1,G1265))</f>
        <v/>
      </c>
      <c r="L1265" s="66" t="str">
        <f>IF(M1265&lt;&gt;"OK","",N(F1265)/60*I1265)</f>
        <v/>
      </c>
      <c r="M1265" s="69" t="str">
        <f>IF(AND(A1265="",D1265=""),"",IF(A1265="","Produit manquant",IF(COUNTIF(prod_ref,A1265)=0,"Produit inconnu",IF(D1265="","Poste manquant",IF(ISNA(MATCH(D1265,po_code,0)),"Poste inconnu",IF(INDEX(po_check,MATCH(D1265,po_code,0))&lt;&gt;"OK","Poste à corriger",IF(AND(E1265&lt;&gt;"",OR(NOT(ISNUMBER(E1265)),N(E1265)&lt;0)),"Réglage invalide",IF(AND(F1265&lt;&gt;"",OR(NOT(ISNUMBER(F1265)),N(F1265)&lt;0)),"Temps par pièce invalide",IF(N(E1265)+N(F1265)=0,"Temps manquant",IF(AND(G1265&lt;&gt;"",OR(NOT(ISNUMBER(G1265)),N(G1265)&lt;=0)),"Opérateurs invalide","OK"))))))))))</f>
        <v/>
      </c>
      <c r="N1265" s="71" t="str">
        <f>IF(AND(fiche_sel&lt;&gt;"",A1265=fiche_sel),COUNTIF(A$6:A1265,fiche_sel),"")</f>
        <v/>
      </c>
    </row>
    <row r="1266">
      <c r="A1266" s="60" t="n"/>
      <c r="B1266" s="73" t="n"/>
      <c r="C1266" s="60" t="n"/>
      <c r="D1266" s="61" t="n"/>
      <c r="E1266" s="74" t="n"/>
      <c r="F1266" s="74" t="n"/>
      <c r="G1266" s="73" t="n"/>
      <c r="H1266" s="66" t="str">
        <f>IF(M1266&lt;&gt;"OK","",INDEX(po_mo,MATCH(D1266,po_code,0)))</f>
        <v/>
      </c>
      <c r="I1266" s="66" t="str">
        <f>IF(M1266&lt;&gt;"OK","",INDEX(po_mac,MATCH(D1266,po_code,0)))</f>
        <v/>
      </c>
      <c r="J1266" s="66" t="str">
        <f>IF(M1266&lt;&gt;"OK","",N(E1266)*(H1266*IF(G1266="",1,G1266)+I1266))</f>
        <v/>
      </c>
      <c r="K1266" s="66" t="str">
        <f>IF(M1266&lt;&gt;"OK","",N(F1266)/60*H1266*IF(G1266="",1,G1266))</f>
        <v/>
      </c>
      <c r="L1266" s="66" t="str">
        <f>IF(M1266&lt;&gt;"OK","",N(F1266)/60*I1266)</f>
        <v/>
      </c>
      <c r="M1266" s="69" t="str">
        <f>IF(AND(A1266="",D1266=""),"",IF(A1266="","Produit manquant",IF(COUNTIF(prod_ref,A1266)=0,"Produit inconnu",IF(D1266="","Poste manquant",IF(ISNA(MATCH(D1266,po_code,0)),"Poste inconnu",IF(INDEX(po_check,MATCH(D1266,po_code,0))&lt;&gt;"OK","Poste à corriger",IF(AND(E1266&lt;&gt;"",OR(NOT(ISNUMBER(E1266)),N(E1266)&lt;0)),"Réglage invalide",IF(AND(F1266&lt;&gt;"",OR(NOT(ISNUMBER(F1266)),N(F1266)&lt;0)),"Temps par pièce invalide",IF(N(E1266)+N(F1266)=0,"Temps manquant",IF(AND(G1266&lt;&gt;"",OR(NOT(ISNUMBER(G1266)),N(G1266)&lt;=0)),"Opérateurs invalide","OK"))))))))))</f>
        <v/>
      </c>
      <c r="N1266" s="71" t="str">
        <f>IF(AND(fiche_sel&lt;&gt;"",A1266=fiche_sel),COUNTIF(A$6:A1266,fiche_sel),"")</f>
        <v/>
      </c>
    </row>
    <row r="1267">
      <c r="A1267" s="60" t="n"/>
      <c r="B1267" s="73" t="n"/>
      <c r="C1267" s="60" t="n"/>
      <c r="D1267" s="61" t="n"/>
      <c r="E1267" s="74" t="n"/>
      <c r="F1267" s="74" t="n"/>
      <c r="G1267" s="73" t="n"/>
      <c r="H1267" s="66" t="str">
        <f>IF(M1267&lt;&gt;"OK","",INDEX(po_mo,MATCH(D1267,po_code,0)))</f>
        <v/>
      </c>
      <c r="I1267" s="66" t="str">
        <f>IF(M1267&lt;&gt;"OK","",INDEX(po_mac,MATCH(D1267,po_code,0)))</f>
        <v/>
      </c>
      <c r="J1267" s="66" t="str">
        <f>IF(M1267&lt;&gt;"OK","",N(E1267)*(H1267*IF(G1267="",1,G1267)+I1267))</f>
        <v/>
      </c>
      <c r="K1267" s="66" t="str">
        <f>IF(M1267&lt;&gt;"OK","",N(F1267)/60*H1267*IF(G1267="",1,G1267))</f>
        <v/>
      </c>
      <c r="L1267" s="66" t="str">
        <f>IF(M1267&lt;&gt;"OK","",N(F1267)/60*I1267)</f>
        <v/>
      </c>
      <c r="M1267" s="69" t="str">
        <f>IF(AND(A1267="",D1267=""),"",IF(A1267="","Produit manquant",IF(COUNTIF(prod_ref,A1267)=0,"Produit inconnu",IF(D1267="","Poste manquant",IF(ISNA(MATCH(D1267,po_code,0)),"Poste inconnu",IF(INDEX(po_check,MATCH(D1267,po_code,0))&lt;&gt;"OK","Poste à corriger",IF(AND(E1267&lt;&gt;"",OR(NOT(ISNUMBER(E1267)),N(E1267)&lt;0)),"Réglage invalide",IF(AND(F1267&lt;&gt;"",OR(NOT(ISNUMBER(F1267)),N(F1267)&lt;0)),"Temps par pièce invalide",IF(N(E1267)+N(F1267)=0,"Temps manquant",IF(AND(G1267&lt;&gt;"",OR(NOT(ISNUMBER(G1267)),N(G1267)&lt;=0)),"Opérateurs invalide","OK"))))))))))</f>
        <v/>
      </c>
      <c r="N1267" s="71" t="str">
        <f>IF(AND(fiche_sel&lt;&gt;"",A1267=fiche_sel),COUNTIF(A$6:A1267,fiche_sel),"")</f>
        <v/>
      </c>
    </row>
    <row r="1268">
      <c r="A1268" s="60" t="n"/>
      <c r="B1268" s="73" t="n"/>
      <c r="C1268" s="60" t="n"/>
      <c r="D1268" s="61" t="n"/>
      <c r="E1268" s="74" t="n"/>
      <c r="F1268" s="74" t="n"/>
      <c r="G1268" s="73" t="n"/>
      <c r="H1268" s="66" t="str">
        <f>IF(M1268&lt;&gt;"OK","",INDEX(po_mo,MATCH(D1268,po_code,0)))</f>
        <v/>
      </c>
      <c r="I1268" s="66" t="str">
        <f>IF(M1268&lt;&gt;"OK","",INDEX(po_mac,MATCH(D1268,po_code,0)))</f>
        <v/>
      </c>
      <c r="J1268" s="66" t="str">
        <f>IF(M1268&lt;&gt;"OK","",N(E1268)*(H1268*IF(G1268="",1,G1268)+I1268))</f>
        <v/>
      </c>
      <c r="K1268" s="66" t="str">
        <f>IF(M1268&lt;&gt;"OK","",N(F1268)/60*H1268*IF(G1268="",1,G1268))</f>
        <v/>
      </c>
      <c r="L1268" s="66" t="str">
        <f>IF(M1268&lt;&gt;"OK","",N(F1268)/60*I1268)</f>
        <v/>
      </c>
      <c r="M1268" s="69" t="str">
        <f>IF(AND(A1268="",D1268=""),"",IF(A1268="","Produit manquant",IF(COUNTIF(prod_ref,A1268)=0,"Produit inconnu",IF(D1268="","Poste manquant",IF(ISNA(MATCH(D1268,po_code,0)),"Poste inconnu",IF(INDEX(po_check,MATCH(D1268,po_code,0))&lt;&gt;"OK","Poste à corriger",IF(AND(E1268&lt;&gt;"",OR(NOT(ISNUMBER(E1268)),N(E1268)&lt;0)),"Réglage invalide",IF(AND(F1268&lt;&gt;"",OR(NOT(ISNUMBER(F1268)),N(F1268)&lt;0)),"Temps par pièce invalide",IF(N(E1268)+N(F1268)=0,"Temps manquant",IF(AND(G1268&lt;&gt;"",OR(NOT(ISNUMBER(G1268)),N(G1268)&lt;=0)),"Opérateurs invalide","OK"))))))))))</f>
        <v/>
      </c>
      <c r="N1268" s="71" t="str">
        <f>IF(AND(fiche_sel&lt;&gt;"",A1268=fiche_sel),COUNTIF(A$6:A1268,fiche_sel),"")</f>
        <v/>
      </c>
    </row>
    <row r="1269">
      <c r="A1269" s="60" t="n"/>
      <c r="B1269" s="73" t="n"/>
      <c r="C1269" s="60" t="n"/>
      <c r="D1269" s="61" t="n"/>
      <c r="E1269" s="74" t="n"/>
      <c r="F1269" s="74" t="n"/>
      <c r="G1269" s="73" t="n"/>
      <c r="H1269" s="66" t="str">
        <f>IF(M1269&lt;&gt;"OK","",INDEX(po_mo,MATCH(D1269,po_code,0)))</f>
        <v/>
      </c>
      <c r="I1269" s="66" t="str">
        <f>IF(M1269&lt;&gt;"OK","",INDEX(po_mac,MATCH(D1269,po_code,0)))</f>
        <v/>
      </c>
      <c r="J1269" s="66" t="str">
        <f>IF(M1269&lt;&gt;"OK","",N(E1269)*(H1269*IF(G1269="",1,G1269)+I1269))</f>
        <v/>
      </c>
      <c r="K1269" s="66" t="str">
        <f>IF(M1269&lt;&gt;"OK","",N(F1269)/60*H1269*IF(G1269="",1,G1269))</f>
        <v/>
      </c>
      <c r="L1269" s="66" t="str">
        <f>IF(M1269&lt;&gt;"OK","",N(F1269)/60*I1269)</f>
        <v/>
      </c>
      <c r="M1269" s="69" t="str">
        <f>IF(AND(A1269="",D1269=""),"",IF(A1269="","Produit manquant",IF(COUNTIF(prod_ref,A1269)=0,"Produit inconnu",IF(D1269="","Poste manquant",IF(ISNA(MATCH(D1269,po_code,0)),"Poste inconnu",IF(INDEX(po_check,MATCH(D1269,po_code,0))&lt;&gt;"OK","Poste à corriger",IF(AND(E1269&lt;&gt;"",OR(NOT(ISNUMBER(E1269)),N(E1269)&lt;0)),"Réglage invalide",IF(AND(F1269&lt;&gt;"",OR(NOT(ISNUMBER(F1269)),N(F1269)&lt;0)),"Temps par pièce invalide",IF(N(E1269)+N(F1269)=0,"Temps manquant",IF(AND(G1269&lt;&gt;"",OR(NOT(ISNUMBER(G1269)),N(G1269)&lt;=0)),"Opérateurs invalide","OK"))))))))))</f>
        <v/>
      </c>
      <c r="N1269" s="71" t="str">
        <f>IF(AND(fiche_sel&lt;&gt;"",A1269=fiche_sel),COUNTIF(A$6:A1269,fiche_sel),"")</f>
        <v/>
      </c>
    </row>
    <row r="1270">
      <c r="A1270" s="60" t="n"/>
      <c r="B1270" s="73" t="n"/>
      <c r="C1270" s="60" t="n"/>
      <c r="D1270" s="61" t="n"/>
      <c r="E1270" s="74" t="n"/>
      <c r="F1270" s="74" t="n"/>
      <c r="G1270" s="73" t="n"/>
      <c r="H1270" s="66" t="str">
        <f>IF(M1270&lt;&gt;"OK","",INDEX(po_mo,MATCH(D1270,po_code,0)))</f>
        <v/>
      </c>
      <c r="I1270" s="66" t="str">
        <f>IF(M1270&lt;&gt;"OK","",INDEX(po_mac,MATCH(D1270,po_code,0)))</f>
        <v/>
      </c>
      <c r="J1270" s="66" t="str">
        <f>IF(M1270&lt;&gt;"OK","",N(E1270)*(H1270*IF(G1270="",1,G1270)+I1270))</f>
        <v/>
      </c>
      <c r="K1270" s="66" t="str">
        <f>IF(M1270&lt;&gt;"OK","",N(F1270)/60*H1270*IF(G1270="",1,G1270))</f>
        <v/>
      </c>
      <c r="L1270" s="66" t="str">
        <f>IF(M1270&lt;&gt;"OK","",N(F1270)/60*I1270)</f>
        <v/>
      </c>
      <c r="M1270" s="69" t="str">
        <f>IF(AND(A1270="",D1270=""),"",IF(A1270="","Produit manquant",IF(COUNTIF(prod_ref,A1270)=0,"Produit inconnu",IF(D1270="","Poste manquant",IF(ISNA(MATCH(D1270,po_code,0)),"Poste inconnu",IF(INDEX(po_check,MATCH(D1270,po_code,0))&lt;&gt;"OK","Poste à corriger",IF(AND(E1270&lt;&gt;"",OR(NOT(ISNUMBER(E1270)),N(E1270)&lt;0)),"Réglage invalide",IF(AND(F1270&lt;&gt;"",OR(NOT(ISNUMBER(F1270)),N(F1270)&lt;0)),"Temps par pièce invalide",IF(N(E1270)+N(F1270)=0,"Temps manquant",IF(AND(G1270&lt;&gt;"",OR(NOT(ISNUMBER(G1270)),N(G1270)&lt;=0)),"Opérateurs invalide","OK"))))))))))</f>
        <v/>
      </c>
      <c r="N1270" s="71" t="str">
        <f>IF(AND(fiche_sel&lt;&gt;"",A1270=fiche_sel),COUNTIF(A$6:A1270,fiche_sel),"")</f>
        <v/>
      </c>
    </row>
    <row r="1271">
      <c r="A1271" s="60" t="n"/>
      <c r="B1271" s="73" t="n"/>
      <c r="C1271" s="60" t="n"/>
      <c r="D1271" s="61" t="n"/>
      <c r="E1271" s="74" t="n"/>
      <c r="F1271" s="74" t="n"/>
      <c r="G1271" s="73" t="n"/>
      <c r="H1271" s="66" t="str">
        <f>IF(M1271&lt;&gt;"OK","",INDEX(po_mo,MATCH(D1271,po_code,0)))</f>
        <v/>
      </c>
      <c r="I1271" s="66" t="str">
        <f>IF(M1271&lt;&gt;"OK","",INDEX(po_mac,MATCH(D1271,po_code,0)))</f>
        <v/>
      </c>
      <c r="J1271" s="66" t="str">
        <f>IF(M1271&lt;&gt;"OK","",N(E1271)*(H1271*IF(G1271="",1,G1271)+I1271))</f>
        <v/>
      </c>
      <c r="K1271" s="66" t="str">
        <f>IF(M1271&lt;&gt;"OK","",N(F1271)/60*H1271*IF(G1271="",1,G1271))</f>
        <v/>
      </c>
      <c r="L1271" s="66" t="str">
        <f>IF(M1271&lt;&gt;"OK","",N(F1271)/60*I1271)</f>
        <v/>
      </c>
      <c r="M1271" s="69" t="str">
        <f>IF(AND(A1271="",D1271=""),"",IF(A1271="","Produit manquant",IF(COUNTIF(prod_ref,A1271)=0,"Produit inconnu",IF(D1271="","Poste manquant",IF(ISNA(MATCH(D1271,po_code,0)),"Poste inconnu",IF(INDEX(po_check,MATCH(D1271,po_code,0))&lt;&gt;"OK","Poste à corriger",IF(AND(E1271&lt;&gt;"",OR(NOT(ISNUMBER(E1271)),N(E1271)&lt;0)),"Réglage invalide",IF(AND(F1271&lt;&gt;"",OR(NOT(ISNUMBER(F1271)),N(F1271)&lt;0)),"Temps par pièce invalide",IF(N(E1271)+N(F1271)=0,"Temps manquant",IF(AND(G1271&lt;&gt;"",OR(NOT(ISNUMBER(G1271)),N(G1271)&lt;=0)),"Opérateurs invalide","OK"))))))))))</f>
        <v/>
      </c>
      <c r="N1271" s="71" t="str">
        <f>IF(AND(fiche_sel&lt;&gt;"",A1271=fiche_sel),COUNTIF(A$6:A1271,fiche_sel),"")</f>
        <v/>
      </c>
    </row>
    <row r="1272">
      <c r="A1272" s="60" t="n"/>
      <c r="B1272" s="73" t="n"/>
      <c r="C1272" s="60" t="n"/>
      <c r="D1272" s="61" t="n"/>
      <c r="E1272" s="74" t="n"/>
      <c r="F1272" s="74" t="n"/>
      <c r="G1272" s="73" t="n"/>
      <c r="H1272" s="66" t="str">
        <f>IF(M1272&lt;&gt;"OK","",INDEX(po_mo,MATCH(D1272,po_code,0)))</f>
        <v/>
      </c>
      <c r="I1272" s="66" t="str">
        <f>IF(M1272&lt;&gt;"OK","",INDEX(po_mac,MATCH(D1272,po_code,0)))</f>
        <v/>
      </c>
      <c r="J1272" s="66" t="str">
        <f>IF(M1272&lt;&gt;"OK","",N(E1272)*(H1272*IF(G1272="",1,G1272)+I1272))</f>
        <v/>
      </c>
      <c r="K1272" s="66" t="str">
        <f>IF(M1272&lt;&gt;"OK","",N(F1272)/60*H1272*IF(G1272="",1,G1272))</f>
        <v/>
      </c>
      <c r="L1272" s="66" t="str">
        <f>IF(M1272&lt;&gt;"OK","",N(F1272)/60*I1272)</f>
        <v/>
      </c>
      <c r="M1272" s="69" t="str">
        <f>IF(AND(A1272="",D1272=""),"",IF(A1272="","Produit manquant",IF(COUNTIF(prod_ref,A1272)=0,"Produit inconnu",IF(D1272="","Poste manquant",IF(ISNA(MATCH(D1272,po_code,0)),"Poste inconnu",IF(INDEX(po_check,MATCH(D1272,po_code,0))&lt;&gt;"OK","Poste à corriger",IF(AND(E1272&lt;&gt;"",OR(NOT(ISNUMBER(E1272)),N(E1272)&lt;0)),"Réglage invalide",IF(AND(F1272&lt;&gt;"",OR(NOT(ISNUMBER(F1272)),N(F1272)&lt;0)),"Temps par pièce invalide",IF(N(E1272)+N(F1272)=0,"Temps manquant",IF(AND(G1272&lt;&gt;"",OR(NOT(ISNUMBER(G1272)),N(G1272)&lt;=0)),"Opérateurs invalide","OK"))))))))))</f>
        <v/>
      </c>
      <c r="N1272" s="71" t="str">
        <f>IF(AND(fiche_sel&lt;&gt;"",A1272=fiche_sel),COUNTIF(A$6:A1272,fiche_sel),"")</f>
        <v/>
      </c>
    </row>
    <row r="1273">
      <c r="A1273" s="60" t="n"/>
      <c r="B1273" s="73" t="n"/>
      <c r="C1273" s="60" t="n"/>
      <c r="D1273" s="61" t="n"/>
      <c r="E1273" s="74" t="n"/>
      <c r="F1273" s="74" t="n"/>
      <c r="G1273" s="73" t="n"/>
      <c r="H1273" s="66" t="str">
        <f>IF(M1273&lt;&gt;"OK","",INDEX(po_mo,MATCH(D1273,po_code,0)))</f>
        <v/>
      </c>
      <c r="I1273" s="66" t="str">
        <f>IF(M1273&lt;&gt;"OK","",INDEX(po_mac,MATCH(D1273,po_code,0)))</f>
        <v/>
      </c>
      <c r="J1273" s="66" t="str">
        <f>IF(M1273&lt;&gt;"OK","",N(E1273)*(H1273*IF(G1273="",1,G1273)+I1273))</f>
        <v/>
      </c>
      <c r="K1273" s="66" t="str">
        <f>IF(M1273&lt;&gt;"OK","",N(F1273)/60*H1273*IF(G1273="",1,G1273))</f>
        <v/>
      </c>
      <c r="L1273" s="66" t="str">
        <f>IF(M1273&lt;&gt;"OK","",N(F1273)/60*I1273)</f>
        <v/>
      </c>
      <c r="M1273" s="69" t="str">
        <f>IF(AND(A1273="",D1273=""),"",IF(A1273="","Produit manquant",IF(COUNTIF(prod_ref,A1273)=0,"Produit inconnu",IF(D1273="","Poste manquant",IF(ISNA(MATCH(D1273,po_code,0)),"Poste inconnu",IF(INDEX(po_check,MATCH(D1273,po_code,0))&lt;&gt;"OK","Poste à corriger",IF(AND(E1273&lt;&gt;"",OR(NOT(ISNUMBER(E1273)),N(E1273)&lt;0)),"Réglage invalide",IF(AND(F1273&lt;&gt;"",OR(NOT(ISNUMBER(F1273)),N(F1273)&lt;0)),"Temps par pièce invalide",IF(N(E1273)+N(F1273)=0,"Temps manquant",IF(AND(G1273&lt;&gt;"",OR(NOT(ISNUMBER(G1273)),N(G1273)&lt;=0)),"Opérateurs invalide","OK"))))))))))</f>
        <v/>
      </c>
      <c r="N1273" s="71" t="str">
        <f>IF(AND(fiche_sel&lt;&gt;"",A1273=fiche_sel),COUNTIF(A$6:A1273,fiche_sel),"")</f>
        <v/>
      </c>
    </row>
    <row r="1274">
      <c r="A1274" s="60" t="n"/>
      <c r="B1274" s="73" t="n"/>
      <c r="C1274" s="60" t="n"/>
      <c r="D1274" s="61" t="n"/>
      <c r="E1274" s="74" t="n"/>
      <c r="F1274" s="74" t="n"/>
      <c r="G1274" s="73" t="n"/>
      <c r="H1274" s="66" t="str">
        <f>IF(M1274&lt;&gt;"OK","",INDEX(po_mo,MATCH(D1274,po_code,0)))</f>
        <v/>
      </c>
      <c r="I1274" s="66" t="str">
        <f>IF(M1274&lt;&gt;"OK","",INDEX(po_mac,MATCH(D1274,po_code,0)))</f>
        <v/>
      </c>
      <c r="J1274" s="66" t="str">
        <f>IF(M1274&lt;&gt;"OK","",N(E1274)*(H1274*IF(G1274="",1,G1274)+I1274))</f>
        <v/>
      </c>
      <c r="K1274" s="66" t="str">
        <f>IF(M1274&lt;&gt;"OK","",N(F1274)/60*H1274*IF(G1274="",1,G1274))</f>
        <v/>
      </c>
      <c r="L1274" s="66" t="str">
        <f>IF(M1274&lt;&gt;"OK","",N(F1274)/60*I1274)</f>
        <v/>
      </c>
      <c r="M1274" s="69" t="str">
        <f>IF(AND(A1274="",D1274=""),"",IF(A1274="","Produit manquant",IF(COUNTIF(prod_ref,A1274)=0,"Produit inconnu",IF(D1274="","Poste manquant",IF(ISNA(MATCH(D1274,po_code,0)),"Poste inconnu",IF(INDEX(po_check,MATCH(D1274,po_code,0))&lt;&gt;"OK","Poste à corriger",IF(AND(E1274&lt;&gt;"",OR(NOT(ISNUMBER(E1274)),N(E1274)&lt;0)),"Réglage invalide",IF(AND(F1274&lt;&gt;"",OR(NOT(ISNUMBER(F1274)),N(F1274)&lt;0)),"Temps par pièce invalide",IF(N(E1274)+N(F1274)=0,"Temps manquant",IF(AND(G1274&lt;&gt;"",OR(NOT(ISNUMBER(G1274)),N(G1274)&lt;=0)),"Opérateurs invalide","OK"))))))))))</f>
        <v/>
      </c>
      <c r="N1274" s="71" t="str">
        <f>IF(AND(fiche_sel&lt;&gt;"",A1274=fiche_sel),COUNTIF(A$6:A1274,fiche_sel),"")</f>
        <v/>
      </c>
    </row>
    <row r="1275">
      <c r="A1275" s="60" t="n"/>
      <c r="B1275" s="73" t="n"/>
      <c r="C1275" s="60" t="n"/>
      <c r="D1275" s="61" t="n"/>
      <c r="E1275" s="74" t="n"/>
      <c r="F1275" s="74" t="n"/>
      <c r="G1275" s="73" t="n"/>
      <c r="H1275" s="66" t="str">
        <f>IF(M1275&lt;&gt;"OK","",INDEX(po_mo,MATCH(D1275,po_code,0)))</f>
        <v/>
      </c>
      <c r="I1275" s="66" t="str">
        <f>IF(M1275&lt;&gt;"OK","",INDEX(po_mac,MATCH(D1275,po_code,0)))</f>
        <v/>
      </c>
      <c r="J1275" s="66" t="str">
        <f>IF(M1275&lt;&gt;"OK","",N(E1275)*(H1275*IF(G1275="",1,G1275)+I1275))</f>
        <v/>
      </c>
      <c r="K1275" s="66" t="str">
        <f>IF(M1275&lt;&gt;"OK","",N(F1275)/60*H1275*IF(G1275="",1,G1275))</f>
        <v/>
      </c>
      <c r="L1275" s="66" t="str">
        <f>IF(M1275&lt;&gt;"OK","",N(F1275)/60*I1275)</f>
        <v/>
      </c>
      <c r="M1275" s="69" t="str">
        <f>IF(AND(A1275="",D1275=""),"",IF(A1275="","Produit manquant",IF(COUNTIF(prod_ref,A1275)=0,"Produit inconnu",IF(D1275="","Poste manquant",IF(ISNA(MATCH(D1275,po_code,0)),"Poste inconnu",IF(INDEX(po_check,MATCH(D1275,po_code,0))&lt;&gt;"OK","Poste à corriger",IF(AND(E1275&lt;&gt;"",OR(NOT(ISNUMBER(E1275)),N(E1275)&lt;0)),"Réglage invalide",IF(AND(F1275&lt;&gt;"",OR(NOT(ISNUMBER(F1275)),N(F1275)&lt;0)),"Temps par pièce invalide",IF(N(E1275)+N(F1275)=0,"Temps manquant",IF(AND(G1275&lt;&gt;"",OR(NOT(ISNUMBER(G1275)),N(G1275)&lt;=0)),"Opérateurs invalide","OK"))))))))))</f>
        <v/>
      </c>
      <c r="N1275" s="71" t="str">
        <f>IF(AND(fiche_sel&lt;&gt;"",A1275=fiche_sel),COUNTIF(A$6:A1275,fiche_sel),"")</f>
        <v/>
      </c>
    </row>
    <row r="1276">
      <c r="A1276" s="60" t="n"/>
      <c r="B1276" s="73" t="n"/>
      <c r="C1276" s="60" t="n"/>
      <c r="D1276" s="61" t="n"/>
      <c r="E1276" s="74" t="n"/>
      <c r="F1276" s="74" t="n"/>
      <c r="G1276" s="73" t="n"/>
      <c r="H1276" s="66" t="str">
        <f>IF(M1276&lt;&gt;"OK","",INDEX(po_mo,MATCH(D1276,po_code,0)))</f>
        <v/>
      </c>
      <c r="I1276" s="66" t="str">
        <f>IF(M1276&lt;&gt;"OK","",INDEX(po_mac,MATCH(D1276,po_code,0)))</f>
        <v/>
      </c>
      <c r="J1276" s="66" t="str">
        <f>IF(M1276&lt;&gt;"OK","",N(E1276)*(H1276*IF(G1276="",1,G1276)+I1276))</f>
        <v/>
      </c>
      <c r="K1276" s="66" t="str">
        <f>IF(M1276&lt;&gt;"OK","",N(F1276)/60*H1276*IF(G1276="",1,G1276))</f>
        <v/>
      </c>
      <c r="L1276" s="66" t="str">
        <f>IF(M1276&lt;&gt;"OK","",N(F1276)/60*I1276)</f>
        <v/>
      </c>
      <c r="M1276" s="69" t="str">
        <f>IF(AND(A1276="",D1276=""),"",IF(A1276="","Produit manquant",IF(COUNTIF(prod_ref,A1276)=0,"Produit inconnu",IF(D1276="","Poste manquant",IF(ISNA(MATCH(D1276,po_code,0)),"Poste inconnu",IF(INDEX(po_check,MATCH(D1276,po_code,0))&lt;&gt;"OK","Poste à corriger",IF(AND(E1276&lt;&gt;"",OR(NOT(ISNUMBER(E1276)),N(E1276)&lt;0)),"Réglage invalide",IF(AND(F1276&lt;&gt;"",OR(NOT(ISNUMBER(F1276)),N(F1276)&lt;0)),"Temps par pièce invalide",IF(N(E1276)+N(F1276)=0,"Temps manquant",IF(AND(G1276&lt;&gt;"",OR(NOT(ISNUMBER(G1276)),N(G1276)&lt;=0)),"Opérateurs invalide","OK"))))))))))</f>
        <v/>
      </c>
      <c r="N1276" s="71" t="str">
        <f>IF(AND(fiche_sel&lt;&gt;"",A1276=fiche_sel),COUNTIF(A$6:A1276,fiche_sel),"")</f>
        <v/>
      </c>
    </row>
    <row r="1277">
      <c r="A1277" s="60" t="n"/>
      <c r="B1277" s="73" t="n"/>
      <c r="C1277" s="60" t="n"/>
      <c r="D1277" s="61" t="n"/>
      <c r="E1277" s="74" t="n"/>
      <c r="F1277" s="74" t="n"/>
      <c r="G1277" s="73" t="n"/>
      <c r="H1277" s="66" t="str">
        <f>IF(M1277&lt;&gt;"OK","",INDEX(po_mo,MATCH(D1277,po_code,0)))</f>
        <v/>
      </c>
      <c r="I1277" s="66" t="str">
        <f>IF(M1277&lt;&gt;"OK","",INDEX(po_mac,MATCH(D1277,po_code,0)))</f>
        <v/>
      </c>
      <c r="J1277" s="66" t="str">
        <f>IF(M1277&lt;&gt;"OK","",N(E1277)*(H1277*IF(G1277="",1,G1277)+I1277))</f>
        <v/>
      </c>
      <c r="K1277" s="66" t="str">
        <f>IF(M1277&lt;&gt;"OK","",N(F1277)/60*H1277*IF(G1277="",1,G1277))</f>
        <v/>
      </c>
      <c r="L1277" s="66" t="str">
        <f>IF(M1277&lt;&gt;"OK","",N(F1277)/60*I1277)</f>
        <v/>
      </c>
      <c r="M1277" s="69" t="str">
        <f>IF(AND(A1277="",D1277=""),"",IF(A1277="","Produit manquant",IF(COUNTIF(prod_ref,A1277)=0,"Produit inconnu",IF(D1277="","Poste manquant",IF(ISNA(MATCH(D1277,po_code,0)),"Poste inconnu",IF(INDEX(po_check,MATCH(D1277,po_code,0))&lt;&gt;"OK","Poste à corriger",IF(AND(E1277&lt;&gt;"",OR(NOT(ISNUMBER(E1277)),N(E1277)&lt;0)),"Réglage invalide",IF(AND(F1277&lt;&gt;"",OR(NOT(ISNUMBER(F1277)),N(F1277)&lt;0)),"Temps par pièce invalide",IF(N(E1277)+N(F1277)=0,"Temps manquant",IF(AND(G1277&lt;&gt;"",OR(NOT(ISNUMBER(G1277)),N(G1277)&lt;=0)),"Opérateurs invalide","OK"))))))))))</f>
        <v/>
      </c>
      <c r="N1277" s="71" t="str">
        <f>IF(AND(fiche_sel&lt;&gt;"",A1277=fiche_sel),COUNTIF(A$6:A1277,fiche_sel),"")</f>
        <v/>
      </c>
    </row>
    <row r="1278">
      <c r="A1278" s="60" t="n"/>
      <c r="B1278" s="73" t="n"/>
      <c r="C1278" s="60" t="n"/>
      <c r="D1278" s="61" t="n"/>
      <c r="E1278" s="74" t="n"/>
      <c r="F1278" s="74" t="n"/>
      <c r="G1278" s="73" t="n"/>
      <c r="H1278" s="66" t="str">
        <f>IF(M1278&lt;&gt;"OK","",INDEX(po_mo,MATCH(D1278,po_code,0)))</f>
        <v/>
      </c>
      <c r="I1278" s="66" t="str">
        <f>IF(M1278&lt;&gt;"OK","",INDEX(po_mac,MATCH(D1278,po_code,0)))</f>
        <v/>
      </c>
      <c r="J1278" s="66" t="str">
        <f>IF(M1278&lt;&gt;"OK","",N(E1278)*(H1278*IF(G1278="",1,G1278)+I1278))</f>
        <v/>
      </c>
      <c r="K1278" s="66" t="str">
        <f>IF(M1278&lt;&gt;"OK","",N(F1278)/60*H1278*IF(G1278="",1,G1278))</f>
        <v/>
      </c>
      <c r="L1278" s="66" t="str">
        <f>IF(M1278&lt;&gt;"OK","",N(F1278)/60*I1278)</f>
        <v/>
      </c>
      <c r="M1278" s="69" t="str">
        <f>IF(AND(A1278="",D1278=""),"",IF(A1278="","Produit manquant",IF(COUNTIF(prod_ref,A1278)=0,"Produit inconnu",IF(D1278="","Poste manquant",IF(ISNA(MATCH(D1278,po_code,0)),"Poste inconnu",IF(INDEX(po_check,MATCH(D1278,po_code,0))&lt;&gt;"OK","Poste à corriger",IF(AND(E1278&lt;&gt;"",OR(NOT(ISNUMBER(E1278)),N(E1278)&lt;0)),"Réglage invalide",IF(AND(F1278&lt;&gt;"",OR(NOT(ISNUMBER(F1278)),N(F1278)&lt;0)),"Temps par pièce invalide",IF(N(E1278)+N(F1278)=0,"Temps manquant",IF(AND(G1278&lt;&gt;"",OR(NOT(ISNUMBER(G1278)),N(G1278)&lt;=0)),"Opérateurs invalide","OK"))))))))))</f>
        <v/>
      </c>
      <c r="N1278" s="71" t="str">
        <f>IF(AND(fiche_sel&lt;&gt;"",A1278=fiche_sel),COUNTIF(A$6:A1278,fiche_sel),"")</f>
        <v/>
      </c>
    </row>
    <row r="1279">
      <c r="A1279" s="60" t="n"/>
      <c r="B1279" s="73" t="n"/>
      <c r="C1279" s="60" t="n"/>
      <c r="D1279" s="61" t="n"/>
      <c r="E1279" s="74" t="n"/>
      <c r="F1279" s="74" t="n"/>
      <c r="G1279" s="73" t="n"/>
      <c r="H1279" s="66" t="str">
        <f>IF(M1279&lt;&gt;"OK","",INDEX(po_mo,MATCH(D1279,po_code,0)))</f>
        <v/>
      </c>
      <c r="I1279" s="66" t="str">
        <f>IF(M1279&lt;&gt;"OK","",INDEX(po_mac,MATCH(D1279,po_code,0)))</f>
        <v/>
      </c>
      <c r="J1279" s="66" t="str">
        <f>IF(M1279&lt;&gt;"OK","",N(E1279)*(H1279*IF(G1279="",1,G1279)+I1279))</f>
        <v/>
      </c>
      <c r="K1279" s="66" t="str">
        <f>IF(M1279&lt;&gt;"OK","",N(F1279)/60*H1279*IF(G1279="",1,G1279))</f>
        <v/>
      </c>
      <c r="L1279" s="66" t="str">
        <f>IF(M1279&lt;&gt;"OK","",N(F1279)/60*I1279)</f>
        <v/>
      </c>
      <c r="M1279" s="69" t="str">
        <f>IF(AND(A1279="",D1279=""),"",IF(A1279="","Produit manquant",IF(COUNTIF(prod_ref,A1279)=0,"Produit inconnu",IF(D1279="","Poste manquant",IF(ISNA(MATCH(D1279,po_code,0)),"Poste inconnu",IF(INDEX(po_check,MATCH(D1279,po_code,0))&lt;&gt;"OK","Poste à corriger",IF(AND(E1279&lt;&gt;"",OR(NOT(ISNUMBER(E1279)),N(E1279)&lt;0)),"Réglage invalide",IF(AND(F1279&lt;&gt;"",OR(NOT(ISNUMBER(F1279)),N(F1279)&lt;0)),"Temps par pièce invalide",IF(N(E1279)+N(F1279)=0,"Temps manquant",IF(AND(G1279&lt;&gt;"",OR(NOT(ISNUMBER(G1279)),N(G1279)&lt;=0)),"Opérateurs invalide","OK"))))))))))</f>
        <v/>
      </c>
      <c r="N1279" s="71" t="str">
        <f>IF(AND(fiche_sel&lt;&gt;"",A1279=fiche_sel),COUNTIF(A$6:A1279,fiche_sel),"")</f>
        <v/>
      </c>
    </row>
    <row r="1280">
      <c r="A1280" s="60" t="n"/>
      <c r="B1280" s="73" t="n"/>
      <c r="C1280" s="60" t="n"/>
      <c r="D1280" s="61" t="n"/>
      <c r="E1280" s="74" t="n"/>
      <c r="F1280" s="74" t="n"/>
      <c r="G1280" s="73" t="n"/>
      <c r="H1280" s="66" t="str">
        <f>IF(M1280&lt;&gt;"OK","",INDEX(po_mo,MATCH(D1280,po_code,0)))</f>
        <v/>
      </c>
      <c r="I1280" s="66" t="str">
        <f>IF(M1280&lt;&gt;"OK","",INDEX(po_mac,MATCH(D1280,po_code,0)))</f>
        <v/>
      </c>
      <c r="J1280" s="66" t="str">
        <f>IF(M1280&lt;&gt;"OK","",N(E1280)*(H1280*IF(G1280="",1,G1280)+I1280))</f>
        <v/>
      </c>
      <c r="K1280" s="66" t="str">
        <f>IF(M1280&lt;&gt;"OK","",N(F1280)/60*H1280*IF(G1280="",1,G1280))</f>
        <v/>
      </c>
      <c r="L1280" s="66" t="str">
        <f>IF(M1280&lt;&gt;"OK","",N(F1280)/60*I1280)</f>
        <v/>
      </c>
      <c r="M1280" s="69" t="str">
        <f>IF(AND(A1280="",D1280=""),"",IF(A1280="","Produit manquant",IF(COUNTIF(prod_ref,A1280)=0,"Produit inconnu",IF(D1280="","Poste manquant",IF(ISNA(MATCH(D1280,po_code,0)),"Poste inconnu",IF(INDEX(po_check,MATCH(D1280,po_code,0))&lt;&gt;"OK","Poste à corriger",IF(AND(E1280&lt;&gt;"",OR(NOT(ISNUMBER(E1280)),N(E1280)&lt;0)),"Réglage invalide",IF(AND(F1280&lt;&gt;"",OR(NOT(ISNUMBER(F1280)),N(F1280)&lt;0)),"Temps par pièce invalide",IF(N(E1280)+N(F1280)=0,"Temps manquant",IF(AND(G1280&lt;&gt;"",OR(NOT(ISNUMBER(G1280)),N(G1280)&lt;=0)),"Opérateurs invalide","OK"))))))))))</f>
        <v/>
      </c>
      <c r="N1280" s="71" t="str">
        <f>IF(AND(fiche_sel&lt;&gt;"",A1280=fiche_sel),COUNTIF(A$6:A1280,fiche_sel),"")</f>
        <v/>
      </c>
    </row>
    <row r="1281">
      <c r="A1281" s="60" t="n"/>
      <c r="B1281" s="73" t="n"/>
      <c r="C1281" s="60" t="n"/>
      <c r="D1281" s="61" t="n"/>
      <c r="E1281" s="74" t="n"/>
      <c r="F1281" s="74" t="n"/>
      <c r="G1281" s="73" t="n"/>
      <c r="H1281" s="66" t="str">
        <f>IF(M1281&lt;&gt;"OK","",INDEX(po_mo,MATCH(D1281,po_code,0)))</f>
        <v/>
      </c>
      <c r="I1281" s="66" t="str">
        <f>IF(M1281&lt;&gt;"OK","",INDEX(po_mac,MATCH(D1281,po_code,0)))</f>
        <v/>
      </c>
      <c r="J1281" s="66" t="str">
        <f>IF(M1281&lt;&gt;"OK","",N(E1281)*(H1281*IF(G1281="",1,G1281)+I1281))</f>
        <v/>
      </c>
      <c r="K1281" s="66" t="str">
        <f>IF(M1281&lt;&gt;"OK","",N(F1281)/60*H1281*IF(G1281="",1,G1281))</f>
        <v/>
      </c>
      <c r="L1281" s="66" t="str">
        <f>IF(M1281&lt;&gt;"OK","",N(F1281)/60*I1281)</f>
        <v/>
      </c>
      <c r="M1281" s="69" t="str">
        <f>IF(AND(A1281="",D1281=""),"",IF(A1281="","Produit manquant",IF(COUNTIF(prod_ref,A1281)=0,"Produit inconnu",IF(D1281="","Poste manquant",IF(ISNA(MATCH(D1281,po_code,0)),"Poste inconnu",IF(INDEX(po_check,MATCH(D1281,po_code,0))&lt;&gt;"OK","Poste à corriger",IF(AND(E1281&lt;&gt;"",OR(NOT(ISNUMBER(E1281)),N(E1281)&lt;0)),"Réglage invalide",IF(AND(F1281&lt;&gt;"",OR(NOT(ISNUMBER(F1281)),N(F1281)&lt;0)),"Temps par pièce invalide",IF(N(E1281)+N(F1281)=0,"Temps manquant",IF(AND(G1281&lt;&gt;"",OR(NOT(ISNUMBER(G1281)),N(G1281)&lt;=0)),"Opérateurs invalide","OK"))))))))))</f>
        <v/>
      </c>
      <c r="N1281" s="71" t="str">
        <f>IF(AND(fiche_sel&lt;&gt;"",A1281=fiche_sel),COUNTIF(A$6:A1281,fiche_sel),"")</f>
        <v/>
      </c>
    </row>
    <row r="1282">
      <c r="A1282" s="60" t="n"/>
      <c r="B1282" s="73" t="n"/>
      <c r="C1282" s="60" t="n"/>
      <c r="D1282" s="61" t="n"/>
      <c r="E1282" s="74" t="n"/>
      <c r="F1282" s="74" t="n"/>
      <c r="G1282" s="73" t="n"/>
      <c r="H1282" s="66" t="str">
        <f>IF(M1282&lt;&gt;"OK","",INDEX(po_mo,MATCH(D1282,po_code,0)))</f>
        <v/>
      </c>
      <c r="I1282" s="66" t="str">
        <f>IF(M1282&lt;&gt;"OK","",INDEX(po_mac,MATCH(D1282,po_code,0)))</f>
        <v/>
      </c>
      <c r="J1282" s="66" t="str">
        <f>IF(M1282&lt;&gt;"OK","",N(E1282)*(H1282*IF(G1282="",1,G1282)+I1282))</f>
        <v/>
      </c>
      <c r="K1282" s="66" t="str">
        <f>IF(M1282&lt;&gt;"OK","",N(F1282)/60*H1282*IF(G1282="",1,G1282))</f>
        <v/>
      </c>
      <c r="L1282" s="66" t="str">
        <f>IF(M1282&lt;&gt;"OK","",N(F1282)/60*I1282)</f>
        <v/>
      </c>
      <c r="M1282" s="69" t="str">
        <f>IF(AND(A1282="",D1282=""),"",IF(A1282="","Produit manquant",IF(COUNTIF(prod_ref,A1282)=0,"Produit inconnu",IF(D1282="","Poste manquant",IF(ISNA(MATCH(D1282,po_code,0)),"Poste inconnu",IF(INDEX(po_check,MATCH(D1282,po_code,0))&lt;&gt;"OK","Poste à corriger",IF(AND(E1282&lt;&gt;"",OR(NOT(ISNUMBER(E1282)),N(E1282)&lt;0)),"Réglage invalide",IF(AND(F1282&lt;&gt;"",OR(NOT(ISNUMBER(F1282)),N(F1282)&lt;0)),"Temps par pièce invalide",IF(N(E1282)+N(F1282)=0,"Temps manquant",IF(AND(G1282&lt;&gt;"",OR(NOT(ISNUMBER(G1282)),N(G1282)&lt;=0)),"Opérateurs invalide","OK"))))))))))</f>
        <v/>
      </c>
      <c r="N1282" s="71" t="str">
        <f>IF(AND(fiche_sel&lt;&gt;"",A1282=fiche_sel),COUNTIF(A$6:A1282,fiche_sel),"")</f>
        <v/>
      </c>
    </row>
    <row r="1283">
      <c r="A1283" s="60" t="n"/>
      <c r="B1283" s="73" t="n"/>
      <c r="C1283" s="60" t="n"/>
      <c r="D1283" s="61" t="n"/>
      <c r="E1283" s="74" t="n"/>
      <c r="F1283" s="74" t="n"/>
      <c r="G1283" s="73" t="n"/>
      <c r="H1283" s="66" t="str">
        <f>IF(M1283&lt;&gt;"OK","",INDEX(po_mo,MATCH(D1283,po_code,0)))</f>
        <v/>
      </c>
      <c r="I1283" s="66" t="str">
        <f>IF(M1283&lt;&gt;"OK","",INDEX(po_mac,MATCH(D1283,po_code,0)))</f>
        <v/>
      </c>
      <c r="J1283" s="66" t="str">
        <f>IF(M1283&lt;&gt;"OK","",N(E1283)*(H1283*IF(G1283="",1,G1283)+I1283))</f>
        <v/>
      </c>
      <c r="K1283" s="66" t="str">
        <f>IF(M1283&lt;&gt;"OK","",N(F1283)/60*H1283*IF(G1283="",1,G1283))</f>
        <v/>
      </c>
      <c r="L1283" s="66" t="str">
        <f>IF(M1283&lt;&gt;"OK","",N(F1283)/60*I1283)</f>
        <v/>
      </c>
      <c r="M1283" s="69" t="str">
        <f>IF(AND(A1283="",D1283=""),"",IF(A1283="","Produit manquant",IF(COUNTIF(prod_ref,A1283)=0,"Produit inconnu",IF(D1283="","Poste manquant",IF(ISNA(MATCH(D1283,po_code,0)),"Poste inconnu",IF(INDEX(po_check,MATCH(D1283,po_code,0))&lt;&gt;"OK","Poste à corriger",IF(AND(E1283&lt;&gt;"",OR(NOT(ISNUMBER(E1283)),N(E1283)&lt;0)),"Réglage invalide",IF(AND(F1283&lt;&gt;"",OR(NOT(ISNUMBER(F1283)),N(F1283)&lt;0)),"Temps par pièce invalide",IF(N(E1283)+N(F1283)=0,"Temps manquant",IF(AND(G1283&lt;&gt;"",OR(NOT(ISNUMBER(G1283)),N(G1283)&lt;=0)),"Opérateurs invalide","OK"))))))))))</f>
        <v/>
      </c>
      <c r="N1283" s="71" t="str">
        <f>IF(AND(fiche_sel&lt;&gt;"",A1283=fiche_sel),COUNTIF(A$6:A1283,fiche_sel),"")</f>
        <v/>
      </c>
    </row>
    <row r="1284">
      <c r="A1284" s="60" t="n"/>
      <c r="B1284" s="73" t="n"/>
      <c r="C1284" s="60" t="n"/>
      <c r="D1284" s="61" t="n"/>
      <c r="E1284" s="74" t="n"/>
      <c r="F1284" s="74" t="n"/>
      <c r="G1284" s="73" t="n"/>
      <c r="H1284" s="66" t="str">
        <f>IF(M1284&lt;&gt;"OK","",INDEX(po_mo,MATCH(D1284,po_code,0)))</f>
        <v/>
      </c>
      <c r="I1284" s="66" t="str">
        <f>IF(M1284&lt;&gt;"OK","",INDEX(po_mac,MATCH(D1284,po_code,0)))</f>
        <v/>
      </c>
      <c r="J1284" s="66" t="str">
        <f>IF(M1284&lt;&gt;"OK","",N(E1284)*(H1284*IF(G1284="",1,G1284)+I1284))</f>
        <v/>
      </c>
      <c r="K1284" s="66" t="str">
        <f>IF(M1284&lt;&gt;"OK","",N(F1284)/60*H1284*IF(G1284="",1,G1284))</f>
        <v/>
      </c>
      <c r="L1284" s="66" t="str">
        <f>IF(M1284&lt;&gt;"OK","",N(F1284)/60*I1284)</f>
        <v/>
      </c>
      <c r="M1284" s="69" t="str">
        <f>IF(AND(A1284="",D1284=""),"",IF(A1284="","Produit manquant",IF(COUNTIF(prod_ref,A1284)=0,"Produit inconnu",IF(D1284="","Poste manquant",IF(ISNA(MATCH(D1284,po_code,0)),"Poste inconnu",IF(INDEX(po_check,MATCH(D1284,po_code,0))&lt;&gt;"OK","Poste à corriger",IF(AND(E1284&lt;&gt;"",OR(NOT(ISNUMBER(E1284)),N(E1284)&lt;0)),"Réglage invalide",IF(AND(F1284&lt;&gt;"",OR(NOT(ISNUMBER(F1284)),N(F1284)&lt;0)),"Temps par pièce invalide",IF(N(E1284)+N(F1284)=0,"Temps manquant",IF(AND(G1284&lt;&gt;"",OR(NOT(ISNUMBER(G1284)),N(G1284)&lt;=0)),"Opérateurs invalide","OK"))))))))))</f>
        <v/>
      </c>
      <c r="N1284" s="71" t="str">
        <f>IF(AND(fiche_sel&lt;&gt;"",A1284=fiche_sel),COUNTIF(A$6:A1284,fiche_sel),"")</f>
        <v/>
      </c>
    </row>
    <row r="1285">
      <c r="A1285" s="60" t="n"/>
      <c r="B1285" s="73" t="n"/>
      <c r="C1285" s="60" t="n"/>
      <c r="D1285" s="61" t="n"/>
      <c r="E1285" s="74" t="n"/>
      <c r="F1285" s="74" t="n"/>
      <c r="G1285" s="73" t="n"/>
      <c r="H1285" s="66" t="str">
        <f>IF(M1285&lt;&gt;"OK","",INDEX(po_mo,MATCH(D1285,po_code,0)))</f>
        <v/>
      </c>
      <c r="I1285" s="66" t="str">
        <f>IF(M1285&lt;&gt;"OK","",INDEX(po_mac,MATCH(D1285,po_code,0)))</f>
        <v/>
      </c>
      <c r="J1285" s="66" t="str">
        <f>IF(M1285&lt;&gt;"OK","",N(E1285)*(H1285*IF(G1285="",1,G1285)+I1285))</f>
        <v/>
      </c>
      <c r="K1285" s="66" t="str">
        <f>IF(M1285&lt;&gt;"OK","",N(F1285)/60*H1285*IF(G1285="",1,G1285))</f>
        <v/>
      </c>
      <c r="L1285" s="66" t="str">
        <f>IF(M1285&lt;&gt;"OK","",N(F1285)/60*I1285)</f>
        <v/>
      </c>
      <c r="M1285" s="69" t="str">
        <f>IF(AND(A1285="",D1285=""),"",IF(A1285="","Produit manquant",IF(COUNTIF(prod_ref,A1285)=0,"Produit inconnu",IF(D1285="","Poste manquant",IF(ISNA(MATCH(D1285,po_code,0)),"Poste inconnu",IF(INDEX(po_check,MATCH(D1285,po_code,0))&lt;&gt;"OK","Poste à corriger",IF(AND(E1285&lt;&gt;"",OR(NOT(ISNUMBER(E1285)),N(E1285)&lt;0)),"Réglage invalide",IF(AND(F1285&lt;&gt;"",OR(NOT(ISNUMBER(F1285)),N(F1285)&lt;0)),"Temps par pièce invalide",IF(N(E1285)+N(F1285)=0,"Temps manquant",IF(AND(G1285&lt;&gt;"",OR(NOT(ISNUMBER(G1285)),N(G1285)&lt;=0)),"Opérateurs invalide","OK"))))))))))</f>
        <v/>
      </c>
      <c r="N1285" s="71" t="str">
        <f>IF(AND(fiche_sel&lt;&gt;"",A1285=fiche_sel),COUNTIF(A$6:A1285,fiche_sel),"")</f>
        <v/>
      </c>
    </row>
    <row r="1286">
      <c r="A1286" s="60" t="n"/>
      <c r="B1286" s="73" t="n"/>
      <c r="C1286" s="60" t="n"/>
      <c r="D1286" s="61" t="n"/>
      <c r="E1286" s="74" t="n"/>
      <c r="F1286" s="74" t="n"/>
      <c r="G1286" s="73" t="n"/>
      <c r="H1286" s="66" t="str">
        <f>IF(M1286&lt;&gt;"OK","",INDEX(po_mo,MATCH(D1286,po_code,0)))</f>
        <v/>
      </c>
      <c r="I1286" s="66" t="str">
        <f>IF(M1286&lt;&gt;"OK","",INDEX(po_mac,MATCH(D1286,po_code,0)))</f>
        <v/>
      </c>
      <c r="J1286" s="66" t="str">
        <f>IF(M1286&lt;&gt;"OK","",N(E1286)*(H1286*IF(G1286="",1,G1286)+I1286))</f>
        <v/>
      </c>
      <c r="K1286" s="66" t="str">
        <f>IF(M1286&lt;&gt;"OK","",N(F1286)/60*H1286*IF(G1286="",1,G1286))</f>
        <v/>
      </c>
      <c r="L1286" s="66" t="str">
        <f>IF(M1286&lt;&gt;"OK","",N(F1286)/60*I1286)</f>
        <v/>
      </c>
      <c r="M1286" s="69" t="str">
        <f>IF(AND(A1286="",D1286=""),"",IF(A1286="","Produit manquant",IF(COUNTIF(prod_ref,A1286)=0,"Produit inconnu",IF(D1286="","Poste manquant",IF(ISNA(MATCH(D1286,po_code,0)),"Poste inconnu",IF(INDEX(po_check,MATCH(D1286,po_code,0))&lt;&gt;"OK","Poste à corriger",IF(AND(E1286&lt;&gt;"",OR(NOT(ISNUMBER(E1286)),N(E1286)&lt;0)),"Réglage invalide",IF(AND(F1286&lt;&gt;"",OR(NOT(ISNUMBER(F1286)),N(F1286)&lt;0)),"Temps par pièce invalide",IF(N(E1286)+N(F1286)=0,"Temps manquant",IF(AND(G1286&lt;&gt;"",OR(NOT(ISNUMBER(G1286)),N(G1286)&lt;=0)),"Opérateurs invalide","OK"))))))))))</f>
        <v/>
      </c>
      <c r="N1286" s="71" t="str">
        <f>IF(AND(fiche_sel&lt;&gt;"",A1286=fiche_sel),COUNTIF(A$6:A1286,fiche_sel),"")</f>
        <v/>
      </c>
    </row>
    <row r="1287">
      <c r="A1287" s="60" t="n"/>
      <c r="B1287" s="73" t="n"/>
      <c r="C1287" s="60" t="n"/>
      <c r="D1287" s="61" t="n"/>
      <c r="E1287" s="74" t="n"/>
      <c r="F1287" s="74" t="n"/>
      <c r="G1287" s="73" t="n"/>
      <c r="H1287" s="66" t="str">
        <f>IF(M1287&lt;&gt;"OK","",INDEX(po_mo,MATCH(D1287,po_code,0)))</f>
        <v/>
      </c>
      <c r="I1287" s="66" t="str">
        <f>IF(M1287&lt;&gt;"OK","",INDEX(po_mac,MATCH(D1287,po_code,0)))</f>
        <v/>
      </c>
      <c r="J1287" s="66" t="str">
        <f>IF(M1287&lt;&gt;"OK","",N(E1287)*(H1287*IF(G1287="",1,G1287)+I1287))</f>
        <v/>
      </c>
      <c r="K1287" s="66" t="str">
        <f>IF(M1287&lt;&gt;"OK","",N(F1287)/60*H1287*IF(G1287="",1,G1287))</f>
        <v/>
      </c>
      <c r="L1287" s="66" t="str">
        <f>IF(M1287&lt;&gt;"OK","",N(F1287)/60*I1287)</f>
        <v/>
      </c>
      <c r="M1287" s="69" t="str">
        <f>IF(AND(A1287="",D1287=""),"",IF(A1287="","Produit manquant",IF(COUNTIF(prod_ref,A1287)=0,"Produit inconnu",IF(D1287="","Poste manquant",IF(ISNA(MATCH(D1287,po_code,0)),"Poste inconnu",IF(INDEX(po_check,MATCH(D1287,po_code,0))&lt;&gt;"OK","Poste à corriger",IF(AND(E1287&lt;&gt;"",OR(NOT(ISNUMBER(E1287)),N(E1287)&lt;0)),"Réglage invalide",IF(AND(F1287&lt;&gt;"",OR(NOT(ISNUMBER(F1287)),N(F1287)&lt;0)),"Temps par pièce invalide",IF(N(E1287)+N(F1287)=0,"Temps manquant",IF(AND(G1287&lt;&gt;"",OR(NOT(ISNUMBER(G1287)),N(G1287)&lt;=0)),"Opérateurs invalide","OK"))))))))))</f>
        <v/>
      </c>
      <c r="N1287" s="71" t="str">
        <f>IF(AND(fiche_sel&lt;&gt;"",A1287=fiche_sel),COUNTIF(A$6:A1287,fiche_sel),"")</f>
        <v/>
      </c>
    </row>
    <row r="1288">
      <c r="A1288" s="60" t="n"/>
      <c r="B1288" s="73" t="n"/>
      <c r="C1288" s="60" t="n"/>
      <c r="D1288" s="61" t="n"/>
      <c r="E1288" s="74" t="n"/>
      <c r="F1288" s="74" t="n"/>
      <c r="G1288" s="73" t="n"/>
      <c r="H1288" s="66" t="str">
        <f>IF(M1288&lt;&gt;"OK","",INDEX(po_mo,MATCH(D1288,po_code,0)))</f>
        <v/>
      </c>
      <c r="I1288" s="66" t="str">
        <f>IF(M1288&lt;&gt;"OK","",INDEX(po_mac,MATCH(D1288,po_code,0)))</f>
        <v/>
      </c>
      <c r="J1288" s="66" t="str">
        <f>IF(M1288&lt;&gt;"OK","",N(E1288)*(H1288*IF(G1288="",1,G1288)+I1288))</f>
        <v/>
      </c>
      <c r="K1288" s="66" t="str">
        <f>IF(M1288&lt;&gt;"OK","",N(F1288)/60*H1288*IF(G1288="",1,G1288))</f>
        <v/>
      </c>
      <c r="L1288" s="66" t="str">
        <f>IF(M1288&lt;&gt;"OK","",N(F1288)/60*I1288)</f>
        <v/>
      </c>
      <c r="M1288" s="69" t="str">
        <f>IF(AND(A1288="",D1288=""),"",IF(A1288="","Produit manquant",IF(COUNTIF(prod_ref,A1288)=0,"Produit inconnu",IF(D1288="","Poste manquant",IF(ISNA(MATCH(D1288,po_code,0)),"Poste inconnu",IF(INDEX(po_check,MATCH(D1288,po_code,0))&lt;&gt;"OK","Poste à corriger",IF(AND(E1288&lt;&gt;"",OR(NOT(ISNUMBER(E1288)),N(E1288)&lt;0)),"Réglage invalide",IF(AND(F1288&lt;&gt;"",OR(NOT(ISNUMBER(F1288)),N(F1288)&lt;0)),"Temps par pièce invalide",IF(N(E1288)+N(F1288)=0,"Temps manquant",IF(AND(G1288&lt;&gt;"",OR(NOT(ISNUMBER(G1288)),N(G1288)&lt;=0)),"Opérateurs invalide","OK"))))))))))</f>
        <v/>
      </c>
      <c r="N1288" s="71" t="str">
        <f>IF(AND(fiche_sel&lt;&gt;"",A1288=fiche_sel),COUNTIF(A$6:A1288,fiche_sel),"")</f>
        <v/>
      </c>
    </row>
    <row r="1289">
      <c r="A1289" s="60" t="n"/>
      <c r="B1289" s="73" t="n"/>
      <c r="C1289" s="60" t="n"/>
      <c r="D1289" s="61" t="n"/>
      <c r="E1289" s="74" t="n"/>
      <c r="F1289" s="74" t="n"/>
      <c r="G1289" s="73" t="n"/>
      <c r="H1289" s="66" t="str">
        <f>IF(M1289&lt;&gt;"OK","",INDEX(po_mo,MATCH(D1289,po_code,0)))</f>
        <v/>
      </c>
      <c r="I1289" s="66" t="str">
        <f>IF(M1289&lt;&gt;"OK","",INDEX(po_mac,MATCH(D1289,po_code,0)))</f>
        <v/>
      </c>
      <c r="J1289" s="66" t="str">
        <f>IF(M1289&lt;&gt;"OK","",N(E1289)*(H1289*IF(G1289="",1,G1289)+I1289))</f>
        <v/>
      </c>
      <c r="K1289" s="66" t="str">
        <f>IF(M1289&lt;&gt;"OK","",N(F1289)/60*H1289*IF(G1289="",1,G1289))</f>
        <v/>
      </c>
      <c r="L1289" s="66" t="str">
        <f>IF(M1289&lt;&gt;"OK","",N(F1289)/60*I1289)</f>
        <v/>
      </c>
      <c r="M1289" s="69" t="str">
        <f>IF(AND(A1289="",D1289=""),"",IF(A1289="","Produit manquant",IF(COUNTIF(prod_ref,A1289)=0,"Produit inconnu",IF(D1289="","Poste manquant",IF(ISNA(MATCH(D1289,po_code,0)),"Poste inconnu",IF(INDEX(po_check,MATCH(D1289,po_code,0))&lt;&gt;"OK","Poste à corriger",IF(AND(E1289&lt;&gt;"",OR(NOT(ISNUMBER(E1289)),N(E1289)&lt;0)),"Réglage invalide",IF(AND(F1289&lt;&gt;"",OR(NOT(ISNUMBER(F1289)),N(F1289)&lt;0)),"Temps par pièce invalide",IF(N(E1289)+N(F1289)=0,"Temps manquant",IF(AND(G1289&lt;&gt;"",OR(NOT(ISNUMBER(G1289)),N(G1289)&lt;=0)),"Opérateurs invalide","OK"))))))))))</f>
        <v/>
      </c>
      <c r="N1289" s="71" t="str">
        <f>IF(AND(fiche_sel&lt;&gt;"",A1289=fiche_sel),COUNTIF(A$6:A1289,fiche_sel),"")</f>
        <v/>
      </c>
    </row>
    <row r="1290">
      <c r="A1290" s="60" t="n"/>
      <c r="B1290" s="73" t="n"/>
      <c r="C1290" s="60" t="n"/>
      <c r="D1290" s="61" t="n"/>
      <c r="E1290" s="74" t="n"/>
      <c r="F1290" s="74" t="n"/>
      <c r="G1290" s="73" t="n"/>
      <c r="H1290" s="66" t="str">
        <f>IF(M1290&lt;&gt;"OK","",INDEX(po_mo,MATCH(D1290,po_code,0)))</f>
        <v/>
      </c>
      <c r="I1290" s="66" t="str">
        <f>IF(M1290&lt;&gt;"OK","",INDEX(po_mac,MATCH(D1290,po_code,0)))</f>
        <v/>
      </c>
      <c r="J1290" s="66" t="str">
        <f>IF(M1290&lt;&gt;"OK","",N(E1290)*(H1290*IF(G1290="",1,G1290)+I1290))</f>
        <v/>
      </c>
      <c r="K1290" s="66" t="str">
        <f>IF(M1290&lt;&gt;"OK","",N(F1290)/60*H1290*IF(G1290="",1,G1290))</f>
        <v/>
      </c>
      <c r="L1290" s="66" t="str">
        <f>IF(M1290&lt;&gt;"OK","",N(F1290)/60*I1290)</f>
        <v/>
      </c>
      <c r="M1290" s="69" t="str">
        <f>IF(AND(A1290="",D1290=""),"",IF(A1290="","Produit manquant",IF(COUNTIF(prod_ref,A1290)=0,"Produit inconnu",IF(D1290="","Poste manquant",IF(ISNA(MATCH(D1290,po_code,0)),"Poste inconnu",IF(INDEX(po_check,MATCH(D1290,po_code,0))&lt;&gt;"OK","Poste à corriger",IF(AND(E1290&lt;&gt;"",OR(NOT(ISNUMBER(E1290)),N(E1290)&lt;0)),"Réglage invalide",IF(AND(F1290&lt;&gt;"",OR(NOT(ISNUMBER(F1290)),N(F1290)&lt;0)),"Temps par pièce invalide",IF(N(E1290)+N(F1290)=0,"Temps manquant",IF(AND(G1290&lt;&gt;"",OR(NOT(ISNUMBER(G1290)),N(G1290)&lt;=0)),"Opérateurs invalide","OK"))))))))))</f>
        <v/>
      </c>
      <c r="N1290" s="71" t="str">
        <f>IF(AND(fiche_sel&lt;&gt;"",A1290=fiche_sel),COUNTIF(A$6:A1290,fiche_sel),"")</f>
        <v/>
      </c>
    </row>
    <row r="1291">
      <c r="A1291" s="60" t="n"/>
      <c r="B1291" s="73" t="n"/>
      <c r="C1291" s="60" t="n"/>
      <c r="D1291" s="61" t="n"/>
      <c r="E1291" s="74" t="n"/>
      <c r="F1291" s="74" t="n"/>
      <c r="G1291" s="73" t="n"/>
      <c r="H1291" s="66" t="str">
        <f>IF(M1291&lt;&gt;"OK","",INDEX(po_mo,MATCH(D1291,po_code,0)))</f>
        <v/>
      </c>
      <c r="I1291" s="66" t="str">
        <f>IF(M1291&lt;&gt;"OK","",INDEX(po_mac,MATCH(D1291,po_code,0)))</f>
        <v/>
      </c>
      <c r="J1291" s="66" t="str">
        <f>IF(M1291&lt;&gt;"OK","",N(E1291)*(H1291*IF(G1291="",1,G1291)+I1291))</f>
        <v/>
      </c>
      <c r="K1291" s="66" t="str">
        <f>IF(M1291&lt;&gt;"OK","",N(F1291)/60*H1291*IF(G1291="",1,G1291))</f>
        <v/>
      </c>
      <c r="L1291" s="66" t="str">
        <f>IF(M1291&lt;&gt;"OK","",N(F1291)/60*I1291)</f>
        <v/>
      </c>
      <c r="M1291" s="69" t="str">
        <f>IF(AND(A1291="",D1291=""),"",IF(A1291="","Produit manquant",IF(COUNTIF(prod_ref,A1291)=0,"Produit inconnu",IF(D1291="","Poste manquant",IF(ISNA(MATCH(D1291,po_code,0)),"Poste inconnu",IF(INDEX(po_check,MATCH(D1291,po_code,0))&lt;&gt;"OK","Poste à corriger",IF(AND(E1291&lt;&gt;"",OR(NOT(ISNUMBER(E1291)),N(E1291)&lt;0)),"Réglage invalide",IF(AND(F1291&lt;&gt;"",OR(NOT(ISNUMBER(F1291)),N(F1291)&lt;0)),"Temps par pièce invalide",IF(N(E1291)+N(F1291)=0,"Temps manquant",IF(AND(G1291&lt;&gt;"",OR(NOT(ISNUMBER(G1291)),N(G1291)&lt;=0)),"Opérateurs invalide","OK"))))))))))</f>
        <v/>
      </c>
      <c r="N1291" s="71" t="str">
        <f>IF(AND(fiche_sel&lt;&gt;"",A1291=fiche_sel),COUNTIF(A$6:A1291,fiche_sel),"")</f>
        <v/>
      </c>
    </row>
    <row r="1292">
      <c r="A1292" s="60" t="n"/>
      <c r="B1292" s="73" t="n"/>
      <c r="C1292" s="60" t="n"/>
      <c r="D1292" s="61" t="n"/>
      <c r="E1292" s="74" t="n"/>
      <c r="F1292" s="74" t="n"/>
      <c r="G1292" s="73" t="n"/>
      <c r="H1292" s="66" t="str">
        <f>IF(M1292&lt;&gt;"OK","",INDEX(po_mo,MATCH(D1292,po_code,0)))</f>
        <v/>
      </c>
      <c r="I1292" s="66" t="str">
        <f>IF(M1292&lt;&gt;"OK","",INDEX(po_mac,MATCH(D1292,po_code,0)))</f>
        <v/>
      </c>
      <c r="J1292" s="66" t="str">
        <f>IF(M1292&lt;&gt;"OK","",N(E1292)*(H1292*IF(G1292="",1,G1292)+I1292))</f>
        <v/>
      </c>
      <c r="K1292" s="66" t="str">
        <f>IF(M1292&lt;&gt;"OK","",N(F1292)/60*H1292*IF(G1292="",1,G1292))</f>
        <v/>
      </c>
      <c r="L1292" s="66" t="str">
        <f>IF(M1292&lt;&gt;"OK","",N(F1292)/60*I1292)</f>
        <v/>
      </c>
      <c r="M1292" s="69" t="str">
        <f>IF(AND(A1292="",D1292=""),"",IF(A1292="","Produit manquant",IF(COUNTIF(prod_ref,A1292)=0,"Produit inconnu",IF(D1292="","Poste manquant",IF(ISNA(MATCH(D1292,po_code,0)),"Poste inconnu",IF(INDEX(po_check,MATCH(D1292,po_code,0))&lt;&gt;"OK","Poste à corriger",IF(AND(E1292&lt;&gt;"",OR(NOT(ISNUMBER(E1292)),N(E1292)&lt;0)),"Réglage invalide",IF(AND(F1292&lt;&gt;"",OR(NOT(ISNUMBER(F1292)),N(F1292)&lt;0)),"Temps par pièce invalide",IF(N(E1292)+N(F1292)=0,"Temps manquant",IF(AND(G1292&lt;&gt;"",OR(NOT(ISNUMBER(G1292)),N(G1292)&lt;=0)),"Opérateurs invalide","OK"))))))))))</f>
        <v/>
      </c>
      <c r="N1292" s="71" t="str">
        <f>IF(AND(fiche_sel&lt;&gt;"",A1292=fiche_sel),COUNTIF(A$6:A1292,fiche_sel),"")</f>
        <v/>
      </c>
    </row>
    <row r="1293">
      <c r="A1293" s="60" t="n"/>
      <c r="B1293" s="73" t="n"/>
      <c r="C1293" s="60" t="n"/>
      <c r="D1293" s="61" t="n"/>
      <c r="E1293" s="74" t="n"/>
      <c r="F1293" s="74" t="n"/>
      <c r="G1293" s="73" t="n"/>
      <c r="H1293" s="66" t="str">
        <f>IF(M1293&lt;&gt;"OK","",INDEX(po_mo,MATCH(D1293,po_code,0)))</f>
        <v/>
      </c>
      <c r="I1293" s="66" t="str">
        <f>IF(M1293&lt;&gt;"OK","",INDEX(po_mac,MATCH(D1293,po_code,0)))</f>
        <v/>
      </c>
      <c r="J1293" s="66" t="str">
        <f>IF(M1293&lt;&gt;"OK","",N(E1293)*(H1293*IF(G1293="",1,G1293)+I1293))</f>
        <v/>
      </c>
      <c r="K1293" s="66" t="str">
        <f>IF(M1293&lt;&gt;"OK","",N(F1293)/60*H1293*IF(G1293="",1,G1293))</f>
        <v/>
      </c>
      <c r="L1293" s="66" t="str">
        <f>IF(M1293&lt;&gt;"OK","",N(F1293)/60*I1293)</f>
        <v/>
      </c>
      <c r="M1293" s="69" t="str">
        <f>IF(AND(A1293="",D1293=""),"",IF(A1293="","Produit manquant",IF(COUNTIF(prod_ref,A1293)=0,"Produit inconnu",IF(D1293="","Poste manquant",IF(ISNA(MATCH(D1293,po_code,0)),"Poste inconnu",IF(INDEX(po_check,MATCH(D1293,po_code,0))&lt;&gt;"OK","Poste à corriger",IF(AND(E1293&lt;&gt;"",OR(NOT(ISNUMBER(E1293)),N(E1293)&lt;0)),"Réglage invalide",IF(AND(F1293&lt;&gt;"",OR(NOT(ISNUMBER(F1293)),N(F1293)&lt;0)),"Temps par pièce invalide",IF(N(E1293)+N(F1293)=0,"Temps manquant",IF(AND(G1293&lt;&gt;"",OR(NOT(ISNUMBER(G1293)),N(G1293)&lt;=0)),"Opérateurs invalide","OK"))))))))))</f>
        <v/>
      </c>
      <c r="N1293" s="71" t="str">
        <f>IF(AND(fiche_sel&lt;&gt;"",A1293=fiche_sel),COUNTIF(A$6:A1293,fiche_sel),"")</f>
        <v/>
      </c>
    </row>
    <row r="1294">
      <c r="A1294" s="60" t="n"/>
      <c r="B1294" s="73" t="n"/>
      <c r="C1294" s="60" t="n"/>
      <c r="D1294" s="61" t="n"/>
      <c r="E1294" s="74" t="n"/>
      <c r="F1294" s="74" t="n"/>
      <c r="G1294" s="73" t="n"/>
      <c r="H1294" s="66" t="str">
        <f>IF(M1294&lt;&gt;"OK","",INDEX(po_mo,MATCH(D1294,po_code,0)))</f>
        <v/>
      </c>
      <c r="I1294" s="66" t="str">
        <f>IF(M1294&lt;&gt;"OK","",INDEX(po_mac,MATCH(D1294,po_code,0)))</f>
        <v/>
      </c>
      <c r="J1294" s="66" t="str">
        <f>IF(M1294&lt;&gt;"OK","",N(E1294)*(H1294*IF(G1294="",1,G1294)+I1294))</f>
        <v/>
      </c>
      <c r="K1294" s="66" t="str">
        <f>IF(M1294&lt;&gt;"OK","",N(F1294)/60*H1294*IF(G1294="",1,G1294))</f>
        <v/>
      </c>
      <c r="L1294" s="66" t="str">
        <f>IF(M1294&lt;&gt;"OK","",N(F1294)/60*I1294)</f>
        <v/>
      </c>
      <c r="M1294" s="69" t="str">
        <f>IF(AND(A1294="",D1294=""),"",IF(A1294="","Produit manquant",IF(COUNTIF(prod_ref,A1294)=0,"Produit inconnu",IF(D1294="","Poste manquant",IF(ISNA(MATCH(D1294,po_code,0)),"Poste inconnu",IF(INDEX(po_check,MATCH(D1294,po_code,0))&lt;&gt;"OK","Poste à corriger",IF(AND(E1294&lt;&gt;"",OR(NOT(ISNUMBER(E1294)),N(E1294)&lt;0)),"Réglage invalide",IF(AND(F1294&lt;&gt;"",OR(NOT(ISNUMBER(F1294)),N(F1294)&lt;0)),"Temps par pièce invalide",IF(N(E1294)+N(F1294)=0,"Temps manquant",IF(AND(G1294&lt;&gt;"",OR(NOT(ISNUMBER(G1294)),N(G1294)&lt;=0)),"Opérateurs invalide","OK"))))))))))</f>
        <v/>
      </c>
      <c r="N1294" s="71" t="str">
        <f>IF(AND(fiche_sel&lt;&gt;"",A1294=fiche_sel),COUNTIF(A$6:A1294,fiche_sel),"")</f>
        <v/>
      </c>
    </row>
    <row r="1295">
      <c r="A1295" s="60" t="n"/>
      <c r="B1295" s="73" t="n"/>
      <c r="C1295" s="60" t="n"/>
      <c r="D1295" s="61" t="n"/>
      <c r="E1295" s="74" t="n"/>
      <c r="F1295" s="74" t="n"/>
      <c r="G1295" s="73" t="n"/>
      <c r="H1295" s="66" t="str">
        <f>IF(M1295&lt;&gt;"OK","",INDEX(po_mo,MATCH(D1295,po_code,0)))</f>
        <v/>
      </c>
      <c r="I1295" s="66" t="str">
        <f>IF(M1295&lt;&gt;"OK","",INDEX(po_mac,MATCH(D1295,po_code,0)))</f>
        <v/>
      </c>
      <c r="J1295" s="66" t="str">
        <f>IF(M1295&lt;&gt;"OK","",N(E1295)*(H1295*IF(G1295="",1,G1295)+I1295))</f>
        <v/>
      </c>
      <c r="K1295" s="66" t="str">
        <f>IF(M1295&lt;&gt;"OK","",N(F1295)/60*H1295*IF(G1295="",1,G1295))</f>
        <v/>
      </c>
      <c r="L1295" s="66" t="str">
        <f>IF(M1295&lt;&gt;"OK","",N(F1295)/60*I1295)</f>
        <v/>
      </c>
      <c r="M1295" s="69" t="str">
        <f>IF(AND(A1295="",D1295=""),"",IF(A1295="","Produit manquant",IF(COUNTIF(prod_ref,A1295)=0,"Produit inconnu",IF(D1295="","Poste manquant",IF(ISNA(MATCH(D1295,po_code,0)),"Poste inconnu",IF(INDEX(po_check,MATCH(D1295,po_code,0))&lt;&gt;"OK","Poste à corriger",IF(AND(E1295&lt;&gt;"",OR(NOT(ISNUMBER(E1295)),N(E1295)&lt;0)),"Réglage invalide",IF(AND(F1295&lt;&gt;"",OR(NOT(ISNUMBER(F1295)),N(F1295)&lt;0)),"Temps par pièce invalide",IF(N(E1295)+N(F1295)=0,"Temps manquant",IF(AND(G1295&lt;&gt;"",OR(NOT(ISNUMBER(G1295)),N(G1295)&lt;=0)),"Opérateurs invalide","OK"))))))))))</f>
        <v/>
      </c>
      <c r="N1295" s="71" t="str">
        <f>IF(AND(fiche_sel&lt;&gt;"",A1295=fiche_sel),COUNTIF(A$6:A1295,fiche_sel),"")</f>
        <v/>
      </c>
    </row>
    <row r="1296">
      <c r="A1296" s="60" t="n"/>
      <c r="B1296" s="73" t="n"/>
      <c r="C1296" s="60" t="n"/>
      <c r="D1296" s="61" t="n"/>
      <c r="E1296" s="74" t="n"/>
      <c r="F1296" s="74" t="n"/>
      <c r="G1296" s="73" t="n"/>
      <c r="H1296" s="66" t="str">
        <f>IF(M1296&lt;&gt;"OK","",INDEX(po_mo,MATCH(D1296,po_code,0)))</f>
        <v/>
      </c>
      <c r="I1296" s="66" t="str">
        <f>IF(M1296&lt;&gt;"OK","",INDEX(po_mac,MATCH(D1296,po_code,0)))</f>
        <v/>
      </c>
      <c r="J1296" s="66" t="str">
        <f>IF(M1296&lt;&gt;"OK","",N(E1296)*(H1296*IF(G1296="",1,G1296)+I1296))</f>
        <v/>
      </c>
      <c r="K1296" s="66" t="str">
        <f>IF(M1296&lt;&gt;"OK","",N(F1296)/60*H1296*IF(G1296="",1,G1296))</f>
        <v/>
      </c>
      <c r="L1296" s="66" t="str">
        <f>IF(M1296&lt;&gt;"OK","",N(F1296)/60*I1296)</f>
        <v/>
      </c>
      <c r="M1296" s="69" t="str">
        <f>IF(AND(A1296="",D1296=""),"",IF(A1296="","Produit manquant",IF(COUNTIF(prod_ref,A1296)=0,"Produit inconnu",IF(D1296="","Poste manquant",IF(ISNA(MATCH(D1296,po_code,0)),"Poste inconnu",IF(INDEX(po_check,MATCH(D1296,po_code,0))&lt;&gt;"OK","Poste à corriger",IF(AND(E1296&lt;&gt;"",OR(NOT(ISNUMBER(E1296)),N(E1296)&lt;0)),"Réglage invalide",IF(AND(F1296&lt;&gt;"",OR(NOT(ISNUMBER(F1296)),N(F1296)&lt;0)),"Temps par pièce invalide",IF(N(E1296)+N(F1296)=0,"Temps manquant",IF(AND(G1296&lt;&gt;"",OR(NOT(ISNUMBER(G1296)),N(G1296)&lt;=0)),"Opérateurs invalide","OK"))))))))))</f>
        <v/>
      </c>
      <c r="N1296" s="71" t="str">
        <f>IF(AND(fiche_sel&lt;&gt;"",A1296=fiche_sel),COUNTIF(A$6:A1296,fiche_sel),"")</f>
        <v/>
      </c>
    </row>
    <row r="1297">
      <c r="A1297" s="60" t="n"/>
      <c r="B1297" s="73" t="n"/>
      <c r="C1297" s="60" t="n"/>
      <c r="D1297" s="61" t="n"/>
      <c r="E1297" s="74" t="n"/>
      <c r="F1297" s="74" t="n"/>
      <c r="G1297" s="73" t="n"/>
      <c r="H1297" s="66" t="str">
        <f>IF(M1297&lt;&gt;"OK","",INDEX(po_mo,MATCH(D1297,po_code,0)))</f>
        <v/>
      </c>
      <c r="I1297" s="66" t="str">
        <f>IF(M1297&lt;&gt;"OK","",INDEX(po_mac,MATCH(D1297,po_code,0)))</f>
        <v/>
      </c>
      <c r="J1297" s="66" t="str">
        <f>IF(M1297&lt;&gt;"OK","",N(E1297)*(H1297*IF(G1297="",1,G1297)+I1297))</f>
        <v/>
      </c>
      <c r="K1297" s="66" t="str">
        <f>IF(M1297&lt;&gt;"OK","",N(F1297)/60*H1297*IF(G1297="",1,G1297))</f>
        <v/>
      </c>
      <c r="L1297" s="66" t="str">
        <f>IF(M1297&lt;&gt;"OK","",N(F1297)/60*I1297)</f>
        <v/>
      </c>
      <c r="M1297" s="69" t="str">
        <f>IF(AND(A1297="",D1297=""),"",IF(A1297="","Produit manquant",IF(COUNTIF(prod_ref,A1297)=0,"Produit inconnu",IF(D1297="","Poste manquant",IF(ISNA(MATCH(D1297,po_code,0)),"Poste inconnu",IF(INDEX(po_check,MATCH(D1297,po_code,0))&lt;&gt;"OK","Poste à corriger",IF(AND(E1297&lt;&gt;"",OR(NOT(ISNUMBER(E1297)),N(E1297)&lt;0)),"Réglage invalide",IF(AND(F1297&lt;&gt;"",OR(NOT(ISNUMBER(F1297)),N(F1297)&lt;0)),"Temps par pièce invalide",IF(N(E1297)+N(F1297)=0,"Temps manquant",IF(AND(G1297&lt;&gt;"",OR(NOT(ISNUMBER(G1297)),N(G1297)&lt;=0)),"Opérateurs invalide","OK"))))))))))</f>
        <v/>
      </c>
      <c r="N1297" s="71" t="str">
        <f>IF(AND(fiche_sel&lt;&gt;"",A1297=fiche_sel),COUNTIF(A$6:A1297,fiche_sel),"")</f>
        <v/>
      </c>
    </row>
    <row r="1298">
      <c r="A1298" s="60" t="n"/>
      <c r="B1298" s="73" t="n"/>
      <c r="C1298" s="60" t="n"/>
      <c r="D1298" s="61" t="n"/>
      <c r="E1298" s="74" t="n"/>
      <c r="F1298" s="74" t="n"/>
      <c r="G1298" s="73" t="n"/>
      <c r="H1298" s="66" t="str">
        <f>IF(M1298&lt;&gt;"OK","",INDEX(po_mo,MATCH(D1298,po_code,0)))</f>
        <v/>
      </c>
      <c r="I1298" s="66" t="str">
        <f>IF(M1298&lt;&gt;"OK","",INDEX(po_mac,MATCH(D1298,po_code,0)))</f>
        <v/>
      </c>
      <c r="J1298" s="66" t="str">
        <f>IF(M1298&lt;&gt;"OK","",N(E1298)*(H1298*IF(G1298="",1,G1298)+I1298))</f>
        <v/>
      </c>
      <c r="K1298" s="66" t="str">
        <f>IF(M1298&lt;&gt;"OK","",N(F1298)/60*H1298*IF(G1298="",1,G1298))</f>
        <v/>
      </c>
      <c r="L1298" s="66" t="str">
        <f>IF(M1298&lt;&gt;"OK","",N(F1298)/60*I1298)</f>
        <v/>
      </c>
      <c r="M1298" s="69" t="str">
        <f>IF(AND(A1298="",D1298=""),"",IF(A1298="","Produit manquant",IF(COUNTIF(prod_ref,A1298)=0,"Produit inconnu",IF(D1298="","Poste manquant",IF(ISNA(MATCH(D1298,po_code,0)),"Poste inconnu",IF(INDEX(po_check,MATCH(D1298,po_code,0))&lt;&gt;"OK","Poste à corriger",IF(AND(E1298&lt;&gt;"",OR(NOT(ISNUMBER(E1298)),N(E1298)&lt;0)),"Réglage invalide",IF(AND(F1298&lt;&gt;"",OR(NOT(ISNUMBER(F1298)),N(F1298)&lt;0)),"Temps par pièce invalide",IF(N(E1298)+N(F1298)=0,"Temps manquant",IF(AND(G1298&lt;&gt;"",OR(NOT(ISNUMBER(G1298)),N(G1298)&lt;=0)),"Opérateurs invalide","OK"))))))))))</f>
        <v/>
      </c>
      <c r="N1298" s="71" t="str">
        <f>IF(AND(fiche_sel&lt;&gt;"",A1298=fiche_sel),COUNTIF(A$6:A1298,fiche_sel),"")</f>
        <v/>
      </c>
    </row>
    <row r="1299">
      <c r="A1299" s="60" t="n"/>
      <c r="B1299" s="73" t="n"/>
      <c r="C1299" s="60" t="n"/>
      <c r="D1299" s="61" t="n"/>
      <c r="E1299" s="74" t="n"/>
      <c r="F1299" s="74" t="n"/>
      <c r="G1299" s="73" t="n"/>
      <c r="H1299" s="66" t="str">
        <f>IF(M1299&lt;&gt;"OK","",INDEX(po_mo,MATCH(D1299,po_code,0)))</f>
        <v/>
      </c>
      <c r="I1299" s="66" t="str">
        <f>IF(M1299&lt;&gt;"OK","",INDEX(po_mac,MATCH(D1299,po_code,0)))</f>
        <v/>
      </c>
      <c r="J1299" s="66" t="str">
        <f>IF(M1299&lt;&gt;"OK","",N(E1299)*(H1299*IF(G1299="",1,G1299)+I1299))</f>
        <v/>
      </c>
      <c r="K1299" s="66" t="str">
        <f>IF(M1299&lt;&gt;"OK","",N(F1299)/60*H1299*IF(G1299="",1,G1299))</f>
        <v/>
      </c>
      <c r="L1299" s="66" t="str">
        <f>IF(M1299&lt;&gt;"OK","",N(F1299)/60*I1299)</f>
        <v/>
      </c>
      <c r="M1299" s="69" t="str">
        <f>IF(AND(A1299="",D1299=""),"",IF(A1299="","Produit manquant",IF(COUNTIF(prod_ref,A1299)=0,"Produit inconnu",IF(D1299="","Poste manquant",IF(ISNA(MATCH(D1299,po_code,0)),"Poste inconnu",IF(INDEX(po_check,MATCH(D1299,po_code,0))&lt;&gt;"OK","Poste à corriger",IF(AND(E1299&lt;&gt;"",OR(NOT(ISNUMBER(E1299)),N(E1299)&lt;0)),"Réglage invalide",IF(AND(F1299&lt;&gt;"",OR(NOT(ISNUMBER(F1299)),N(F1299)&lt;0)),"Temps par pièce invalide",IF(N(E1299)+N(F1299)=0,"Temps manquant",IF(AND(G1299&lt;&gt;"",OR(NOT(ISNUMBER(G1299)),N(G1299)&lt;=0)),"Opérateurs invalide","OK"))))))))))</f>
        <v/>
      </c>
      <c r="N1299" s="71" t="str">
        <f>IF(AND(fiche_sel&lt;&gt;"",A1299=fiche_sel),COUNTIF(A$6:A1299,fiche_sel),"")</f>
        <v/>
      </c>
    </row>
    <row r="1300">
      <c r="A1300" s="60" t="n"/>
      <c r="B1300" s="73" t="n"/>
      <c r="C1300" s="60" t="n"/>
      <c r="D1300" s="61" t="n"/>
      <c r="E1300" s="74" t="n"/>
      <c r="F1300" s="74" t="n"/>
      <c r="G1300" s="73" t="n"/>
      <c r="H1300" s="66" t="str">
        <f>IF(M1300&lt;&gt;"OK","",INDEX(po_mo,MATCH(D1300,po_code,0)))</f>
        <v/>
      </c>
      <c r="I1300" s="66" t="str">
        <f>IF(M1300&lt;&gt;"OK","",INDEX(po_mac,MATCH(D1300,po_code,0)))</f>
        <v/>
      </c>
      <c r="J1300" s="66" t="str">
        <f>IF(M1300&lt;&gt;"OK","",N(E1300)*(H1300*IF(G1300="",1,G1300)+I1300))</f>
        <v/>
      </c>
      <c r="K1300" s="66" t="str">
        <f>IF(M1300&lt;&gt;"OK","",N(F1300)/60*H1300*IF(G1300="",1,G1300))</f>
        <v/>
      </c>
      <c r="L1300" s="66" t="str">
        <f>IF(M1300&lt;&gt;"OK","",N(F1300)/60*I1300)</f>
        <v/>
      </c>
      <c r="M1300" s="69" t="str">
        <f>IF(AND(A1300="",D1300=""),"",IF(A1300="","Produit manquant",IF(COUNTIF(prod_ref,A1300)=0,"Produit inconnu",IF(D1300="","Poste manquant",IF(ISNA(MATCH(D1300,po_code,0)),"Poste inconnu",IF(INDEX(po_check,MATCH(D1300,po_code,0))&lt;&gt;"OK","Poste à corriger",IF(AND(E1300&lt;&gt;"",OR(NOT(ISNUMBER(E1300)),N(E1300)&lt;0)),"Réglage invalide",IF(AND(F1300&lt;&gt;"",OR(NOT(ISNUMBER(F1300)),N(F1300)&lt;0)),"Temps par pièce invalide",IF(N(E1300)+N(F1300)=0,"Temps manquant",IF(AND(G1300&lt;&gt;"",OR(NOT(ISNUMBER(G1300)),N(G1300)&lt;=0)),"Opérateurs invalide","OK"))))))))))</f>
        <v/>
      </c>
      <c r="N1300" s="71" t="str">
        <f>IF(AND(fiche_sel&lt;&gt;"",A1300=fiche_sel),COUNTIF(A$6:A1300,fiche_sel),"")</f>
        <v/>
      </c>
    </row>
    <row r="1301">
      <c r="A1301" s="60" t="n"/>
      <c r="B1301" s="73" t="n"/>
      <c r="C1301" s="60" t="n"/>
      <c r="D1301" s="61" t="n"/>
      <c r="E1301" s="74" t="n"/>
      <c r="F1301" s="74" t="n"/>
      <c r="G1301" s="73" t="n"/>
      <c r="H1301" s="66" t="str">
        <f>IF(M1301&lt;&gt;"OK","",INDEX(po_mo,MATCH(D1301,po_code,0)))</f>
        <v/>
      </c>
      <c r="I1301" s="66" t="str">
        <f>IF(M1301&lt;&gt;"OK","",INDEX(po_mac,MATCH(D1301,po_code,0)))</f>
        <v/>
      </c>
      <c r="J1301" s="66" t="str">
        <f>IF(M1301&lt;&gt;"OK","",N(E1301)*(H1301*IF(G1301="",1,G1301)+I1301))</f>
        <v/>
      </c>
      <c r="K1301" s="66" t="str">
        <f>IF(M1301&lt;&gt;"OK","",N(F1301)/60*H1301*IF(G1301="",1,G1301))</f>
        <v/>
      </c>
      <c r="L1301" s="66" t="str">
        <f>IF(M1301&lt;&gt;"OK","",N(F1301)/60*I1301)</f>
        <v/>
      </c>
      <c r="M1301" s="69" t="str">
        <f>IF(AND(A1301="",D1301=""),"",IF(A1301="","Produit manquant",IF(COUNTIF(prod_ref,A1301)=0,"Produit inconnu",IF(D1301="","Poste manquant",IF(ISNA(MATCH(D1301,po_code,0)),"Poste inconnu",IF(INDEX(po_check,MATCH(D1301,po_code,0))&lt;&gt;"OK","Poste à corriger",IF(AND(E1301&lt;&gt;"",OR(NOT(ISNUMBER(E1301)),N(E1301)&lt;0)),"Réglage invalide",IF(AND(F1301&lt;&gt;"",OR(NOT(ISNUMBER(F1301)),N(F1301)&lt;0)),"Temps par pièce invalide",IF(N(E1301)+N(F1301)=0,"Temps manquant",IF(AND(G1301&lt;&gt;"",OR(NOT(ISNUMBER(G1301)),N(G1301)&lt;=0)),"Opérateurs invalide","OK"))))))))))</f>
        <v/>
      </c>
      <c r="N1301" s="71" t="str">
        <f>IF(AND(fiche_sel&lt;&gt;"",A1301=fiche_sel),COUNTIF(A$6:A1301,fiche_sel),"")</f>
        <v/>
      </c>
    </row>
    <row r="1302">
      <c r="A1302" s="60" t="n"/>
      <c r="B1302" s="73" t="n"/>
      <c r="C1302" s="60" t="n"/>
      <c r="D1302" s="61" t="n"/>
      <c r="E1302" s="74" t="n"/>
      <c r="F1302" s="74" t="n"/>
      <c r="G1302" s="73" t="n"/>
      <c r="H1302" s="66" t="str">
        <f>IF(M1302&lt;&gt;"OK","",INDEX(po_mo,MATCH(D1302,po_code,0)))</f>
        <v/>
      </c>
      <c r="I1302" s="66" t="str">
        <f>IF(M1302&lt;&gt;"OK","",INDEX(po_mac,MATCH(D1302,po_code,0)))</f>
        <v/>
      </c>
      <c r="J1302" s="66" t="str">
        <f>IF(M1302&lt;&gt;"OK","",N(E1302)*(H1302*IF(G1302="",1,G1302)+I1302))</f>
        <v/>
      </c>
      <c r="K1302" s="66" t="str">
        <f>IF(M1302&lt;&gt;"OK","",N(F1302)/60*H1302*IF(G1302="",1,G1302))</f>
        <v/>
      </c>
      <c r="L1302" s="66" t="str">
        <f>IF(M1302&lt;&gt;"OK","",N(F1302)/60*I1302)</f>
        <v/>
      </c>
      <c r="M1302" s="69" t="str">
        <f>IF(AND(A1302="",D1302=""),"",IF(A1302="","Produit manquant",IF(COUNTIF(prod_ref,A1302)=0,"Produit inconnu",IF(D1302="","Poste manquant",IF(ISNA(MATCH(D1302,po_code,0)),"Poste inconnu",IF(INDEX(po_check,MATCH(D1302,po_code,0))&lt;&gt;"OK","Poste à corriger",IF(AND(E1302&lt;&gt;"",OR(NOT(ISNUMBER(E1302)),N(E1302)&lt;0)),"Réglage invalide",IF(AND(F1302&lt;&gt;"",OR(NOT(ISNUMBER(F1302)),N(F1302)&lt;0)),"Temps par pièce invalide",IF(N(E1302)+N(F1302)=0,"Temps manquant",IF(AND(G1302&lt;&gt;"",OR(NOT(ISNUMBER(G1302)),N(G1302)&lt;=0)),"Opérateurs invalide","OK"))))))))))</f>
        <v/>
      </c>
      <c r="N1302" s="71" t="str">
        <f>IF(AND(fiche_sel&lt;&gt;"",A1302=fiche_sel),COUNTIF(A$6:A1302,fiche_sel),"")</f>
        <v/>
      </c>
    </row>
    <row r="1303">
      <c r="A1303" s="60" t="n"/>
      <c r="B1303" s="73" t="n"/>
      <c r="C1303" s="60" t="n"/>
      <c r="D1303" s="61" t="n"/>
      <c r="E1303" s="74" t="n"/>
      <c r="F1303" s="74" t="n"/>
      <c r="G1303" s="73" t="n"/>
      <c r="H1303" s="66" t="str">
        <f>IF(M1303&lt;&gt;"OK","",INDEX(po_mo,MATCH(D1303,po_code,0)))</f>
        <v/>
      </c>
      <c r="I1303" s="66" t="str">
        <f>IF(M1303&lt;&gt;"OK","",INDEX(po_mac,MATCH(D1303,po_code,0)))</f>
        <v/>
      </c>
      <c r="J1303" s="66" t="str">
        <f>IF(M1303&lt;&gt;"OK","",N(E1303)*(H1303*IF(G1303="",1,G1303)+I1303))</f>
        <v/>
      </c>
      <c r="K1303" s="66" t="str">
        <f>IF(M1303&lt;&gt;"OK","",N(F1303)/60*H1303*IF(G1303="",1,G1303))</f>
        <v/>
      </c>
      <c r="L1303" s="66" t="str">
        <f>IF(M1303&lt;&gt;"OK","",N(F1303)/60*I1303)</f>
        <v/>
      </c>
      <c r="M1303" s="69" t="str">
        <f>IF(AND(A1303="",D1303=""),"",IF(A1303="","Produit manquant",IF(COUNTIF(prod_ref,A1303)=0,"Produit inconnu",IF(D1303="","Poste manquant",IF(ISNA(MATCH(D1303,po_code,0)),"Poste inconnu",IF(INDEX(po_check,MATCH(D1303,po_code,0))&lt;&gt;"OK","Poste à corriger",IF(AND(E1303&lt;&gt;"",OR(NOT(ISNUMBER(E1303)),N(E1303)&lt;0)),"Réglage invalide",IF(AND(F1303&lt;&gt;"",OR(NOT(ISNUMBER(F1303)),N(F1303)&lt;0)),"Temps par pièce invalide",IF(N(E1303)+N(F1303)=0,"Temps manquant",IF(AND(G1303&lt;&gt;"",OR(NOT(ISNUMBER(G1303)),N(G1303)&lt;=0)),"Opérateurs invalide","OK"))))))))))</f>
        <v/>
      </c>
      <c r="N1303" s="71" t="str">
        <f>IF(AND(fiche_sel&lt;&gt;"",A1303=fiche_sel),COUNTIF(A$6:A1303,fiche_sel),"")</f>
        <v/>
      </c>
    </row>
    <row r="1304">
      <c r="A1304" s="60" t="n"/>
      <c r="B1304" s="73" t="n"/>
      <c r="C1304" s="60" t="n"/>
      <c r="D1304" s="61" t="n"/>
      <c r="E1304" s="74" t="n"/>
      <c r="F1304" s="74" t="n"/>
      <c r="G1304" s="73" t="n"/>
      <c r="H1304" s="66" t="str">
        <f>IF(M1304&lt;&gt;"OK","",INDEX(po_mo,MATCH(D1304,po_code,0)))</f>
        <v/>
      </c>
      <c r="I1304" s="66" t="str">
        <f>IF(M1304&lt;&gt;"OK","",INDEX(po_mac,MATCH(D1304,po_code,0)))</f>
        <v/>
      </c>
      <c r="J1304" s="66" t="str">
        <f>IF(M1304&lt;&gt;"OK","",N(E1304)*(H1304*IF(G1304="",1,G1304)+I1304))</f>
        <v/>
      </c>
      <c r="K1304" s="66" t="str">
        <f>IF(M1304&lt;&gt;"OK","",N(F1304)/60*H1304*IF(G1304="",1,G1304))</f>
        <v/>
      </c>
      <c r="L1304" s="66" t="str">
        <f>IF(M1304&lt;&gt;"OK","",N(F1304)/60*I1304)</f>
        <v/>
      </c>
      <c r="M1304" s="69" t="str">
        <f>IF(AND(A1304="",D1304=""),"",IF(A1304="","Produit manquant",IF(COUNTIF(prod_ref,A1304)=0,"Produit inconnu",IF(D1304="","Poste manquant",IF(ISNA(MATCH(D1304,po_code,0)),"Poste inconnu",IF(INDEX(po_check,MATCH(D1304,po_code,0))&lt;&gt;"OK","Poste à corriger",IF(AND(E1304&lt;&gt;"",OR(NOT(ISNUMBER(E1304)),N(E1304)&lt;0)),"Réglage invalide",IF(AND(F1304&lt;&gt;"",OR(NOT(ISNUMBER(F1304)),N(F1304)&lt;0)),"Temps par pièce invalide",IF(N(E1304)+N(F1304)=0,"Temps manquant",IF(AND(G1304&lt;&gt;"",OR(NOT(ISNUMBER(G1304)),N(G1304)&lt;=0)),"Opérateurs invalide","OK"))))))))))</f>
        <v/>
      </c>
      <c r="N1304" s="71" t="str">
        <f>IF(AND(fiche_sel&lt;&gt;"",A1304=fiche_sel),COUNTIF(A$6:A1304,fiche_sel),"")</f>
        <v/>
      </c>
    </row>
    <row r="1305">
      <c r="A1305" s="60" t="n"/>
      <c r="B1305" s="73" t="n"/>
      <c r="C1305" s="60" t="n"/>
      <c r="D1305" s="61" t="n"/>
      <c r="E1305" s="74" t="n"/>
      <c r="F1305" s="74" t="n"/>
      <c r="G1305" s="73" t="n"/>
      <c r="H1305" s="66" t="str">
        <f>IF(M1305&lt;&gt;"OK","",INDEX(po_mo,MATCH(D1305,po_code,0)))</f>
        <v/>
      </c>
      <c r="I1305" s="66" t="str">
        <f>IF(M1305&lt;&gt;"OK","",INDEX(po_mac,MATCH(D1305,po_code,0)))</f>
        <v/>
      </c>
      <c r="J1305" s="66" t="str">
        <f>IF(M1305&lt;&gt;"OK","",N(E1305)*(H1305*IF(G1305="",1,G1305)+I1305))</f>
        <v/>
      </c>
      <c r="K1305" s="66" t="str">
        <f>IF(M1305&lt;&gt;"OK","",N(F1305)/60*H1305*IF(G1305="",1,G1305))</f>
        <v/>
      </c>
      <c r="L1305" s="66" t="str">
        <f>IF(M1305&lt;&gt;"OK","",N(F1305)/60*I1305)</f>
        <v/>
      </c>
      <c r="M1305" s="69" t="str">
        <f>IF(AND(A1305="",D1305=""),"",IF(A1305="","Produit manquant",IF(COUNTIF(prod_ref,A1305)=0,"Produit inconnu",IF(D1305="","Poste manquant",IF(ISNA(MATCH(D1305,po_code,0)),"Poste inconnu",IF(INDEX(po_check,MATCH(D1305,po_code,0))&lt;&gt;"OK","Poste à corriger",IF(AND(E1305&lt;&gt;"",OR(NOT(ISNUMBER(E1305)),N(E1305)&lt;0)),"Réglage invalide",IF(AND(F1305&lt;&gt;"",OR(NOT(ISNUMBER(F1305)),N(F1305)&lt;0)),"Temps par pièce invalide",IF(N(E1305)+N(F1305)=0,"Temps manquant",IF(AND(G1305&lt;&gt;"",OR(NOT(ISNUMBER(G1305)),N(G1305)&lt;=0)),"Opérateurs invalide","OK"))))))))))</f>
        <v/>
      </c>
      <c r="N1305" s="71" t="str">
        <f>IF(AND(fiche_sel&lt;&gt;"",A1305=fiche_sel),COUNTIF(A$6:A1305,fiche_sel),"")</f>
        <v/>
      </c>
    </row>
    <row r="1306">
      <c r="A1306" s="60" t="n"/>
      <c r="B1306" s="73" t="n"/>
      <c r="C1306" s="60" t="n"/>
      <c r="D1306" s="61" t="n"/>
      <c r="E1306" s="74" t="n"/>
      <c r="F1306" s="74" t="n"/>
      <c r="G1306" s="73" t="n"/>
      <c r="H1306" s="66" t="str">
        <f>IF(M1306&lt;&gt;"OK","",INDEX(po_mo,MATCH(D1306,po_code,0)))</f>
        <v/>
      </c>
      <c r="I1306" s="66" t="str">
        <f>IF(M1306&lt;&gt;"OK","",INDEX(po_mac,MATCH(D1306,po_code,0)))</f>
        <v/>
      </c>
      <c r="J1306" s="66" t="str">
        <f>IF(M1306&lt;&gt;"OK","",N(E1306)*(H1306*IF(G1306="",1,G1306)+I1306))</f>
        <v/>
      </c>
      <c r="K1306" s="66" t="str">
        <f>IF(M1306&lt;&gt;"OK","",N(F1306)/60*H1306*IF(G1306="",1,G1306))</f>
        <v/>
      </c>
      <c r="L1306" s="66" t="str">
        <f>IF(M1306&lt;&gt;"OK","",N(F1306)/60*I1306)</f>
        <v/>
      </c>
      <c r="M1306" s="69" t="str">
        <f>IF(AND(A1306="",D1306=""),"",IF(A1306="","Produit manquant",IF(COUNTIF(prod_ref,A1306)=0,"Produit inconnu",IF(D1306="","Poste manquant",IF(ISNA(MATCH(D1306,po_code,0)),"Poste inconnu",IF(INDEX(po_check,MATCH(D1306,po_code,0))&lt;&gt;"OK","Poste à corriger",IF(AND(E1306&lt;&gt;"",OR(NOT(ISNUMBER(E1306)),N(E1306)&lt;0)),"Réglage invalide",IF(AND(F1306&lt;&gt;"",OR(NOT(ISNUMBER(F1306)),N(F1306)&lt;0)),"Temps par pièce invalide",IF(N(E1306)+N(F1306)=0,"Temps manquant",IF(AND(G1306&lt;&gt;"",OR(NOT(ISNUMBER(G1306)),N(G1306)&lt;=0)),"Opérateurs invalide","OK"))))))))))</f>
        <v/>
      </c>
      <c r="N1306" s="71" t="str">
        <f>IF(AND(fiche_sel&lt;&gt;"",A1306=fiche_sel),COUNTIF(A$6:A1306,fiche_sel),"")</f>
        <v/>
      </c>
    </row>
    <row r="1307">
      <c r="A1307" s="60" t="n"/>
      <c r="B1307" s="73" t="n"/>
      <c r="C1307" s="60" t="n"/>
      <c r="D1307" s="61" t="n"/>
      <c r="E1307" s="74" t="n"/>
      <c r="F1307" s="74" t="n"/>
      <c r="G1307" s="73" t="n"/>
      <c r="H1307" s="66" t="str">
        <f>IF(M1307&lt;&gt;"OK","",INDEX(po_mo,MATCH(D1307,po_code,0)))</f>
        <v/>
      </c>
      <c r="I1307" s="66" t="str">
        <f>IF(M1307&lt;&gt;"OK","",INDEX(po_mac,MATCH(D1307,po_code,0)))</f>
        <v/>
      </c>
      <c r="J1307" s="66" t="str">
        <f>IF(M1307&lt;&gt;"OK","",N(E1307)*(H1307*IF(G1307="",1,G1307)+I1307))</f>
        <v/>
      </c>
      <c r="K1307" s="66" t="str">
        <f>IF(M1307&lt;&gt;"OK","",N(F1307)/60*H1307*IF(G1307="",1,G1307))</f>
        <v/>
      </c>
      <c r="L1307" s="66" t="str">
        <f>IF(M1307&lt;&gt;"OK","",N(F1307)/60*I1307)</f>
        <v/>
      </c>
      <c r="M1307" s="69" t="str">
        <f>IF(AND(A1307="",D1307=""),"",IF(A1307="","Produit manquant",IF(COUNTIF(prod_ref,A1307)=0,"Produit inconnu",IF(D1307="","Poste manquant",IF(ISNA(MATCH(D1307,po_code,0)),"Poste inconnu",IF(INDEX(po_check,MATCH(D1307,po_code,0))&lt;&gt;"OK","Poste à corriger",IF(AND(E1307&lt;&gt;"",OR(NOT(ISNUMBER(E1307)),N(E1307)&lt;0)),"Réglage invalide",IF(AND(F1307&lt;&gt;"",OR(NOT(ISNUMBER(F1307)),N(F1307)&lt;0)),"Temps par pièce invalide",IF(N(E1307)+N(F1307)=0,"Temps manquant",IF(AND(G1307&lt;&gt;"",OR(NOT(ISNUMBER(G1307)),N(G1307)&lt;=0)),"Opérateurs invalide","OK"))))))))))</f>
        <v/>
      </c>
      <c r="N1307" s="71" t="str">
        <f>IF(AND(fiche_sel&lt;&gt;"",A1307=fiche_sel),COUNTIF(A$6:A1307,fiche_sel),"")</f>
        <v/>
      </c>
    </row>
    <row r="1308">
      <c r="A1308" s="60" t="n"/>
      <c r="B1308" s="73" t="n"/>
      <c r="C1308" s="60" t="n"/>
      <c r="D1308" s="61" t="n"/>
      <c r="E1308" s="74" t="n"/>
      <c r="F1308" s="74" t="n"/>
      <c r="G1308" s="73" t="n"/>
      <c r="H1308" s="66" t="str">
        <f>IF(M1308&lt;&gt;"OK","",INDEX(po_mo,MATCH(D1308,po_code,0)))</f>
        <v/>
      </c>
      <c r="I1308" s="66" t="str">
        <f>IF(M1308&lt;&gt;"OK","",INDEX(po_mac,MATCH(D1308,po_code,0)))</f>
        <v/>
      </c>
      <c r="J1308" s="66" t="str">
        <f>IF(M1308&lt;&gt;"OK","",N(E1308)*(H1308*IF(G1308="",1,G1308)+I1308))</f>
        <v/>
      </c>
      <c r="K1308" s="66" t="str">
        <f>IF(M1308&lt;&gt;"OK","",N(F1308)/60*H1308*IF(G1308="",1,G1308))</f>
        <v/>
      </c>
      <c r="L1308" s="66" t="str">
        <f>IF(M1308&lt;&gt;"OK","",N(F1308)/60*I1308)</f>
        <v/>
      </c>
      <c r="M1308" s="69" t="str">
        <f>IF(AND(A1308="",D1308=""),"",IF(A1308="","Produit manquant",IF(COUNTIF(prod_ref,A1308)=0,"Produit inconnu",IF(D1308="","Poste manquant",IF(ISNA(MATCH(D1308,po_code,0)),"Poste inconnu",IF(INDEX(po_check,MATCH(D1308,po_code,0))&lt;&gt;"OK","Poste à corriger",IF(AND(E1308&lt;&gt;"",OR(NOT(ISNUMBER(E1308)),N(E1308)&lt;0)),"Réglage invalide",IF(AND(F1308&lt;&gt;"",OR(NOT(ISNUMBER(F1308)),N(F1308)&lt;0)),"Temps par pièce invalide",IF(N(E1308)+N(F1308)=0,"Temps manquant",IF(AND(G1308&lt;&gt;"",OR(NOT(ISNUMBER(G1308)),N(G1308)&lt;=0)),"Opérateurs invalide","OK"))))))))))</f>
        <v/>
      </c>
      <c r="N1308" s="71" t="str">
        <f>IF(AND(fiche_sel&lt;&gt;"",A1308=fiche_sel),COUNTIF(A$6:A1308,fiche_sel),"")</f>
        <v/>
      </c>
    </row>
    <row r="1309">
      <c r="A1309" s="60" t="n"/>
      <c r="B1309" s="73" t="n"/>
      <c r="C1309" s="60" t="n"/>
      <c r="D1309" s="61" t="n"/>
      <c r="E1309" s="74" t="n"/>
      <c r="F1309" s="74" t="n"/>
      <c r="G1309" s="73" t="n"/>
      <c r="H1309" s="66" t="str">
        <f>IF(M1309&lt;&gt;"OK","",INDEX(po_mo,MATCH(D1309,po_code,0)))</f>
        <v/>
      </c>
      <c r="I1309" s="66" t="str">
        <f>IF(M1309&lt;&gt;"OK","",INDEX(po_mac,MATCH(D1309,po_code,0)))</f>
        <v/>
      </c>
      <c r="J1309" s="66" t="str">
        <f>IF(M1309&lt;&gt;"OK","",N(E1309)*(H1309*IF(G1309="",1,G1309)+I1309))</f>
        <v/>
      </c>
      <c r="K1309" s="66" t="str">
        <f>IF(M1309&lt;&gt;"OK","",N(F1309)/60*H1309*IF(G1309="",1,G1309))</f>
        <v/>
      </c>
      <c r="L1309" s="66" t="str">
        <f>IF(M1309&lt;&gt;"OK","",N(F1309)/60*I1309)</f>
        <v/>
      </c>
      <c r="M1309" s="69" t="str">
        <f>IF(AND(A1309="",D1309=""),"",IF(A1309="","Produit manquant",IF(COUNTIF(prod_ref,A1309)=0,"Produit inconnu",IF(D1309="","Poste manquant",IF(ISNA(MATCH(D1309,po_code,0)),"Poste inconnu",IF(INDEX(po_check,MATCH(D1309,po_code,0))&lt;&gt;"OK","Poste à corriger",IF(AND(E1309&lt;&gt;"",OR(NOT(ISNUMBER(E1309)),N(E1309)&lt;0)),"Réglage invalide",IF(AND(F1309&lt;&gt;"",OR(NOT(ISNUMBER(F1309)),N(F1309)&lt;0)),"Temps par pièce invalide",IF(N(E1309)+N(F1309)=0,"Temps manquant",IF(AND(G1309&lt;&gt;"",OR(NOT(ISNUMBER(G1309)),N(G1309)&lt;=0)),"Opérateurs invalide","OK"))))))))))</f>
        <v/>
      </c>
      <c r="N1309" s="71" t="str">
        <f>IF(AND(fiche_sel&lt;&gt;"",A1309=fiche_sel),COUNTIF(A$6:A1309,fiche_sel),"")</f>
        <v/>
      </c>
    </row>
    <row r="1310">
      <c r="A1310" s="60" t="n"/>
      <c r="B1310" s="73" t="n"/>
      <c r="C1310" s="60" t="n"/>
      <c r="D1310" s="61" t="n"/>
      <c r="E1310" s="74" t="n"/>
      <c r="F1310" s="74" t="n"/>
      <c r="G1310" s="73" t="n"/>
      <c r="H1310" s="66" t="str">
        <f>IF(M1310&lt;&gt;"OK","",INDEX(po_mo,MATCH(D1310,po_code,0)))</f>
        <v/>
      </c>
      <c r="I1310" s="66" t="str">
        <f>IF(M1310&lt;&gt;"OK","",INDEX(po_mac,MATCH(D1310,po_code,0)))</f>
        <v/>
      </c>
      <c r="J1310" s="66" t="str">
        <f>IF(M1310&lt;&gt;"OK","",N(E1310)*(H1310*IF(G1310="",1,G1310)+I1310))</f>
        <v/>
      </c>
      <c r="K1310" s="66" t="str">
        <f>IF(M1310&lt;&gt;"OK","",N(F1310)/60*H1310*IF(G1310="",1,G1310))</f>
        <v/>
      </c>
      <c r="L1310" s="66" t="str">
        <f>IF(M1310&lt;&gt;"OK","",N(F1310)/60*I1310)</f>
        <v/>
      </c>
      <c r="M1310" s="69" t="str">
        <f>IF(AND(A1310="",D1310=""),"",IF(A1310="","Produit manquant",IF(COUNTIF(prod_ref,A1310)=0,"Produit inconnu",IF(D1310="","Poste manquant",IF(ISNA(MATCH(D1310,po_code,0)),"Poste inconnu",IF(INDEX(po_check,MATCH(D1310,po_code,0))&lt;&gt;"OK","Poste à corriger",IF(AND(E1310&lt;&gt;"",OR(NOT(ISNUMBER(E1310)),N(E1310)&lt;0)),"Réglage invalide",IF(AND(F1310&lt;&gt;"",OR(NOT(ISNUMBER(F1310)),N(F1310)&lt;0)),"Temps par pièce invalide",IF(N(E1310)+N(F1310)=0,"Temps manquant",IF(AND(G1310&lt;&gt;"",OR(NOT(ISNUMBER(G1310)),N(G1310)&lt;=0)),"Opérateurs invalide","OK"))))))))))</f>
        <v/>
      </c>
      <c r="N1310" s="71" t="str">
        <f>IF(AND(fiche_sel&lt;&gt;"",A1310=fiche_sel),COUNTIF(A$6:A1310,fiche_sel),"")</f>
        <v/>
      </c>
    </row>
    <row r="1311">
      <c r="A1311" s="60" t="n"/>
      <c r="B1311" s="73" t="n"/>
      <c r="C1311" s="60" t="n"/>
      <c r="D1311" s="61" t="n"/>
      <c r="E1311" s="74" t="n"/>
      <c r="F1311" s="74" t="n"/>
      <c r="G1311" s="73" t="n"/>
      <c r="H1311" s="66" t="str">
        <f>IF(M1311&lt;&gt;"OK","",INDEX(po_mo,MATCH(D1311,po_code,0)))</f>
        <v/>
      </c>
      <c r="I1311" s="66" t="str">
        <f>IF(M1311&lt;&gt;"OK","",INDEX(po_mac,MATCH(D1311,po_code,0)))</f>
        <v/>
      </c>
      <c r="J1311" s="66" t="str">
        <f>IF(M1311&lt;&gt;"OK","",N(E1311)*(H1311*IF(G1311="",1,G1311)+I1311))</f>
        <v/>
      </c>
      <c r="K1311" s="66" t="str">
        <f>IF(M1311&lt;&gt;"OK","",N(F1311)/60*H1311*IF(G1311="",1,G1311))</f>
        <v/>
      </c>
      <c r="L1311" s="66" t="str">
        <f>IF(M1311&lt;&gt;"OK","",N(F1311)/60*I1311)</f>
        <v/>
      </c>
      <c r="M1311" s="69" t="str">
        <f>IF(AND(A1311="",D1311=""),"",IF(A1311="","Produit manquant",IF(COUNTIF(prod_ref,A1311)=0,"Produit inconnu",IF(D1311="","Poste manquant",IF(ISNA(MATCH(D1311,po_code,0)),"Poste inconnu",IF(INDEX(po_check,MATCH(D1311,po_code,0))&lt;&gt;"OK","Poste à corriger",IF(AND(E1311&lt;&gt;"",OR(NOT(ISNUMBER(E1311)),N(E1311)&lt;0)),"Réglage invalide",IF(AND(F1311&lt;&gt;"",OR(NOT(ISNUMBER(F1311)),N(F1311)&lt;0)),"Temps par pièce invalide",IF(N(E1311)+N(F1311)=0,"Temps manquant",IF(AND(G1311&lt;&gt;"",OR(NOT(ISNUMBER(G1311)),N(G1311)&lt;=0)),"Opérateurs invalide","OK"))))))))))</f>
        <v/>
      </c>
      <c r="N1311" s="71" t="str">
        <f>IF(AND(fiche_sel&lt;&gt;"",A1311=fiche_sel),COUNTIF(A$6:A1311,fiche_sel),"")</f>
        <v/>
      </c>
    </row>
    <row r="1312">
      <c r="A1312" s="60" t="n"/>
      <c r="B1312" s="73" t="n"/>
      <c r="C1312" s="60" t="n"/>
      <c r="D1312" s="61" t="n"/>
      <c r="E1312" s="74" t="n"/>
      <c r="F1312" s="74" t="n"/>
      <c r="G1312" s="73" t="n"/>
      <c r="H1312" s="66" t="str">
        <f>IF(M1312&lt;&gt;"OK","",INDEX(po_mo,MATCH(D1312,po_code,0)))</f>
        <v/>
      </c>
      <c r="I1312" s="66" t="str">
        <f>IF(M1312&lt;&gt;"OK","",INDEX(po_mac,MATCH(D1312,po_code,0)))</f>
        <v/>
      </c>
      <c r="J1312" s="66" t="str">
        <f>IF(M1312&lt;&gt;"OK","",N(E1312)*(H1312*IF(G1312="",1,G1312)+I1312))</f>
        <v/>
      </c>
      <c r="K1312" s="66" t="str">
        <f>IF(M1312&lt;&gt;"OK","",N(F1312)/60*H1312*IF(G1312="",1,G1312))</f>
        <v/>
      </c>
      <c r="L1312" s="66" t="str">
        <f>IF(M1312&lt;&gt;"OK","",N(F1312)/60*I1312)</f>
        <v/>
      </c>
      <c r="M1312" s="69" t="str">
        <f>IF(AND(A1312="",D1312=""),"",IF(A1312="","Produit manquant",IF(COUNTIF(prod_ref,A1312)=0,"Produit inconnu",IF(D1312="","Poste manquant",IF(ISNA(MATCH(D1312,po_code,0)),"Poste inconnu",IF(INDEX(po_check,MATCH(D1312,po_code,0))&lt;&gt;"OK","Poste à corriger",IF(AND(E1312&lt;&gt;"",OR(NOT(ISNUMBER(E1312)),N(E1312)&lt;0)),"Réglage invalide",IF(AND(F1312&lt;&gt;"",OR(NOT(ISNUMBER(F1312)),N(F1312)&lt;0)),"Temps par pièce invalide",IF(N(E1312)+N(F1312)=0,"Temps manquant",IF(AND(G1312&lt;&gt;"",OR(NOT(ISNUMBER(G1312)),N(G1312)&lt;=0)),"Opérateurs invalide","OK"))))))))))</f>
        <v/>
      </c>
      <c r="N1312" s="71" t="str">
        <f>IF(AND(fiche_sel&lt;&gt;"",A1312=fiche_sel),COUNTIF(A$6:A1312,fiche_sel),"")</f>
        <v/>
      </c>
    </row>
    <row r="1313">
      <c r="A1313" s="60" t="n"/>
      <c r="B1313" s="73" t="n"/>
      <c r="C1313" s="60" t="n"/>
      <c r="D1313" s="61" t="n"/>
      <c r="E1313" s="74" t="n"/>
      <c r="F1313" s="74" t="n"/>
      <c r="G1313" s="73" t="n"/>
      <c r="H1313" s="66" t="str">
        <f>IF(M1313&lt;&gt;"OK","",INDEX(po_mo,MATCH(D1313,po_code,0)))</f>
        <v/>
      </c>
      <c r="I1313" s="66" t="str">
        <f>IF(M1313&lt;&gt;"OK","",INDEX(po_mac,MATCH(D1313,po_code,0)))</f>
        <v/>
      </c>
      <c r="J1313" s="66" t="str">
        <f>IF(M1313&lt;&gt;"OK","",N(E1313)*(H1313*IF(G1313="",1,G1313)+I1313))</f>
        <v/>
      </c>
      <c r="K1313" s="66" t="str">
        <f>IF(M1313&lt;&gt;"OK","",N(F1313)/60*H1313*IF(G1313="",1,G1313))</f>
        <v/>
      </c>
      <c r="L1313" s="66" t="str">
        <f>IF(M1313&lt;&gt;"OK","",N(F1313)/60*I1313)</f>
        <v/>
      </c>
      <c r="M1313" s="69" t="str">
        <f>IF(AND(A1313="",D1313=""),"",IF(A1313="","Produit manquant",IF(COUNTIF(prod_ref,A1313)=0,"Produit inconnu",IF(D1313="","Poste manquant",IF(ISNA(MATCH(D1313,po_code,0)),"Poste inconnu",IF(INDEX(po_check,MATCH(D1313,po_code,0))&lt;&gt;"OK","Poste à corriger",IF(AND(E1313&lt;&gt;"",OR(NOT(ISNUMBER(E1313)),N(E1313)&lt;0)),"Réglage invalide",IF(AND(F1313&lt;&gt;"",OR(NOT(ISNUMBER(F1313)),N(F1313)&lt;0)),"Temps par pièce invalide",IF(N(E1313)+N(F1313)=0,"Temps manquant",IF(AND(G1313&lt;&gt;"",OR(NOT(ISNUMBER(G1313)),N(G1313)&lt;=0)),"Opérateurs invalide","OK"))))))))))</f>
        <v/>
      </c>
      <c r="N1313" s="71" t="str">
        <f>IF(AND(fiche_sel&lt;&gt;"",A1313=fiche_sel),COUNTIF(A$6:A1313,fiche_sel),"")</f>
        <v/>
      </c>
    </row>
    <row r="1314">
      <c r="A1314" s="60" t="n"/>
      <c r="B1314" s="73" t="n"/>
      <c r="C1314" s="60" t="n"/>
      <c r="D1314" s="61" t="n"/>
      <c r="E1314" s="74" t="n"/>
      <c r="F1314" s="74" t="n"/>
      <c r="G1314" s="73" t="n"/>
      <c r="H1314" s="66" t="str">
        <f>IF(M1314&lt;&gt;"OK","",INDEX(po_mo,MATCH(D1314,po_code,0)))</f>
        <v/>
      </c>
      <c r="I1314" s="66" t="str">
        <f>IF(M1314&lt;&gt;"OK","",INDEX(po_mac,MATCH(D1314,po_code,0)))</f>
        <v/>
      </c>
      <c r="J1314" s="66" t="str">
        <f>IF(M1314&lt;&gt;"OK","",N(E1314)*(H1314*IF(G1314="",1,G1314)+I1314))</f>
        <v/>
      </c>
      <c r="K1314" s="66" t="str">
        <f>IF(M1314&lt;&gt;"OK","",N(F1314)/60*H1314*IF(G1314="",1,G1314))</f>
        <v/>
      </c>
      <c r="L1314" s="66" t="str">
        <f>IF(M1314&lt;&gt;"OK","",N(F1314)/60*I1314)</f>
        <v/>
      </c>
      <c r="M1314" s="69" t="str">
        <f>IF(AND(A1314="",D1314=""),"",IF(A1314="","Produit manquant",IF(COUNTIF(prod_ref,A1314)=0,"Produit inconnu",IF(D1314="","Poste manquant",IF(ISNA(MATCH(D1314,po_code,0)),"Poste inconnu",IF(INDEX(po_check,MATCH(D1314,po_code,0))&lt;&gt;"OK","Poste à corriger",IF(AND(E1314&lt;&gt;"",OR(NOT(ISNUMBER(E1314)),N(E1314)&lt;0)),"Réglage invalide",IF(AND(F1314&lt;&gt;"",OR(NOT(ISNUMBER(F1314)),N(F1314)&lt;0)),"Temps par pièce invalide",IF(N(E1314)+N(F1314)=0,"Temps manquant",IF(AND(G1314&lt;&gt;"",OR(NOT(ISNUMBER(G1314)),N(G1314)&lt;=0)),"Opérateurs invalide","OK"))))))))))</f>
        <v/>
      </c>
      <c r="N1314" s="71" t="str">
        <f>IF(AND(fiche_sel&lt;&gt;"",A1314=fiche_sel),COUNTIF(A$6:A1314,fiche_sel),"")</f>
        <v/>
      </c>
    </row>
    <row r="1315">
      <c r="A1315" s="60" t="n"/>
      <c r="B1315" s="73" t="n"/>
      <c r="C1315" s="60" t="n"/>
      <c r="D1315" s="61" t="n"/>
      <c r="E1315" s="74" t="n"/>
      <c r="F1315" s="74" t="n"/>
      <c r="G1315" s="73" t="n"/>
      <c r="H1315" s="66" t="str">
        <f>IF(M1315&lt;&gt;"OK","",INDEX(po_mo,MATCH(D1315,po_code,0)))</f>
        <v/>
      </c>
      <c r="I1315" s="66" t="str">
        <f>IF(M1315&lt;&gt;"OK","",INDEX(po_mac,MATCH(D1315,po_code,0)))</f>
        <v/>
      </c>
      <c r="J1315" s="66" t="str">
        <f>IF(M1315&lt;&gt;"OK","",N(E1315)*(H1315*IF(G1315="",1,G1315)+I1315))</f>
        <v/>
      </c>
      <c r="K1315" s="66" t="str">
        <f>IF(M1315&lt;&gt;"OK","",N(F1315)/60*H1315*IF(G1315="",1,G1315))</f>
        <v/>
      </c>
      <c r="L1315" s="66" t="str">
        <f>IF(M1315&lt;&gt;"OK","",N(F1315)/60*I1315)</f>
        <v/>
      </c>
      <c r="M1315" s="69" t="str">
        <f>IF(AND(A1315="",D1315=""),"",IF(A1315="","Produit manquant",IF(COUNTIF(prod_ref,A1315)=0,"Produit inconnu",IF(D1315="","Poste manquant",IF(ISNA(MATCH(D1315,po_code,0)),"Poste inconnu",IF(INDEX(po_check,MATCH(D1315,po_code,0))&lt;&gt;"OK","Poste à corriger",IF(AND(E1315&lt;&gt;"",OR(NOT(ISNUMBER(E1315)),N(E1315)&lt;0)),"Réglage invalide",IF(AND(F1315&lt;&gt;"",OR(NOT(ISNUMBER(F1315)),N(F1315)&lt;0)),"Temps par pièce invalide",IF(N(E1315)+N(F1315)=0,"Temps manquant",IF(AND(G1315&lt;&gt;"",OR(NOT(ISNUMBER(G1315)),N(G1315)&lt;=0)),"Opérateurs invalide","OK"))))))))))</f>
        <v/>
      </c>
      <c r="N1315" s="71" t="str">
        <f>IF(AND(fiche_sel&lt;&gt;"",A1315=fiche_sel),COUNTIF(A$6:A1315,fiche_sel),"")</f>
        <v/>
      </c>
    </row>
    <row r="1316">
      <c r="A1316" s="60" t="n"/>
      <c r="B1316" s="73" t="n"/>
      <c r="C1316" s="60" t="n"/>
      <c r="D1316" s="61" t="n"/>
      <c r="E1316" s="74" t="n"/>
      <c r="F1316" s="74" t="n"/>
      <c r="G1316" s="73" t="n"/>
      <c r="H1316" s="66" t="str">
        <f>IF(M1316&lt;&gt;"OK","",INDEX(po_mo,MATCH(D1316,po_code,0)))</f>
        <v/>
      </c>
      <c r="I1316" s="66" t="str">
        <f>IF(M1316&lt;&gt;"OK","",INDEX(po_mac,MATCH(D1316,po_code,0)))</f>
        <v/>
      </c>
      <c r="J1316" s="66" t="str">
        <f>IF(M1316&lt;&gt;"OK","",N(E1316)*(H1316*IF(G1316="",1,G1316)+I1316))</f>
        <v/>
      </c>
      <c r="K1316" s="66" t="str">
        <f>IF(M1316&lt;&gt;"OK","",N(F1316)/60*H1316*IF(G1316="",1,G1316))</f>
        <v/>
      </c>
      <c r="L1316" s="66" t="str">
        <f>IF(M1316&lt;&gt;"OK","",N(F1316)/60*I1316)</f>
        <v/>
      </c>
      <c r="M1316" s="69" t="str">
        <f>IF(AND(A1316="",D1316=""),"",IF(A1316="","Produit manquant",IF(COUNTIF(prod_ref,A1316)=0,"Produit inconnu",IF(D1316="","Poste manquant",IF(ISNA(MATCH(D1316,po_code,0)),"Poste inconnu",IF(INDEX(po_check,MATCH(D1316,po_code,0))&lt;&gt;"OK","Poste à corriger",IF(AND(E1316&lt;&gt;"",OR(NOT(ISNUMBER(E1316)),N(E1316)&lt;0)),"Réglage invalide",IF(AND(F1316&lt;&gt;"",OR(NOT(ISNUMBER(F1316)),N(F1316)&lt;0)),"Temps par pièce invalide",IF(N(E1316)+N(F1316)=0,"Temps manquant",IF(AND(G1316&lt;&gt;"",OR(NOT(ISNUMBER(G1316)),N(G1316)&lt;=0)),"Opérateurs invalide","OK"))))))))))</f>
        <v/>
      </c>
      <c r="N1316" s="71" t="str">
        <f>IF(AND(fiche_sel&lt;&gt;"",A1316=fiche_sel),COUNTIF(A$6:A1316,fiche_sel),"")</f>
        <v/>
      </c>
    </row>
    <row r="1317">
      <c r="A1317" s="60" t="n"/>
      <c r="B1317" s="73" t="n"/>
      <c r="C1317" s="60" t="n"/>
      <c r="D1317" s="61" t="n"/>
      <c r="E1317" s="74" t="n"/>
      <c r="F1317" s="74" t="n"/>
      <c r="G1317" s="73" t="n"/>
      <c r="H1317" s="66" t="str">
        <f>IF(M1317&lt;&gt;"OK","",INDEX(po_mo,MATCH(D1317,po_code,0)))</f>
        <v/>
      </c>
      <c r="I1317" s="66" t="str">
        <f>IF(M1317&lt;&gt;"OK","",INDEX(po_mac,MATCH(D1317,po_code,0)))</f>
        <v/>
      </c>
      <c r="J1317" s="66" t="str">
        <f>IF(M1317&lt;&gt;"OK","",N(E1317)*(H1317*IF(G1317="",1,G1317)+I1317))</f>
        <v/>
      </c>
      <c r="K1317" s="66" t="str">
        <f>IF(M1317&lt;&gt;"OK","",N(F1317)/60*H1317*IF(G1317="",1,G1317))</f>
        <v/>
      </c>
      <c r="L1317" s="66" t="str">
        <f>IF(M1317&lt;&gt;"OK","",N(F1317)/60*I1317)</f>
        <v/>
      </c>
      <c r="M1317" s="69" t="str">
        <f>IF(AND(A1317="",D1317=""),"",IF(A1317="","Produit manquant",IF(COUNTIF(prod_ref,A1317)=0,"Produit inconnu",IF(D1317="","Poste manquant",IF(ISNA(MATCH(D1317,po_code,0)),"Poste inconnu",IF(INDEX(po_check,MATCH(D1317,po_code,0))&lt;&gt;"OK","Poste à corriger",IF(AND(E1317&lt;&gt;"",OR(NOT(ISNUMBER(E1317)),N(E1317)&lt;0)),"Réglage invalide",IF(AND(F1317&lt;&gt;"",OR(NOT(ISNUMBER(F1317)),N(F1317)&lt;0)),"Temps par pièce invalide",IF(N(E1317)+N(F1317)=0,"Temps manquant",IF(AND(G1317&lt;&gt;"",OR(NOT(ISNUMBER(G1317)),N(G1317)&lt;=0)),"Opérateurs invalide","OK"))))))))))</f>
        <v/>
      </c>
      <c r="N1317" s="71" t="str">
        <f>IF(AND(fiche_sel&lt;&gt;"",A1317=fiche_sel),COUNTIF(A$6:A1317,fiche_sel),"")</f>
        <v/>
      </c>
    </row>
    <row r="1318">
      <c r="A1318" s="60" t="n"/>
      <c r="B1318" s="73" t="n"/>
      <c r="C1318" s="60" t="n"/>
      <c r="D1318" s="61" t="n"/>
      <c r="E1318" s="74" t="n"/>
      <c r="F1318" s="74" t="n"/>
      <c r="G1318" s="73" t="n"/>
      <c r="H1318" s="66" t="str">
        <f>IF(M1318&lt;&gt;"OK","",INDEX(po_mo,MATCH(D1318,po_code,0)))</f>
        <v/>
      </c>
      <c r="I1318" s="66" t="str">
        <f>IF(M1318&lt;&gt;"OK","",INDEX(po_mac,MATCH(D1318,po_code,0)))</f>
        <v/>
      </c>
      <c r="J1318" s="66" t="str">
        <f>IF(M1318&lt;&gt;"OK","",N(E1318)*(H1318*IF(G1318="",1,G1318)+I1318))</f>
        <v/>
      </c>
      <c r="K1318" s="66" t="str">
        <f>IF(M1318&lt;&gt;"OK","",N(F1318)/60*H1318*IF(G1318="",1,G1318))</f>
        <v/>
      </c>
      <c r="L1318" s="66" t="str">
        <f>IF(M1318&lt;&gt;"OK","",N(F1318)/60*I1318)</f>
        <v/>
      </c>
      <c r="M1318" s="69" t="str">
        <f>IF(AND(A1318="",D1318=""),"",IF(A1318="","Produit manquant",IF(COUNTIF(prod_ref,A1318)=0,"Produit inconnu",IF(D1318="","Poste manquant",IF(ISNA(MATCH(D1318,po_code,0)),"Poste inconnu",IF(INDEX(po_check,MATCH(D1318,po_code,0))&lt;&gt;"OK","Poste à corriger",IF(AND(E1318&lt;&gt;"",OR(NOT(ISNUMBER(E1318)),N(E1318)&lt;0)),"Réglage invalide",IF(AND(F1318&lt;&gt;"",OR(NOT(ISNUMBER(F1318)),N(F1318)&lt;0)),"Temps par pièce invalide",IF(N(E1318)+N(F1318)=0,"Temps manquant",IF(AND(G1318&lt;&gt;"",OR(NOT(ISNUMBER(G1318)),N(G1318)&lt;=0)),"Opérateurs invalide","OK"))))))))))</f>
        <v/>
      </c>
      <c r="N1318" s="71" t="str">
        <f>IF(AND(fiche_sel&lt;&gt;"",A1318=fiche_sel),COUNTIF(A$6:A1318,fiche_sel),"")</f>
        <v/>
      </c>
    </row>
    <row r="1319">
      <c r="A1319" s="60" t="n"/>
      <c r="B1319" s="73" t="n"/>
      <c r="C1319" s="60" t="n"/>
      <c r="D1319" s="61" t="n"/>
      <c r="E1319" s="74" t="n"/>
      <c r="F1319" s="74" t="n"/>
      <c r="G1319" s="73" t="n"/>
      <c r="H1319" s="66" t="str">
        <f>IF(M1319&lt;&gt;"OK","",INDEX(po_mo,MATCH(D1319,po_code,0)))</f>
        <v/>
      </c>
      <c r="I1319" s="66" t="str">
        <f>IF(M1319&lt;&gt;"OK","",INDEX(po_mac,MATCH(D1319,po_code,0)))</f>
        <v/>
      </c>
      <c r="J1319" s="66" t="str">
        <f>IF(M1319&lt;&gt;"OK","",N(E1319)*(H1319*IF(G1319="",1,G1319)+I1319))</f>
        <v/>
      </c>
      <c r="K1319" s="66" t="str">
        <f>IF(M1319&lt;&gt;"OK","",N(F1319)/60*H1319*IF(G1319="",1,G1319))</f>
        <v/>
      </c>
      <c r="L1319" s="66" t="str">
        <f>IF(M1319&lt;&gt;"OK","",N(F1319)/60*I1319)</f>
        <v/>
      </c>
      <c r="M1319" s="69" t="str">
        <f>IF(AND(A1319="",D1319=""),"",IF(A1319="","Produit manquant",IF(COUNTIF(prod_ref,A1319)=0,"Produit inconnu",IF(D1319="","Poste manquant",IF(ISNA(MATCH(D1319,po_code,0)),"Poste inconnu",IF(INDEX(po_check,MATCH(D1319,po_code,0))&lt;&gt;"OK","Poste à corriger",IF(AND(E1319&lt;&gt;"",OR(NOT(ISNUMBER(E1319)),N(E1319)&lt;0)),"Réglage invalide",IF(AND(F1319&lt;&gt;"",OR(NOT(ISNUMBER(F1319)),N(F1319)&lt;0)),"Temps par pièce invalide",IF(N(E1319)+N(F1319)=0,"Temps manquant",IF(AND(G1319&lt;&gt;"",OR(NOT(ISNUMBER(G1319)),N(G1319)&lt;=0)),"Opérateurs invalide","OK"))))))))))</f>
        <v/>
      </c>
      <c r="N1319" s="71" t="str">
        <f>IF(AND(fiche_sel&lt;&gt;"",A1319=fiche_sel),COUNTIF(A$6:A1319,fiche_sel),"")</f>
        <v/>
      </c>
    </row>
    <row r="1320">
      <c r="A1320" s="60" t="n"/>
      <c r="B1320" s="73" t="n"/>
      <c r="C1320" s="60" t="n"/>
      <c r="D1320" s="61" t="n"/>
      <c r="E1320" s="74" t="n"/>
      <c r="F1320" s="74" t="n"/>
      <c r="G1320" s="73" t="n"/>
      <c r="H1320" s="66" t="str">
        <f>IF(M1320&lt;&gt;"OK","",INDEX(po_mo,MATCH(D1320,po_code,0)))</f>
        <v/>
      </c>
      <c r="I1320" s="66" t="str">
        <f>IF(M1320&lt;&gt;"OK","",INDEX(po_mac,MATCH(D1320,po_code,0)))</f>
        <v/>
      </c>
      <c r="J1320" s="66" t="str">
        <f>IF(M1320&lt;&gt;"OK","",N(E1320)*(H1320*IF(G1320="",1,G1320)+I1320))</f>
        <v/>
      </c>
      <c r="K1320" s="66" t="str">
        <f>IF(M1320&lt;&gt;"OK","",N(F1320)/60*H1320*IF(G1320="",1,G1320))</f>
        <v/>
      </c>
      <c r="L1320" s="66" t="str">
        <f>IF(M1320&lt;&gt;"OK","",N(F1320)/60*I1320)</f>
        <v/>
      </c>
      <c r="M1320" s="69" t="str">
        <f>IF(AND(A1320="",D1320=""),"",IF(A1320="","Produit manquant",IF(COUNTIF(prod_ref,A1320)=0,"Produit inconnu",IF(D1320="","Poste manquant",IF(ISNA(MATCH(D1320,po_code,0)),"Poste inconnu",IF(INDEX(po_check,MATCH(D1320,po_code,0))&lt;&gt;"OK","Poste à corriger",IF(AND(E1320&lt;&gt;"",OR(NOT(ISNUMBER(E1320)),N(E1320)&lt;0)),"Réglage invalide",IF(AND(F1320&lt;&gt;"",OR(NOT(ISNUMBER(F1320)),N(F1320)&lt;0)),"Temps par pièce invalide",IF(N(E1320)+N(F1320)=0,"Temps manquant",IF(AND(G1320&lt;&gt;"",OR(NOT(ISNUMBER(G1320)),N(G1320)&lt;=0)),"Opérateurs invalide","OK"))))))))))</f>
        <v/>
      </c>
      <c r="N1320" s="71" t="str">
        <f>IF(AND(fiche_sel&lt;&gt;"",A1320=fiche_sel),COUNTIF(A$6:A1320,fiche_sel),"")</f>
        <v/>
      </c>
    </row>
    <row r="1321">
      <c r="A1321" s="60" t="n"/>
      <c r="B1321" s="73" t="n"/>
      <c r="C1321" s="60" t="n"/>
      <c r="D1321" s="61" t="n"/>
      <c r="E1321" s="74" t="n"/>
      <c r="F1321" s="74" t="n"/>
      <c r="G1321" s="73" t="n"/>
      <c r="H1321" s="66" t="str">
        <f>IF(M1321&lt;&gt;"OK","",INDEX(po_mo,MATCH(D1321,po_code,0)))</f>
        <v/>
      </c>
      <c r="I1321" s="66" t="str">
        <f>IF(M1321&lt;&gt;"OK","",INDEX(po_mac,MATCH(D1321,po_code,0)))</f>
        <v/>
      </c>
      <c r="J1321" s="66" t="str">
        <f>IF(M1321&lt;&gt;"OK","",N(E1321)*(H1321*IF(G1321="",1,G1321)+I1321))</f>
        <v/>
      </c>
      <c r="K1321" s="66" t="str">
        <f>IF(M1321&lt;&gt;"OK","",N(F1321)/60*H1321*IF(G1321="",1,G1321))</f>
        <v/>
      </c>
      <c r="L1321" s="66" t="str">
        <f>IF(M1321&lt;&gt;"OK","",N(F1321)/60*I1321)</f>
        <v/>
      </c>
      <c r="M1321" s="69" t="str">
        <f>IF(AND(A1321="",D1321=""),"",IF(A1321="","Produit manquant",IF(COUNTIF(prod_ref,A1321)=0,"Produit inconnu",IF(D1321="","Poste manquant",IF(ISNA(MATCH(D1321,po_code,0)),"Poste inconnu",IF(INDEX(po_check,MATCH(D1321,po_code,0))&lt;&gt;"OK","Poste à corriger",IF(AND(E1321&lt;&gt;"",OR(NOT(ISNUMBER(E1321)),N(E1321)&lt;0)),"Réglage invalide",IF(AND(F1321&lt;&gt;"",OR(NOT(ISNUMBER(F1321)),N(F1321)&lt;0)),"Temps par pièce invalide",IF(N(E1321)+N(F1321)=0,"Temps manquant",IF(AND(G1321&lt;&gt;"",OR(NOT(ISNUMBER(G1321)),N(G1321)&lt;=0)),"Opérateurs invalide","OK"))))))))))</f>
        <v/>
      </c>
      <c r="N1321" s="71" t="str">
        <f>IF(AND(fiche_sel&lt;&gt;"",A1321=fiche_sel),COUNTIF(A$6:A1321,fiche_sel),"")</f>
        <v/>
      </c>
    </row>
    <row r="1322">
      <c r="A1322" s="60" t="n"/>
      <c r="B1322" s="73" t="n"/>
      <c r="C1322" s="60" t="n"/>
      <c r="D1322" s="61" t="n"/>
      <c r="E1322" s="74" t="n"/>
      <c r="F1322" s="74" t="n"/>
      <c r="G1322" s="73" t="n"/>
      <c r="H1322" s="66" t="str">
        <f>IF(M1322&lt;&gt;"OK","",INDEX(po_mo,MATCH(D1322,po_code,0)))</f>
        <v/>
      </c>
      <c r="I1322" s="66" t="str">
        <f>IF(M1322&lt;&gt;"OK","",INDEX(po_mac,MATCH(D1322,po_code,0)))</f>
        <v/>
      </c>
      <c r="J1322" s="66" t="str">
        <f>IF(M1322&lt;&gt;"OK","",N(E1322)*(H1322*IF(G1322="",1,G1322)+I1322))</f>
        <v/>
      </c>
      <c r="K1322" s="66" t="str">
        <f>IF(M1322&lt;&gt;"OK","",N(F1322)/60*H1322*IF(G1322="",1,G1322))</f>
        <v/>
      </c>
      <c r="L1322" s="66" t="str">
        <f>IF(M1322&lt;&gt;"OK","",N(F1322)/60*I1322)</f>
        <v/>
      </c>
      <c r="M1322" s="69" t="str">
        <f>IF(AND(A1322="",D1322=""),"",IF(A1322="","Produit manquant",IF(COUNTIF(prod_ref,A1322)=0,"Produit inconnu",IF(D1322="","Poste manquant",IF(ISNA(MATCH(D1322,po_code,0)),"Poste inconnu",IF(INDEX(po_check,MATCH(D1322,po_code,0))&lt;&gt;"OK","Poste à corriger",IF(AND(E1322&lt;&gt;"",OR(NOT(ISNUMBER(E1322)),N(E1322)&lt;0)),"Réglage invalide",IF(AND(F1322&lt;&gt;"",OR(NOT(ISNUMBER(F1322)),N(F1322)&lt;0)),"Temps par pièce invalide",IF(N(E1322)+N(F1322)=0,"Temps manquant",IF(AND(G1322&lt;&gt;"",OR(NOT(ISNUMBER(G1322)),N(G1322)&lt;=0)),"Opérateurs invalide","OK"))))))))))</f>
        <v/>
      </c>
      <c r="N1322" s="71" t="str">
        <f>IF(AND(fiche_sel&lt;&gt;"",A1322=fiche_sel),COUNTIF(A$6:A1322,fiche_sel),"")</f>
        <v/>
      </c>
    </row>
    <row r="1323">
      <c r="A1323" s="60" t="n"/>
      <c r="B1323" s="73" t="n"/>
      <c r="C1323" s="60" t="n"/>
      <c r="D1323" s="61" t="n"/>
      <c r="E1323" s="74" t="n"/>
      <c r="F1323" s="74" t="n"/>
      <c r="G1323" s="73" t="n"/>
      <c r="H1323" s="66" t="str">
        <f>IF(M1323&lt;&gt;"OK","",INDEX(po_mo,MATCH(D1323,po_code,0)))</f>
        <v/>
      </c>
      <c r="I1323" s="66" t="str">
        <f>IF(M1323&lt;&gt;"OK","",INDEX(po_mac,MATCH(D1323,po_code,0)))</f>
        <v/>
      </c>
      <c r="J1323" s="66" t="str">
        <f>IF(M1323&lt;&gt;"OK","",N(E1323)*(H1323*IF(G1323="",1,G1323)+I1323))</f>
        <v/>
      </c>
      <c r="K1323" s="66" t="str">
        <f>IF(M1323&lt;&gt;"OK","",N(F1323)/60*H1323*IF(G1323="",1,G1323))</f>
        <v/>
      </c>
      <c r="L1323" s="66" t="str">
        <f>IF(M1323&lt;&gt;"OK","",N(F1323)/60*I1323)</f>
        <v/>
      </c>
      <c r="M1323" s="69" t="str">
        <f>IF(AND(A1323="",D1323=""),"",IF(A1323="","Produit manquant",IF(COUNTIF(prod_ref,A1323)=0,"Produit inconnu",IF(D1323="","Poste manquant",IF(ISNA(MATCH(D1323,po_code,0)),"Poste inconnu",IF(INDEX(po_check,MATCH(D1323,po_code,0))&lt;&gt;"OK","Poste à corriger",IF(AND(E1323&lt;&gt;"",OR(NOT(ISNUMBER(E1323)),N(E1323)&lt;0)),"Réglage invalide",IF(AND(F1323&lt;&gt;"",OR(NOT(ISNUMBER(F1323)),N(F1323)&lt;0)),"Temps par pièce invalide",IF(N(E1323)+N(F1323)=0,"Temps manquant",IF(AND(G1323&lt;&gt;"",OR(NOT(ISNUMBER(G1323)),N(G1323)&lt;=0)),"Opérateurs invalide","OK"))))))))))</f>
        <v/>
      </c>
      <c r="N1323" s="71" t="str">
        <f>IF(AND(fiche_sel&lt;&gt;"",A1323=fiche_sel),COUNTIF(A$6:A1323,fiche_sel),"")</f>
        <v/>
      </c>
    </row>
    <row r="1324">
      <c r="A1324" s="60" t="n"/>
      <c r="B1324" s="73" t="n"/>
      <c r="C1324" s="60" t="n"/>
      <c r="D1324" s="61" t="n"/>
      <c r="E1324" s="74" t="n"/>
      <c r="F1324" s="74" t="n"/>
      <c r="G1324" s="73" t="n"/>
      <c r="H1324" s="66" t="str">
        <f>IF(M1324&lt;&gt;"OK","",INDEX(po_mo,MATCH(D1324,po_code,0)))</f>
        <v/>
      </c>
      <c r="I1324" s="66" t="str">
        <f>IF(M1324&lt;&gt;"OK","",INDEX(po_mac,MATCH(D1324,po_code,0)))</f>
        <v/>
      </c>
      <c r="J1324" s="66" t="str">
        <f>IF(M1324&lt;&gt;"OK","",N(E1324)*(H1324*IF(G1324="",1,G1324)+I1324))</f>
        <v/>
      </c>
      <c r="K1324" s="66" t="str">
        <f>IF(M1324&lt;&gt;"OK","",N(F1324)/60*H1324*IF(G1324="",1,G1324))</f>
        <v/>
      </c>
      <c r="L1324" s="66" t="str">
        <f>IF(M1324&lt;&gt;"OK","",N(F1324)/60*I1324)</f>
        <v/>
      </c>
      <c r="M1324" s="69" t="str">
        <f>IF(AND(A1324="",D1324=""),"",IF(A1324="","Produit manquant",IF(COUNTIF(prod_ref,A1324)=0,"Produit inconnu",IF(D1324="","Poste manquant",IF(ISNA(MATCH(D1324,po_code,0)),"Poste inconnu",IF(INDEX(po_check,MATCH(D1324,po_code,0))&lt;&gt;"OK","Poste à corriger",IF(AND(E1324&lt;&gt;"",OR(NOT(ISNUMBER(E1324)),N(E1324)&lt;0)),"Réglage invalide",IF(AND(F1324&lt;&gt;"",OR(NOT(ISNUMBER(F1324)),N(F1324)&lt;0)),"Temps par pièce invalide",IF(N(E1324)+N(F1324)=0,"Temps manquant",IF(AND(G1324&lt;&gt;"",OR(NOT(ISNUMBER(G1324)),N(G1324)&lt;=0)),"Opérateurs invalide","OK"))))))))))</f>
        <v/>
      </c>
      <c r="N1324" s="71" t="str">
        <f>IF(AND(fiche_sel&lt;&gt;"",A1324=fiche_sel),COUNTIF(A$6:A1324,fiche_sel),"")</f>
        <v/>
      </c>
    </row>
    <row r="1325">
      <c r="A1325" s="60" t="n"/>
      <c r="B1325" s="73" t="n"/>
      <c r="C1325" s="60" t="n"/>
      <c r="D1325" s="61" t="n"/>
      <c r="E1325" s="74" t="n"/>
      <c r="F1325" s="74" t="n"/>
      <c r="G1325" s="73" t="n"/>
      <c r="H1325" s="66" t="str">
        <f>IF(M1325&lt;&gt;"OK","",INDEX(po_mo,MATCH(D1325,po_code,0)))</f>
        <v/>
      </c>
      <c r="I1325" s="66" t="str">
        <f>IF(M1325&lt;&gt;"OK","",INDEX(po_mac,MATCH(D1325,po_code,0)))</f>
        <v/>
      </c>
      <c r="J1325" s="66" t="str">
        <f>IF(M1325&lt;&gt;"OK","",N(E1325)*(H1325*IF(G1325="",1,G1325)+I1325))</f>
        <v/>
      </c>
      <c r="K1325" s="66" t="str">
        <f>IF(M1325&lt;&gt;"OK","",N(F1325)/60*H1325*IF(G1325="",1,G1325))</f>
        <v/>
      </c>
      <c r="L1325" s="66" t="str">
        <f>IF(M1325&lt;&gt;"OK","",N(F1325)/60*I1325)</f>
        <v/>
      </c>
      <c r="M1325" s="69" t="str">
        <f>IF(AND(A1325="",D1325=""),"",IF(A1325="","Produit manquant",IF(COUNTIF(prod_ref,A1325)=0,"Produit inconnu",IF(D1325="","Poste manquant",IF(ISNA(MATCH(D1325,po_code,0)),"Poste inconnu",IF(INDEX(po_check,MATCH(D1325,po_code,0))&lt;&gt;"OK","Poste à corriger",IF(AND(E1325&lt;&gt;"",OR(NOT(ISNUMBER(E1325)),N(E1325)&lt;0)),"Réglage invalide",IF(AND(F1325&lt;&gt;"",OR(NOT(ISNUMBER(F1325)),N(F1325)&lt;0)),"Temps par pièce invalide",IF(N(E1325)+N(F1325)=0,"Temps manquant",IF(AND(G1325&lt;&gt;"",OR(NOT(ISNUMBER(G1325)),N(G1325)&lt;=0)),"Opérateurs invalide","OK"))))))))))</f>
        <v/>
      </c>
      <c r="N1325" s="71" t="str">
        <f>IF(AND(fiche_sel&lt;&gt;"",A1325=fiche_sel),COUNTIF(A$6:A1325,fiche_sel),"")</f>
        <v/>
      </c>
    </row>
    <row r="1326">
      <c r="A1326" s="60" t="n"/>
      <c r="B1326" s="73" t="n"/>
      <c r="C1326" s="60" t="n"/>
      <c r="D1326" s="61" t="n"/>
      <c r="E1326" s="74" t="n"/>
      <c r="F1326" s="74" t="n"/>
      <c r="G1326" s="73" t="n"/>
      <c r="H1326" s="66" t="str">
        <f>IF(M1326&lt;&gt;"OK","",INDEX(po_mo,MATCH(D1326,po_code,0)))</f>
        <v/>
      </c>
      <c r="I1326" s="66" t="str">
        <f>IF(M1326&lt;&gt;"OK","",INDEX(po_mac,MATCH(D1326,po_code,0)))</f>
        <v/>
      </c>
      <c r="J1326" s="66" t="str">
        <f>IF(M1326&lt;&gt;"OK","",N(E1326)*(H1326*IF(G1326="",1,G1326)+I1326))</f>
        <v/>
      </c>
      <c r="K1326" s="66" t="str">
        <f>IF(M1326&lt;&gt;"OK","",N(F1326)/60*H1326*IF(G1326="",1,G1326))</f>
        <v/>
      </c>
      <c r="L1326" s="66" t="str">
        <f>IF(M1326&lt;&gt;"OK","",N(F1326)/60*I1326)</f>
        <v/>
      </c>
      <c r="M1326" s="69" t="str">
        <f>IF(AND(A1326="",D1326=""),"",IF(A1326="","Produit manquant",IF(COUNTIF(prod_ref,A1326)=0,"Produit inconnu",IF(D1326="","Poste manquant",IF(ISNA(MATCH(D1326,po_code,0)),"Poste inconnu",IF(INDEX(po_check,MATCH(D1326,po_code,0))&lt;&gt;"OK","Poste à corriger",IF(AND(E1326&lt;&gt;"",OR(NOT(ISNUMBER(E1326)),N(E1326)&lt;0)),"Réglage invalide",IF(AND(F1326&lt;&gt;"",OR(NOT(ISNUMBER(F1326)),N(F1326)&lt;0)),"Temps par pièce invalide",IF(N(E1326)+N(F1326)=0,"Temps manquant",IF(AND(G1326&lt;&gt;"",OR(NOT(ISNUMBER(G1326)),N(G1326)&lt;=0)),"Opérateurs invalide","OK"))))))))))</f>
        <v/>
      </c>
      <c r="N1326" s="71" t="str">
        <f>IF(AND(fiche_sel&lt;&gt;"",A1326=fiche_sel),COUNTIF(A$6:A1326,fiche_sel),"")</f>
        <v/>
      </c>
    </row>
    <row r="1327">
      <c r="A1327" s="60" t="n"/>
      <c r="B1327" s="73" t="n"/>
      <c r="C1327" s="60" t="n"/>
      <c r="D1327" s="61" t="n"/>
      <c r="E1327" s="74" t="n"/>
      <c r="F1327" s="74" t="n"/>
      <c r="G1327" s="73" t="n"/>
      <c r="H1327" s="66" t="str">
        <f>IF(M1327&lt;&gt;"OK","",INDEX(po_mo,MATCH(D1327,po_code,0)))</f>
        <v/>
      </c>
      <c r="I1327" s="66" t="str">
        <f>IF(M1327&lt;&gt;"OK","",INDEX(po_mac,MATCH(D1327,po_code,0)))</f>
        <v/>
      </c>
      <c r="J1327" s="66" t="str">
        <f>IF(M1327&lt;&gt;"OK","",N(E1327)*(H1327*IF(G1327="",1,G1327)+I1327))</f>
        <v/>
      </c>
      <c r="K1327" s="66" t="str">
        <f>IF(M1327&lt;&gt;"OK","",N(F1327)/60*H1327*IF(G1327="",1,G1327))</f>
        <v/>
      </c>
      <c r="L1327" s="66" t="str">
        <f>IF(M1327&lt;&gt;"OK","",N(F1327)/60*I1327)</f>
        <v/>
      </c>
      <c r="M1327" s="69" t="str">
        <f>IF(AND(A1327="",D1327=""),"",IF(A1327="","Produit manquant",IF(COUNTIF(prod_ref,A1327)=0,"Produit inconnu",IF(D1327="","Poste manquant",IF(ISNA(MATCH(D1327,po_code,0)),"Poste inconnu",IF(INDEX(po_check,MATCH(D1327,po_code,0))&lt;&gt;"OK","Poste à corriger",IF(AND(E1327&lt;&gt;"",OR(NOT(ISNUMBER(E1327)),N(E1327)&lt;0)),"Réglage invalide",IF(AND(F1327&lt;&gt;"",OR(NOT(ISNUMBER(F1327)),N(F1327)&lt;0)),"Temps par pièce invalide",IF(N(E1327)+N(F1327)=0,"Temps manquant",IF(AND(G1327&lt;&gt;"",OR(NOT(ISNUMBER(G1327)),N(G1327)&lt;=0)),"Opérateurs invalide","OK"))))))))))</f>
        <v/>
      </c>
      <c r="N1327" s="71" t="str">
        <f>IF(AND(fiche_sel&lt;&gt;"",A1327=fiche_sel),COUNTIF(A$6:A1327,fiche_sel),"")</f>
        <v/>
      </c>
    </row>
    <row r="1328">
      <c r="A1328" s="60" t="n"/>
      <c r="B1328" s="73" t="n"/>
      <c r="C1328" s="60" t="n"/>
      <c r="D1328" s="61" t="n"/>
      <c r="E1328" s="74" t="n"/>
      <c r="F1328" s="74" t="n"/>
      <c r="G1328" s="73" t="n"/>
      <c r="H1328" s="66" t="str">
        <f>IF(M1328&lt;&gt;"OK","",INDEX(po_mo,MATCH(D1328,po_code,0)))</f>
        <v/>
      </c>
      <c r="I1328" s="66" t="str">
        <f>IF(M1328&lt;&gt;"OK","",INDEX(po_mac,MATCH(D1328,po_code,0)))</f>
        <v/>
      </c>
      <c r="J1328" s="66" t="str">
        <f>IF(M1328&lt;&gt;"OK","",N(E1328)*(H1328*IF(G1328="",1,G1328)+I1328))</f>
        <v/>
      </c>
      <c r="K1328" s="66" t="str">
        <f>IF(M1328&lt;&gt;"OK","",N(F1328)/60*H1328*IF(G1328="",1,G1328))</f>
        <v/>
      </c>
      <c r="L1328" s="66" t="str">
        <f>IF(M1328&lt;&gt;"OK","",N(F1328)/60*I1328)</f>
        <v/>
      </c>
      <c r="M1328" s="69" t="str">
        <f>IF(AND(A1328="",D1328=""),"",IF(A1328="","Produit manquant",IF(COUNTIF(prod_ref,A1328)=0,"Produit inconnu",IF(D1328="","Poste manquant",IF(ISNA(MATCH(D1328,po_code,0)),"Poste inconnu",IF(INDEX(po_check,MATCH(D1328,po_code,0))&lt;&gt;"OK","Poste à corriger",IF(AND(E1328&lt;&gt;"",OR(NOT(ISNUMBER(E1328)),N(E1328)&lt;0)),"Réglage invalide",IF(AND(F1328&lt;&gt;"",OR(NOT(ISNUMBER(F1328)),N(F1328)&lt;0)),"Temps par pièce invalide",IF(N(E1328)+N(F1328)=0,"Temps manquant",IF(AND(G1328&lt;&gt;"",OR(NOT(ISNUMBER(G1328)),N(G1328)&lt;=0)),"Opérateurs invalide","OK"))))))))))</f>
        <v/>
      </c>
      <c r="N1328" s="71" t="str">
        <f>IF(AND(fiche_sel&lt;&gt;"",A1328=fiche_sel),COUNTIF(A$6:A1328,fiche_sel),"")</f>
        <v/>
      </c>
    </row>
    <row r="1329">
      <c r="A1329" s="60" t="n"/>
      <c r="B1329" s="73" t="n"/>
      <c r="C1329" s="60" t="n"/>
      <c r="D1329" s="61" t="n"/>
      <c r="E1329" s="74" t="n"/>
      <c r="F1329" s="74" t="n"/>
      <c r="G1329" s="73" t="n"/>
      <c r="H1329" s="66" t="str">
        <f>IF(M1329&lt;&gt;"OK","",INDEX(po_mo,MATCH(D1329,po_code,0)))</f>
        <v/>
      </c>
      <c r="I1329" s="66" t="str">
        <f>IF(M1329&lt;&gt;"OK","",INDEX(po_mac,MATCH(D1329,po_code,0)))</f>
        <v/>
      </c>
      <c r="J1329" s="66" t="str">
        <f>IF(M1329&lt;&gt;"OK","",N(E1329)*(H1329*IF(G1329="",1,G1329)+I1329))</f>
        <v/>
      </c>
      <c r="K1329" s="66" t="str">
        <f>IF(M1329&lt;&gt;"OK","",N(F1329)/60*H1329*IF(G1329="",1,G1329))</f>
        <v/>
      </c>
      <c r="L1329" s="66" t="str">
        <f>IF(M1329&lt;&gt;"OK","",N(F1329)/60*I1329)</f>
        <v/>
      </c>
      <c r="M1329" s="69" t="str">
        <f>IF(AND(A1329="",D1329=""),"",IF(A1329="","Produit manquant",IF(COUNTIF(prod_ref,A1329)=0,"Produit inconnu",IF(D1329="","Poste manquant",IF(ISNA(MATCH(D1329,po_code,0)),"Poste inconnu",IF(INDEX(po_check,MATCH(D1329,po_code,0))&lt;&gt;"OK","Poste à corriger",IF(AND(E1329&lt;&gt;"",OR(NOT(ISNUMBER(E1329)),N(E1329)&lt;0)),"Réglage invalide",IF(AND(F1329&lt;&gt;"",OR(NOT(ISNUMBER(F1329)),N(F1329)&lt;0)),"Temps par pièce invalide",IF(N(E1329)+N(F1329)=0,"Temps manquant",IF(AND(G1329&lt;&gt;"",OR(NOT(ISNUMBER(G1329)),N(G1329)&lt;=0)),"Opérateurs invalide","OK"))))))))))</f>
        <v/>
      </c>
      <c r="N1329" s="71" t="str">
        <f>IF(AND(fiche_sel&lt;&gt;"",A1329=fiche_sel),COUNTIF(A$6:A1329,fiche_sel),"")</f>
        <v/>
      </c>
    </row>
    <row r="1330">
      <c r="A1330" s="60" t="n"/>
      <c r="B1330" s="73" t="n"/>
      <c r="C1330" s="60" t="n"/>
      <c r="D1330" s="61" t="n"/>
      <c r="E1330" s="74" t="n"/>
      <c r="F1330" s="74" t="n"/>
      <c r="G1330" s="73" t="n"/>
      <c r="H1330" s="66" t="str">
        <f>IF(M1330&lt;&gt;"OK","",INDEX(po_mo,MATCH(D1330,po_code,0)))</f>
        <v/>
      </c>
      <c r="I1330" s="66" t="str">
        <f>IF(M1330&lt;&gt;"OK","",INDEX(po_mac,MATCH(D1330,po_code,0)))</f>
        <v/>
      </c>
      <c r="J1330" s="66" t="str">
        <f>IF(M1330&lt;&gt;"OK","",N(E1330)*(H1330*IF(G1330="",1,G1330)+I1330))</f>
        <v/>
      </c>
      <c r="K1330" s="66" t="str">
        <f>IF(M1330&lt;&gt;"OK","",N(F1330)/60*H1330*IF(G1330="",1,G1330))</f>
        <v/>
      </c>
      <c r="L1330" s="66" t="str">
        <f>IF(M1330&lt;&gt;"OK","",N(F1330)/60*I1330)</f>
        <v/>
      </c>
      <c r="M1330" s="69" t="str">
        <f>IF(AND(A1330="",D1330=""),"",IF(A1330="","Produit manquant",IF(COUNTIF(prod_ref,A1330)=0,"Produit inconnu",IF(D1330="","Poste manquant",IF(ISNA(MATCH(D1330,po_code,0)),"Poste inconnu",IF(INDEX(po_check,MATCH(D1330,po_code,0))&lt;&gt;"OK","Poste à corriger",IF(AND(E1330&lt;&gt;"",OR(NOT(ISNUMBER(E1330)),N(E1330)&lt;0)),"Réglage invalide",IF(AND(F1330&lt;&gt;"",OR(NOT(ISNUMBER(F1330)),N(F1330)&lt;0)),"Temps par pièce invalide",IF(N(E1330)+N(F1330)=0,"Temps manquant",IF(AND(G1330&lt;&gt;"",OR(NOT(ISNUMBER(G1330)),N(G1330)&lt;=0)),"Opérateurs invalide","OK"))))))))))</f>
        <v/>
      </c>
      <c r="N1330" s="71" t="str">
        <f>IF(AND(fiche_sel&lt;&gt;"",A1330=fiche_sel),COUNTIF(A$6:A1330,fiche_sel),"")</f>
        <v/>
      </c>
    </row>
    <row r="1331">
      <c r="A1331" s="60" t="n"/>
      <c r="B1331" s="73" t="n"/>
      <c r="C1331" s="60" t="n"/>
      <c r="D1331" s="61" t="n"/>
      <c r="E1331" s="74" t="n"/>
      <c r="F1331" s="74" t="n"/>
      <c r="G1331" s="73" t="n"/>
      <c r="H1331" s="66" t="str">
        <f>IF(M1331&lt;&gt;"OK","",INDEX(po_mo,MATCH(D1331,po_code,0)))</f>
        <v/>
      </c>
      <c r="I1331" s="66" t="str">
        <f>IF(M1331&lt;&gt;"OK","",INDEX(po_mac,MATCH(D1331,po_code,0)))</f>
        <v/>
      </c>
      <c r="J1331" s="66" t="str">
        <f>IF(M1331&lt;&gt;"OK","",N(E1331)*(H1331*IF(G1331="",1,G1331)+I1331))</f>
        <v/>
      </c>
      <c r="K1331" s="66" t="str">
        <f>IF(M1331&lt;&gt;"OK","",N(F1331)/60*H1331*IF(G1331="",1,G1331))</f>
        <v/>
      </c>
      <c r="L1331" s="66" t="str">
        <f>IF(M1331&lt;&gt;"OK","",N(F1331)/60*I1331)</f>
        <v/>
      </c>
      <c r="M1331" s="69" t="str">
        <f>IF(AND(A1331="",D1331=""),"",IF(A1331="","Produit manquant",IF(COUNTIF(prod_ref,A1331)=0,"Produit inconnu",IF(D1331="","Poste manquant",IF(ISNA(MATCH(D1331,po_code,0)),"Poste inconnu",IF(INDEX(po_check,MATCH(D1331,po_code,0))&lt;&gt;"OK","Poste à corriger",IF(AND(E1331&lt;&gt;"",OR(NOT(ISNUMBER(E1331)),N(E1331)&lt;0)),"Réglage invalide",IF(AND(F1331&lt;&gt;"",OR(NOT(ISNUMBER(F1331)),N(F1331)&lt;0)),"Temps par pièce invalide",IF(N(E1331)+N(F1331)=0,"Temps manquant",IF(AND(G1331&lt;&gt;"",OR(NOT(ISNUMBER(G1331)),N(G1331)&lt;=0)),"Opérateurs invalide","OK"))))))))))</f>
        <v/>
      </c>
      <c r="N1331" s="71" t="str">
        <f>IF(AND(fiche_sel&lt;&gt;"",A1331=fiche_sel),COUNTIF(A$6:A1331,fiche_sel),"")</f>
        <v/>
      </c>
    </row>
    <row r="1332">
      <c r="A1332" s="60" t="n"/>
      <c r="B1332" s="73" t="n"/>
      <c r="C1332" s="60" t="n"/>
      <c r="D1332" s="61" t="n"/>
      <c r="E1332" s="74" t="n"/>
      <c r="F1332" s="74" t="n"/>
      <c r="G1332" s="73" t="n"/>
      <c r="H1332" s="66" t="str">
        <f>IF(M1332&lt;&gt;"OK","",INDEX(po_mo,MATCH(D1332,po_code,0)))</f>
        <v/>
      </c>
      <c r="I1332" s="66" t="str">
        <f>IF(M1332&lt;&gt;"OK","",INDEX(po_mac,MATCH(D1332,po_code,0)))</f>
        <v/>
      </c>
      <c r="J1332" s="66" t="str">
        <f>IF(M1332&lt;&gt;"OK","",N(E1332)*(H1332*IF(G1332="",1,G1332)+I1332))</f>
        <v/>
      </c>
      <c r="K1332" s="66" t="str">
        <f>IF(M1332&lt;&gt;"OK","",N(F1332)/60*H1332*IF(G1332="",1,G1332))</f>
        <v/>
      </c>
      <c r="L1332" s="66" t="str">
        <f>IF(M1332&lt;&gt;"OK","",N(F1332)/60*I1332)</f>
        <v/>
      </c>
      <c r="M1332" s="69" t="str">
        <f>IF(AND(A1332="",D1332=""),"",IF(A1332="","Produit manquant",IF(COUNTIF(prod_ref,A1332)=0,"Produit inconnu",IF(D1332="","Poste manquant",IF(ISNA(MATCH(D1332,po_code,0)),"Poste inconnu",IF(INDEX(po_check,MATCH(D1332,po_code,0))&lt;&gt;"OK","Poste à corriger",IF(AND(E1332&lt;&gt;"",OR(NOT(ISNUMBER(E1332)),N(E1332)&lt;0)),"Réglage invalide",IF(AND(F1332&lt;&gt;"",OR(NOT(ISNUMBER(F1332)),N(F1332)&lt;0)),"Temps par pièce invalide",IF(N(E1332)+N(F1332)=0,"Temps manquant",IF(AND(G1332&lt;&gt;"",OR(NOT(ISNUMBER(G1332)),N(G1332)&lt;=0)),"Opérateurs invalide","OK"))))))))))</f>
        <v/>
      </c>
      <c r="N1332" s="71" t="str">
        <f>IF(AND(fiche_sel&lt;&gt;"",A1332=fiche_sel),COUNTIF(A$6:A1332,fiche_sel),"")</f>
        <v/>
      </c>
    </row>
    <row r="1333">
      <c r="A1333" s="60" t="n"/>
      <c r="B1333" s="73" t="n"/>
      <c r="C1333" s="60" t="n"/>
      <c r="D1333" s="61" t="n"/>
      <c r="E1333" s="74" t="n"/>
      <c r="F1333" s="74" t="n"/>
      <c r="G1333" s="73" t="n"/>
      <c r="H1333" s="66" t="str">
        <f>IF(M1333&lt;&gt;"OK","",INDEX(po_mo,MATCH(D1333,po_code,0)))</f>
        <v/>
      </c>
      <c r="I1333" s="66" t="str">
        <f>IF(M1333&lt;&gt;"OK","",INDEX(po_mac,MATCH(D1333,po_code,0)))</f>
        <v/>
      </c>
      <c r="J1333" s="66" t="str">
        <f>IF(M1333&lt;&gt;"OK","",N(E1333)*(H1333*IF(G1333="",1,G1333)+I1333))</f>
        <v/>
      </c>
      <c r="K1333" s="66" t="str">
        <f>IF(M1333&lt;&gt;"OK","",N(F1333)/60*H1333*IF(G1333="",1,G1333))</f>
        <v/>
      </c>
      <c r="L1333" s="66" t="str">
        <f>IF(M1333&lt;&gt;"OK","",N(F1333)/60*I1333)</f>
        <v/>
      </c>
      <c r="M1333" s="69" t="str">
        <f>IF(AND(A1333="",D1333=""),"",IF(A1333="","Produit manquant",IF(COUNTIF(prod_ref,A1333)=0,"Produit inconnu",IF(D1333="","Poste manquant",IF(ISNA(MATCH(D1333,po_code,0)),"Poste inconnu",IF(INDEX(po_check,MATCH(D1333,po_code,0))&lt;&gt;"OK","Poste à corriger",IF(AND(E1333&lt;&gt;"",OR(NOT(ISNUMBER(E1333)),N(E1333)&lt;0)),"Réglage invalide",IF(AND(F1333&lt;&gt;"",OR(NOT(ISNUMBER(F1333)),N(F1333)&lt;0)),"Temps par pièce invalide",IF(N(E1333)+N(F1333)=0,"Temps manquant",IF(AND(G1333&lt;&gt;"",OR(NOT(ISNUMBER(G1333)),N(G1333)&lt;=0)),"Opérateurs invalide","OK"))))))))))</f>
        <v/>
      </c>
      <c r="N1333" s="71" t="str">
        <f>IF(AND(fiche_sel&lt;&gt;"",A1333=fiche_sel),COUNTIF(A$6:A1333,fiche_sel),"")</f>
        <v/>
      </c>
    </row>
    <row r="1334">
      <c r="A1334" s="60" t="n"/>
      <c r="B1334" s="73" t="n"/>
      <c r="C1334" s="60" t="n"/>
      <c r="D1334" s="61" t="n"/>
      <c r="E1334" s="74" t="n"/>
      <c r="F1334" s="74" t="n"/>
      <c r="G1334" s="73" t="n"/>
      <c r="H1334" s="66" t="str">
        <f>IF(M1334&lt;&gt;"OK","",INDEX(po_mo,MATCH(D1334,po_code,0)))</f>
        <v/>
      </c>
      <c r="I1334" s="66" t="str">
        <f>IF(M1334&lt;&gt;"OK","",INDEX(po_mac,MATCH(D1334,po_code,0)))</f>
        <v/>
      </c>
      <c r="J1334" s="66" t="str">
        <f>IF(M1334&lt;&gt;"OK","",N(E1334)*(H1334*IF(G1334="",1,G1334)+I1334))</f>
        <v/>
      </c>
      <c r="K1334" s="66" t="str">
        <f>IF(M1334&lt;&gt;"OK","",N(F1334)/60*H1334*IF(G1334="",1,G1334))</f>
        <v/>
      </c>
      <c r="L1334" s="66" t="str">
        <f>IF(M1334&lt;&gt;"OK","",N(F1334)/60*I1334)</f>
        <v/>
      </c>
      <c r="M1334" s="69" t="str">
        <f>IF(AND(A1334="",D1334=""),"",IF(A1334="","Produit manquant",IF(COUNTIF(prod_ref,A1334)=0,"Produit inconnu",IF(D1334="","Poste manquant",IF(ISNA(MATCH(D1334,po_code,0)),"Poste inconnu",IF(INDEX(po_check,MATCH(D1334,po_code,0))&lt;&gt;"OK","Poste à corriger",IF(AND(E1334&lt;&gt;"",OR(NOT(ISNUMBER(E1334)),N(E1334)&lt;0)),"Réglage invalide",IF(AND(F1334&lt;&gt;"",OR(NOT(ISNUMBER(F1334)),N(F1334)&lt;0)),"Temps par pièce invalide",IF(N(E1334)+N(F1334)=0,"Temps manquant",IF(AND(G1334&lt;&gt;"",OR(NOT(ISNUMBER(G1334)),N(G1334)&lt;=0)),"Opérateurs invalide","OK"))))))))))</f>
        <v/>
      </c>
      <c r="N1334" s="71" t="str">
        <f>IF(AND(fiche_sel&lt;&gt;"",A1334=fiche_sel),COUNTIF(A$6:A1334,fiche_sel),"")</f>
        <v/>
      </c>
    </row>
    <row r="1335">
      <c r="A1335" s="60" t="n"/>
      <c r="B1335" s="73" t="n"/>
      <c r="C1335" s="60" t="n"/>
      <c r="D1335" s="61" t="n"/>
      <c r="E1335" s="74" t="n"/>
      <c r="F1335" s="74" t="n"/>
      <c r="G1335" s="73" t="n"/>
      <c r="H1335" s="66" t="str">
        <f>IF(M1335&lt;&gt;"OK","",INDEX(po_mo,MATCH(D1335,po_code,0)))</f>
        <v/>
      </c>
      <c r="I1335" s="66" t="str">
        <f>IF(M1335&lt;&gt;"OK","",INDEX(po_mac,MATCH(D1335,po_code,0)))</f>
        <v/>
      </c>
      <c r="J1335" s="66" t="str">
        <f>IF(M1335&lt;&gt;"OK","",N(E1335)*(H1335*IF(G1335="",1,G1335)+I1335))</f>
        <v/>
      </c>
      <c r="K1335" s="66" t="str">
        <f>IF(M1335&lt;&gt;"OK","",N(F1335)/60*H1335*IF(G1335="",1,G1335))</f>
        <v/>
      </c>
      <c r="L1335" s="66" t="str">
        <f>IF(M1335&lt;&gt;"OK","",N(F1335)/60*I1335)</f>
        <v/>
      </c>
      <c r="M1335" s="69" t="str">
        <f>IF(AND(A1335="",D1335=""),"",IF(A1335="","Produit manquant",IF(COUNTIF(prod_ref,A1335)=0,"Produit inconnu",IF(D1335="","Poste manquant",IF(ISNA(MATCH(D1335,po_code,0)),"Poste inconnu",IF(INDEX(po_check,MATCH(D1335,po_code,0))&lt;&gt;"OK","Poste à corriger",IF(AND(E1335&lt;&gt;"",OR(NOT(ISNUMBER(E1335)),N(E1335)&lt;0)),"Réglage invalide",IF(AND(F1335&lt;&gt;"",OR(NOT(ISNUMBER(F1335)),N(F1335)&lt;0)),"Temps par pièce invalide",IF(N(E1335)+N(F1335)=0,"Temps manquant",IF(AND(G1335&lt;&gt;"",OR(NOT(ISNUMBER(G1335)),N(G1335)&lt;=0)),"Opérateurs invalide","OK"))))))))))</f>
        <v/>
      </c>
      <c r="N1335" s="71" t="str">
        <f>IF(AND(fiche_sel&lt;&gt;"",A1335=fiche_sel),COUNTIF(A$6:A1335,fiche_sel),"")</f>
        <v/>
      </c>
    </row>
    <row r="1336">
      <c r="A1336" s="60" t="n"/>
      <c r="B1336" s="73" t="n"/>
      <c r="C1336" s="60" t="n"/>
      <c r="D1336" s="61" t="n"/>
      <c r="E1336" s="74" t="n"/>
      <c r="F1336" s="74" t="n"/>
      <c r="G1336" s="73" t="n"/>
      <c r="H1336" s="66" t="str">
        <f>IF(M1336&lt;&gt;"OK","",INDEX(po_mo,MATCH(D1336,po_code,0)))</f>
        <v/>
      </c>
      <c r="I1336" s="66" t="str">
        <f>IF(M1336&lt;&gt;"OK","",INDEX(po_mac,MATCH(D1336,po_code,0)))</f>
        <v/>
      </c>
      <c r="J1336" s="66" t="str">
        <f>IF(M1336&lt;&gt;"OK","",N(E1336)*(H1336*IF(G1336="",1,G1336)+I1336))</f>
        <v/>
      </c>
      <c r="K1336" s="66" t="str">
        <f>IF(M1336&lt;&gt;"OK","",N(F1336)/60*H1336*IF(G1336="",1,G1336))</f>
        <v/>
      </c>
      <c r="L1336" s="66" t="str">
        <f>IF(M1336&lt;&gt;"OK","",N(F1336)/60*I1336)</f>
        <v/>
      </c>
      <c r="M1336" s="69" t="str">
        <f>IF(AND(A1336="",D1336=""),"",IF(A1336="","Produit manquant",IF(COUNTIF(prod_ref,A1336)=0,"Produit inconnu",IF(D1336="","Poste manquant",IF(ISNA(MATCH(D1336,po_code,0)),"Poste inconnu",IF(INDEX(po_check,MATCH(D1336,po_code,0))&lt;&gt;"OK","Poste à corriger",IF(AND(E1336&lt;&gt;"",OR(NOT(ISNUMBER(E1336)),N(E1336)&lt;0)),"Réglage invalide",IF(AND(F1336&lt;&gt;"",OR(NOT(ISNUMBER(F1336)),N(F1336)&lt;0)),"Temps par pièce invalide",IF(N(E1336)+N(F1336)=0,"Temps manquant",IF(AND(G1336&lt;&gt;"",OR(NOT(ISNUMBER(G1336)),N(G1336)&lt;=0)),"Opérateurs invalide","OK"))))))))))</f>
        <v/>
      </c>
      <c r="N1336" s="71" t="str">
        <f>IF(AND(fiche_sel&lt;&gt;"",A1336=fiche_sel),COUNTIF(A$6:A1336,fiche_sel),"")</f>
        <v/>
      </c>
    </row>
    <row r="1337">
      <c r="A1337" s="60" t="n"/>
      <c r="B1337" s="73" t="n"/>
      <c r="C1337" s="60" t="n"/>
      <c r="D1337" s="61" t="n"/>
      <c r="E1337" s="74" t="n"/>
      <c r="F1337" s="74" t="n"/>
      <c r="G1337" s="73" t="n"/>
      <c r="H1337" s="66" t="str">
        <f>IF(M1337&lt;&gt;"OK","",INDEX(po_mo,MATCH(D1337,po_code,0)))</f>
        <v/>
      </c>
      <c r="I1337" s="66" t="str">
        <f>IF(M1337&lt;&gt;"OK","",INDEX(po_mac,MATCH(D1337,po_code,0)))</f>
        <v/>
      </c>
      <c r="J1337" s="66" t="str">
        <f>IF(M1337&lt;&gt;"OK","",N(E1337)*(H1337*IF(G1337="",1,G1337)+I1337))</f>
        <v/>
      </c>
      <c r="K1337" s="66" t="str">
        <f>IF(M1337&lt;&gt;"OK","",N(F1337)/60*H1337*IF(G1337="",1,G1337))</f>
        <v/>
      </c>
      <c r="L1337" s="66" t="str">
        <f>IF(M1337&lt;&gt;"OK","",N(F1337)/60*I1337)</f>
        <v/>
      </c>
      <c r="M1337" s="69" t="str">
        <f>IF(AND(A1337="",D1337=""),"",IF(A1337="","Produit manquant",IF(COUNTIF(prod_ref,A1337)=0,"Produit inconnu",IF(D1337="","Poste manquant",IF(ISNA(MATCH(D1337,po_code,0)),"Poste inconnu",IF(INDEX(po_check,MATCH(D1337,po_code,0))&lt;&gt;"OK","Poste à corriger",IF(AND(E1337&lt;&gt;"",OR(NOT(ISNUMBER(E1337)),N(E1337)&lt;0)),"Réglage invalide",IF(AND(F1337&lt;&gt;"",OR(NOT(ISNUMBER(F1337)),N(F1337)&lt;0)),"Temps par pièce invalide",IF(N(E1337)+N(F1337)=0,"Temps manquant",IF(AND(G1337&lt;&gt;"",OR(NOT(ISNUMBER(G1337)),N(G1337)&lt;=0)),"Opérateurs invalide","OK"))))))))))</f>
        <v/>
      </c>
      <c r="N1337" s="71" t="str">
        <f>IF(AND(fiche_sel&lt;&gt;"",A1337=fiche_sel),COUNTIF(A$6:A1337,fiche_sel),"")</f>
        <v/>
      </c>
    </row>
    <row r="1338">
      <c r="A1338" s="60" t="n"/>
      <c r="B1338" s="73" t="n"/>
      <c r="C1338" s="60" t="n"/>
      <c r="D1338" s="61" t="n"/>
      <c r="E1338" s="74" t="n"/>
      <c r="F1338" s="74" t="n"/>
      <c r="G1338" s="73" t="n"/>
      <c r="H1338" s="66" t="str">
        <f>IF(M1338&lt;&gt;"OK","",INDEX(po_mo,MATCH(D1338,po_code,0)))</f>
        <v/>
      </c>
      <c r="I1338" s="66" t="str">
        <f>IF(M1338&lt;&gt;"OK","",INDEX(po_mac,MATCH(D1338,po_code,0)))</f>
        <v/>
      </c>
      <c r="J1338" s="66" t="str">
        <f>IF(M1338&lt;&gt;"OK","",N(E1338)*(H1338*IF(G1338="",1,G1338)+I1338))</f>
        <v/>
      </c>
      <c r="K1338" s="66" t="str">
        <f>IF(M1338&lt;&gt;"OK","",N(F1338)/60*H1338*IF(G1338="",1,G1338))</f>
        <v/>
      </c>
      <c r="L1338" s="66" t="str">
        <f>IF(M1338&lt;&gt;"OK","",N(F1338)/60*I1338)</f>
        <v/>
      </c>
      <c r="M1338" s="69" t="str">
        <f>IF(AND(A1338="",D1338=""),"",IF(A1338="","Produit manquant",IF(COUNTIF(prod_ref,A1338)=0,"Produit inconnu",IF(D1338="","Poste manquant",IF(ISNA(MATCH(D1338,po_code,0)),"Poste inconnu",IF(INDEX(po_check,MATCH(D1338,po_code,0))&lt;&gt;"OK","Poste à corriger",IF(AND(E1338&lt;&gt;"",OR(NOT(ISNUMBER(E1338)),N(E1338)&lt;0)),"Réglage invalide",IF(AND(F1338&lt;&gt;"",OR(NOT(ISNUMBER(F1338)),N(F1338)&lt;0)),"Temps par pièce invalide",IF(N(E1338)+N(F1338)=0,"Temps manquant",IF(AND(G1338&lt;&gt;"",OR(NOT(ISNUMBER(G1338)),N(G1338)&lt;=0)),"Opérateurs invalide","OK"))))))))))</f>
        <v/>
      </c>
      <c r="N1338" s="71" t="str">
        <f>IF(AND(fiche_sel&lt;&gt;"",A1338=fiche_sel),COUNTIF(A$6:A1338,fiche_sel),"")</f>
        <v/>
      </c>
    </row>
    <row r="1339">
      <c r="A1339" s="60" t="n"/>
      <c r="B1339" s="73" t="n"/>
      <c r="C1339" s="60" t="n"/>
      <c r="D1339" s="61" t="n"/>
      <c r="E1339" s="74" t="n"/>
      <c r="F1339" s="74" t="n"/>
      <c r="G1339" s="73" t="n"/>
      <c r="H1339" s="66" t="str">
        <f>IF(M1339&lt;&gt;"OK","",INDEX(po_mo,MATCH(D1339,po_code,0)))</f>
        <v/>
      </c>
      <c r="I1339" s="66" t="str">
        <f>IF(M1339&lt;&gt;"OK","",INDEX(po_mac,MATCH(D1339,po_code,0)))</f>
        <v/>
      </c>
      <c r="J1339" s="66" t="str">
        <f>IF(M1339&lt;&gt;"OK","",N(E1339)*(H1339*IF(G1339="",1,G1339)+I1339))</f>
        <v/>
      </c>
      <c r="K1339" s="66" t="str">
        <f>IF(M1339&lt;&gt;"OK","",N(F1339)/60*H1339*IF(G1339="",1,G1339))</f>
        <v/>
      </c>
      <c r="L1339" s="66" t="str">
        <f>IF(M1339&lt;&gt;"OK","",N(F1339)/60*I1339)</f>
        <v/>
      </c>
      <c r="M1339" s="69" t="str">
        <f>IF(AND(A1339="",D1339=""),"",IF(A1339="","Produit manquant",IF(COUNTIF(prod_ref,A1339)=0,"Produit inconnu",IF(D1339="","Poste manquant",IF(ISNA(MATCH(D1339,po_code,0)),"Poste inconnu",IF(INDEX(po_check,MATCH(D1339,po_code,0))&lt;&gt;"OK","Poste à corriger",IF(AND(E1339&lt;&gt;"",OR(NOT(ISNUMBER(E1339)),N(E1339)&lt;0)),"Réglage invalide",IF(AND(F1339&lt;&gt;"",OR(NOT(ISNUMBER(F1339)),N(F1339)&lt;0)),"Temps par pièce invalide",IF(N(E1339)+N(F1339)=0,"Temps manquant",IF(AND(G1339&lt;&gt;"",OR(NOT(ISNUMBER(G1339)),N(G1339)&lt;=0)),"Opérateurs invalide","OK"))))))))))</f>
        <v/>
      </c>
      <c r="N1339" s="71" t="str">
        <f>IF(AND(fiche_sel&lt;&gt;"",A1339=fiche_sel),COUNTIF(A$6:A1339,fiche_sel),"")</f>
        <v/>
      </c>
    </row>
    <row r="1340">
      <c r="A1340" s="60" t="n"/>
      <c r="B1340" s="73" t="n"/>
      <c r="C1340" s="60" t="n"/>
      <c r="D1340" s="61" t="n"/>
      <c r="E1340" s="74" t="n"/>
      <c r="F1340" s="74" t="n"/>
      <c r="G1340" s="73" t="n"/>
      <c r="H1340" s="66" t="str">
        <f>IF(M1340&lt;&gt;"OK","",INDEX(po_mo,MATCH(D1340,po_code,0)))</f>
        <v/>
      </c>
      <c r="I1340" s="66" t="str">
        <f>IF(M1340&lt;&gt;"OK","",INDEX(po_mac,MATCH(D1340,po_code,0)))</f>
        <v/>
      </c>
      <c r="J1340" s="66" t="str">
        <f>IF(M1340&lt;&gt;"OK","",N(E1340)*(H1340*IF(G1340="",1,G1340)+I1340))</f>
        <v/>
      </c>
      <c r="K1340" s="66" t="str">
        <f>IF(M1340&lt;&gt;"OK","",N(F1340)/60*H1340*IF(G1340="",1,G1340))</f>
        <v/>
      </c>
      <c r="L1340" s="66" t="str">
        <f>IF(M1340&lt;&gt;"OK","",N(F1340)/60*I1340)</f>
        <v/>
      </c>
      <c r="M1340" s="69" t="str">
        <f>IF(AND(A1340="",D1340=""),"",IF(A1340="","Produit manquant",IF(COUNTIF(prod_ref,A1340)=0,"Produit inconnu",IF(D1340="","Poste manquant",IF(ISNA(MATCH(D1340,po_code,0)),"Poste inconnu",IF(INDEX(po_check,MATCH(D1340,po_code,0))&lt;&gt;"OK","Poste à corriger",IF(AND(E1340&lt;&gt;"",OR(NOT(ISNUMBER(E1340)),N(E1340)&lt;0)),"Réglage invalide",IF(AND(F1340&lt;&gt;"",OR(NOT(ISNUMBER(F1340)),N(F1340)&lt;0)),"Temps par pièce invalide",IF(N(E1340)+N(F1340)=0,"Temps manquant",IF(AND(G1340&lt;&gt;"",OR(NOT(ISNUMBER(G1340)),N(G1340)&lt;=0)),"Opérateurs invalide","OK"))))))))))</f>
        <v/>
      </c>
      <c r="N1340" s="71" t="str">
        <f>IF(AND(fiche_sel&lt;&gt;"",A1340=fiche_sel),COUNTIF(A$6:A1340,fiche_sel),"")</f>
        <v/>
      </c>
    </row>
    <row r="1341">
      <c r="A1341" s="60" t="n"/>
      <c r="B1341" s="73" t="n"/>
      <c r="C1341" s="60" t="n"/>
      <c r="D1341" s="61" t="n"/>
      <c r="E1341" s="74" t="n"/>
      <c r="F1341" s="74" t="n"/>
      <c r="G1341" s="73" t="n"/>
      <c r="H1341" s="66" t="str">
        <f>IF(M1341&lt;&gt;"OK","",INDEX(po_mo,MATCH(D1341,po_code,0)))</f>
        <v/>
      </c>
      <c r="I1341" s="66" t="str">
        <f>IF(M1341&lt;&gt;"OK","",INDEX(po_mac,MATCH(D1341,po_code,0)))</f>
        <v/>
      </c>
      <c r="J1341" s="66" t="str">
        <f>IF(M1341&lt;&gt;"OK","",N(E1341)*(H1341*IF(G1341="",1,G1341)+I1341))</f>
        <v/>
      </c>
      <c r="K1341" s="66" t="str">
        <f>IF(M1341&lt;&gt;"OK","",N(F1341)/60*H1341*IF(G1341="",1,G1341))</f>
        <v/>
      </c>
      <c r="L1341" s="66" t="str">
        <f>IF(M1341&lt;&gt;"OK","",N(F1341)/60*I1341)</f>
        <v/>
      </c>
      <c r="M1341" s="69" t="str">
        <f>IF(AND(A1341="",D1341=""),"",IF(A1341="","Produit manquant",IF(COUNTIF(prod_ref,A1341)=0,"Produit inconnu",IF(D1341="","Poste manquant",IF(ISNA(MATCH(D1341,po_code,0)),"Poste inconnu",IF(INDEX(po_check,MATCH(D1341,po_code,0))&lt;&gt;"OK","Poste à corriger",IF(AND(E1341&lt;&gt;"",OR(NOT(ISNUMBER(E1341)),N(E1341)&lt;0)),"Réglage invalide",IF(AND(F1341&lt;&gt;"",OR(NOT(ISNUMBER(F1341)),N(F1341)&lt;0)),"Temps par pièce invalide",IF(N(E1341)+N(F1341)=0,"Temps manquant",IF(AND(G1341&lt;&gt;"",OR(NOT(ISNUMBER(G1341)),N(G1341)&lt;=0)),"Opérateurs invalide","OK"))))))))))</f>
        <v/>
      </c>
      <c r="N1341" s="71" t="str">
        <f>IF(AND(fiche_sel&lt;&gt;"",A1341=fiche_sel),COUNTIF(A$6:A1341,fiche_sel),"")</f>
        <v/>
      </c>
    </row>
    <row r="1342">
      <c r="A1342" s="60" t="n"/>
      <c r="B1342" s="73" t="n"/>
      <c r="C1342" s="60" t="n"/>
      <c r="D1342" s="61" t="n"/>
      <c r="E1342" s="74" t="n"/>
      <c r="F1342" s="74" t="n"/>
      <c r="G1342" s="73" t="n"/>
      <c r="H1342" s="66" t="str">
        <f>IF(M1342&lt;&gt;"OK","",INDEX(po_mo,MATCH(D1342,po_code,0)))</f>
        <v/>
      </c>
      <c r="I1342" s="66" t="str">
        <f>IF(M1342&lt;&gt;"OK","",INDEX(po_mac,MATCH(D1342,po_code,0)))</f>
        <v/>
      </c>
      <c r="J1342" s="66" t="str">
        <f>IF(M1342&lt;&gt;"OK","",N(E1342)*(H1342*IF(G1342="",1,G1342)+I1342))</f>
        <v/>
      </c>
      <c r="K1342" s="66" t="str">
        <f>IF(M1342&lt;&gt;"OK","",N(F1342)/60*H1342*IF(G1342="",1,G1342))</f>
        <v/>
      </c>
      <c r="L1342" s="66" t="str">
        <f>IF(M1342&lt;&gt;"OK","",N(F1342)/60*I1342)</f>
        <v/>
      </c>
      <c r="M1342" s="69" t="str">
        <f>IF(AND(A1342="",D1342=""),"",IF(A1342="","Produit manquant",IF(COUNTIF(prod_ref,A1342)=0,"Produit inconnu",IF(D1342="","Poste manquant",IF(ISNA(MATCH(D1342,po_code,0)),"Poste inconnu",IF(INDEX(po_check,MATCH(D1342,po_code,0))&lt;&gt;"OK","Poste à corriger",IF(AND(E1342&lt;&gt;"",OR(NOT(ISNUMBER(E1342)),N(E1342)&lt;0)),"Réglage invalide",IF(AND(F1342&lt;&gt;"",OR(NOT(ISNUMBER(F1342)),N(F1342)&lt;0)),"Temps par pièce invalide",IF(N(E1342)+N(F1342)=0,"Temps manquant",IF(AND(G1342&lt;&gt;"",OR(NOT(ISNUMBER(G1342)),N(G1342)&lt;=0)),"Opérateurs invalide","OK"))))))))))</f>
        <v/>
      </c>
      <c r="N1342" s="71" t="str">
        <f>IF(AND(fiche_sel&lt;&gt;"",A1342=fiche_sel),COUNTIF(A$6:A1342,fiche_sel),"")</f>
        <v/>
      </c>
    </row>
    <row r="1343">
      <c r="A1343" s="60" t="n"/>
      <c r="B1343" s="73" t="n"/>
      <c r="C1343" s="60" t="n"/>
      <c r="D1343" s="61" t="n"/>
      <c r="E1343" s="74" t="n"/>
      <c r="F1343" s="74" t="n"/>
      <c r="G1343" s="73" t="n"/>
      <c r="H1343" s="66" t="str">
        <f>IF(M1343&lt;&gt;"OK","",INDEX(po_mo,MATCH(D1343,po_code,0)))</f>
        <v/>
      </c>
      <c r="I1343" s="66" t="str">
        <f>IF(M1343&lt;&gt;"OK","",INDEX(po_mac,MATCH(D1343,po_code,0)))</f>
        <v/>
      </c>
      <c r="J1343" s="66" t="str">
        <f>IF(M1343&lt;&gt;"OK","",N(E1343)*(H1343*IF(G1343="",1,G1343)+I1343))</f>
        <v/>
      </c>
      <c r="K1343" s="66" t="str">
        <f>IF(M1343&lt;&gt;"OK","",N(F1343)/60*H1343*IF(G1343="",1,G1343))</f>
        <v/>
      </c>
      <c r="L1343" s="66" t="str">
        <f>IF(M1343&lt;&gt;"OK","",N(F1343)/60*I1343)</f>
        <v/>
      </c>
      <c r="M1343" s="69" t="str">
        <f>IF(AND(A1343="",D1343=""),"",IF(A1343="","Produit manquant",IF(COUNTIF(prod_ref,A1343)=0,"Produit inconnu",IF(D1343="","Poste manquant",IF(ISNA(MATCH(D1343,po_code,0)),"Poste inconnu",IF(INDEX(po_check,MATCH(D1343,po_code,0))&lt;&gt;"OK","Poste à corriger",IF(AND(E1343&lt;&gt;"",OR(NOT(ISNUMBER(E1343)),N(E1343)&lt;0)),"Réglage invalide",IF(AND(F1343&lt;&gt;"",OR(NOT(ISNUMBER(F1343)),N(F1343)&lt;0)),"Temps par pièce invalide",IF(N(E1343)+N(F1343)=0,"Temps manquant",IF(AND(G1343&lt;&gt;"",OR(NOT(ISNUMBER(G1343)),N(G1343)&lt;=0)),"Opérateurs invalide","OK"))))))))))</f>
        <v/>
      </c>
      <c r="N1343" s="71" t="str">
        <f>IF(AND(fiche_sel&lt;&gt;"",A1343=fiche_sel),COUNTIF(A$6:A1343,fiche_sel),"")</f>
        <v/>
      </c>
    </row>
    <row r="1344">
      <c r="A1344" s="60" t="n"/>
      <c r="B1344" s="73" t="n"/>
      <c r="C1344" s="60" t="n"/>
      <c r="D1344" s="61" t="n"/>
      <c r="E1344" s="74" t="n"/>
      <c r="F1344" s="74" t="n"/>
      <c r="G1344" s="73" t="n"/>
      <c r="H1344" s="66" t="str">
        <f>IF(M1344&lt;&gt;"OK","",INDEX(po_mo,MATCH(D1344,po_code,0)))</f>
        <v/>
      </c>
      <c r="I1344" s="66" t="str">
        <f>IF(M1344&lt;&gt;"OK","",INDEX(po_mac,MATCH(D1344,po_code,0)))</f>
        <v/>
      </c>
      <c r="J1344" s="66" t="str">
        <f>IF(M1344&lt;&gt;"OK","",N(E1344)*(H1344*IF(G1344="",1,G1344)+I1344))</f>
        <v/>
      </c>
      <c r="K1344" s="66" t="str">
        <f>IF(M1344&lt;&gt;"OK","",N(F1344)/60*H1344*IF(G1344="",1,G1344))</f>
        <v/>
      </c>
      <c r="L1344" s="66" t="str">
        <f>IF(M1344&lt;&gt;"OK","",N(F1344)/60*I1344)</f>
        <v/>
      </c>
      <c r="M1344" s="69" t="str">
        <f>IF(AND(A1344="",D1344=""),"",IF(A1344="","Produit manquant",IF(COUNTIF(prod_ref,A1344)=0,"Produit inconnu",IF(D1344="","Poste manquant",IF(ISNA(MATCH(D1344,po_code,0)),"Poste inconnu",IF(INDEX(po_check,MATCH(D1344,po_code,0))&lt;&gt;"OK","Poste à corriger",IF(AND(E1344&lt;&gt;"",OR(NOT(ISNUMBER(E1344)),N(E1344)&lt;0)),"Réglage invalide",IF(AND(F1344&lt;&gt;"",OR(NOT(ISNUMBER(F1344)),N(F1344)&lt;0)),"Temps par pièce invalide",IF(N(E1344)+N(F1344)=0,"Temps manquant",IF(AND(G1344&lt;&gt;"",OR(NOT(ISNUMBER(G1344)),N(G1344)&lt;=0)),"Opérateurs invalide","OK"))))))))))</f>
        <v/>
      </c>
      <c r="N1344" s="71" t="str">
        <f>IF(AND(fiche_sel&lt;&gt;"",A1344=fiche_sel),COUNTIF(A$6:A1344,fiche_sel),"")</f>
        <v/>
      </c>
    </row>
    <row r="1345">
      <c r="A1345" s="60" t="n"/>
      <c r="B1345" s="73" t="n"/>
      <c r="C1345" s="60" t="n"/>
      <c r="D1345" s="61" t="n"/>
      <c r="E1345" s="74" t="n"/>
      <c r="F1345" s="74" t="n"/>
      <c r="G1345" s="73" t="n"/>
      <c r="H1345" s="66" t="str">
        <f>IF(M1345&lt;&gt;"OK","",INDEX(po_mo,MATCH(D1345,po_code,0)))</f>
        <v/>
      </c>
      <c r="I1345" s="66" t="str">
        <f>IF(M1345&lt;&gt;"OK","",INDEX(po_mac,MATCH(D1345,po_code,0)))</f>
        <v/>
      </c>
      <c r="J1345" s="66" t="str">
        <f>IF(M1345&lt;&gt;"OK","",N(E1345)*(H1345*IF(G1345="",1,G1345)+I1345))</f>
        <v/>
      </c>
      <c r="K1345" s="66" t="str">
        <f>IF(M1345&lt;&gt;"OK","",N(F1345)/60*H1345*IF(G1345="",1,G1345))</f>
        <v/>
      </c>
      <c r="L1345" s="66" t="str">
        <f>IF(M1345&lt;&gt;"OK","",N(F1345)/60*I1345)</f>
        <v/>
      </c>
      <c r="M1345" s="69" t="str">
        <f>IF(AND(A1345="",D1345=""),"",IF(A1345="","Produit manquant",IF(COUNTIF(prod_ref,A1345)=0,"Produit inconnu",IF(D1345="","Poste manquant",IF(ISNA(MATCH(D1345,po_code,0)),"Poste inconnu",IF(INDEX(po_check,MATCH(D1345,po_code,0))&lt;&gt;"OK","Poste à corriger",IF(AND(E1345&lt;&gt;"",OR(NOT(ISNUMBER(E1345)),N(E1345)&lt;0)),"Réglage invalide",IF(AND(F1345&lt;&gt;"",OR(NOT(ISNUMBER(F1345)),N(F1345)&lt;0)),"Temps par pièce invalide",IF(N(E1345)+N(F1345)=0,"Temps manquant",IF(AND(G1345&lt;&gt;"",OR(NOT(ISNUMBER(G1345)),N(G1345)&lt;=0)),"Opérateurs invalide","OK"))))))))))</f>
        <v/>
      </c>
      <c r="N1345" s="71" t="str">
        <f>IF(AND(fiche_sel&lt;&gt;"",A1345=fiche_sel),COUNTIF(A$6:A1345,fiche_sel),"")</f>
        <v/>
      </c>
    </row>
    <row r="1346">
      <c r="A1346" s="60" t="n"/>
      <c r="B1346" s="73" t="n"/>
      <c r="C1346" s="60" t="n"/>
      <c r="D1346" s="61" t="n"/>
      <c r="E1346" s="74" t="n"/>
      <c r="F1346" s="74" t="n"/>
      <c r="G1346" s="73" t="n"/>
      <c r="H1346" s="66" t="str">
        <f>IF(M1346&lt;&gt;"OK","",INDEX(po_mo,MATCH(D1346,po_code,0)))</f>
        <v/>
      </c>
      <c r="I1346" s="66" t="str">
        <f>IF(M1346&lt;&gt;"OK","",INDEX(po_mac,MATCH(D1346,po_code,0)))</f>
        <v/>
      </c>
      <c r="J1346" s="66" t="str">
        <f>IF(M1346&lt;&gt;"OK","",N(E1346)*(H1346*IF(G1346="",1,G1346)+I1346))</f>
        <v/>
      </c>
      <c r="K1346" s="66" t="str">
        <f>IF(M1346&lt;&gt;"OK","",N(F1346)/60*H1346*IF(G1346="",1,G1346))</f>
        <v/>
      </c>
      <c r="L1346" s="66" t="str">
        <f>IF(M1346&lt;&gt;"OK","",N(F1346)/60*I1346)</f>
        <v/>
      </c>
      <c r="M1346" s="69" t="str">
        <f>IF(AND(A1346="",D1346=""),"",IF(A1346="","Produit manquant",IF(COUNTIF(prod_ref,A1346)=0,"Produit inconnu",IF(D1346="","Poste manquant",IF(ISNA(MATCH(D1346,po_code,0)),"Poste inconnu",IF(INDEX(po_check,MATCH(D1346,po_code,0))&lt;&gt;"OK","Poste à corriger",IF(AND(E1346&lt;&gt;"",OR(NOT(ISNUMBER(E1346)),N(E1346)&lt;0)),"Réglage invalide",IF(AND(F1346&lt;&gt;"",OR(NOT(ISNUMBER(F1346)),N(F1346)&lt;0)),"Temps par pièce invalide",IF(N(E1346)+N(F1346)=0,"Temps manquant",IF(AND(G1346&lt;&gt;"",OR(NOT(ISNUMBER(G1346)),N(G1346)&lt;=0)),"Opérateurs invalide","OK"))))))))))</f>
        <v/>
      </c>
      <c r="N1346" s="71" t="str">
        <f>IF(AND(fiche_sel&lt;&gt;"",A1346=fiche_sel),COUNTIF(A$6:A1346,fiche_sel),"")</f>
        <v/>
      </c>
    </row>
    <row r="1347">
      <c r="A1347" s="60" t="n"/>
      <c r="B1347" s="73" t="n"/>
      <c r="C1347" s="60" t="n"/>
      <c r="D1347" s="61" t="n"/>
      <c r="E1347" s="74" t="n"/>
      <c r="F1347" s="74" t="n"/>
      <c r="G1347" s="73" t="n"/>
      <c r="H1347" s="66" t="str">
        <f>IF(M1347&lt;&gt;"OK","",INDEX(po_mo,MATCH(D1347,po_code,0)))</f>
        <v/>
      </c>
      <c r="I1347" s="66" t="str">
        <f>IF(M1347&lt;&gt;"OK","",INDEX(po_mac,MATCH(D1347,po_code,0)))</f>
        <v/>
      </c>
      <c r="J1347" s="66" t="str">
        <f>IF(M1347&lt;&gt;"OK","",N(E1347)*(H1347*IF(G1347="",1,G1347)+I1347))</f>
        <v/>
      </c>
      <c r="K1347" s="66" t="str">
        <f>IF(M1347&lt;&gt;"OK","",N(F1347)/60*H1347*IF(G1347="",1,G1347))</f>
        <v/>
      </c>
      <c r="L1347" s="66" t="str">
        <f>IF(M1347&lt;&gt;"OK","",N(F1347)/60*I1347)</f>
        <v/>
      </c>
      <c r="M1347" s="69" t="str">
        <f>IF(AND(A1347="",D1347=""),"",IF(A1347="","Produit manquant",IF(COUNTIF(prod_ref,A1347)=0,"Produit inconnu",IF(D1347="","Poste manquant",IF(ISNA(MATCH(D1347,po_code,0)),"Poste inconnu",IF(INDEX(po_check,MATCH(D1347,po_code,0))&lt;&gt;"OK","Poste à corriger",IF(AND(E1347&lt;&gt;"",OR(NOT(ISNUMBER(E1347)),N(E1347)&lt;0)),"Réglage invalide",IF(AND(F1347&lt;&gt;"",OR(NOT(ISNUMBER(F1347)),N(F1347)&lt;0)),"Temps par pièce invalide",IF(N(E1347)+N(F1347)=0,"Temps manquant",IF(AND(G1347&lt;&gt;"",OR(NOT(ISNUMBER(G1347)),N(G1347)&lt;=0)),"Opérateurs invalide","OK"))))))))))</f>
        <v/>
      </c>
      <c r="N1347" s="71" t="str">
        <f>IF(AND(fiche_sel&lt;&gt;"",A1347=fiche_sel),COUNTIF(A$6:A1347,fiche_sel),"")</f>
        <v/>
      </c>
    </row>
    <row r="1348">
      <c r="A1348" s="60" t="n"/>
      <c r="B1348" s="73" t="n"/>
      <c r="C1348" s="60" t="n"/>
      <c r="D1348" s="61" t="n"/>
      <c r="E1348" s="74" t="n"/>
      <c r="F1348" s="74" t="n"/>
      <c r="G1348" s="73" t="n"/>
      <c r="H1348" s="66" t="str">
        <f>IF(M1348&lt;&gt;"OK","",INDEX(po_mo,MATCH(D1348,po_code,0)))</f>
        <v/>
      </c>
      <c r="I1348" s="66" t="str">
        <f>IF(M1348&lt;&gt;"OK","",INDEX(po_mac,MATCH(D1348,po_code,0)))</f>
        <v/>
      </c>
      <c r="J1348" s="66" t="str">
        <f>IF(M1348&lt;&gt;"OK","",N(E1348)*(H1348*IF(G1348="",1,G1348)+I1348))</f>
        <v/>
      </c>
      <c r="K1348" s="66" t="str">
        <f>IF(M1348&lt;&gt;"OK","",N(F1348)/60*H1348*IF(G1348="",1,G1348))</f>
        <v/>
      </c>
      <c r="L1348" s="66" t="str">
        <f>IF(M1348&lt;&gt;"OK","",N(F1348)/60*I1348)</f>
        <v/>
      </c>
      <c r="M1348" s="69" t="str">
        <f>IF(AND(A1348="",D1348=""),"",IF(A1348="","Produit manquant",IF(COUNTIF(prod_ref,A1348)=0,"Produit inconnu",IF(D1348="","Poste manquant",IF(ISNA(MATCH(D1348,po_code,0)),"Poste inconnu",IF(INDEX(po_check,MATCH(D1348,po_code,0))&lt;&gt;"OK","Poste à corriger",IF(AND(E1348&lt;&gt;"",OR(NOT(ISNUMBER(E1348)),N(E1348)&lt;0)),"Réglage invalide",IF(AND(F1348&lt;&gt;"",OR(NOT(ISNUMBER(F1348)),N(F1348)&lt;0)),"Temps par pièce invalide",IF(N(E1348)+N(F1348)=0,"Temps manquant",IF(AND(G1348&lt;&gt;"",OR(NOT(ISNUMBER(G1348)),N(G1348)&lt;=0)),"Opérateurs invalide","OK"))))))))))</f>
        <v/>
      </c>
      <c r="N1348" s="71" t="str">
        <f>IF(AND(fiche_sel&lt;&gt;"",A1348=fiche_sel),COUNTIF(A$6:A1348,fiche_sel),"")</f>
        <v/>
      </c>
    </row>
    <row r="1349">
      <c r="A1349" s="60" t="n"/>
      <c r="B1349" s="73" t="n"/>
      <c r="C1349" s="60" t="n"/>
      <c r="D1349" s="61" t="n"/>
      <c r="E1349" s="74" t="n"/>
      <c r="F1349" s="74" t="n"/>
      <c r="G1349" s="73" t="n"/>
      <c r="H1349" s="66" t="str">
        <f>IF(M1349&lt;&gt;"OK","",INDEX(po_mo,MATCH(D1349,po_code,0)))</f>
        <v/>
      </c>
      <c r="I1349" s="66" t="str">
        <f>IF(M1349&lt;&gt;"OK","",INDEX(po_mac,MATCH(D1349,po_code,0)))</f>
        <v/>
      </c>
      <c r="J1349" s="66" t="str">
        <f>IF(M1349&lt;&gt;"OK","",N(E1349)*(H1349*IF(G1349="",1,G1349)+I1349))</f>
        <v/>
      </c>
      <c r="K1349" s="66" t="str">
        <f>IF(M1349&lt;&gt;"OK","",N(F1349)/60*H1349*IF(G1349="",1,G1349))</f>
        <v/>
      </c>
      <c r="L1349" s="66" t="str">
        <f>IF(M1349&lt;&gt;"OK","",N(F1349)/60*I1349)</f>
        <v/>
      </c>
      <c r="M1349" s="69" t="str">
        <f>IF(AND(A1349="",D1349=""),"",IF(A1349="","Produit manquant",IF(COUNTIF(prod_ref,A1349)=0,"Produit inconnu",IF(D1349="","Poste manquant",IF(ISNA(MATCH(D1349,po_code,0)),"Poste inconnu",IF(INDEX(po_check,MATCH(D1349,po_code,0))&lt;&gt;"OK","Poste à corriger",IF(AND(E1349&lt;&gt;"",OR(NOT(ISNUMBER(E1349)),N(E1349)&lt;0)),"Réglage invalide",IF(AND(F1349&lt;&gt;"",OR(NOT(ISNUMBER(F1349)),N(F1349)&lt;0)),"Temps par pièce invalide",IF(N(E1349)+N(F1349)=0,"Temps manquant",IF(AND(G1349&lt;&gt;"",OR(NOT(ISNUMBER(G1349)),N(G1349)&lt;=0)),"Opérateurs invalide","OK"))))))))))</f>
        <v/>
      </c>
      <c r="N1349" s="71" t="str">
        <f>IF(AND(fiche_sel&lt;&gt;"",A1349=fiche_sel),COUNTIF(A$6:A1349,fiche_sel),"")</f>
        <v/>
      </c>
    </row>
    <row r="1350">
      <c r="A1350" s="60" t="n"/>
      <c r="B1350" s="73" t="n"/>
      <c r="C1350" s="60" t="n"/>
      <c r="D1350" s="61" t="n"/>
      <c r="E1350" s="74" t="n"/>
      <c r="F1350" s="74" t="n"/>
      <c r="G1350" s="73" t="n"/>
      <c r="H1350" s="66" t="str">
        <f>IF(M1350&lt;&gt;"OK","",INDEX(po_mo,MATCH(D1350,po_code,0)))</f>
        <v/>
      </c>
      <c r="I1350" s="66" t="str">
        <f>IF(M1350&lt;&gt;"OK","",INDEX(po_mac,MATCH(D1350,po_code,0)))</f>
        <v/>
      </c>
      <c r="J1350" s="66" t="str">
        <f>IF(M1350&lt;&gt;"OK","",N(E1350)*(H1350*IF(G1350="",1,G1350)+I1350))</f>
        <v/>
      </c>
      <c r="K1350" s="66" t="str">
        <f>IF(M1350&lt;&gt;"OK","",N(F1350)/60*H1350*IF(G1350="",1,G1350))</f>
        <v/>
      </c>
      <c r="L1350" s="66" t="str">
        <f>IF(M1350&lt;&gt;"OK","",N(F1350)/60*I1350)</f>
        <v/>
      </c>
      <c r="M1350" s="69" t="str">
        <f>IF(AND(A1350="",D1350=""),"",IF(A1350="","Produit manquant",IF(COUNTIF(prod_ref,A1350)=0,"Produit inconnu",IF(D1350="","Poste manquant",IF(ISNA(MATCH(D1350,po_code,0)),"Poste inconnu",IF(INDEX(po_check,MATCH(D1350,po_code,0))&lt;&gt;"OK","Poste à corriger",IF(AND(E1350&lt;&gt;"",OR(NOT(ISNUMBER(E1350)),N(E1350)&lt;0)),"Réglage invalide",IF(AND(F1350&lt;&gt;"",OR(NOT(ISNUMBER(F1350)),N(F1350)&lt;0)),"Temps par pièce invalide",IF(N(E1350)+N(F1350)=0,"Temps manquant",IF(AND(G1350&lt;&gt;"",OR(NOT(ISNUMBER(G1350)),N(G1350)&lt;=0)),"Opérateurs invalide","OK"))))))))))</f>
        <v/>
      </c>
      <c r="N1350" s="71" t="str">
        <f>IF(AND(fiche_sel&lt;&gt;"",A1350=fiche_sel),COUNTIF(A$6:A1350,fiche_sel),"")</f>
        <v/>
      </c>
    </row>
    <row r="1351">
      <c r="A1351" s="60" t="n"/>
      <c r="B1351" s="73" t="n"/>
      <c r="C1351" s="60" t="n"/>
      <c r="D1351" s="61" t="n"/>
      <c r="E1351" s="74" t="n"/>
      <c r="F1351" s="74" t="n"/>
      <c r="G1351" s="73" t="n"/>
      <c r="H1351" s="66" t="str">
        <f>IF(M1351&lt;&gt;"OK","",INDEX(po_mo,MATCH(D1351,po_code,0)))</f>
        <v/>
      </c>
      <c r="I1351" s="66" t="str">
        <f>IF(M1351&lt;&gt;"OK","",INDEX(po_mac,MATCH(D1351,po_code,0)))</f>
        <v/>
      </c>
      <c r="J1351" s="66" t="str">
        <f>IF(M1351&lt;&gt;"OK","",N(E1351)*(H1351*IF(G1351="",1,G1351)+I1351))</f>
        <v/>
      </c>
      <c r="K1351" s="66" t="str">
        <f>IF(M1351&lt;&gt;"OK","",N(F1351)/60*H1351*IF(G1351="",1,G1351))</f>
        <v/>
      </c>
      <c r="L1351" s="66" t="str">
        <f>IF(M1351&lt;&gt;"OK","",N(F1351)/60*I1351)</f>
        <v/>
      </c>
      <c r="M1351" s="69" t="str">
        <f>IF(AND(A1351="",D1351=""),"",IF(A1351="","Produit manquant",IF(COUNTIF(prod_ref,A1351)=0,"Produit inconnu",IF(D1351="","Poste manquant",IF(ISNA(MATCH(D1351,po_code,0)),"Poste inconnu",IF(INDEX(po_check,MATCH(D1351,po_code,0))&lt;&gt;"OK","Poste à corriger",IF(AND(E1351&lt;&gt;"",OR(NOT(ISNUMBER(E1351)),N(E1351)&lt;0)),"Réglage invalide",IF(AND(F1351&lt;&gt;"",OR(NOT(ISNUMBER(F1351)),N(F1351)&lt;0)),"Temps par pièce invalide",IF(N(E1351)+N(F1351)=0,"Temps manquant",IF(AND(G1351&lt;&gt;"",OR(NOT(ISNUMBER(G1351)),N(G1351)&lt;=0)),"Opérateurs invalide","OK"))))))))))</f>
        <v/>
      </c>
      <c r="N1351" s="71" t="str">
        <f>IF(AND(fiche_sel&lt;&gt;"",A1351=fiche_sel),COUNTIF(A$6:A1351,fiche_sel),"")</f>
        <v/>
      </c>
    </row>
    <row r="1352">
      <c r="A1352" s="60" t="n"/>
      <c r="B1352" s="73" t="n"/>
      <c r="C1352" s="60" t="n"/>
      <c r="D1352" s="61" t="n"/>
      <c r="E1352" s="74" t="n"/>
      <c r="F1352" s="74" t="n"/>
      <c r="G1352" s="73" t="n"/>
      <c r="H1352" s="66" t="str">
        <f>IF(M1352&lt;&gt;"OK","",INDEX(po_mo,MATCH(D1352,po_code,0)))</f>
        <v/>
      </c>
      <c r="I1352" s="66" t="str">
        <f>IF(M1352&lt;&gt;"OK","",INDEX(po_mac,MATCH(D1352,po_code,0)))</f>
        <v/>
      </c>
      <c r="J1352" s="66" t="str">
        <f>IF(M1352&lt;&gt;"OK","",N(E1352)*(H1352*IF(G1352="",1,G1352)+I1352))</f>
        <v/>
      </c>
      <c r="K1352" s="66" t="str">
        <f>IF(M1352&lt;&gt;"OK","",N(F1352)/60*H1352*IF(G1352="",1,G1352))</f>
        <v/>
      </c>
      <c r="L1352" s="66" t="str">
        <f>IF(M1352&lt;&gt;"OK","",N(F1352)/60*I1352)</f>
        <v/>
      </c>
      <c r="M1352" s="69" t="str">
        <f>IF(AND(A1352="",D1352=""),"",IF(A1352="","Produit manquant",IF(COUNTIF(prod_ref,A1352)=0,"Produit inconnu",IF(D1352="","Poste manquant",IF(ISNA(MATCH(D1352,po_code,0)),"Poste inconnu",IF(INDEX(po_check,MATCH(D1352,po_code,0))&lt;&gt;"OK","Poste à corriger",IF(AND(E1352&lt;&gt;"",OR(NOT(ISNUMBER(E1352)),N(E1352)&lt;0)),"Réglage invalide",IF(AND(F1352&lt;&gt;"",OR(NOT(ISNUMBER(F1352)),N(F1352)&lt;0)),"Temps par pièce invalide",IF(N(E1352)+N(F1352)=0,"Temps manquant",IF(AND(G1352&lt;&gt;"",OR(NOT(ISNUMBER(G1352)),N(G1352)&lt;=0)),"Opérateurs invalide","OK"))))))))))</f>
        <v/>
      </c>
      <c r="N1352" s="71" t="str">
        <f>IF(AND(fiche_sel&lt;&gt;"",A1352=fiche_sel),COUNTIF(A$6:A1352,fiche_sel),"")</f>
        <v/>
      </c>
    </row>
    <row r="1353">
      <c r="A1353" s="60" t="n"/>
      <c r="B1353" s="73" t="n"/>
      <c r="C1353" s="60" t="n"/>
      <c r="D1353" s="61" t="n"/>
      <c r="E1353" s="74" t="n"/>
      <c r="F1353" s="74" t="n"/>
      <c r="G1353" s="73" t="n"/>
      <c r="H1353" s="66" t="str">
        <f>IF(M1353&lt;&gt;"OK","",INDEX(po_mo,MATCH(D1353,po_code,0)))</f>
        <v/>
      </c>
      <c r="I1353" s="66" t="str">
        <f>IF(M1353&lt;&gt;"OK","",INDEX(po_mac,MATCH(D1353,po_code,0)))</f>
        <v/>
      </c>
      <c r="J1353" s="66" t="str">
        <f>IF(M1353&lt;&gt;"OK","",N(E1353)*(H1353*IF(G1353="",1,G1353)+I1353))</f>
        <v/>
      </c>
      <c r="K1353" s="66" t="str">
        <f>IF(M1353&lt;&gt;"OK","",N(F1353)/60*H1353*IF(G1353="",1,G1353))</f>
        <v/>
      </c>
      <c r="L1353" s="66" t="str">
        <f>IF(M1353&lt;&gt;"OK","",N(F1353)/60*I1353)</f>
        <v/>
      </c>
      <c r="M1353" s="69" t="str">
        <f>IF(AND(A1353="",D1353=""),"",IF(A1353="","Produit manquant",IF(COUNTIF(prod_ref,A1353)=0,"Produit inconnu",IF(D1353="","Poste manquant",IF(ISNA(MATCH(D1353,po_code,0)),"Poste inconnu",IF(INDEX(po_check,MATCH(D1353,po_code,0))&lt;&gt;"OK","Poste à corriger",IF(AND(E1353&lt;&gt;"",OR(NOT(ISNUMBER(E1353)),N(E1353)&lt;0)),"Réglage invalide",IF(AND(F1353&lt;&gt;"",OR(NOT(ISNUMBER(F1353)),N(F1353)&lt;0)),"Temps par pièce invalide",IF(N(E1353)+N(F1353)=0,"Temps manquant",IF(AND(G1353&lt;&gt;"",OR(NOT(ISNUMBER(G1353)),N(G1353)&lt;=0)),"Opérateurs invalide","OK"))))))))))</f>
        <v/>
      </c>
      <c r="N1353" s="71" t="str">
        <f>IF(AND(fiche_sel&lt;&gt;"",A1353=fiche_sel),COUNTIF(A$6:A1353,fiche_sel),"")</f>
        <v/>
      </c>
    </row>
    <row r="1354">
      <c r="A1354" s="60" t="n"/>
      <c r="B1354" s="73" t="n"/>
      <c r="C1354" s="60" t="n"/>
      <c r="D1354" s="61" t="n"/>
      <c r="E1354" s="74" t="n"/>
      <c r="F1354" s="74" t="n"/>
      <c r="G1354" s="73" t="n"/>
      <c r="H1354" s="66" t="str">
        <f>IF(M1354&lt;&gt;"OK","",INDEX(po_mo,MATCH(D1354,po_code,0)))</f>
        <v/>
      </c>
      <c r="I1354" s="66" t="str">
        <f>IF(M1354&lt;&gt;"OK","",INDEX(po_mac,MATCH(D1354,po_code,0)))</f>
        <v/>
      </c>
      <c r="J1354" s="66" t="str">
        <f>IF(M1354&lt;&gt;"OK","",N(E1354)*(H1354*IF(G1354="",1,G1354)+I1354))</f>
        <v/>
      </c>
      <c r="K1354" s="66" t="str">
        <f>IF(M1354&lt;&gt;"OK","",N(F1354)/60*H1354*IF(G1354="",1,G1354))</f>
        <v/>
      </c>
      <c r="L1354" s="66" t="str">
        <f>IF(M1354&lt;&gt;"OK","",N(F1354)/60*I1354)</f>
        <v/>
      </c>
      <c r="M1354" s="69" t="str">
        <f>IF(AND(A1354="",D1354=""),"",IF(A1354="","Produit manquant",IF(COUNTIF(prod_ref,A1354)=0,"Produit inconnu",IF(D1354="","Poste manquant",IF(ISNA(MATCH(D1354,po_code,0)),"Poste inconnu",IF(INDEX(po_check,MATCH(D1354,po_code,0))&lt;&gt;"OK","Poste à corriger",IF(AND(E1354&lt;&gt;"",OR(NOT(ISNUMBER(E1354)),N(E1354)&lt;0)),"Réglage invalide",IF(AND(F1354&lt;&gt;"",OR(NOT(ISNUMBER(F1354)),N(F1354)&lt;0)),"Temps par pièce invalide",IF(N(E1354)+N(F1354)=0,"Temps manquant",IF(AND(G1354&lt;&gt;"",OR(NOT(ISNUMBER(G1354)),N(G1354)&lt;=0)),"Opérateurs invalide","OK"))))))))))</f>
        <v/>
      </c>
      <c r="N1354" s="71" t="str">
        <f>IF(AND(fiche_sel&lt;&gt;"",A1354=fiche_sel),COUNTIF(A$6:A1354,fiche_sel),"")</f>
        <v/>
      </c>
    </row>
    <row r="1355">
      <c r="A1355" s="60" t="n"/>
      <c r="B1355" s="73" t="n"/>
      <c r="C1355" s="60" t="n"/>
      <c r="D1355" s="61" t="n"/>
      <c r="E1355" s="74" t="n"/>
      <c r="F1355" s="74" t="n"/>
      <c r="G1355" s="73" t="n"/>
      <c r="H1355" s="66" t="str">
        <f>IF(M1355&lt;&gt;"OK","",INDEX(po_mo,MATCH(D1355,po_code,0)))</f>
        <v/>
      </c>
      <c r="I1355" s="66" t="str">
        <f>IF(M1355&lt;&gt;"OK","",INDEX(po_mac,MATCH(D1355,po_code,0)))</f>
        <v/>
      </c>
      <c r="J1355" s="66" t="str">
        <f>IF(M1355&lt;&gt;"OK","",N(E1355)*(H1355*IF(G1355="",1,G1355)+I1355))</f>
        <v/>
      </c>
      <c r="K1355" s="66" t="str">
        <f>IF(M1355&lt;&gt;"OK","",N(F1355)/60*H1355*IF(G1355="",1,G1355))</f>
        <v/>
      </c>
      <c r="L1355" s="66" t="str">
        <f>IF(M1355&lt;&gt;"OK","",N(F1355)/60*I1355)</f>
        <v/>
      </c>
      <c r="M1355" s="69" t="str">
        <f>IF(AND(A1355="",D1355=""),"",IF(A1355="","Produit manquant",IF(COUNTIF(prod_ref,A1355)=0,"Produit inconnu",IF(D1355="","Poste manquant",IF(ISNA(MATCH(D1355,po_code,0)),"Poste inconnu",IF(INDEX(po_check,MATCH(D1355,po_code,0))&lt;&gt;"OK","Poste à corriger",IF(AND(E1355&lt;&gt;"",OR(NOT(ISNUMBER(E1355)),N(E1355)&lt;0)),"Réglage invalide",IF(AND(F1355&lt;&gt;"",OR(NOT(ISNUMBER(F1355)),N(F1355)&lt;0)),"Temps par pièce invalide",IF(N(E1355)+N(F1355)=0,"Temps manquant",IF(AND(G1355&lt;&gt;"",OR(NOT(ISNUMBER(G1355)),N(G1355)&lt;=0)),"Opérateurs invalide","OK"))))))))))</f>
        <v/>
      </c>
      <c r="N1355" s="71" t="str">
        <f>IF(AND(fiche_sel&lt;&gt;"",A1355=fiche_sel),COUNTIF(A$6:A1355,fiche_sel),"")</f>
        <v/>
      </c>
    </row>
    <row r="1356">
      <c r="A1356" s="60" t="n"/>
      <c r="B1356" s="73" t="n"/>
      <c r="C1356" s="60" t="n"/>
      <c r="D1356" s="61" t="n"/>
      <c r="E1356" s="74" t="n"/>
      <c r="F1356" s="74" t="n"/>
      <c r="G1356" s="73" t="n"/>
      <c r="H1356" s="66" t="str">
        <f>IF(M1356&lt;&gt;"OK","",INDEX(po_mo,MATCH(D1356,po_code,0)))</f>
        <v/>
      </c>
      <c r="I1356" s="66" t="str">
        <f>IF(M1356&lt;&gt;"OK","",INDEX(po_mac,MATCH(D1356,po_code,0)))</f>
        <v/>
      </c>
      <c r="J1356" s="66" t="str">
        <f>IF(M1356&lt;&gt;"OK","",N(E1356)*(H1356*IF(G1356="",1,G1356)+I1356))</f>
        <v/>
      </c>
      <c r="K1356" s="66" t="str">
        <f>IF(M1356&lt;&gt;"OK","",N(F1356)/60*H1356*IF(G1356="",1,G1356))</f>
        <v/>
      </c>
      <c r="L1356" s="66" t="str">
        <f>IF(M1356&lt;&gt;"OK","",N(F1356)/60*I1356)</f>
        <v/>
      </c>
      <c r="M1356" s="69" t="str">
        <f>IF(AND(A1356="",D1356=""),"",IF(A1356="","Produit manquant",IF(COUNTIF(prod_ref,A1356)=0,"Produit inconnu",IF(D1356="","Poste manquant",IF(ISNA(MATCH(D1356,po_code,0)),"Poste inconnu",IF(INDEX(po_check,MATCH(D1356,po_code,0))&lt;&gt;"OK","Poste à corriger",IF(AND(E1356&lt;&gt;"",OR(NOT(ISNUMBER(E1356)),N(E1356)&lt;0)),"Réglage invalide",IF(AND(F1356&lt;&gt;"",OR(NOT(ISNUMBER(F1356)),N(F1356)&lt;0)),"Temps par pièce invalide",IF(N(E1356)+N(F1356)=0,"Temps manquant",IF(AND(G1356&lt;&gt;"",OR(NOT(ISNUMBER(G1356)),N(G1356)&lt;=0)),"Opérateurs invalide","OK"))))))))))</f>
        <v/>
      </c>
      <c r="N1356" s="71" t="str">
        <f>IF(AND(fiche_sel&lt;&gt;"",A1356=fiche_sel),COUNTIF(A$6:A1356,fiche_sel),"")</f>
        <v/>
      </c>
    </row>
    <row r="1357">
      <c r="A1357" s="60" t="n"/>
      <c r="B1357" s="73" t="n"/>
      <c r="C1357" s="60" t="n"/>
      <c r="D1357" s="61" t="n"/>
      <c r="E1357" s="74" t="n"/>
      <c r="F1357" s="74" t="n"/>
      <c r="G1357" s="73" t="n"/>
      <c r="H1357" s="66" t="str">
        <f>IF(M1357&lt;&gt;"OK","",INDEX(po_mo,MATCH(D1357,po_code,0)))</f>
        <v/>
      </c>
      <c r="I1357" s="66" t="str">
        <f>IF(M1357&lt;&gt;"OK","",INDEX(po_mac,MATCH(D1357,po_code,0)))</f>
        <v/>
      </c>
      <c r="J1357" s="66" t="str">
        <f>IF(M1357&lt;&gt;"OK","",N(E1357)*(H1357*IF(G1357="",1,G1357)+I1357))</f>
        <v/>
      </c>
      <c r="K1357" s="66" t="str">
        <f>IF(M1357&lt;&gt;"OK","",N(F1357)/60*H1357*IF(G1357="",1,G1357))</f>
        <v/>
      </c>
      <c r="L1357" s="66" t="str">
        <f>IF(M1357&lt;&gt;"OK","",N(F1357)/60*I1357)</f>
        <v/>
      </c>
      <c r="M1357" s="69" t="str">
        <f>IF(AND(A1357="",D1357=""),"",IF(A1357="","Produit manquant",IF(COUNTIF(prod_ref,A1357)=0,"Produit inconnu",IF(D1357="","Poste manquant",IF(ISNA(MATCH(D1357,po_code,0)),"Poste inconnu",IF(INDEX(po_check,MATCH(D1357,po_code,0))&lt;&gt;"OK","Poste à corriger",IF(AND(E1357&lt;&gt;"",OR(NOT(ISNUMBER(E1357)),N(E1357)&lt;0)),"Réglage invalide",IF(AND(F1357&lt;&gt;"",OR(NOT(ISNUMBER(F1357)),N(F1357)&lt;0)),"Temps par pièce invalide",IF(N(E1357)+N(F1357)=0,"Temps manquant",IF(AND(G1357&lt;&gt;"",OR(NOT(ISNUMBER(G1357)),N(G1357)&lt;=0)),"Opérateurs invalide","OK"))))))))))</f>
        <v/>
      </c>
      <c r="N1357" s="71" t="str">
        <f>IF(AND(fiche_sel&lt;&gt;"",A1357=fiche_sel),COUNTIF(A$6:A1357,fiche_sel),"")</f>
        <v/>
      </c>
    </row>
    <row r="1358">
      <c r="A1358" s="60" t="n"/>
      <c r="B1358" s="73" t="n"/>
      <c r="C1358" s="60" t="n"/>
      <c r="D1358" s="61" t="n"/>
      <c r="E1358" s="74" t="n"/>
      <c r="F1358" s="74" t="n"/>
      <c r="G1358" s="73" t="n"/>
      <c r="H1358" s="66" t="str">
        <f>IF(M1358&lt;&gt;"OK","",INDEX(po_mo,MATCH(D1358,po_code,0)))</f>
        <v/>
      </c>
      <c r="I1358" s="66" t="str">
        <f>IF(M1358&lt;&gt;"OK","",INDEX(po_mac,MATCH(D1358,po_code,0)))</f>
        <v/>
      </c>
      <c r="J1358" s="66" t="str">
        <f>IF(M1358&lt;&gt;"OK","",N(E1358)*(H1358*IF(G1358="",1,G1358)+I1358))</f>
        <v/>
      </c>
      <c r="K1358" s="66" t="str">
        <f>IF(M1358&lt;&gt;"OK","",N(F1358)/60*H1358*IF(G1358="",1,G1358))</f>
        <v/>
      </c>
      <c r="L1358" s="66" t="str">
        <f>IF(M1358&lt;&gt;"OK","",N(F1358)/60*I1358)</f>
        <v/>
      </c>
      <c r="M1358" s="69" t="str">
        <f>IF(AND(A1358="",D1358=""),"",IF(A1358="","Produit manquant",IF(COUNTIF(prod_ref,A1358)=0,"Produit inconnu",IF(D1358="","Poste manquant",IF(ISNA(MATCH(D1358,po_code,0)),"Poste inconnu",IF(INDEX(po_check,MATCH(D1358,po_code,0))&lt;&gt;"OK","Poste à corriger",IF(AND(E1358&lt;&gt;"",OR(NOT(ISNUMBER(E1358)),N(E1358)&lt;0)),"Réglage invalide",IF(AND(F1358&lt;&gt;"",OR(NOT(ISNUMBER(F1358)),N(F1358)&lt;0)),"Temps par pièce invalide",IF(N(E1358)+N(F1358)=0,"Temps manquant",IF(AND(G1358&lt;&gt;"",OR(NOT(ISNUMBER(G1358)),N(G1358)&lt;=0)),"Opérateurs invalide","OK"))))))))))</f>
        <v/>
      </c>
      <c r="N1358" s="71" t="str">
        <f>IF(AND(fiche_sel&lt;&gt;"",A1358=fiche_sel),COUNTIF(A$6:A1358,fiche_sel),"")</f>
        <v/>
      </c>
    </row>
    <row r="1359">
      <c r="A1359" s="60" t="n"/>
      <c r="B1359" s="73" t="n"/>
      <c r="C1359" s="60" t="n"/>
      <c r="D1359" s="61" t="n"/>
      <c r="E1359" s="74" t="n"/>
      <c r="F1359" s="74" t="n"/>
      <c r="G1359" s="73" t="n"/>
      <c r="H1359" s="66" t="str">
        <f>IF(M1359&lt;&gt;"OK","",INDEX(po_mo,MATCH(D1359,po_code,0)))</f>
        <v/>
      </c>
      <c r="I1359" s="66" t="str">
        <f>IF(M1359&lt;&gt;"OK","",INDEX(po_mac,MATCH(D1359,po_code,0)))</f>
        <v/>
      </c>
      <c r="J1359" s="66" t="str">
        <f>IF(M1359&lt;&gt;"OK","",N(E1359)*(H1359*IF(G1359="",1,G1359)+I1359))</f>
        <v/>
      </c>
      <c r="K1359" s="66" t="str">
        <f>IF(M1359&lt;&gt;"OK","",N(F1359)/60*H1359*IF(G1359="",1,G1359))</f>
        <v/>
      </c>
      <c r="L1359" s="66" t="str">
        <f>IF(M1359&lt;&gt;"OK","",N(F1359)/60*I1359)</f>
        <v/>
      </c>
      <c r="M1359" s="69" t="str">
        <f>IF(AND(A1359="",D1359=""),"",IF(A1359="","Produit manquant",IF(COUNTIF(prod_ref,A1359)=0,"Produit inconnu",IF(D1359="","Poste manquant",IF(ISNA(MATCH(D1359,po_code,0)),"Poste inconnu",IF(INDEX(po_check,MATCH(D1359,po_code,0))&lt;&gt;"OK","Poste à corriger",IF(AND(E1359&lt;&gt;"",OR(NOT(ISNUMBER(E1359)),N(E1359)&lt;0)),"Réglage invalide",IF(AND(F1359&lt;&gt;"",OR(NOT(ISNUMBER(F1359)),N(F1359)&lt;0)),"Temps par pièce invalide",IF(N(E1359)+N(F1359)=0,"Temps manquant",IF(AND(G1359&lt;&gt;"",OR(NOT(ISNUMBER(G1359)),N(G1359)&lt;=0)),"Opérateurs invalide","OK"))))))))))</f>
        <v/>
      </c>
      <c r="N1359" s="71" t="str">
        <f>IF(AND(fiche_sel&lt;&gt;"",A1359=fiche_sel),COUNTIF(A$6:A1359,fiche_sel),"")</f>
        <v/>
      </c>
    </row>
    <row r="1360">
      <c r="A1360" s="60" t="n"/>
      <c r="B1360" s="73" t="n"/>
      <c r="C1360" s="60" t="n"/>
      <c r="D1360" s="61" t="n"/>
      <c r="E1360" s="74" t="n"/>
      <c r="F1360" s="74" t="n"/>
      <c r="G1360" s="73" t="n"/>
      <c r="H1360" s="66" t="str">
        <f>IF(M1360&lt;&gt;"OK","",INDEX(po_mo,MATCH(D1360,po_code,0)))</f>
        <v/>
      </c>
      <c r="I1360" s="66" t="str">
        <f>IF(M1360&lt;&gt;"OK","",INDEX(po_mac,MATCH(D1360,po_code,0)))</f>
        <v/>
      </c>
      <c r="J1360" s="66" t="str">
        <f>IF(M1360&lt;&gt;"OK","",N(E1360)*(H1360*IF(G1360="",1,G1360)+I1360))</f>
        <v/>
      </c>
      <c r="K1360" s="66" t="str">
        <f>IF(M1360&lt;&gt;"OK","",N(F1360)/60*H1360*IF(G1360="",1,G1360))</f>
        <v/>
      </c>
      <c r="L1360" s="66" t="str">
        <f>IF(M1360&lt;&gt;"OK","",N(F1360)/60*I1360)</f>
        <v/>
      </c>
      <c r="M1360" s="69" t="str">
        <f>IF(AND(A1360="",D1360=""),"",IF(A1360="","Produit manquant",IF(COUNTIF(prod_ref,A1360)=0,"Produit inconnu",IF(D1360="","Poste manquant",IF(ISNA(MATCH(D1360,po_code,0)),"Poste inconnu",IF(INDEX(po_check,MATCH(D1360,po_code,0))&lt;&gt;"OK","Poste à corriger",IF(AND(E1360&lt;&gt;"",OR(NOT(ISNUMBER(E1360)),N(E1360)&lt;0)),"Réglage invalide",IF(AND(F1360&lt;&gt;"",OR(NOT(ISNUMBER(F1360)),N(F1360)&lt;0)),"Temps par pièce invalide",IF(N(E1360)+N(F1360)=0,"Temps manquant",IF(AND(G1360&lt;&gt;"",OR(NOT(ISNUMBER(G1360)),N(G1360)&lt;=0)),"Opérateurs invalide","OK"))))))))))</f>
        <v/>
      </c>
      <c r="N1360" s="71" t="str">
        <f>IF(AND(fiche_sel&lt;&gt;"",A1360=fiche_sel),COUNTIF(A$6:A1360,fiche_sel),"")</f>
        <v/>
      </c>
    </row>
    <row r="1361">
      <c r="A1361" s="60" t="n"/>
      <c r="B1361" s="73" t="n"/>
      <c r="C1361" s="60" t="n"/>
      <c r="D1361" s="61" t="n"/>
      <c r="E1361" s="74" t="n"/>
      <c r="F1361" s="74" t="n"/>
      <c r="G1361" s="73" t="n"/>
      <c r="H1361" s="66" t="str">
        <f>IF(M1361&lt;&gt;"OK","",INDEX(po_mo,MATCH(D1361,po_code,0)))</f>
        <v/>
      </c>
      <c r="I1361" s="66" t="str">
        <f>IF(M1361&lt;&gt;"OK","",INDEX(po_mac,MATCH(D1361,po_code,0)))</f>
        <v/>
      </c>
      <c r="J1361" s="66" t="str">
        <f>IF(M1361&lt;&gt;"OK","",N(E1361)*(H1361*IF(G1361="",1,G1361)+I1361))</f>
        <v/>
      </c>
      <c r="K1361" s="66" t="str">
        <f>IF(M1361&lt;&gt;"OK","",N(F1361)/60*H1361*IF(G1361="",1,G1361))</f>
        <v/>
      </c>
      <c r="L1361" s="66" t="str">
        <f>IF(M1361&lt;&gt;"OK","",N(F1361)/60*I1361)</f>
        <v/>
      </c>
      <c r="M1361" s="69" t="str">
        <f>IF(AND(A1361="",D1361=""),"",IF(A1361="","Produit manquant",IF(COUNTIF(prod_ref,A1361)=0,"Produit inconnu",IF(D1361="","Poste manquant",IF(ISNA(MATCH(D1361,po_code,0)),"Poste inconnu",IF(INDEX(po_check,MATCH(D1361,po_code,0))&lt;&gt;"OK","Poste à corriger",IF(AND(E1361&lt;&gt;"",OR(NOT(ISNUMBER(E1361)),N(E1361)&lt;0)),"Réglage invalide",IF(AND(F1361&lt;&gt;"",OR(NOT(ISNUMBER(F1361)),N(F1361)&lt;0)),"Temps par pièce invalide",IF(N(E1361)+N(F1361)=0,"Temps manquant",IF(AND(G1361&lt;&gt;"",OR(NOT(ISNUMBER(G1361)),N(G1361)&lt;=0)),"Opérateurs invalide","OK"))))))))))</f>
        <v/>
      </c>
      <c r="N1361" s="71" t="str">
        <f>IF(AND(fiche_sel&lt;&gt;"",A1361=fiche_sel),COUNTIF(A$6:A1361,fiche_sel),"")</f>
        <v/>
      </c>
    </row>
    <row r="1362">
      <c r="A1362" s="60" t="n"/>
      <c r="B1362" s="73" t="n"/>
      <c r="C1362" s="60" t="n"/>
      <c r="D1362" s="61" t="n"/>
      <c r="E1362" s="74" t="n"/>
      <c r="F1362" s="74" t="n"/>
      <c r="G1362" s="73" t="n"/>
      <c r="H1362" s="66" t="str">
        <f>IF(M1362&lt;&gt;"OK","",INDEX(po_mo,MATCH(D1362,po_code,0)))</f>
        <v/>
      </c>
      <c r="I1362" s="66" t="str">
        <f>IF(M1362&lt;&gt;"OK","",INDEX(po_mac,MATCH(D1362,po_code,0)))</f>
        <v/>
      </c>
      <c r="J1362" s="66" t="str">
        <f>IF(M1362&lt;&gt;"OK","",N(E1362)*(H1362*IF(G1362="",1,G1362)+I1362))</f>
        <v/>
      </c>
      <c r="K1362" s="66" t="str">
        <f>IF(M1362&lt;&gt;"OK","",N(F1362)/60*H1362*IF(G1362="",1,G1362))</f>
        <v/>
      </c>
      <c r="L1362" s="66" t="str">
        <f>IF(M1362&lt;&gt;"OK","",N(F1362)/60*I1362)</f>
        <v/>
      </c>
      <c r="M1362" s="69" t="str">
        <f>IF(AND(A1362="",D1362=""),"",IF(A1362="","Produit manquant",IF(COUNTIF(prod_ref,A1362)=0,"Produit inconnu",IF(D1362="","Poste manquant",IF(ISNA(MATCH(D1362,po_code,0)),"Poste inconnu",IF(INDEX(po_check,MATCH(D1362,po_code,0))&lt;&gt;"OK","Poste à corriger",IF(AND(E1362&lt;&gt;"",OR(NOT(ISNUMBER(E1362)),N(E1362)&lt;0)),"Réglage invalide",IF(AND(F1362&lt;&gt;"",OR(NOT(ISNUMBER(F1362)),N(F1362)&lt;0)),"Temps par pièce invalide",IF(N(E1362)+N(F1362)=0,"Temps manquant",IF(AND(G1362&lt;&gt;"",OR(NOT(ISNUMBER(G1362)),N(G1362)&lt;=0)),"Opérateurs invalide","OK"))))))))))</f>
        <v/>
      </c>
      <c r="N1362" s="71" t="str">
        <f>IF(AND(fiche_sel&lt;&gt;"",A1362=fiche_sel),COUNTIF(A$6:A1362,fiche_sel),"")</f>
        <v/>
      </c>
    </row>
    <row r="1363">
      <c r="A1363" s="60" t="n"/>
      <c r="B1363" s="73" t="n"/>
      <c r="C1363" s="60" t="n"/>
      <c r="D1363" s="61" t="n"/>
      <c r="E1363" s="74" t="n"/>
      <c r="F1363" s="74" t="n"/>
      <c r="G1363" s="73" t="n"/>
      <c r="H1363" s="66" t="str">
        <f>IF(M1363&lt;&gt;"OK","",INDEX(po_mo,MATCH(D1363,po_code,0)))</f>
        <v/>
      </c>
      <c r="I1363" s="66" t="str">
        <f>IF(M1363&lt;&gt;"OK","",INDEX(po_mac,MATCH(D1363,po_code,0)))</f>
        <v/>
      </c>
      <c r="J1363" s="66" t="str">
        <f>IF(M1363&lt;&gt;"OK","",N(E1363)*(H1363*IF(G1363="",1,G1363)+I1363))</f>
        <v/>
      </c>
      <c r="K1363" s="66" t="str">
        <f>IF(M1363&lt;&gt;"OK","",N(F1363)/60*H1363*IF(G1363="",1,G1363))</f>
        <v/>
      </c>
      <c r="L1363" s="66" t="str">
        <f>IF(M1363&lt;&gt;"OK","",N(F1363)/60*I1363)</f>
        <v/>
      </c>
      <c r="M1363" s="69" t="str">
        <f>IF(AND(A1363="",D1363=""),"",IF(A1363="","Produit manquant",IF(COUNTIF(prod_ref,A1363)=0,"Produit inconnu",IF(D1363="","Poste manquant",IF(ISNA(MATCH(D1363,po_code,0)),"Poste inconnu",IF(INDEX(po_check,MATCH(D1363,po_code,0))&lt;&gt;"OK","Poste à corriger",IF(AND(E1363&lt;&gt;"",OR(NOT(ISNUMBER(E1363)),N(E1363)&lt;0)),"Réglage invalide",IF(AND(F1363&lt;&gt;"",OR(NOT(ISNUMBER(F1363)),N(F1363)&lt;0)),"Temps par pièce invalide",IF(N(E1363)+N(F1363)=0,"Temps manquant",IF(AND(G1363&lt;&gt;"",OR(NOT(ISNUMBER(G1363)),N(G1363)&lt;=0)),"Opérateurs invalide","OK"))))))))))</f>
        <v/>
      </c>
      <c r="N1363" s="71" t="str">
        <f>IF(AND(fiche_sel&lt;&gt;"",A1363=fiche_sel),COUNTIF(A$6:A1363,fiche_sel),"")</f>
        <v/>
      </c>
    </row>
    <row r="1364">
      <c r="A1364" s="60" t="n"/>
      <c r="B1364" s="73" t="n"/>
      <c r="C1364" s="60" t="n"/>
      <c r="D1364" s="61" t="n"/>
      <c r="E1364" s="74" t="n"/>
      <c r="F1364" s="74" t="n"/>
      <c r="G1364" s="73" t="n"/>
      <c r="H1364" s="66" t="str">
        <f>IF(M1364&lt;&gt;"OK","",INDEX(po_mo,MATCH(D1364,po_code,0)))</f>
        <v/>
      </c>
      <c r="I1364" s="66" t="str">
        <f>IF(M1364&lt;&gt;"OK","",INDEX(po_mac,MATCH(D1364,po_code,0)))</f>
        <v/>
      </c>
      <c r="J1364" s="66" t="str">
        <f>IF(M1364&lt;&gt;"OK","",N(E1364)*(H1364*IF(G1364="",1,G1364)+I1364))</f>
        <v/>
      </c>
      <c r="K1364" s="66" t="str">
        <f>IF(M1364&lt;&gt;"OK","",N(F1364)/60*H1364*IF(G1364="",1,G1364))</f>
        <v/>
      </c>
      <c r="L1364" s="66" t="str">
        <f>IF(M1364&lt;&gt;"OK","",N(F1364)/60*I1364)</f>
        <v/>
      </c>
      <c r="M1364" s="69" t="str">
        <f>IF(AND(A1364="",D1364=""),"",IF(A1364="","Produit manquant",IF(COUNTIF(prod_ref,A1364)=0,"Produit inconnu",IF(D1364="","Poste manquant",IF(ISNA(MATCH(D1364,po_code,0)),"Poste inconnu",IF(INDEX(po_check,MATCH(D1364,po_code,0))&lt;&gt;"OK","Poste à corriger",IF(AND(E1364&lt;&gt;"",OR(NOT(ISNUMBER(E1364)),N(E1364)&lt;0)),"Réglage invalide",IF(AND(F1364&lt;&gt;"",OR(NOT(ISNUMBER(F1364)),N(F1364)&lt;0)),"Temps par pièce invalide",IF(N(E1364)+N(F1364)=0,"Temps manquant",IF(AND(G1364&lt;&gt;"",OR(NOT(ISNUMBER(G1364)),N(G1364)&lt;=0)),"Opérateurs invalide","OK"))))))))))</f>
        <v/>
      </c>
      <c r="N1364" s="71" t="str">
        <f>IF(AND(fiche_sel&lt;&gt;"",A1364=fiche_sel),COUNTIF(A$6:A1364,fiche_sel),"")</f>
        <v/>
      </c>
    </row>
    <row r="1365">
      <c r="A1365" s="60" t="n"/>
      <c r="B1365" s="73" t="n"/>
      <c r="C1365" s="60" t="n"/>
      <c r="D1365" s="61" t="n"/>
      <c r="E1365" s="74" t="n"/>
      <c r="F1365" s="74" t="n"/>
      <c r="G1365" s="73" t="n"/>
      <c r="H1365" s="66" t="str">
        <f>IF(M1365&lt;&gt;"OK","",INDEX(po_mo,MATCH(D1365,po_code,0)))</f>
        <v/>
      </c>
      <c r="I1365" s="66" t="str">
        <f>IF(M1365&lt;&gt;"OK","",INDEX(po_mac,MATCH(D1365,po_code,0)))</f>
        <v/>
      </c>
      <c r="J1365" s="66" t="str">
        <f>IF(M1365&lt;&gt;"OK","",N(E1365)*(H1365*IF(G1365="",1,G1365)+I1365))</f>
        <v/>
      </c>
      <c r="K1365" s="66" t="str">
        <f>IF(M1365&lt;&gt;"OK","",N(F1365)/60*H1365*IF(G1365="",1,G1365))</f>
        <v/>
      </c>
      <c r="L1365" s="66" t="str">
        <f>IF(M1365&lt;&gt;"OK","",N(F1365)/60*I1365)</f>
        <v/>
      </c>
      <c r="M1365" s="69" t="str">
        <f>IF(AND(A1365="",D1365=""),"",IF(A1365="","Produit manquant",IF(COUNTIF(prod_ref,A1365)=0,"Produit inconnu",IF(D1365="","Poste manquant",IF(ISNA(MATCH(D1365,po_code,0)),"Poste inconnu",IF(INDEX(po_check,MATCH(D1365,po_code,0))&lt;&gt;"OK","Poste à corriger",IF(AND(E1365&lt;&gt;"",OR(NOT(ISNUMBER(E1365)),N(E1365)&lt;0)),"Réglage invalide",IF(AND(F1365&lt;&gt;"",OR(NOT(ISNUMBER(F1365)),N(F1365)&lt;0)),"Temps par pièce invalide",IF(N(E1365)+N(F1365)=0,"Temps manquant",IF(AND(G1365&lt;&gt;"",OR(NOT(ISNUMBER(G1365)),N(G1365)&lt;=0)),"Opérateurs invalide","OK"))))))))))</f>
        <v/>
      </c>
      <c r="N1365" s="71" t="str">
        <f>IF(AND(fiche_sel&lt;&gt;"",A1365=fiche_sel),COUNTIF(A$6:A1365,fiche_sel),"")</f>
        <v/>
      </c>
    </row>
    <row r="1366">
      <c r="A1366" s="60" t="n"/>
      <c r="B1366" s="73" t="n"/>
      <c r="C1366" s="60" t="n"/>
      <c r="D1366" s="61" t="n"/>
      <c r="E1366" s="74" t="n"/>
      <c r="F1366" s="74" t="n"/>
      <c r="G1366" s="73" t="n"/>
      <c r="H1366" s="66" t="str">
        <f>IF(M1366&lt;&gt;"OK","",INDEX(po_mo,MATCH(D1366,po_code,0)))</f>
        <v/>
      </c>
      <c r="I1366" s="66" t="str">
        <f>IF(M1366&lt;&gt;"OK","",INDEX(po_mac,MATCH(D1366,po_code,0)))</f>
        <v/>
      </c>
      <c r="J1366" s="66" t="str">
        <f>IF(M1366&lt;&gt;"OK","",N(E1366)*(H1366*IF(G1366="",1,G1366)+I1366))</f>
        <v/>
      </c>
      <c r="K1366" s="66" t="str">
        <f>IF(M1366&lt;&gt;"OK","",N(F1366)/60*H1366*IF(G1366="",1,G1366))</f>
        <v/>
      </c>
      <c r="L1366" s="66" t="str">
        <f>IF(M1366&lt;&gt;"OK","",N(F1366)/60*I1366)</f>
        <v/>
      </c>
      <c r="M1366" s="69" t="str">
        <f>IF(AND(A1366="",D1366=""),"",IF(A1366="","Produit manquant",IF(COUNTIF(prod_ref,A1366)=0,"Produit inconnu",IF(D1366="","Poste manquant",IF(ISNA(MATCH(D1366,po_code,0)),"Poste inconnu",IF(INDEX(po_check,MATCH(D1366,po_code,0))&lt;&gt;"OK","Poste à corriger",IF(AND(E1366&lt;&gt;"",OR(NOT(ISNUMBER(E1366)),N(E1366)&lt;0)),"Réglage invalide",IF(AND(F1366&lt;&gt;"",OR(NOT(ISNUMBER(F1366)),N(F1366)&lt;0)),"Temps par pièce invalide",IF(N(E1366)+N(F1366)=0,"Temps manquant",IF(AND(G1366&lt;&gt;"",OR(NOT(ISNUMBER(G1366)),N(G1366)&lt;=0)),"Opérateurs invalide","OK"))))))))))</f>
        <v/>
      </c>
      <c r="N1366" s="71" t="str">
        <f>IF(AND(fiche_sel&lt;&gt;"",A1366=fiche_sel),COUNTIF(A$6:A1366,fiche_sel),"")</f>
        <v/>
      </c>
    </row>
    <row r="1367">
      <c r="A1367" s="60" t="n"/>
      <c r="B1367" s="73" t="n"/>
      <c r="C1367" s="60" t="n"/>
      <c r="D1367" s="61" t="n"/>
      <c r="E1367" s="74" t="n"/>
      <c r="F1367" s="74" t="n"/>
      <c r="G1367" s="73" t="n"/>
      <c r="H1367" s="66" t="str">
        <f>IF(M1367&lt;&gt;"OK","",INDEX(po_mo,MATCH(D1367,po_code,0)))</f>
        <v/>
      </c>
      <c r="I1367" s="66" t="str">
        <f>IF(M1367&lt;&gt;"OK","",INDEX(po_mac,MATCH(D1367,po_code,0)))</f>
        <v/>
      </c>
      <c r="J1367" s="66" t="str">
        <f>IF(M1367&lt;&gt;"OK","",N(E1367)*(H1367*IF(G1367="",1,G1367)+I1367))</f>
        <v/>
      </c>
      <c r="K1367" s="66" t="str">
        <f>IF(M1367&lt;&gt;"OK","",N(F1367)/60*H1367*IF(G1367="",1,G1367))</f>
        <v/>
      </c>
      <c r="L1367" s="66" t="str">
        <f>IF(M1367&lt;&gt;"OK","",N(F1367)/60*I1367)</f>
        <v/>
      </c>
      <c r="M1367" s="69" t="str">
        <f>IF(AND(A1367="",D1367=""),"",IF(A1367="","Produit manquant",IF(COUNTIF(prod_ref,A1367)=0,"Produit inconnu",IF(D1367="","Poste manquant",IF(ISNA(MATCH(D1367,po_code,0)),"Poste inconnu",IF(INDEX(po_check,MATCH(D1367,po_code,0))&lt;&gt;"OK","Poste à corriger",IF(AND(E1367&lt;&gt;"",OR(NOT(ISNUMBER(E1367)),N(E1367)&lt;0)),"Réglage invalide",IF(AND(F1367&lt;&gt;"",OR(NOT(ISNUMBER(F1367)),N(F1367)&lt;0)),"Temps par pièce invalide",IF(N(E1367)+N(F1367)=0,"Temps manquant",IF(AND(G1367&lt;&gt;"",OR(NOT(ISNUMBER(G1367)),N(G1367)&lt;=0)),"Opérateurs invalide","OK"))))))))))</f>
        <v/>
      </c>
      <c r="N1367" s="71" t="str">
        <f>IF(AND(fiche_sel&lt;&gt;"",A1367=fiche_sel),COUNTIF(A$6:A1367,fiche_sel),"")</f>
        <v/>
      </c>
    </row>
    <row r="1368">
      <c r="A1368" s="60" t="n"/>
      <c r="B1368" s="73" t="n"/>
      <c r="C1368" s="60" t="n"/>
      <c r="D1368" s="61" t="n"/>
      <c r="E1368" s="74" t="n"/>
      <c r="F1368" s="74" t="n"/>
      <c r="G1368" s="73" t="n"/>
      <c r="H1368" s="66" t="str">
        <f>IF(M1368&lt;&gt;"OK","",INDEX(po_mo,MATCH(D1368,po_code,0)))</f>
        <v/>
      </c>
      <c r="I1368" s="66" t="str">
        <f>IF(M1368&lt;&gt;"OK","",INDEX(po_mac,MATCH(D1368,po_code,0)))</f>
        <v/>
      </c>
      <c r="J1368" s="66" t="str">
        <f>IF(M1368&lt;&gt;"OK","",N(E1368)*(H1368*IF(G1368="",1,G1368)+I1368))</f>
        <v/>
      </c>
      <c r="K1368" s="66" t="str">
        <f>IF(M1368&lt;&gt;"OK","",N(F1368)/60*H1368*IF(G1368="",1,G1368))</f>
        <v/>
      </c>
      <c r="L1368" s="66" t="str">
        <f>IF(M1368&lt;&gt;"OK","",N(F1368)/60*I1368)</f>
        <v/>
      </c>
      <c r="M1368" s="69" t="str">
        <f>IF(AND(A1368="",D1368=""),"",IF(A1368="","Produit manquant",IF(COUNTIF(prod_ref,A1368)=0,"Produit inconnu",IF(D1368="","Poste manquant",IF(ISNA(MATCH(D1368,po_code,0)),"Poste inconnu",IF(INDEX(po_check,MATCH(D1368,po_code,0))&lt;&gt;"OK","Poste à corriger",IF(AND(E1368&lt;&gt;"",OR(NOT(ISNUMBER(E1368)),N(E1368)&lt;0)),"Réglage invalide",IF(AND(F1368&lt;&gt;"",OR(NOT(ISNUMBER(F1368)),N(F1368)&lt;0)),"Temps par pièce invalide",IF(N(E1368)+N(F1368)=0,"Temps manquant",IF(AND(G1368&lt;&gt;"",OR(NOT(ISNUMBER(G1368)),N(G1368)&lt;=0)),"Opérateurs invalide","OK"))))))))))</f>
        <v/>
      </c>
      <c r="N1368" s="71" t="str">
        <f>IF(AND(fiche_sel&lt;&gt;"",A1368=fiche_sel),COUNTIF(A$6:A1368,fiche_sel),"")</f>
        <v/>
      </c>
    </row>
    <row r="1369">
      <c r="A1369" s="60" t="n"/>
      <c r="B1369" s="73" t="n"/>
      <c r="C1369" s="60" t="n"/>
      <c r="D1369" s="61" t="n"/>
      <c r="E1369" s="74" t="n"/>
      <c r="F1369" s="74" t="n"/>
      <c r="G1369" s="73" t="n"/>
      <c r="H1369" s="66" t="str">
        <f>IF(M1369&lt;&gt;"OK","",INDEX(po_mo,MATCH(D1369,po_code,0)))</f>
        <v/>
      </c>
      <c r="I1369" s="66" t="str">
        <f>IF(M1369&lt;&gt;"OK","",INDEX(po_mac,MATCH(D1369,po_code,0)))</f>
        <v/>
      </c>
      <c r="J1369" s="66" t="str">
        <f>IF(M1369&lt;&gt;"OK","",N(E1369)*(H1369*IF(G1369="",1,G1369)+I1369))</f>
        <v/>
      </c>
      <c r="K1369" s="66" t="str">
        <f>IF(M1369&lt;&gt;"OK","",N(F1369)/60*H1369*IF(G1369="",1,G1369))</f>
        <v/>
      </c>
      <c r="L1369" s="66" t="str">
        <f>IF(M1369&lt;&gt;"OK","",N(F1369)/60*I1369)</f>
        <v/>
      </c>
      <c r="M1369" s="69" t="str">
        <f>IF(AND(A1369="",D1369=""),"",IF(A1369="","Produit manquant",IF(COUNTIF(prod_ref,A1369)=0,"Produit inconnu",IF(D1369="","Poste manquant",IF(ISNA(MATCH(D1369,po_code,0)),"Poste inconnu",IF(INDEX(po_check,MATCH(D1369,po_code,0))&lt;&gt;"OK","Poste à corriger",IF(AND(E1369&lt;&gt;"",OR(NOT(ISNUMBER(E1369)),N(E1369)&lt;0)),"Réglage invalide",IF(AND(F1369&lt;&gt;"",OR(NOT(ISNUMBER(F1369)),N(F1369)&lt;0)),"Temps par pièce invalide",IF(N(E1369)+N(F1369)=0,"Temps manquant",IF(AND(G1369&lt;&gt;"",OR(NOT(ISNUMBER(G1369)),N(G1369)&lt;=0)),"Opérateurs invalide","OK"))))))))))</f>
        <v/>
      </c>
      <c r="N1369" s="71" t="str">
        <f>IF(AND(fiche_sel&lt;&gt;"",A1369=fiche_sel),COUNTIF(A$6:A1369,fiche_sel),"")</f>
        <v/>
      </c>
    </row>
    <row r="1370">
      <c r="A1370" s="60" t="n"/>
      <c r="B1370" s="73" t="n"/>
      <c r="C1370" s="60" t="n"/>
      <c r="D1370" s="61" t="n"/>
      <c r="E1370" s="74" t="n"/>
      <c r="F1370" s="74" t="n"/>
      <c r="G1370" s="73" t="n"/>
      <c r="H1370" s="66" t="str">
        <f>IF(M1370&lt;&gt;"OK","",INDEX(po_mo,MATCH(D1370,po_code,0)))</f>
        <v/>
      </c>
      <c r="I1370" s="66" t="str">
        <f>IF(M1370&lt;&gt;"OK","",INDEX(po_mac,MATCH(D1370,po_code,0)))</f>
        <v/>
      </c>
      <c r="J1370" s="66" t="str">
        <f>IF(M1370&lt;&gt;"OK","",N(E1370)*(H1370*IF(G1370="",1,G1370)+I1370))</f>
        <v/>
      </c>
      <c r="K1370" s="66" t="str">
        <f>IF(M1370&lt;&gt;"OK","",N(F1370)/60*H1370*IF(G1370="",1,G1370))</f>
        <v/>
      </c>
      <c r="L1370" s="66" t="str">
        <f>IF(M1370&lt;&gt;"OK","",N(F1370)/60*I1370)</f>
        <v/>
      </c>
      <c r="M1370" s="69" t="str">
        <f>IF(AND(A1370="",D1370=""),"",IF(A1370="","Produit manquant",IF(COUNTIF(prod_ref,A1370)=0,"Produit inconnu",IF(D1370="","Poste manquant",IF(ISNA(MATCH(D1370,po_code,0)),"Poste inconnu",IF(INDEX(po_check,MATCH(D1370,po_code,0))&lt;&gt;"OK","Poste à corriger",IF(AND(E1370&lt;&gt;"",OR(NOT(ISNUMBER(E1370)),N(E1370)&lt;0)),"Réglage invalide",IF(AND(F1370&lt;&gt;"",OR(NOT(ISNUMBER(F1370)),N(F1370)&lt;0)),"Temps par pièce invalide",IF(N(E1370)+N(F1370)=0,"Temps manquant",IF(AND(G1370&lt;&gt;"",OR(NOT(ISNUMBER(G1370)),N(G1370)&lt;=0)),"Opérateurs invalide","OK"))))))))))</f>
        <v/>
      </c>
      <c r="N1370" s="71" t="str">
        <f>IF(AND(fiche_sel&lt;&gt;"",A1370=fiche_sel),COUNTIF(A$6:A1370,fiche_sel),"")</f>
        <v/>
      </c>
    </row>
    <row r="1371">
      <c r="A1371" s="60" t="n"/>
      <c r="B1371" s="73" t="n"/>
      <c r="C1371" s="60" t="n"/>
      <c r="D1371" s="61" t="n"/>
      <c r="E1371" s="74" t="n"/>
      <c r="F1371" s="74" t="n"/>
      <c r="G1371" s="73" t="n"/>
      <c r="H1371" s="66" t="str">
        <f>IF(M1371&lt;&gt;"OK","",INDEX(po_mo,MATCH(D1371,po_code,0)))</f>
        <v/>
      </c>
      <c r="I1371" s="66" t="str">
        <f>IF(M1371&lt;&gt;"OK","",INDEX(po_mac,MATCH(D1371,po_code,0)))</f>
        <v/>
      </c>
      <c r="J1371" s="66" t="str">
        <f>IF(M1371&lt;&gt;"OK","",N(E1371)*(H1371*IF(G1371="",1,G1371)+I1371))</f>
        <v/>
      </c>
      <c r="K1371" s="66" t="str">
        <f>IF(M1371&lt;&gt;"OK","",N(F1371)/60*H1371*IF(G1371="",1,G1371))</f>
        <v/>
      </c>
      <c r="L1371" s="66" t="str">
        <f>IF(M1371&lt;&gt;"OK","",N(F1371)/60*I1371)</f>
        <v/>
      </c>
      <c r="M1371" s="69" t="str">
        <f>IF(AND(A1371="",D1371=""),"",IF(A1371="","Produit manquant",IF(COUNTIF(prod_ref,A1371)=0,"Produit inconnu",IF(D1371="","Poste manquant",IF(ISNA(MATCH(D1371,po_code,0)),"Poste inconnu",IF(INDEX(po_check,MATCH(D1371,po_code,0))&lt;&gt;"OK","Poste à corriger",IF(AND(E1371&lt;&gt;"",OR(NOT(ISNUMBER(E1371)),N(E1371)&lt;0)),"Réglage invalide",IF(AND(F1371&lt;&gt;"",OR(NOT(ISNUMBER(F1371)),N(F1371)&lt;0)),"Temps par pièce invalide",IF(N(E1371)+N(F1371)=0,"Temps manquant",IF(AND(G1371&lt;&gt;"",OR(NOT(ISNUMBER(G1371)),N(G1371)&lt;=0)),"Opérateurs invalide","OK"))))))))))</f>
        <v/>
      </c>
      <c r="N1371" s="71" t="str">
        <f>IF(AND(fiche_sel&lt;&gt;"",A1371=fiche_sel),COUNTIF(A$6:A1371,fiche_sel),"")</f>
        <v/>
      </c>
    </row>
    <row r="1372">
      <c r="A1372" s="60" t="n"/>
      <c r="B1372" s="73" t="n"/>
      <c r="C1372" s="60" t="n"/>
      <c r="D1372" s="61" t="n"/>
      <c r="E1372" s="74" t="n"/>
      <c r="F1372" s="74" t="n"/>
      <c r="G1372" s="73" t="n"/>
      <c r="H1372" s="66" t="str">
        <f>IF(M1372&lt;&gt;"OK","",INDEX(po_mo,MATCH(D1372,po_code,0)))</f>
        <v/>
      </c>
      <c r="I1372" s="66" t="str">
        <f>IF(M1372&lt;&gt;"OK","",INDEX(po_mac,MATCH(D1372,po_code,0)))</f>
        <v/>
      </c>
      <c r="J1372" s="66" t="str">
        <f>IF(M1372&lt;&gt;"OK","",N(E1372)*(H1372*IF(G1372="",1,G1372)+I1372))</f>
        <v/>
      </c>
      <c r="K1372" s="66" t="str">
        <f>IF(M1372&lt;&gt;"OK","",N(F1372)/60*H1372*IF(G1372="",1,G1372))</f>
        <v/>
      </c>
      <c r="L1372" s="66" t="str">
        <f>IF(M1372&lt;&gt;"OK","",N(F1372)/60*I1372)</f>
        <v/>
      </c>
      <c r="M1372" s="69" t="str">
        <f>IF(AND(A1372="",D1372=""),"",IF(A1372="","Produit manquant",IF(COUNTIF(prod_ref,A1372)=0,"Produit inconnu",IF(D1372="","Poste manquant",IF(ISNA(MATCH(D1372,po_code,0)),"Poste inconnu",IF(INDEX(po_check,MATCH(D1372,po_code,0))&lt;&gt;"OK","Poste à corriger",IF(AND(E1372&lt;&gt;"",OR(NOT(ISNUMBER(E1372)),N(E1372)&lt;0)),"Réglage invalide",IF(AND(F1372&lt;&gt;"",OR(NOT(ISNUMBER(F1372)),N(F1372)&lt;0)),"Temps par pièce invalide",IF(N(E1372)+N(F1372)=0,"Temps manquant",IF(AND(G1372&lt;&gt;"",OR(NOT(ISNUMBER(G1372)),N(G1372)&lt;=0)),"Opérateurs invalide","OK"))))))))))</f>
        <v/>
      </c>
      <c r="N1372" s="71" t="str">
        <f>IF(AND(fiche_sel&lt;&gt;"",A1372=fiche_sel),COUNTIF(A$6:A1372,fiche_sel),"")</f>
        <v/>
      </c>
    </row>
    <row r="1373">
      <c r="A1373" s="60" t="n"/>
      <c r="B1373" s="73" t="n"/>
      <c r="C1373" s="60" t="n"/>
      <c r="D1373" s="61" t="n"/>
      <c r="E1373" s="74" t="n"/>
      <c r="F1373" s="74" t="n"/>
      <c r="G1373" s="73" t="n"/>
      <c r="H1373" s="66" t="str">
        <f>IF(M1373&lt;&gt;"OK","",INDEX(po_mo,MATCH(D1373,po_code,0)))</f>
        <v/>
      </c>
      <c r="I1373" s="66" t="str">
        <f>IF(M1373&lt;&gt;"OK","",INDEX(po_mac,MATCH(D1373,po_code,0)))</f>
        <v/>
      </c>
      <c r="J1373" s="66" t="str">
        <f>IF(M1373&lt;&gt;"OK","",N(E1373)*(H1373*IF(G1373="",1,G1373)+I1373))</f>
        <v/>
      </c>
      <c r="K1373" s="66" t="str">
        <f>IF(M1373&lt;&gt;"OK","",N(F1373)/60*H1373*IF(G1373="",1,G1373))</f>
        <v/>
      </c>
      <c r="L1373" s="66" t="str">
        <f>IF(M1373&lt;&gt;"OK","",N(F1373)/60*I1373)</f>
        <v/>
      </c>
      <c r="M1373" s="69" t="str">
        <f>IF(AND(A1373="",D1373=""),"",IF(A1373="","Produit manquant",IF(COUNTIF(prod_ref,A1373)=0,"Produit inconnu",IF(D1373="","Poste manquant",IF(ISNA(MATCH(D1373,po_code,0)),"Poste inconnu",IF(INDEX(po_check,MATCH(D1373,po_code,0))&lt;&gt;"OK","Poste à corriger",IF(AND(E1373&lt;&gt;"",OR(NOT(ISNUMBER(E1373)),N(E1373)&lt;0)),"Réglage invalide",IF(AND(F1373&lt;&gt;"",OR(NOT(ISNUMBER(F1373)),N(F1373)&lt;0)),"Temps par pièce invalide",IF(N(E1373)+N(F1373)=0,"Temps manquant",IF(AND(G1373&lt;&gt;"",OR(NOT(ISNUMBER(G1373)),N(G1373)&lt;=0)),"Opérateurs invalide","OK"))))))))))</f>
        <v/>
      </c>
      <c r="N1373" s="71" t="str">
        <f>IF(AND(fiche_sel&lt;&gt;"",A1373=fiche_sel),COUNTIF(A$6:A1373,fiche_sel),"")</f>
        <v/>
      </c>
    </row>
    <row r="1374">
      <c r="A1374" s="60" t="n"/>
      <c r="B1374" s="73" t="n"/>
      <c r="C1374" s="60" t="n"/>
      <c r="D1374" s="61" t="n"/>
      <c r="E1374" s="74" t="n"/>
      <c r="F1374" s="74" t="n"/>
      <c r="G1374" s="73" t="n"/>
      <c r="H1374" s="66" t="str">
        <f>IF(M1374&lt;&gt;"OK","",INDEX(po_mo,MATCH(D1374,po_code,0)))</f>
        <v/>
      </c>
      <c r="I1374" s="66" t="str">
        <f>IF(M1374&lt;&gt;"OK","",INDEX(po_mac,MATCH(D1374,po_code,0)))</f>
        <v/>
      </c>
      <c r="J1374" s="66" t="str">
        <f>IF(M1374&lt;&gt;"OK","",N(E1374)*(H1374*IF(G1374="",1,G1374)+I1374))</f>
        <v/>
      </c>
      <c r="K1374" s="66" t="str">
        <f>IF(M1374&lt;&gt;"OK","",N(F1374)/60*H1374*IF(G1374="",1,G1374))</f>
        <v/>
      </c>
      <c r="L1374" s="66" t="str">
        <f>IF(M1374&lt;&gt;"OK","",N(F1374)/60*I1374)</f>
        <v/>
      </c>
      <c r="M1374" s="69" t="str">
        <f>IF(AND(A1374="",D1374=""),"",IF(A1374="","Produit manquant",IF(COUNTIF(prod_ref,A1374)=0,"Produit inconnu",IF(D1374="","Poste manquant",IF(ISNA(MATCH(D1374,po_code,0)),"Poste inconnu",IF(INDEX(po_check,MATCH(D1374,po_code,0))&lt;&gt;"OK","Poste à corriger",IF(AND(E1374&lt;&gt;"",OR(NOT(ISNUMBER(E1374)),N(E1374)&lt;0)),"Réglage invalide",IF(AND(F1374&lt;&gt;"",OR(NOT(ISNUMBER(F1374)),N(F1374)&lt;0)),"Temps par pièce invalide",IF(N(E1374)+N(F1374)=0,"Temps manquant",IF(AND(G1374&lt;&gt;"",OR(NOT(ISNUMBER(G1374)),N(G1374)&lt;=0)),"Opérateurs invalide","OK"))))))))))</f>
        <v/>
      </c>
      <c r="N1374" s="71" t="str">
        <f>IF(AND(fiche_sel&lt;&gt;"",A1374=fiche_sel),COUNTIF(A$6:A1374,fiche_sel),"")</f>
        <v/>
      </c>
    </row>
    <row r="1375">
      <c r="A1375" s="60" t="n"/>
      <c r="B1375" s="73" t="n"/>
      <c r="C1375" s="60" t="n"/>
      <c r="D1375" s="61" t="n"/>
      <c r="E1375" s="74" t="n"/>
      <c r="F1375" s="74" t="n"/>
      <c r="G1375" s="73" t="n"/>
      <c r="H1375" s="66" t="str">
        <f>IF(M1375&lt;&gt;"OK","",INDEX(po_mo,MATCH(D1375,po_code,0)))</f>
        <v/>
      </c>
      <c r="I1375" s="66" t="str">
        <f>IF(M1375&lt;&gt;"OK","",INDEX(po_mac,MATCH(D1375,po_code,0)))</f>
        <v/>
      </c>
      <c r="J1375" s="66" t="str">
        <f>IF(M1375&lt;&gt;"OK","",N(E1375)*(H1375*IF(G1375="",1,G1375)+I1375))</f>
        <v/>
      </c>
      <c r="K1375" s="66" t="str">
        <f>IF(M1375&lt;&gt;"OK","",N(F1375)/60*H1375*IF(G1375="",1,G1375))</f>
        <v/>
      </c>
      <c r="L1375" s="66" t="str">
        <f>IF(M1375&lt;&gt;"OK","",N(F1375)/60*I1375)</f>
        <v/>
      </c>
      <c r="M1375" s="69" t="str">
        <f>IF(AND(A1375="",D1375=""),"",IF(A1375="","Produit manquant",IF(COUNTIF(prod_ref,A1375)=0,"Produit inconnu",IF(D1375="","Poste manquant",IF(ISNA(MATCH(D1375,po_code,0)),"Poste inconnu",IF(INDEX(po_check,MATCH(D1375,po_code,0))&lt;&gt;"OK","Poste à corriger",IF(AND(E1375&lt;&gt;"",OR(NOT(ISNUMBER(E1375)),N(E1375)&lt;0)),"Réglage invalide",IF(AND(F1375&lt;&gt;"",OR(NOT(ISNUMBER(F1375)),N(F1375)&lt;0)),"Temps par pièce invalide",IF(N(E1375)+N(F1375)=0,"Temps manquant",IF(AND(G1375&lt;&gt;"",OR(NOT(ISNUMBER(G1375)),N(G1375)&lt;=0)),"Opérateurs invalide","OK"))))))))))</f>
        <v/>
      </c>
      <c r="N1375" s="71" t="str">
        <f>IF(AND(fiche_sel&lt;&gt;"",A1375=fiche_sel),COUNTIF(A$6:A1375,fiche_sel),"")</f>
        <v/>
      </c>
    </row>
    <row r="1376">
      <c r="A1376" s="60" t="n"/>
      <c r="B1376" s="73" t="n"/>
      <c r="C1376" s="60" t="n"/>
      <c r="D1376" s="61" t="n"/>
      <c r="E1376" s="74" t="n"/>
      <c r="F1376" s="74" t="n"/>
      <c r="G1376" s="73" t="n"/>
      <c r="H1376" s="66" t="str">
        <f>IF(M1376&lt;&gt;"OK","",INDEX(po_mo,MATCH(D1376,po_code,0)))</f>
        <v/>
      </c>
      <c r="I1376" s="66" t="str">
        <f>IF(M1376&lt;&gt;"OK","",INDEX(po_mac,MATCH(D1376,po_code,0)))</f>
        <v/>
      </c>
      <c r="J1376" s="66" t="str">
        <f>IF(M1376&lt;&gt;"OK","",N(E1376)*(H1376*IF(G1376="",1,G1376)+I1376))</f>
        <v/>
      </c>
      <c r="K1376" s="66" t="str">
        <f>IF(M1376&lt;&gt;"OK","",N(F1376)/60*H1376*IF(G1376="",1,G1376))</f>
        <v/>
      </c>
      <c r="L1376" s="66" t="str">
        <f>IF(M1376&lt;&gt;"OK","",N(F1376)/60*I1376)</f>
        <v/>
      </c>
      <c r="M1376" s="69" t="str">
        <f>IF(AND(A1376="",D1376=""),"",IF(A1376="","Produit manquant",IF(COUNTIF(prod_ref,A1376)=0,"Produit inconnu",IF(D1376="","Poste manquant",IF(ISNA(MATCH(D1376,po_code,0)),"Poste inconnu",IF(INDEX(po_check,MATCH(D1376,po_code,0))&lt;&gt;"OK","Poste à corriger",IF(AND(E1376&lt;&gt;"",OR(NOT(ISNUMBER(E1376)),N(E1376)&lt;0)),"Réglage invalide",IF(AND(F1376&lt;&gt;"",OR(NOT(ISNUMBER(F1376)),N(F1376)&lt;0)),"Temps par pièce invalide",IF(N(E1376)+N(F1376)=0,"Temps manquant",IF(AND(G1376&lt;&gt;"",OR(NOT(ISNUMBER(G1376)),N(G1376)&lt;=0)),"Opérateurs invalide","OK"))))))))))</f>
        <v/>
      </c>
      <c r="N1376" s="71" t="str">
        <f>IF(AND(fiche_sel&lt;&gt;"",A1376=fiche_sel),COUNTIF(A$6:A1376,fiche_sel),"")</f>
        <v/>
      </c>
    </row>
    <row r="1377">
      <c r="A1377" s="60" t="n"/>
      <c r="B1377" s="73" t="n"/>
      <c r="C1377" s="60" t="n"/>
      <c r="D1377" s="61" t="n"/>
      <c r="E1377" s="74" t="n"/>
      <c r="F1377" s="74" t="n"/>
      <c r="G1377" s="73" t="n"/>
      <c r="H1377" s="66" t="str">
        <f>IF(M1377&lt;&gt;"OK","",INDEX(po_mo,MATCH(D1377,po_code,0)))</f>
        <v/>
      </c>
      <c r="I1377" s="66" t="str">
        <f>IF(M1377&lt;&gt;"OK","",INDEX(po_mac,MATCH(D1377,po_code,0)))</f>
        <v/>
      </c>
      <c r="J1377" s="66" t="str">
        <f>IF(M1377&lt;&gt;"OK","",N(E1377)*(H1377*IF(G1377="",1,G1377)+I1377))</f>
        <v/>
      </c>
      <c r="K1377" s="66" t="str">
        <f>IF(M1377&lt;&gt;"OK","",N(F1377)/60*H1377*IF(G1377="",1,G1377))</f>
        <v/>
      </c>
      <c r="L1377" s="66" t="str">
        <f>IF(M1377&lt;&gt;"OK","",N(F1377)/60*I1377)</f>
        <v/>
      </c>
      <c r="M1377" s="69" t="str">
        <f>IF(AND(A1377="",D1377=""),"",IF(A1377="","Produit manquant",IF(COUNTIF(prod_ref,A1377)=0,"Produit inconnu",IF(D1377="","Poste manquant",IF(ISNA(MATCH(D1377,po_code,0)),"Poste inconnu",IF(INDEX(po_check,MATCH(D1377,po_code,0))&lt;&gt;"OK","Poste à corriger",IF(AND(E1377&lt;&gt;"",OR(NOT(ISNUMBER(E1377)),N(E1377)&lt;0)),"Réglage invalide",IF(AND(F1377&lt;&gt;"",OR(NOT(ISNUMBER(F1377)),N(F1377)&lt;0)),"Temps par pièce invalide",IF(N(E1377)+N(F1377)=0,"Temps manquant",IF(AND(G1377&lt;&gt;"",OR(NOT(ISNUMBER(G1377)),N(G1377)&lt;=0)),"Opérateurs invalide","OK"))))))))))</f>
        <v/>
      </c>
      <c r="N1377" s="71" t="str">
        <f>IF(AND(fiche_sel&lt;&gt;"",A1377=fiche_sel),COUNTIF(A$6:A1377,fiche_sel),"")</f>
        <v/>
      </c>
    </row>
    <row r="1378">
      <c r="A1378" s="60" t="n"/>
      <c r="B1378" s="73" t="n"/>
      <c r="C1378" s="60" t="n"/>
      <c r="D1378" s="61" t="n"/>
      <c r="E1378" s="74" t="n"/>
      <c r="F1378" s="74" t="n"/>
      <c r="G1378" s="73" t="n"/>
      <c r="H1378" s="66" t="str">
        <f>IF(M1378&lt;&gt;"OK","",INDEX(po_mo,MATCH(D1378,po_code,0)))</f>
        <v/>
      </c>
      <c r="I1378" s="66" t="str">
        <f>IF(M1378&lt;&gt;"OK","",INDEX(po_mac,MATCH(D1378,po_code,0)))</f>
        <v/>
      </c>
      <c r="J1378" s="66" t="str">
        <f>IF(M1378&lt;&gt;"OK","",N(E1378)*(H1378*IF(G1378="",1,G1378)+I1378))</f>
        <v/>
      </c>
      <c r="K1378" s="66" t="str">
        <f>IF(M1378&lt;&gt;"OK","",N(F1378)/60*H1378*IF(G1378="",1,G1378))</f>
        <v/>
      </c>
      <c r="L1378" s="66" t="str">
        <f>IF(M1378&lt;&gt;"OK","",N(F1378)/60*I1378)</f>
        <v/>
      </c>
      <c r="M1378" s="69" t="str">
        <f>IF(AND(A1378="",D1378=""),"",IF(A1378="","Produit manquant",IF(COUNTIF(prod_ref,A1378)=0,"Produit inconnu",IF(D1378="","Poste manquant",IF(ISNA(MATCH(D1378,po_code,0)),"Poste inconnu",IF(INDEX(po_check,MATCH(D1378,po_code,0))&lt;&gt;"OK","Poste à corriger",IF(AND(E1378&lt;&gt;"",OR(NOT(ISNUMBER(E1378)),N(E1378)&lt;0)),"Réglage invalide",IF(AND(F1378&lt;&gt;"",OR(NOT(ISNUMBER(F1378)),N(F1378)&lt;0)),"Temps par pièce invalide",IF(N(E1378)+N(F1378)=0,"Temps manquant",IF(AND(G1378&lt;&gt;"",OR(NOT(ISNUMBER(G1378)),N(G1378)&lt;=0)),"Opérateurs invalide","OK"))))))))))</f>
        <v/>
      </c>
      <c r="N1378" s="71" t="str">
        <f>IF(AND(fiche_sel&lt;&gt;"",A1378=fiche_sel),COUNTIF(A$6:A1378,fiche_sel),"")</f>
        <v/>
      </c>
    </row>
    <row r="1379">
      <c r="A1379" s="60" t="n"/>
      <c r="B1379" s="73" t="n"/>
      <c r="C1379" s="60" t="n"/>
      <c r="D1379" s="61" t="n"/>
      <c r="E1379" s="74" t="n"/>
      <c r="F1379" s="74" t="n"/>
      <c r="G1379" s="73" t="n"/>
      <c r="H1379" s="66" t="str">
        <f>IF(M1379&lt;&gt;"OK","",INDEX(po_mo,MATCH(D1379,po_code,0)))</f>
        <v/>
      </c>
      <c r="I1379" s="66" t="str">
        <f>IF(M1379&lt;&gt;"OK","",INDEX(po_mac,MATCH(D1379,po_code,0)))</f>
        <v/>
      </c>
      <c r="J1379" s="66" t="str">
        <f>IF(M1379&lt;&gt;"OK","",N(E1379)*(H1379*IF(G1379="",1,G1379)+I1379))</f>
        <v/>
      </c>
      <c r="K1379" s="66" t="str">
        <f>IF(M1379&lt;&gt;"OK","",N(F1379)/60*H1379*IF(G1379="",1,G1379))</f>
        <v/>
      </c>
      <c r="L1379" s="66" t="str">
        <f>IF(M1379&lt;&gt;"OK","",N(F1379)/60*I1379)</f>
        <v/>
      </c>
      <c r="M1379" s="69" t="str">
        <f>IF(AND(A1379="",D1379=""),"",IF(A1379="","Produit manquant",IF(COUNTIF(prod_ref,A1379)=0,"Produit inconnu",IF(D1379="","Poste manquant",IF(ISNA(MATCH(D1379,po_code,0)),"Poste inconnu",IF(INDEX(po_check,MATCH(D1379,po_code,0))&lt;&gt;"OK","Poste à corriger",IF(AND(E1379&lt;&gt;"",OR(NOT(ISNUMBER(E1379)),N(E1379)&lt;0)),"Réglage invalide",IF(AND(F1379&lt;&gt;"",OR(NOT(ISNUMBER(F1379)),N(F1379)&lt;0)),"Temps par pièce invalide",IF(N(E1379)+N(F1379)=0,"Temps manquant",IF(AND(G1379&lt;&gt;"",OR(NOT(ISNUMBER(G1379)),N(G1379)&lt;=0)),"Opérateurs invalide","OK"))))))))))</f>
        <v/>
      </c>
      <c r="N1379" s="71" t="str">
        <f>IF(AND(fiche_sel&lt;&gt;"",A1379=fiche_sel),COUNTIF(A$6:A1379,fiche_sel),"")</f>
        <v/>
      </c>
    </row>
    <row r="1380">
      <c r="A1380" s="60" t="n"/>
      <c r="B1380" s="73" t="n"/>
      <c r="C1380" s="60" t="n"/>
      <c r="D1380" s="61" t="n"/>
      <c r="E1380" s="74" t="n"/>
      <c r="F1380" s="74" t="n"/>
      <c r="G1380" s="73" t="n"/>
      <c r="H1380" s="66" t="str">
        <f>IF(M1380&lt;&gt;"OK","",INDEX(po_mo,MATCH(D1380,po_code,0)))</f>
        <v/>
      </c>
      <c r="I1380" s="66" t="str">
        <f>IF(M1380&lt;&gt;"OK","",INDEX(po_mac,MATCH(D1380,po_code,0)))</f>
        <v/>
      </c>
      <c r="J1380" s="66" t="str">
        <f>IF(M1380&lt;&gt;"OK","",N(E1380)*(H1380*IF(G1380="",1,G1380)+I1380))</f>
        <v/>
      </c>
      <c r="K1380" s="66" t="str">
        <f>IF(M1380&lt;&gt;"OK","",N(F1380)/60*H1380*IF(G1380="",1,G1380))</f>
        <v/>
      </c>
      <c r="L1380" s="66" t="str">
        <f>IF(M1380&lt;&gt;"OK","",N(F1380)/60*I1380)</f>
        <v/>
      </c>
      <c r="M1380" s="69" t="str">
        <f>IF(AND(A1380="",D1380=""),"",IF(A1380="","Produit manquant",IF(COUNTIF(prod_ref,A1380)=0,"Produit inconnu",IF(D1380="","Poste manquant",IF(ISNA(MATCH(D1380,po_code,0)),"Poste inconnu",IF(INDEX(po_check,MATCH(D1380,po_code,0))&lt;&gt;"OK","Poste à corriger",IF(AND(E1380&lt;&gt;"",OR(NOT(ISNUMBER(E1380)),N(E1380)&lt;0)),"Réglage invalide",IF(AND(F1380&lt;&gt;"",OR(NOT(ISNUMBER(F1380)),N(F1380)&lt;0)),"Temps par pièce invalide",IF(N(E1380)+N(F1380)=0,"Temps manquant",IF(AND(G1380&lt;&gt;"",OR(NOT(ISNUMBER(G1380)),N(G1380)&lt;=0)),"Opérateurs invalide","OK"))))))))))</f>
        <v/>
      </c>
      <c r="N1380" s="71" t="str">
        <f>IF(AND(fiche_sel&lt;&gt;"",A1380=fiche_sel),COUNTIF(A$6:A1380,fiche_sel),"")</f>
        <v/>
      </c>
    </row>
    <row r="1381">
      <c r="A1381" s="60" t="n"/>
      <c r="B1381" s="73" t="n"/>
      <c r="C1381" s="60" t="n"/>
      <c r="D1381" s="61" t="n"/>
      <c r="E1381" s="74" t="n"/>
      <c r="F1381" s="74" t="n"/>
      <c r="G1381" s="73" t="n"/>
      <c r="H1381" s="66" t="str">
        <f>IF(M1381&lt;&gt;"OK","",INDEX(po_mo,MATCH(D1381,po_code,0)))</f>
        <v/>
      </c>
      <c r="I1381" s="66" t="str">
        <f>IF(M1381&lt;&gt;"OK","",INDEX(po_mac,MATCH(D1381,po_code,0)))</f>
        <v/>
      </c>
      <c r="J1381" s="66" t="str">
        <f>IF(M1381&lt;&gt;"OK","",N(E1381)*(H1381*IF(G1381="",1,G1381)+I1381))</f>
        <v/>
      </c>
      <c r="K1381" s="66" t="str">
        <f>IF(M1381&lt;&gt;"OK","",N(F1381)/60*H1381*IF(G1381="",1,G1381))</f>
        <v/>
      </c>
      <c r="L1381" s="66" t="str">
        <f>IF(M1381&lt;&gt;"OK","",N(F1381)/60*I1381)</f>
        <v/>
      </c>
      <c r="M1381" s="69" t="str">
        <f>IF(AND(A1381="",D1381=""),"",IF(A1381="","Produit manquant",IF(COUNTIF(prod_ref,A1381)=0,"Produit inconnu",IF(D1381="","Poste manquant",IF(ISNA(MATCH(D1381,po_code,0)),"Poste inconnu",IF(INDEX(po_check,MATCH(D1381,po_code,0))&lt;&gt;"OK","Poste à corriger",IF(AND(E1381&lt;&gt;"",OR(NOT(ISNUMBER(E1381)),N(E1381)&lt;0)),"Réglage invalide",IF(AND(F1381&lt;&gt;"",OR(NOT(ISNUMBER(F1381)),N(F1381)&lt;0)),"Temps par pièce invalide",IF(N(E1381)+N(F1381)=0,"Temps manquant",IF(AND(G1381&lt;&gt;"",OR(NOT(ISNUMBER(G1381)),N(G1381)&lt;=0)),"Opérateurs invalide","OK"))))))))))</f>
        <v/>
      </c>
      <c r="N1381" s="71" t="str">
        <f>IF(AND(fiche_sel&lt;&gt;"",A1381=fiche_sel),COUNTIF(A$6:A1381,fiche_sel),"")</f>
        <v/>
      </c>
    </row>
    <row r="1382">
      <c r="A1382" s="60" t="n"/>
      <c r="B1382" s="73" t="n"/>
      <c r="C1382" s="60" t="n"/>
      <c r="D1382" s="61" t="n"/>
      <c r="E1382" s="74" t="n"/>
      <c r="F1382" s="74" t="n"/>
      <c r="G1382" s="73" t="n"/>
      <c r="H1382" s="66" t="str">
        <f>IF(M1382&lt;&gt;"OK","",INDEX(po_mo,MATCH(D1382,po_code,0)))</f>
        <v/>
      </c>
      <c r="I1382" s="66" t="str">
        <f>IF(M1382&lt;&gt;"OK","",INDEX(po_mac,MATCH(D1382,po_code,0)))</f>
        <v/>
      </c>
      <c r="J1382" s="66" t="str">
        <f>IF(M1382&lt;&gt;"OK","",N(E1382)*(H1382*IF(G1382="",1,G1382)+I1382))</f>
        <v/>
      </c>
      <c r="K1382" s="66" t="str">
        <f>IF(M1382&lt;&gt;"OK","",N(F1382)/60*H1382*IF(G1382="",1,G1382))</f>
        <v/>
      </c>
      <c r="L1382" s="66" t="str">
        <f>IF(M1382&lt;&gt;"OK","",N(F1382)/60*I1382)</f>
        <v/>
      </c>
      <c r="M1382" s="69" t="str">
        <f>IF(AND(A1382="",D1382=""),"",IF(A1382="","Produit manquant",IF(COUNTIF(prod_ref,A1382)=0,"Produit inconnu",IF(D1382="","Poste manquant",IF(ISNA(MATCH(D1382,po_code,0)),"Poste inconnu",IF(INDEX(po_check,MATCH(D1382,po_code,0))&lt;&gt;"OK","Poste à corriger",IF(AND(E1382&lt;&gt;"",OR(NOT(ISNUMBER(E1382)),N(E1382)&lt;0)),"Réglage invalide",IF(AND(F1382&lt;&gt;"",OR(NOT(ISNUMBER(F1382)),N(F1382)&lt;0)),"Temps par pièce invalide",IF(N(E1382)+N(F1382)=0,"Temps manquant",IF(AND(G1382&lt;&gt;"",OR(NOT(ISNUMBER(G1382)),N(G1382)&lt;=0)),"Opérateurs invalide","OK"))))))))))</f>
        <v/>
      </c>
      <c r="N1382" s="71" t="str">
        <f>IF(AND(fiche_sel&lt;&gt;"",A1382=fiche_sel),COUNTIF(A$6:A1382,fiche_sel),"")</f>
        <v/>
      </c>
    </row>
    <row r="1383">
      <c r="A1383" s="60" t="n"/>
      <c r="B1383" s="73" t="n"/>
      <c r="C1383" s="60" t="n"/>
      <c r="D1383" s="61" t="n"/>
      <c r="E1383" s="74" t="n"/>
      <c r="F1383" s="74" t="n"/>
      <c r="G1383" s="73" t="n"/>
      <c r="H1383" s="66" t="str">
        <f>IF(M1383&lt;&gt;"OK","",INDEX(po_mo,MATCH(D1383,po_code,0)))</f>
        <v/>
      </c>
      <c r="I1383" s="66" t="str">
        <f>IF(M1383&lt;&gt;"OK","",INDEX(po_mac,MATCH(D1383,po_code,0)))</f>
        <v/>
      </c>
      <c r="J1383" s="66" t="str">
        <f>IF(M1383&lt;&gt;"OK","",N(E1383)*(H1383*IF(G1383="",1,G1383)+I1383))</f>
        <v/>
      </c>
      <c r="K1383" s="66" t="str">
        <f>IF(M1383&lt;&gt;"OK","",N(F1383)/60*H1383*IF(G1383="",1,G1383))</f>
        <v/>
      </c>
      <c r="L1383" s="66" t="str">
        <f>IF(M1383&lt;&gt;"OK","",N(F1383)/60*I1383)</f>
        <v/>
      </c>
      <c r="M1383" s="69" t="str">
        <f>IF(AND(A1383="",D1383=""),"",IF(A1383="","Produit manquant",IF(COUNTIF(prod_ref,A1383)=0,"Produit inconnu",IF(D1383="","Poste manquant",IF(ISNA(MATCH(D1383,po_code,0)),"Poste inconnu",IF(INDEX(po_check,MATCH(D1383,po_code,0))&lt;&gt;"OK","Poste à corriger",IF(AND(E1383&lt;&gt;"",OR(NOT(ISNUMBER(E1383)),N(E1383)&lt;0)),"Réglage invalide",IF(AND(F1383&lt;&gt;"",OR(NOT(ISNUMBER(F1383)),N(F1383)&lt;0)),"Temps par pièce invalide",IF(N(E1383)+N(F1383)=0,"Temps manquant",IF(AND(G1383&lt;&gt;"",OR(NOT(ISNUMBER(G1383)),N(G1383)&lt;=0)),"Opérateurs invalide","OK"))))))))))</f>
        <v/>
      </c>
      <c r="N1383" s="71" t="str">
        <f>IF(AND(fiche_sel&lt;&gt;"",A1383=fiche_sel),COUNTIF(A$6:A1383,fiche_sel),"")</f>
        <v/>
      </c>
    </row>
    <row r="1384">
      <c r="A1384" s="60" t="n"/>
      <c r="B1384" s="73" t="n"/>
      <c r="C1384" s="60" t="n"/>
      <c r="D1384" s="61" t="n"/>
      <c r="E1384" s="74" t="n"/>
      <c r="F1384" s="74" t="n"/>
      <c r="G1384" s="73" t="n"/>
      <c r="H1384" s="66" t="str">
        <f>IF(M1384&lt;&gt;"OK","",INDEX(po_mo,MATCH(D1384,po_code,0)))</f>
        <v/>
      </c>
      <c r="I1384" s="66" t="str">
        <f>IF(M1384&lt;&gt;"OK","",INDEX(po_mac,MATCH(D1384,po_code,0)))</f>
        <v/>
      </c>
      <c r="J1384" s="66" t="str">
        <f>IF(M1384&lt;&gt;"OK","",N(E1384)*(H1384*IF(G1384="",1,G1384)+I1384))</f>
        <v/>
      </c>
      <c r="K1384" s="66" t="str">
        <f>IF(M1384&lt;&gt;"OK","",N(F1384)/60*H1384*IF(G1384="",1,G1384))</f>
        <v/>
      </c>
      <c r="L1384" s="66" t="str">
        <f>IF(M1384&lt;&gt;"OK","",N(F1384)/60*I1384)</f>
        <v/>
      </c>
      <c r="M1384" s="69" t="str">
        <f>IF(AND(A1384="",D1384=""),"",IF(A1384="","Produit manquant",IF(COUNTIF(prod_ref,A1384)=0,"Produit inconnu",IF(D1384="","Poste manquant",IF(ISNA(MATCH(D1384,po_code,0)),"Poste inconnu",IF(INDEX(po_check,MATCH(D1384,po_code,0))&lt;&gt;"OK","Poste à corriger",IF(AND(E1384&lt;&gt;"",OR(NOT(ISNUMBER(E1384)),N(E1384)&lt;0)),"Réglage invalide",IF(AND(F1384&lt;&gt;"",OR(NOT(ISNUMBER(F1384)),N(F1384)&lt;0)),"Temps par pièce invalide",IF(N(E1384)+N(F1384)=0,"Temps manquant",IF(AND(G1384&lt;&gt;"",OR(NOT(ISNUMBER(G1384)),N(G1384)&lt;=0)),"Opérateurs invalide","OK"))))))))))</f>
        <v/>
      </c>
      <c r="N1384" s="71" t="str">
        <f>IF(AND(fiche_sel&lt;&gt;"",A1384=fiche_sel),COUNTIF(A$6:A1384,fiche_sel),"")</f>
        <v/>
      </c>
    </row>
    <row r="1385">
      <c r="A1385" s="60" t="n"/>
      <c r="B1385" s="73" t="n"/>
      <c r="C1385" s="60" t="n"/>
      <c r="D1385" s="61" t="n"/>
      <c r="E1385" s="74" t="n"/>
      <c r="F1385" s="74" t="n"/>
      <c r="G1385" s="73" t="n"/>
      <c r="H1385" s="66" t="str">
        <f>IF(M1385&lt;&gt;"OK","",INDEX(po_mo,MATCH(D1385,po_code,0)))</f>
        <v/>
      </c>
      <c r="I1385" s="66" t="str">
        <f>IF(M1385&lt;&gt;"OK","",INDEX(po_mac,MATCH(D1385,po_code,0)))</f>
        <v/>
      </c>
      <c r="J1385" s="66" t="str">
        <f>IF(M1385&lt;&gt;"OK","",N(E1385)*(H1385*IF(G1385="",1,G1385)+I1385))</f>
        <v/>
      </c>
      <c r="K1385" s="66" t="str">
        <f>IF(M1385&lt;&gt;"OK","",N(F1385)/60*H1385*IF(G1385="",1,G1385))</f>
        <v/>
      </c>
      <c r="L1385" s="66" t="str">
        <f>IF(M1385&lt;&gt;"OK","",N(F1385)/60*I1385)</f>
        <v/>
      </c>
      <c r="M1385" s="69" t="str">
        <f>IF(AND(A1385="",D1385=""),"",IF(A1385="","Produit manquant",IF(COUNTIF(prod_ref,A1385)=0,"Produit inconnu",IF(D1385="","Poste manquant",IF(ISNA(MATCH(D1385,po_code,0)),"Poste inconnu",IF(INDEX(po_check,MATCH(D1385,po_code,0))&lt;&gt;"OK","Poste à corriger",IF(AND(E1385&lt;&gt;"",OR(NOT(ISNUMBER(E1385)),N(E1385)&lt;0)),"Réglage invalide",IF(AND(F1385&lt;&gt;"",OR(NOT(ISNUMBER(F1385)),N(F1385)&lt;0)),"Temps par pièce invalide",IF(N(E1385)+N(F1385)=0,"Temps manquant",IF(AND(G1385&lt;&gt;"",OR(NOT(ISNUMBER(G1385)),N(G1385)&lt;=0)),"Opérateurs invalide","OK"))))))))))</f>
        <v/>
      </c>
      <c r="N1385" s="71" t="str">
        <f>IF(AND(fiche_sel&lt;&gt;"",A1385=fiche_sel),COUNTIF(A$6:A1385,fiche_sel),"")</f>
        <v/>
      </c>
    </row>
    <row r="1386">
      <c r="A1386" s="60" t="n"/>
      <c r="B1386" s="73" t="n"/>
      <c r="C1386" s="60" t="n"/>
      <c r="D1386" s="61" t="n"/>
      <c r="E1386" s="74" t="n"/>
      <c r="F1386" s="74" t="n"/>
      <c r="G1386" s="73" t="n"/>
      <c r="H1386" s="66" t="str">
        <f>IF(M1386&lt;&gt;"OK","",INDEX(po_mo,MATCH(D1386,po_code,0)))</f>
        <v/>
      </c>
      <c r="I1386" s="66" t="str">
        <f>IF(M1386&lt;&gt;"OK","",INDEX(po_mac,MATCH(D1386,po_code,0)))</f>
        <v/>
      </c>
      <c r="J1386" s="66" t="str">
        <f>IF(M1386&lt;&gt;"OK","",N(E1386)*(H1386*IF(G1386="",1,G1386)+I1386))</f>
        <v/>
      </c>
      <c r="K1386" s="66" t="str">
        <f>IF(M1386&lt;&gt;"OK","",N(F1386)/60*H1386*IF(G1386="",1,G1386))</f>
        <v/>
      </c>
      <c r="L1386" s="66" t="str">
        <f>IF(M1386&lt;&gt;"OK","",N(F1386)/60*I1386)</f>
        <v/>
      </c>
      <c r="M1386" s="69" t="str">
        <f>IF(AND(A1386="",D1386=""),"",IF(A1386="","Produit manquant",IF(COUNTIF(prod_ref,A1386)=0,"Produit inconnu",IF(D1386="","Poste manquant",IF(ISNA(MATCH(D1386,po_code,0)),"Poste inconnu",IF(INDEX(po_check,MATCH(D1386,po_code,0))&lt;&gt;"OK","Poste à corriger",IF(AND(E1386&lt;&gt;"",OR(NOT(ISNUMBER(E1386)),N(E1386)&lt;0)),"Réglage invalide",IF(AND(F1386&lt;&gt;"",OR(NOT(ISNUMBER(F1386)),N(F1386)&lt;0)),"Temps par pièce invalide",IF(N(E1386)+N(F1386)=0,"Temps manquant",IF(AND(G1386&lt;&gt;"",OR(NOT(ISNUMBER(G1386)),N(G1386)&lt;=0)),"Opérateurs invalide","OK"))))))))))</f>
        <v/>
      </c>
      <c r="N1386" s="71" t="str">
        <f>IF(AND(fiche_sel&lt;&gt;"",A1386=fiche_sel),COUNTIF(A$6:A1386,fiche_sel),"")</f>
        <v/>
      </c>
    </row>
    <row r="1387">
      <c r="A1387" s="60" t="n"/>
      <c r="B1387" s="73" t="n"/>
      <c r="C1387" s="60" t="n"/>
      <c r="D1387" s="61" t="n"/>
      <c r="E1387" s="74" t="n"/>
      <c r="F1387" s="74" t="n"/>
      <c r="G1387" s="73" t="n"/>
      <c r="H1387" s="66" t="str">
        <f>IF(M1387&lt;&gt;"OK","",INDEX(po_mo,MATCH(D1387,po_code,0)))</f>
        <v/>
      </c>
      <c r="I1387" s="66" t="str">
        <f>IF(M1387&lt;&gt;"OK","",INDEX(po_mac,MATCH(D1387,po_code,0)))</f>
        <v/>
      </c>
      <c r="J1387" s="66" t="str">
        <f>IF(M1387&lt;&gt;"OK","",N(E1387)*(H1387*IF(G1387="",1,G1387)+I1387))</f>
        <v/>
      </c>
      <c r="K1387" s="66" t="str">
        <f>IF(M1387&lt;&gt;"OK","",N(F1387)/60*H1387*IF(G1387="",1,G1387))</f>
        <v/>
      </c>
      <c r="L1387" s="66" t="str">
        <f>IF(M1387&lt;&gt;"OK","",N(F1387)/60*I1387)</f>
        <v/>
      </c>
      <c r="M1387" s="69" t="str">
        <f>IF(AND(A1387="",D1387=""),"",IF(A1387="","Produit manquant",IF(COUNTIF(prod_ref,A1387)=0,"Produit inconnu",IF(D1387="","Poste manquant",IF(ISNA(MATCH(D1387,po_code,0)),"Poste inconnu",IF(INDEX(po_check,MATCH(D1387,po_code,0))&lt;&gt;"OK","Poste à corriger",IF(AND(E1387&lt;&gt;"",OR(NOT(ISNUMBER(E1387)),N(E1387)&lt;0)),"Réglage invalide",IF(AND(F1387&lt;&gt;"",OR(NOT(ISNUMBER(F1387)),N(F1387)&lt;0)),"Temps par pièce invalide",IF(N(E1387)+N(F1387)=0,"Temps manquant",IF(AND(G1387&lt;&gt;"",OR(NOT(ISNUMBER(G1387)),N(G1387)&lt;=0)),"Opérateurs invalide","OK"))))))))))</f>
        <v/>
      </c>
      <c r="N1387" s="71" t="str">
        <f>IF(AND(fiche_sel&lt;&gt;"",A1387=fiche_sel),COUNTIF(A$6:A1387,fiche_sel),"")</f>
        <v/>
      </c>
    </row>
    <row r="1388">
      <c r="A1388" s="60" t="n"/>
      <c r="B1388" s="73" t="n"/>
      <c r="C1388" s="60" t="n"/>
      <c r="D1388" s="61" t="n"/>
      <c r="E1388" s="74" t="n"/>
      <c r="F1388" s="74" t="n"/>
      <c r="G1388" s="73" t="n"/>
      <c r="H1388" s="66" t="str">
        <f>IF(M1388&lt;&gt;"OK","",INDEX(po_mo,MATCH(D1388,po_code,0)))</f>
        <v/>
      </c>
      <c r="I1388" s="66" t="str">
        <f>IF(M1388&lt;&gt;"OK","",INDEX(po_mac,MATCH(D1388,po_code,0)))</f>
        <v/>
      </c>
      <c r="J1388" s="66" t="str">
        <f>IF(M1388&lt;&gt;"OK","",N(E1388)*(H1388*IF(G1388="",1,G1388)+I1388))</f>
        <v/>
      </c>
      <c r="K1388" s="66" t="str">
        <f>IF(M1388&lt;&gt;"OK","",N(F1388)/60*H1388*IF(G1388="",1,G1388))</f>
        <v/>
      </c>
      <c r="L1388" s="66" t="str">
        <f>IF(M1388&lt;&gt;"OK","",N(F1388)/60*I1388)</f>
        <v/>
      </c>
      <c r="M1388" s="69" t="str">
        <f>IF(AND(A1388="",D1388=""),"",IF(A1388="","Produit manquant",IF(COUNTIF(prod_ref,A1388)=0,"Produit inconnu",IF(D1388="","Poste manquant",IF(ISNA(MATCH(D1388,po_code,0)),"Poste inconnu",IF(INDEX(po_check,MATCH(D1388,po_code,0))&lt;&gt;"OK","Poste à corriger",IF(AND(E1388&lt;&gt;"",OR(NOT(ISNUMBER(E1388)),N(E1388)&lt;0)),"Réglage invalide",IF(AND(F1388&lt;&gt;"",OR(NOT(ISNUMBER(F1388)),N(F1388)&lt;0)),"Temps par pièce invalide",IF(N(E1388)+N(F1388)=0,"Temps manquant",IF(AND(G1388&lt;&gt;"",OR(NOT(ISNUMBER(G1388)),N(G1388)&lt;=0)),"Opérateurs invalide","OK"))))))))))</f>
        <v/>
      </c>
      <c r="N1388" s="71" t="str">
        <f>IF(AND(fiche_sel&lt;&gt;"",A1388=fiche_sel),COUNTIF(A$6:A1388,fiche_sel),"")</f>
        <v/>
      </c>
    </row>
    <row r="1389">
      <c r="A1389" s="60" t="n"/>
      <c r="B1389" s="73" t="n"/>
      <c r="C1389" s="60" t="n"/>
      <c r="D1389" s="61" t="n"/>
      <c r="E1389" s="74" t="n"/>
      <c r="F1389" s="74" t="n"/>
      <c r="G1389" s="73" t="n"/>
      <c r="H1389" s="66" t="str">
        <f>IF(M1389&lt;&gt;"OK","",INDEX(po_mo,MATCH(D1389,po_code,0)))</f>
        <v/>
      </c>
      <c r="I1389" s="66" t="str">
        <f>IF(M1389&lt;&gt;"OK","",INDEX(po_mac,MATCH(D1389,po_code,0)))</f>
        <v/>
      </c>
      <c r="J1389" s="66" t="str">
        <f>IF(M1389&lt;&gt;"OK","",N(E1389)*(H1389*IF(G1389="",1,G1389)+I1389))</f>
        <v/>
      </c>
      <c r="K1389" s="66" t="str">
        <f>IF(M1389&lt;&gt;"OK","",N(F1389)/60*H1389*IF(G1389="",1,G1389))</f>
        <v/>
      </c>
      <c r="L1389" s="66" t="str">
        <f>IF(M1389&lt;&gt;"OK","",N(F1389)/60*I1389)</f>
        <v/>
      </c>
      <c r="M1389" s="69" t="str">
        <f>IF(AND(A1389="",D1389=""),"",IF(A1389="","Produit manquant",IF(COUNTIF(prod_ref,A1389)=0,"Produit inconnu",IF(D1389="","Poste manquant",IF(ISNA(MATCH(D1389,po_code,0)),"Poste inconnu",IF(INDEX(po_check,MATCH(D1389,po_code,0))&lt;&gt;"OK","Poste à corriger",IF(AND(E1389&lt;&gt;"",OR(NOT(ISNUMBER(E1389)),N(E1389)&lt;0)),"Réglage invalide",IF(AND(F1389&lt;&gt;"",OR(NOT(ISNUMBER(F1389)),N(F1389)&lt;0)),"Temps par pièce invalide",IF(N(E1389)+N(F1389)=0,"Temps manquant",IF(AND(G1389&lt;&gt;"",OR(NOT(ISNUMBER(G1389)),N(G1389)&lt;=0)),"Opérateurs invalide","OK"))))))))))</f>
        <v/>
      </c>
      <c r="N1389" s="71" t="str">
        <f>IF(AND(fiche_sel&lt;&gt;"",A1389=fiche_sel),COUNTIF(A$6:A1389,fiche_sel),"")</f>
        <v/>
      </c>
    </row>
    <row r="1390">
      <c r="A1390" s="60" t="n"/>
      <c r="B1390" s="73" t="n"/>
      <c r="C1390" s="60" t="n"/>
      <c r="D1390" s="61" t="n"/>
      <c r="E1390" s="74" t="n"/>
      <c r="F1390" s="74" t="n"/>
      <c r="G1390" s="73" t="n"/>
      <c r="H1390" s="66" t="str">
        <f>IF(M1390&lt;&gt;"OK","",INDEX(po_mo,MATCH(D1390,po_code,0)))</f>
        <v/>
      </c>
      <c r="I1390" s="66" t="str">
        <f>IF(M1390&lt;&gt;"OK","",INDEX(po_mac,MATCH(D1390,po_code,0)))</f>
        <v/>
      </c>
      <c r="J1390" s="66" t="str">
        <f>IF(M1390&lt;&gt;"OK","",N(E1390)*(H1390*IF(G1390="",1,G1390)+I1390))</f>
        <v/>
      </c>
      <c r="K1390" s="66" t="str">
        <f>IF(M1390&lt;&gt;"OK","",N(F1390)/60*H1390*IF(G1390="",1,G1390))</f>
        <v/>
      </c>
      <c r="L1390" s="66" t="str">
        <f>IF(M1390&lt;&gt;"OK","",N(F1390)/60*I1390)</f>
        <v/>
      </c>
      <c r="M1390" s="69" t="str">
        <f>IF(AND(A1390="",D1390=""),"",IF(A1390="","Produit manquant",IF(COUNTIF(prod_ref,A1390)=0,"Produit inconnu",IF(D1390="","Poste manquant",IF(ISNA(MATCH(D1390,po_code,0)),"Poste inconnu",IF(INDEX(po_check,MATCH(D1390,po_code,0))&lt;&gt;"OK","Poste à corriger",IF(AND(E1390&lt;&gt;"",OR(NOT(ISNUMBER(E1390)),N(E1390)&lt;0)),"Réglage invalide",IF(AND(F1390&lt;&gt;"",OR(NOT(ISNUMBER(F1390)),N(F1390)&lt;0)),"Temps par pièce invalide",IF(N(E1390)+N(F1390)=0,"Temps manquant",IF(AND(G1390&lt;&gt;"",OR(NOT(ISNUMBER(G1390)),N(G1390)&lt;=0)),"Opérateurs invalide","OK"))))))))))</f>
        <v/>
      </c>
      <c r="N1390" s="71" t="str">
        <f>IF(AND(fiche_sel&lt;&gt;"",A1390=fiche_sel),COUNTIF(A$6:A1390,fiche_sel),"")</f>
        <v/>
      </c>
    </row>
    <row r="1391">
      <c r="A1391" s="60" t="n"/>
      <c r="B1391" s="73" t="n"/>
      <c r="C1391" s="60" t="n"/>
      <c r="D1391" s="61" t="n"/>
      <c r="E1391" s="74" t="n"/>
      <c r="F1391" s="74" t="n"/>
      <c r="G1391" s="73" t="n"/>
      <c r="H1391" s="66" t="str">
        <f>IF(M1391&lt;&gt;"OK","",INDEX(po_mo,MATCH(D1391,po_code,0)))</f>
        <v/>
      </c>
      <c r="I1391" s="66" t="str">
        <f>IF(M1391&lt;&gt;"OK","",INDEX(po_mac,MATCH(D1391,po_code,0)))</f>
        <v/>
      </c>
      <c r="J1391" s="66" t="str">
        <f>IF(M1391&lt;&gt;"OK","",N(E1391)*(H1391*IF(G1391="",1,G1391)+I1391))</f>
        <v/>
      </c>
      <c r="K1391" s="66" t="str">
        <f>IF(M1391&lt;&gt;"OK","",N(F1391)/60*H1391*IF(G1391="",1,G1391))</f>
        <v/>
      </c>
      <c r="L1391" s="66" t="str">
        <f>IF(M1391&lt;&gt;"OK","",N(F1391)/60*I1391)</f>
        <v/>
      </c>
      <c r="M1391" s="69" t="str">
        <f>IF(AND(A1391="",D1391=""),"",IF(A1391="","Produit manquant",IF(COUNTIF(prod_ref,A1391)=0,"Produit inconnu",IF(D1391="","Poste manquant",IF(ISNA(MATCH(D1391,po_code,0)),"Poste inconnu",IF(INDEX(po_check,MATCH(D1391,po_code,0))&lt;&gt;"OK","Poste à corriger",IF(AND(E1391&lt;&gt;"",OR(NOT(ISNUMBER(E1391)),N(E1391)&lt;0)),"Réglage invalide",IF(AND(F1391&lt;&gt;"",OR(NOT(ISNUMBER(F1391)),N(F1391)&lt;0)),"Temps par pièce invalide",IF(N(E1391)+N(F1391)=0,"Temps manquant",IF(AND(G1391&lt;&gt;"",OR(NOT(ISNUMBER(G1391)),N(G1391)&lt;=0)),"Opérateurs invalide","OK"))))))))))</f>
        <v/>
      </c>
      <c r="N1391" s="71" t="str">
        <f>IF(AND(fiche_sel&lt;&gt;"",A1391=fiche_sel),COUNTIF(A$6:A1391,fiche_sel),"")</f>
        <v/>
      </c>
    </row>
    <row r="1392">
      <c r="A1392" s="60" t="n"/>
      <c r="B1392" s="73" t="n"/>
      <c r="C1392" s="60" t="n"/>
      <c r="D1392" s="61" t="n"/>
      <c r="E1392" s="74" t="n"/>
      <c r="F1392" s="74" t="n"/>
      <c r="G1392" s="73" t="n"/>
      <c r="H1392" s="66" t="str">
        <f>IF(M1392&lt;&gt;"OK","",INDEX(po_mo,MATCH(D1392,po_code,0)))</f>
        <v/>
      </c>
      <c r="I1392" s="66" t="str">
        <f>IF(M1392&lt;&gt;"OK","",INDEX(po_mac,MATCH(D1392,po_code,0)))</f>
        <v/>
      </c>
      <c r="J1392" s="66" t="str">
        <f>IF(M1392&lt;&gt;"OK","",N(E1392)*(H1392*IF(G1392="",1,G1392)+I1392))</f>
        <v/>
      </c>
      <c r="K1392" s="66" t="str">
        <f>IF(M1392&lt;&gt;"OK","",N(F1392)/60*H1392*IF(G1392="",1,G1392))</f>
        <v/>
      </c>
      <c r="L1392" s="66" t="str">
        <f>IF(M1392&lt;&gt;"OK","",N(F1392)/60*I1392)</f>
        <v/>
      </c>
      <c r="M1392" s="69" t="str">
        <f>IF(AND(A1392="",D1392=""),"",IF(A1392="","Produit manquant",IF(COUNTIF(prod_ref,A1392)=0,"Produit inconnu",IF(D1392="","Poste manquant",IF(ISNA(MATCH(D1392,po_code,0)),"Poste inconnu",IF(INDEX(po_check,MATCH(D1392,po_code,0))&lt;&gt;"OK","Poste à corriger",IF(AND(E1392&lt;&gt;"",OR(NOT(ISNUMBER(E1392)),N(E1392)&lt;0)),"Réglage invalide",IF(AND(F1392&lt;&gt;"",OR(NOT(ISNUMBER(F1392)),N(F1392)&lt;0)),"Temps par pièce invalide",IF(N(E1392)+N(F1392)=0,"Temps manquant",IF(AND(G1392&lt;&gt;"",OR(NOT(ISNUMBER(G1392)),N(G1392)&lt;=0)),"Opérateurs invalide","OK"))))))))))</f>
        <v/>
      </c>
      <c r="N1392" s="71" t="str">
        <f>IF(AND(fiche_sel&lt;&gt;"",A1392=fiche_sel),COUNTIF(A$6:A1392,fiche_sel),"")</f>
        <v/>
      </c>
    </row>
    <row r="1393">
      <c r="A1393" s="60" t="n"/>
      <c r="B1393" s="73" t="n"/>
      <c r="C1393" s="60" t="n"/>
      <c r="D1393" s="61" t="n"/>
      <c r="E1393" s="74" t="n"/>
      <c r="F1393" s="74" t="n"/>
      <c r="G1393" s="73" t="n"/>
      <c r="H1393" s="66" t="str">
        <f>IF(M1393&lt;&gt;"OK","",INDEX(po_mo,MATCH(D1393,po_code,0)))</f>
        <v/>
      </c>
      <c r="I1393" s="66" t="str">
        <f>IF(M1393&lt;&gt;"OK","",INDEX(po_mac,MATCH(D1393,po_code,0)))</f>
        <v/>
      </c>
      <c r="J1393" s="66" t="str">
        <f>IF(M1393&lt;&gt;"OK","",N(E1393)*(H1393*IF(G1393="",1,G1393)+I1393))</f>
        <v/>
      </c>
      <c r="K1393" s="66" t="str">
        <f>IF(M1393&lt;&gt;"OK","",N(F1393)/60*H1393*IF(G1393="",1,G1393))</f>
        <v/>
      </c>
      <c r="L1393" s="66" t="str">
        <f>IF(M1393&lt;&gt;"OK","",N(F1393)/60*I1393)</f>
        <v/>
      </c>
      <c r="M1393" s="69" t="str">
        <f>IF(AND(A1393="",D1393=""),"",IF(A1393="","Produit manquant",IF(COUNTIF(prod_ref,A1393)=0,"Produit inconnu",IF(D1393="","Poste manquant",IF(ISNA(MATCH(D1393,po_code,0)),"Poste inconnu",IF(INDEX(po_check,MATCH(D1393,po_code,0))&lt;&gt;"OK","Poste à corriger",IF(AND(E1393&lt;&gt;"",OR(NOT(ISNUMBER(E1393)),N(E1393)&lt;0)),"Réglage invalide",IF(AND(F1393&lt;&gt;"",OR(NOT(ISNUMBER(F1393)),N(F1393)&lt;0)),"Temps par pièce invalide",IF(N(E1393)+N(F1393)=0,"Temps manquant",IF(AND(G1393&lt;&gt;"",OR(NOT(ISNUMBER(G1393)),N(G1393)&lt;=0)),"Opérateurs invalide","OK"))))))))))</f>
        <v/>
      </c>
      <c r="N1393" s="71" t="str">
        <f>IF(AND(fiche_sel&lt;&gt;"",A1393=fiche_sel),COUNTIF(A$6:A1393,fiche_sel),"")</f>
        <v/>
      </c>
    </row>
    <row r="1394">
      <c r="A1394" s="60" t="n"/>
      <c r="B1394" s="73" t="n"/>
      <c r="C1394" s="60" t="n"/>
      <c r="D1394" s="61" t="n"/>
      <c r="E1394" s="74" t="n"/>
      <c r="F1394" s="74" t="n"/>
      <c r="G1394" s="73" t="n"/>
      <c r="H1394" s="66" t="str">
        <f>IF(M1394&lt;&gt;"OK","",INDEX(po_mo,MATCH(D1394,po_code,0)))</f>
        <v/>
      </c>
      <c r="I1394" s="66" t="str">
        <f>IF(M1394&lt;&gt;"OK","",INDEX(po_mac,MATCH(D1394,po_code,0)))</f>
        <v/>
      </c>
      <c r="J1394" s="66" t="str">
        <f>IF(M1394&lt;&gt;"OK","",N(E1394)*(H1394*IF(G1394="",1,G1394)+I1394))</f>
        <v/>
      </c>
      <c r="K1394" s="66" t="str">
        <f>IF(M1394&lt;&gt;"OK","",N(F1394)/60*H1394*IF(G1394="",1,G1394))</f>
        <v/>
      </c>
      <c r="L1394" s="66" t="str">
        <f>IF(M1394&lt;&gt;"OK","",N(F1394)/60*I1394)</f>
        <v/>
      </c>
      <c r="M1394" s="69" t="str">
        <f>IF(AND(A1394="",D1394=""),"",IF(A1394="","Produit manquant",IF(COUNTIF(prod_ref,A1394)=0,"Produit inconnu",IF(D1394="","Poste manquant",IF(ISNA(MATCH(D1394,po_code,0)),"Poste inconnu",IF(INDEX(po_check,MATCH(D1394,po_code,0))&lt;&gt;"OK","Poste à corriger",IF(AND(E1394&lt;&gt;"",OR(NOT(ISNUMBER(E1394)),N(E1394)&lt;0)),"Réglage invalide",IF(AND(F1394&lt;&gt;"",OR(NOT(ISNUMBER(F1394)),N(F1394)&lt;0)),"Temps par pièce invalide",IF(N(E1394)+N(F1394)=0,"Temps manquant",IF(AND(G1394&lt;&gt;"",OR(NOT(ISNUMBER(G1394)),N(G1394)&lt;=0)),"Opérateurs invalide","OK"))))))))))</f>
        <v/>
      </c>
      <c r="N1394" s="71" t="str">
        <f>IF(AND(fiche_sel&lt;&gt;"",A1394=fiche_sel),COUNTIF(A$6:A1394,fiche_sel),"")</f>
        <v/>
      </c>
    </row>
    <row r="1395">
      <c r="A1395" s="60" t="n"/>
      <c r="B1395" s="73" t="n"/>
      <c r="C1395" s="60" t="n"/>
      <c r="D1395" s="61" t="n"/>
      <c r="E1395" s="74" t="n"/>
      <c r="F1395" s="74" t="n"/>
      <c r="G1395" s="73" t="n"/>
      <c r="H1395" s="66" t="str">
        <f>IF(M1395&lt;&gt;"OK","",INDEX(po_mo,MATCH(D1395,po_code,0)))</f>
        <v/>
      </c>
      <c r="I1395" s="66" t="str">
        <f>IF(M1395&lt;&gt;"OK","",INDEX(po_mac,MATCH(D1395,po_code,0)))</f>
        <v/>
      </c>
      <c r="J1395" s="66" t="str">
        <f>IF(M1395&lt;&gt;"OK","",N(E1395)*(H1395*IF(G1395="",1,G1395)+I1395))</f>
        <v/>
      </c>
      <c r="K1395" s="66" t="str">
        <f>IF(M1395&lt;&gt;"OK","",N(F1395)/60*H1395*IF(G1395="",1,G1395))</f>
        <v/>
      </c>
      <c r="L1395" s="66" t="str">
        <f>IF(M1395&lt;&gt;"OK","",N(F1395)/60*I1395)</f>
        <v/>
      </c>
      <c r="M1395" s="69" t="str">
        <f>IF(AND(A1395="",D1395=""),"",IF(A1395="","Produit manquant",IF(COUNTIF(prod_ref,A1395)=0,"Produit inconnu",IF(D1395="","Poste manquant",IF(ISNA(MATCH(D1395,po_code,0)),"Poste inconnu",IF(INDEX(po_check,MATCH(D1395,po_code,0))&lt;&gt;"OK","Poste à corriger",IF(AND(E1395&lt;&gt;"",OR(NOT(ISNUMBER(E1395)),N(E1395)&lt;0)),"Réglage invalide",IF(AND(F1395&lt;&gt;"",OR(NOT(ISNUMBER(F1395)),N(F1395)&lt;0)),"Temps par pièce invalide",IF(N(E1395)+N(F1395)=0,"Temps manquant",IF(AND(G1395&lt;&gt;"",OR(NOT(ISNUMBER(G1395)),N(G1395)&lt;=0)),"Opérateurs invalide","OK"))))))))))</f>
        <v/>
      </c>
      <c r="N1395" s="71" t="str">
        <f>IF(AND(fiche_sel&lt;&gt;"",A1395=fiche_sel),COUNTIF(A$6:A1395,fiche_sel),"")</f>
        <v/>
      </c>
    </row>
    <row r="1396">
      <c r="A1396" s="60" t="n"/>
      <c r="B1396" s="73" t="n"/>
      <c r="C1396" s="60" t="n"/>
      <c r="D1396" s="61" t="n"/>
      <c r="E1396" s="74" t="n"/>
      <c r="F1396" s="74" t="n"/>
      <c r="G1396" s="73" t="n"/>
      <c r="H1396" s="66" t="str">
        <f>IF(M1396&lt;&gt;"OK","",INDEX(po_mo,MATCH(D1396,po_code,0)))</f>
        <v/>
      </c>
      <c r="I1396" s="66" t="str">
        <f>IF(M1396&lt;&gt;"OK","",INDEX(po_mac,MATCH(D1396,po_code,0)))</f>
        <v/>
      </c>
      <c r="J1396" s="66" t="str">
        <f>IF(M1396&lt;&gt;"OK","",N(E1396)*(H1396*IF(G1396="",1,G1396)+I1396))</f>
        <v/>
      </c>
      <c r="K1396" s="66" t="str">
        <f>IF(M1396&lt;&gt;"OK","",N(F1396)/60*H1396*IF(G1396="",1,G1396))</f>
        <v/>
      </c>
      <c r="L1396" s="66" t="str">
        <f>IF(M1396&lt;&gt;"OK","",N(F1396)/60*I1396)</f>
        <v/>
      </c>
      <c r="M1396" s="69" t="str">
        <f>IF(AND(A1396="",D1396=""),"",IF(A1396="","Produit manquant",IF(COUNTIF(prod_ref,A1396)=0,"Produit inconnu",IF(D1396="","Poste manquant",IF(ISNA(MATCH(D1396,po_code,0)),"Poste inconnu",IF(INDEX(po_check,MATCH(D1396,po_code,0))&lt;&gt;"OK","Poste à corriger",IF(AND(E1396&lt;&gt;"",OR(NOT(ISNUMBER(E1396)),N(E1396)&lt;0)),"Réglage invalide",IF(AND(F1396&lt;&gt;"",OR(NOT(ISNUMBER(F1396)),N(F1396)&lt;0)),"Temps par pièce invalide",IF(N(E1396)+N(F1396)=0,"Temps manquant",IF(AND(G1396&lt;&gt;"",OR(NOT(ISNUMBER(G1396)),N(G1396)&lt;=0)),"Opérateurs invalide","OK"))))))))))</f>
        <v/>
      </c>
      <c r="N1396" s="71" t="str">
        <f>IF(AND(fiche_sel&lt;&gt;"",A1396=fiche_sel),COUNTIF(A$6:A1396,fiche_sel),"")</f>
        <v/>
      </c>
    </row>
    <row r="1397">
      <c r="A1397" s="60" t="n"/>
      <c r="B1397" s="73" t="n"/>
      <c r="C1397" s="60" t="n"/>
      <c r="D1397" s="61" t="n"/>
      <c r="E1397" s="74" t="n"/>
      <c r="F1397" s="74" t="n"/>
      <c r="G1397" s="73" t="n"/>
      <c r="H1397" s="66" t="str">
        <f>IF(M1397&lt;&gt;"OK","",INDEX(po_mo,MATCH(D1397,po_code,0)))</f>
        <v/>
      </c>
      <c r="I1397" s="66" t="str">
        <f>IF(M1397&lt;&gt;"OK","",INDEX(po_mac,MATCH(D1397,po_code,0)))</f>
        <v/>
      </c>
      <c r="J1397" s="66" t="str">
        <f>IF(M1397&lt;&gt;"OK","",N(E1397)*(H1397*IF(G1397="",1,G1397)+I1397))</f>
        <v/>
      </c>
      <c r="K1397" s="66" t="str">
        <f>IF(M1397&lt;&gt;"OK","",N(F1397)/60*H1397*IF(G1397="",1,G1397))</f>
        <v/>
      </c>
      <c r="L1397" s="66" t="str">
        <f>IF(M1397&lt;&gt;"OK","",N(F1397)/60*I1397)</f>
        <v/>
      </c>
      <c r="M1397" s="69" t="str">
        <f>IF(AND(A1397="",D1397=""),"",IF(A1397="","Produit manquant",IF(COUNTIF(prod_ref,A1397)=0,"Produit inconnu",IF(D1397="","Poste manquant",IF(ISNA(MATCH(D1397,po_code,0)),"Poste inconnu",IF(INDEX(po_check,MATCH(D1397,po_code,0))&lt;&gt;"OK","Poste à corriger",IF(AND(E1397&lt;&gt;"",OR(NOT(ISNUMBER(E1397)),N(E1397)&lt;0)),"Réglage invalide",IF(AND(F1397&lt;&gt;"",OR(NOT(ISNUMBER(F1397)),N(F1397)&lt;0)),"Temps par pièce invalide",IF(N(E1397)+N(F1397)=0,"Temps manquant",IF(AND(G1397&lt;&gt;"",OR(NOT(ISNUMBER(G1397)),N(G1397)&lt;=0)),"Opérateurs invalide","OK"))))))))))</f>
        <v/>
      </c>
      <c r="N1397" s="71" t="str">
        <f>IF(AND(fiche_sel&lt;&gt;"",A1397=fiche_sel),COUNTIF(A$6:A1397,fiche_sel),"")</f>
        <v/>
      </c>
    </row>
    <row r="1398">
      <c r="A1398" s="60" t="n"/>
      <c r="B1398" s="73" t="n"/>
      <c r="C1398" s="60" t="n"/>
      <c r="D1398" s="61" t="n"/>
      <c r="E1398" s="74" t="n"/>
      <c r="F1398" s="74" t="n"/>
      <c r="G1398" s="73" t="n"/>
      <c r="H1398" s="66" t="str">
        <f>IF(M1398&lt;&gt;"OK","",INDEX(po_mo,MATCH(D1398,po_code,0)))</f>
        <v/>
      </c>
      <c r="I1398" s="66" t="str">
        <f>IF(M1398&lt;&gt;"OK","",INDEX(po_mac,MATCH(D1398,po_code,0)))</f>
        <v/>
      </c>
      <c r="J1398" s="66" t="str">
        <f>IF(M1398&lt;&gt;"OK","",N(E1398)*(H1398*IF(G1398="",1,G1398)+I1398))</f>
        <v/>
      </c>
      <c r="K1398" s="66" t="str">
        <f>IF(M1398&lt;&gt;"OK","",N(F1398)/60*H1398*IF(G1398="",1,G1398))</f>
        <v/>
      </c>
      <c r="L1398" s="66" t="str">
        <f>IF(M1398&lt;&gt;"OK","",N(F1398)/60*I1398)</f>
        <v/>
      </c>
      <c r="M1398" s="69" t="str">
        <f>IF(AND(A1398="",D1398=""),"",IF(A1398="","Produit manquant",IF(COUNTIF(prod_ref,A1398)=0,"Produit inconnu",IF(D1398="","Poste manquant",IF(ISNA(MATCH(D1398,po_code,0)),"Poste inconnu",IF(INDEX(po_check,MATCH(D1398,po_code,0))&lt;&gt;"OK","Poste à corriger",IF(AND(E1398&lt;&gt;"",OR(NOT(ISNUMBER(E1398)),N(E1398)&lt;0)),"Réglage invalide",IF(AND(F1398&lt;&gt;"",OR(NOT(ISNUMBER(F1398)),N(F1398)&lt;0)),"Temps par pièce invalide",IF(N(E1398)+N(F1398)=0,"Temps manquant",IF(AND(G1398&lt;&gt;"",OR(NOT(ISNUMBER(G1398)),N(G1398)&lt;=0)),"Opérateurs invalide","OK"))))))))))</f>
        <v/>
      </c>
      <c r="N1398" s="71" t="str">
        <f>IF(AND(fiche_sel&lt;&gt;"",A1398=fiche_sel),COUNTIF(A$6:A1398,fiche_sel),"")</f>
        <v/>
      </c>
    </row>
    <row r="1399">
      <c r="A1399" s="60" t="n"/>
      <c r="B1399" s="73" t="n"/>
      <c r="C1399" s="60" t="n"/>
      <c r="D1399" s="61" t="n"/>
      <c r="E1399" s="74" t="n"/>
      <c r="F1399" s="74" t="n"/>
      <c r="G1399" s="73" t="n"/>
      <c r="H1399" s="66" t="str">
        <f>IF(M1399&lt;&gt;"OK","",INDEX(po_mo,MATCH(D1399,po_code,0)))</f>
        <v/>
      </c>
      <c r="I1399" s="66" t="str">
        <f>IF(M1399&lt;&gt;"OK","",INDEX(po_mac,MATCH(D1399,po_code,0)))</f>
        <v/>
      </c>
      <c r="J1399" s="66" t="str">
        <f>IF(M1399&lt;&gt;"OK","",N(E1399)*(H1399*IF(G1399="",1,G1399)+I1399))</f>
        <v/>
      </c>
      <c r="K1399" s="66" t="str">
        <f>IF(M1399&lt;&gt;"OK","",N(F1399)/60*H1399*IF(G1399="",1,G1399))</f>
        <v/>
      </c>
      <c r="L1399" s="66" t="str">
        <f>IF(M1399&lt;&gt;"OK","",N(F1399)/60*I1399)</f>
        <v/>
      </c>
      <c r="M1399" s="69" t="str">
        <f>IF(AND(A1399="",D1399=""),"",IF(A1399="","Produit manquant",IF(COUNTIF(prod_ref,A1399)=0,"Produit inconnu",IF(D1399="","Poste manquant",IF(ISNA(MATCH(D1399,po_code,0)),"Poste inconnu",IF(INDEX(po_check,MATCH(D1399,po_code,0))&lt;&gt;"OK","Poste à corriger",IF(AND(E1399&lt;&gt;"",OR(NOT(ISNUMBER(E1399)),N(E1399)&lt;0)),"Réglage invalide",IF(AND(F1399&lt;&gt;"",OR(NOT(ISNUMBER(F1399)),N(F1399)&lt;0)),"Temps par pièce invalide",IF(N(E1399)+N(F1399)=0,"Temps manquant",IF(AND(G1399&lt;&gt;"",OR(NOT(ISNUMBER(G1399)),N(G1399)&lt;=0)),"Opérateurs invalide","OK"))))))))))</f>
        <v/>
      </c>
      <c r="N1399" s="71" t="str">
        <f>IF(AND(fiche_sel&lt;&gt;"",A1399=fiche_sel),COUNTIF(A$6:A1399,fiche_sel),"")</f>
        <v/>
      </c>
    </row>
    <row r="1400">
      <c r="A1400" s="60" t="n"/>
      <c r="B1400" s="73" t="n"/>
      <c r="C1400" s="60" t="n"/>
      <c r="D1400" s="61" t="n"/>
      <c r="E1400" s="74" t="n"/>
      <c r="F1400" s="74" t="n"/>
      <c r="G1400" s="73" t="n"/>
      <c r="H1400" s="66" t="str">
        <f>IF(M1400&lt;&gt;"OK","",INDEX(po_mo,MATCH(D1400,po_code,0)))</f>
        <v/>
      </c>
      <c r="I1400" s="66" t="str">
        <f>IF(M1400&lt;&gt;"OK","",INDEX(po_mac,MATCH(D1400,po_code,0)))</f>
        <v/>
      </c>
      <c r="J1400" s="66" t="str">
        <f>IF(M1400&lt;&gt;"OK","",N(E1400)*(H1400*IF(G1400="",1,G1400)+I1400))</f>
        <v/>
      </c>
      <c r="K1400" s="66" t="str">
        <f>IF(M1400&lt;&gt;"OK","",N(F1400)/60*H1400*IF(G1400="",1,G1400))</f>
        <v/>
      </c>
      <c r="L1400" s="66" t="str">
        <f>IF(M1400&lt;&gt;"OK","",N(F1400)/60*I1400)</f>
        <v/>
      </c>
      <c r="M1400" s="69" t="str">
        <f>IF(AND(A1400="",D1400=""),"",IF(A1400="","Produit manquant",IF(COUNTIF(prod_ref,A1400)=0,"Produit inconnu",IF(D1400="","Poste manquant",IF(ISNA(MATCH(D1400,po_code,0)),"Poste inconnu",IF(INDEX(po_check,MATCH(D1400,po_code,0))&lt;&gt;"OK","Poste à corriger",IF(AND(E1400&lt;&gt;"",OR(NOT(ISNUMBER(E1400)),N(E1400)&lt;0)),"Réglage invalide",IF(AND(F1400&lt;&gt;"",OR(NOT(ISNUMBER(F1400)),N(F1400)&lt;0)),"Temps par pièce invalide",IF(N(E1400)+N(F1400)=0,"Temps manquant",IF(AND(G1400&lt;&gt;"",OR(NOT(ISNUMBER(G1400)),N(G1400)&lt;=0)),"Opérateurs invalide","OK"))))))))))</f>
        <v/>
      </c>
      <c r="N1400" s="71" t="str">
        <f>IF(AND(fiche_sel&lt;&gt;"",A1400=fiche_sel),COUNTIF(A$6:A1400,fiche_sel),"")</f>
        <v/>
      </c>
    </row>
    <row r="1401">
      <c r="A1401" s="60" t="n"/>
      <c r="B1401" s="73" t="n"/>
      <c r="C1401" s="60" t="n"/>
      <c r="D1401" s="61" t="n"/>
      <c r="E1401" s="74" t="n"/>
      <c r="F1401" s="74" t="n"/>
      <c r="G1401" s="73" t="n"/>
      <c r="H1401" s="66" t="str">
        <f>IF(M1401&lt;&gt;"OK","",INDEX(po_mo,MATCH(D1401,po_code,0)))</f>
        <v/>
      </c>
      <c r="I1401" s="66" t="str">
        <f>IF(M1401&lt;&gt;"OK","",INDEX(po_mac,MATCH(D1401,po_code,0)))</f>
        <v/>
      </c>
      <c r="J1401" s="66" t="str">
        <f>IF(M1401&lt;&gt;"OK","",N(E1401)*(H1401*IF(G1401="",1,G1401)+I1401))</f>
        <v/>
      </c>
      <c r="K1401" s="66" t="str">
        <f>IF(M1401&lt;&gt;"OK","",N(F1401)/60*H1401*IF(G1401="",1,G1401))</f>
        <v/>
      </c>
      <c r="L1401" s="66" t="str">
        <f>IF(M1401&lt;&gt;"OK","",N(F1401)/60*I1401)</f>
        <v/>
      </c>
      <c r="M1401" s="69" t="str">
        <f>IF(AND(A1401="",D1401=""),"",IF(A1401="","Produit manquant",IF(COUNTIF(prod_ref,A1401)=0,"Produit inconnu",IF(D1401="","Poste manquant",IF(ISNA(MATCH(D1401,po_code,0)),"Poste inconnu",IF(INDEX(po_check,MATCH(D1401,po_code,0))&lt;&gt;"OK","Poste à corriger",IF(AND(E1401&lt;&gt;"",OR(NOT(ISNUMBER(E1401)),N(E1401)&lt;0)),"Réglage invalide",IF(AND(F1401&lt;&gt;"",OR(NOT(ISNUMBER(F1401)),N(F1401)&lt;0)),"Temps par pièce invalide",IF(N(E1401)+N(F1401)=0,"Temps manquant",IF(AND(G1401&lt;&gt;"",OR(NOT(ISNUMBER(G1401)),N(G1401)&lt;=0)),"Opérateurs invalide","OK"))))))))))</f>
        <v/>
      </c>
      <c r="N1401" s="71" t="str">
        <f>IF(AND(fiche_sel&lt;&gt;"",A1401=fiche_sel),COUNTIF(A$6:A1401,fiche_sel),"")</f>
        <v/>
      </c>
    </row>
    <row r="1402">
      <c r="A1402" s="60" t="n"/>
      <c r="B1402" s="73" t="n"/>
      <c r="C1402" s="60" t="n"/>
      <c r="D1402" s="61" t="n"/>
      <c r="E1402" s="74" t="n"/>
      <c r="F1402" s="74" t="n"/>
      <c r="G1402" s="73" t="n"/>
      <c r="H1402" s="66" t="str">
        <f>IF(M1402&lt;&gt;"OK","",INDEX(po_mo,MATCH(D1402,po_code,0)))</f>
        <v/>
      </c>
      <c r="I1402" s="66" t="str">
        <f>IF(M1402&lt;&gt;"OK","",INDEX(po_mac,MATCH(D1402,po_code,0)))</f>
        <v/>
      </c>
      <c r="J1402" s="66" t="str">
        <f>IF(M1402&lt;&gt;"OK","",N(E1402)*(H1402*IF(G1402="",1,G1402)+I1402))</f>
        <v/>
      </c>
      <c r="K1402" s="66" t="str">
        <f>IF(M1402&lt;&gt;"OK","",N(F1402)/60*H1402*IF(G1402="",1,G1402))</f>
        <v/>
      </c>
      <c r="L1402" s="66" t="str">
        <f>IF(M1402&lt;&gt;"OK","",N(F1402)/60*I1402)</f>
        <v/>
      </c>
      <c r="M1402" s="69" t="str">
        <f>IF(AND(A1402="",D1402=""),"",IF(A1402="","Produit manquant",IF(COUNTIF(prod_ref,A1402)=0,"Produit inconnu",IF(D1402="","Poste manquant",IF(ISNA(MATCH(D1402,po_code,0)),"Poste inconnu",IF(INDEX(po_check,MATCH(D1402,po_code,0))&lt;&gt;"OK","Poste à corriger",IF(AND(E1402&lt;&gt;"",OR(NOT(ISNUMBER(E1402)),N(E1402)&lt;0)),"Réglage invalide",IF(AND(F1402&lt;&gt;"",OR(NOT(ISNUMBER(F1402)),N(F1402)&lt;0)),"Temps par pièce invalide",IF(N(E1402)+N(F1402)=0,"Temps manquant",IF(AND(G1402&lt;&gt;"",OR(NOT(ISNUMBER(G1402)),N(G1402)&lt;=0)),"Opérateurs invalide","OK"))))))))))</f>
        <v/>
      </c>
      <c r="N1402" s="71" t="str">
        <f>IF(AND(fiche_sel&lt;&gt;"",A1402=fiche_sel),COUNTIF(A$6:A1402,fiche_sel),"")</f>
        <v/>
      </c>
    </row>
    <row r="1403">
      <c r="A1403" s="60" t="n"/>
      <c r="B1403" s="73" t="n"/>
      <c r="C1403" s="60" t="n"/>
      <c r="D1403" s="61" t="n"/>
      <c r="E1403" s="74" t="n"/>
      <c r="F1403" s="74" t="n"/>
      <c r="G1403" s="73" t="n"/>
      <c r="H1403" s="66" t="str">
        <f>IF(M1403&lt;&gt;"OK","",INDEX(po_mo,MATCH(D1403,po_code,0)))</f>
        <v/>
      </c>
      <c r="I1403" s="66" t="str">
        <f>IF(M1403&lt;&gt;"OK","",INDEX(po_mac,MATCH(D1403,po_code,0)))</f>
        <v/>
      </c>
      <c r="J1403" s="66" t="str">
        <f>IF(M1403&lt;&gt;"OK","",N(E1403)*(H1403*IF(G1403="",1,G1403)+I1403))</f>
        <v/>
      </c>
      <c r="K1403" s="66" t="str">
        <f>IF(M1403&lt;&gt;"OK","",N(F1403)/60*H1403*IF(G1403="",1,G1403))</f>
        <v/>
      </c>
      <c r="L1403" s="66" t="str">
        <f>IF(M1403&lt;&gt;"OK","",N(F1403)/60*I1403)</f>
        <v/>
      </c>
      <c r="M1403" s="69" t="str">
        <f>IF(AND(A1403="",D1403=""),"",IF(A1403="","Produit manquant",IF(COUNTIF(prod_ref,A1403)=0,"Produit inconnu",IF(D1403="","Poste manquant",IF(ISNA(MATCH(D1403,po_code,0)),"Poste inconnu",IF(INDEX(po_check,MATCH(D1403,po_code,0))&lt;&gt;"OK","Poste à corriger",IF(AND(E1403&lt;&gt;"",OR(NOT(ISNUMBER(E1403)),N(E1403)&lt;0)),"Réglage invalide",IF(AND(F1403&lt;&gt;"",OR(NOT(ISNUMBER(F1403)),N(F1403)&lt;0)),"Temps par pièce invalide",IF(N(E1403)+N(F1403)=0,"Temps manquant",IF(AND(G1403&lt;&gt;"",OR(NOT(ISNUMBER(G1403)),N(G1403)&lt;=0)),"Opérateurs invalide","OK"))))))))))</f>
        <v/>
      </c>
      <c r="N1403" s="71" t="str">
        <f>IF(AND(fiche_sel&lt;&gt;"",A1403=fiche_sel),COUNTIF(A$6:A1403,fiche_sel),"")</f>
        <v/>
      </c>
    </row>
    <row r="1404">
      <c r="A1404" s="60" t="n"/>
      <c r="B1404" s="73" t="n"/>
      <c r="C1404" s="60" t="n"/>
      <c r="D1404" s="61" t="n"/>
      <c r="E1404" s="74" t="n"/>
      <c r="F1404" s="74" t="n"/>
      <c r="G1404" s="73" t="n"/>
      <c r="H1404" s="66" t="str">
        <f>IF(M1404&lt;&gt;"OK","",INDEX(po_mo,MATCH(D1404,po_code,0)))</f>
        <v/>
      </c>
      <c r="I1404" s="66" t="str">
        <f>IF(M1404&lt;&gt;"OK","",INDEX(po_mac,MATCH(D1404,po_code,0)))</f>
        <v/>
      </c>
      <c r="J1404" s="66" t="str">
        <f>IF(M1404&lt;&gt;"OK","",N(E1404)*(H1404*IF(G1404="",1,G1404)+I1404))</f>
        <v/>
      </c>
      <c r="K1404" s="66" t="str">
        <f>IF(M1404&lt;&gt;"OK","",N(F1404)/60*H1404*IF(G1404="",1,G1404))</f>
        <v/>
      </c>
      <c r="L1404" s="66" t="str">
        <f>IF(M1404&lt;&gt;"OK","",N(F1404)/60*I1404)</f>
        <v/>
      </c>
      <c r="M1404" s="69" t="str">
        <f>IF(AND(A1404="",D1404=""),"",IF(A1404="","Produit manquant",IF(COUNTIF(prod_ref,A1404)=0,"Produit inconnu",IF(D1404="","Poste manquant",IF(ISNA(MATCH(D1404,po_code,0)),"Poste inconnu",IF(INDEX(po_check,MATCH(D1404,po_code,0))&lt;&gt;"OK","Poste à corriger",IF(AND(E1404&lt;&gt;"",OR(NOT(ISNUMBER(E1404)),N(E1404)&lt;0)),"Réglage invalide",IF(AND(F1404&lt;&gt;"",OR(NOT(ISNUMBER(F1404)),N(F1404)&lt;0)),"Temps par pièce invalide",IF(N(E1404)+N(F1404)=0,"Temps manquant",IF(AND(G1404&lt;&gt;"",OR(NOT(ISNUMBER(G1404)),N(G1404)&lt;=0)),"Opérateurs invalide","OK"))))))))))</f>
        <v/>
      </c>
      <c r="N1404" s="71" t="str">
        <f>IF(AND(fiche_sel&lt;&gt;"",A1404=fiche_sel),COUNTIF(A$6:A1404,fiche_sel),"")</f>
        <v/>
      </c>
    </row>
    <row r="1405">
      <c r="A1405" s="60" t="n"/>
      <c r="B1405" s="73" t="n"/>
      <c r="C1405" s="60" t="n"/>
      <c r="D1405" s="61" t="n"/>
      <c r="E1405" s="74" t="n"/>
      <c r="F1405" s="74" t="n"/>
      <c r="G1405" s="73" t="n"/>
      <c r="H1405" s="66" t="str">
        <f>IF(M1405&lt;&gt;"OK","",INDEX(po_mo,MATCH(D1405,po_code,0)))</f>
        <v/>
      </c>
      <c r="I1405" s="66" t="str">
        <f>IF(M1405&lt;&gt;"OK","",INDEX(po_mac,MATCH(D1405,po_code,0)))</f>
        <v/>
      </c>
      <c r="J1405" s="66" t="str">
        <f>IF(M1405&lt;&gt;"OK","",N(E1405)*(H1405*IF(G1405="",1,G1405)+I1405))</f>
        <v/>
      </c>
      <c r="K1405" s="66" t="str">
        <f>IF(M1405&lt;&gt;"OK","",N(F1405)/60*H1405*IF(G1405="",1,G1405))</f>
        <v/>
      </c>
      <c r="L1405" s="66" t="str">
        <f>IF(M1405&lt;&gt;"OK","",N(F1405)/60*I1405)</f>
        <v/>
      </c>
      <c r="M1405" s="69" t="str">
        <f>IF(AND(A1405="",D1405=""),"",IF(A1405="","Produit manquant",IF(COUNTIF(prod_ref,A1405)=0,"Produit inconnu",IF(D1405="","Poste manquant",IF(ISNA(MATCH(D1405,po_code,0)),"Poste inconnu",IF(INDEX(po_check,MATCH(D1405,po_code,0))&lt;&gt;"OK","Poste à corriger",IF(AND(E1405&lt;&gt;"",OR(NOT(ISNUMBER(E1405)),N(E1405)&lt;0)),"Réglage invalide",IF(AND(F1405&lt;&gt;"",OR(NOT(ISNUMBER(F1405)),N(F1405)&lt;0)),"Temps par pièce invalide",IF(N(E1405)+N(F1405)=0,"Temps manquant",IF(AND(G1405&lt;&gt;"",OR(NOT(ISNUMBER(G1405)),N(G1405)&lt;=0)),"Opérateurs invalide","OK"))))))))))</f>
        <v/>
      </c>
      <c r="N1405" s="71" t="str">
        <f>IF(AND(fiche_sel&lt;&gt;"",A1405=fiche_sel),COUNTIF(A$6:A1405,fiche_sel),"")</f>
        <v/>
      </c>
    </row>
    <row r="1406">
      <c r="A1406" s="60" t="n"/>
      <c r="B1406" s="73" t="n"/>
      <c r="C1406" s="60" t="n"/>
      <c r="D1406" s="61" t="n"/>
      <c r="E1406" s="74" t="n"/>
      <c r="F1406" s="74" t="n"/>
      <c r="G1406" s="73" t="n"/>
      <c r="H1406" s="66" t="str">
        <f>IF(M1406&lt;&gt;"OK","",INDEX(po_mo,MATCH(D1406,po_code,0)))</f>
        <v/>
      </c>
      <c r="I1406" s="66" t="str">
        <f>IF(M1406&lt;&gt;"OK","",INDEX(po_mac,MATCH(D1406,po_code,0)))</f>
        <v/>
      </c>
      <c r="J1406" s="66" t="str">
        <f>IF(M1406&lt;&gt;"OK","",N(E1406)*(H1406*IF(G1406="",1,G1406)+I1406))</f>
        <v/>
      </c>
      <c r="K1406" s="66" t="str">
        <f>IF(M1406&lt;&gt;"OK","",N(F1406)/60*H1406*IF(G1406="",1,G1406))</f>
        <v/>
      </c>
      <c r="L1406" s="66" t="str">
        <f>IF(M1406&lt;&gt;"OK","",N(F1406)/60*I1406)</f>
        <v/>
      </c>
      <c r="M1406" s="69" t="str">
        <f>IF(AND(A1406="",D1406=""),"",IF(A1406="","Produit manquant",IF(COUNTIF(prod_ref,A1406)=0,"Produit inconnu",IF(D1406="","Poste manquant",IF(ISNA(MATCH(D1406,po_code,0)),"Poste inconnu",IF(INDEX(po_check,MATCH(D1406,po_code,0))&lt;&gt;"OK","Poste à corriger",IF(AND(E1406&lt;&gt;"",OR(NOT(ISNUMBER(E1406)),N(E1406)&lt;0)),"Réglage invalide",IF(AND(F1406&lt;&gt;"",OR(NOT(ISNUMBER(F1406)),N(F1406)&lt;0)),"Temps par pièce invalide",IF(N(E1406)+N(F1406)=0,"Temps manquant",IF(AND(G1406&lt;&gt;"",OR(NOT(ISNUMBER(G1406)),N(G1406)&lt;=0)),"Opérateurs invalide","OK"))))))))))</f>
        <v/>
      </c>
      <c r="N1406" s="71" t="str">
        <f>IF(AND(fiche_sel&lt;&gt;"",A1406=fiche_sel),COUNTIF(A$6:A1406,fiche_sel),"")</f>
        <v/>
      </c>
    </row>
    <row r="1407">
      <c r="A1407" s="60" t="n"/>
      <c r="B1407" s="73" t="n"/>
      <c r="C1407" s="60" t="n"/>
      <c r="D1407" s="61" t="n"/>
      <c r="E1407" s="74" t="n"/>
      <c r="F1407" s="74" t="n"/>
      <c r="G1407" s="73" t="n"/>
      <c r="H1407" s="66" t="str">
        <f>IF(M1407&lt;&gt;"OK","",INDEX(po_mo,MATCH(D1407,po_code,0)))</f>
        <v/>
      </c>
      <c r="I1407" s="66" t="str">
        <f>IF(M1407&lt;&gt;"OK","",INDEX(po_mac,MATCH(D1407,po_code,0)))</f>
        <v/>
      </c>
      <c r="J1407" s="66" t="str">
        <f>IF(M1407&lt;&gt;"OK","",N(E1407)*(H1407*IF(G1407="",1,G1407)+I1407))</f>
        <v/>
      </c>
      <c r="K1407" s="66" t="str">
        <f>IF(M1407&lt;&gt;"OK","",N(F1407)/60*H1407*IF(G1407="",1,G1407))</f>
        <v/>
      </c>
      <c r="L1407" s="66" t="str">
        <f>IF(M1407&lt;&gt;"OK","",N(F1407)/60*I1407)</f>
        <v/>
      </c>
      <c r="M1407" s="69" t="str">
        <f>IF(AND(A1407="",D1407=""),"",IF(A1407="","Produit manquant",IF(COUNTIF(prod_ref,A1407)=0,"Produit inconnu",IF(D1407="","Poste manquant",IF(ISNA(MATCH(D1407,po_code,0)),"Poste inconnu",IF(INDEX(po_check,MATCH(D1407,po_code,0))&lt;&gt;"OK","Poste à corriger",IF(AND(E1407&lt;&gt;"",OR(NOT(ISNUMBER(E1407)),N(E1407)&lt;0)),"Réglage invalide",IF(AND(F1407&lt;&gt;"",OR(NOT(ISNUMBER(F1407)),N(F1407)&lt;0)),"Temps par pièce invalide",IF(N(E1407)+N(F1407)=0,"Temps manquant",IF(AND(G1407&lt;&gt;"",OR(NOT(ISNUMBER(G1407)),N(G1407)&lt;=0)),"Opérateurs invalide","OK"))))))))))</f>
        <v/>
      </c>
      <c r="N1407" s="71" t="str">
        <f>IF(AND(fiche_sel&lt;&gt;"",A1407=fiche_sel),COUNTIF(A$6:A1407,fiche_sel),"")</f>
        <v/>
      </c>
    </row>
    <row r="1408">
      <c r="A1408" s="60" t="n"/>
      <c r="B1408" s="73" t="n"/>
      <c r="C1408" s="60" t="n"/>
      <c r="D1408" s="61" t="n"/>
      <c r="E1408" s="74" t="n"/>
      <c r="F1408" s="74" t="n"/>
      <c r="G1408" s="73" t="n"/>
      <c r="H1408" s="66" t="str">
        <f>IF(M1408&lt;&gt;"OK","",INDEX(po_mo,MATCH(D1408,po_code,0)))</f>
        <v/>
      </c>
      <c r="I1408" s="66" t="str">
        <f>IF(M1408&lt;&gt;"OK","",INDEX(po_mac,MATCH(D1408,po_code,0)))</f>
        <v/>
      </c>
      <c r="J1408" s="66" t="str">
        <f>IF(M1408&lt;&gt;"OK","",N(E1408)*(H1408*IF(G1408="",1,G1408)+I1408))</f>
        <v/>
      </c>
      <c r="K1408" s="66" t="str">
        <f>IF(M1408&lt;&gt;"OK","",N(F1408)/60*H1408*IF(G1408="",1,G1408))</f>
        <v/>
      </c>
      <c r="L1408" s="66" t="str">
        <f>IF(M1408&lt;&gt;"OK","",N(F1408)/60*I1408)</f>
        <v/>
      </c>
      <c r="M1408" s="69" t="str">
        <f>IF(AND(A1408="",D1408=""),"",IF(A1408="","Produit manquant",IF(COUNTIF(prod_ref,A1408)=0,"Produit inconnu",IF(D1408="","Poste manquant",IF(ISNA(MATCH(D1408,po_code,0)),"Poste inconnu",IF(INDEX(po_check,MATCH(D1408,po_code,0))&lt;&gt;"OK","Poste à corriger",IF(AND(E1408&lt;&gt;"",OR(NOT(ISNUMBER(E1408)),N(E1408)&lt;0)),"Réglage invalide",IF(AND(F1408&lt;&gt;"",OR(NOT(ISNUMBER(F1408)),N(F1408)&lt;0)),"Temps par pièce invalide",IF(N(E1408)+N(F1408)=0,"Temps manquant",IF(AND(G1408&lt;&gt;"",OR(NOT(ISNUMBER(G1408)),N(G1408)&lt;=0)),"Opérateurs invalide","OK"))))))))))</f>
        <v/>
      </c>
      <c r="N1408" s="71" t="str">
        <f>IF(AND(fiche_sel&lt;&gt;"",A1408=fiche_sel),COUNTIF(A$6:A1408,fiche_sel),"")</f>
        <v/>
      </c>
    </row>
    <row r="1409">
      <c r="A1409" s="60" t="n"/>
      <c r="B1409" s="73" t="n"/>
      <c r="C1409" s="60" t="n"/>
      <c r="D1409" s="61" t="n"/>
      <c r="E1409" s="74" t="n"/>
      <c r="F1409" s="74" t="n"/>
      <c r="G1409" s="73" t="n"/>
      <c r="H1409" s="66" t="str">
        <f>IF(M1409&lt;&gt;"OK","",INDEX(po_mo,MATCH(D1409,po_code,0)))</f>
        <v/>
      </c>
      <c r="I1409" s="66" t="str">
        <f>IF(M1409&lt;&gt;"OK","",INDEX(po_mac,MATCH(D1409,po_code,0)))</f>
        <v/>
      </c>
      <c r="J1409" s="66" t="str">
        <f>IF(M1409&lt;&gt;"OK","",N(E1409)*(H1409*IF(G1409="",1,G1409)+I1409))</f>
        <v/>
      </c>
      <c r="K1409" s="66" t="str">
        <f>IF(M1409&lt;&gt;"OK","",N(F1409)/60*H1409*IF(G1409="",1,G1409))</f>
        <v/>
      </c>
      <c r="L1409" s="66" t="str">
        <f>IF(M1409&lt;&gt;"OK","",N(F1409)/60*I1409)</f>
        <v/>
      </c>
      <c r="M1409" s="69" t="str">
        <f>IF(AND(A1409="",D1409=""),"",IF(A1409="","Produit manquant",IF(COUNTIF(prod_ref,A1409)=0,"Produit inconnu",IF(D1409="","Poste manquant",IF(ISNA(MATCH(D1409,po_code,0)),"Poste inconnu",IF(INDEX(po_check,MATCH(D1409,po_code,0))&lt;&gt;"OK","Poste à corriger",IF(AND(E1409&lt;&gt;"",OR(NOT(ISNUMBER(E1409)),N(E1409)&lt;0)),"Réglage invalide",IF(AND(F1409&lt;&gt;"",OR(NOT(ISNUMBER(F1409)),N(F1409)&lt;0)),"Temps par pièce invalide",IF(N(E1409)+N(F1409)=0,"Temps manquant",IF(AND(G1409&lt;&gt;"",OR(NOT(ISNUMBER(G1409)),N(G1409)&lt;=0)),"Opérateurs invalide","OK"))))))))))</f>
        <v/>
      </c>
      <c r="N1409" s="71" t="str">
        <f>IF(AND(fiche_sel&lt;&gt;"",A1409=fiche_sel),COUNTIF(A$6:A1409,fiche_sel),"")</f>
        <v/>
      </c>
    </row>
    <row r="1410">
      <c r="A1410" s="60" t="n"/>
      <c r="B1410" s="73" t="n"/>
      <c r="C1410" s="60" t="n"/>
      <c r="D1410" s="61" t="n"/>
      <c r="E1410" s="74" t="n"/>
      <c r="F1410" s="74" t="n"/>
      <c r="G1410" s="73" t="n"/>
      <c r="H1410" s="66" t="str">
        <f>IF(M1410&lt;&gt;"OK","",INDEX(po_mo,MATCH(D1410,po_code,0)))</f>
        <v/>
      </c>
      <c r="I1410" s="66" t="str">
        <f>IF(M1410&lt;&gt;"OK","",INDEX(po_mac,MATCH(D1410,po_code,0)))</f>
        <v/>
      </c>
      <c r="J1410" s="66" t="str">
        <f>IF(M1410&lt;&gt;"OK","",N(E1410)*(H1410*IF(G1410="",1,G1410)+I1410))</f>
        <v/>
      </c>
      <c r="K1410" s="66" t="str">
        <f>IF(M1410&lt;&gt;"OK","",N(F1410)/60*H1410*IF(G1410="",1,G1410))</f>
        <v/>
      </c>
      <c r="L1410" s="66" t="str">
        <f>IF(M1410&lt;&gt;"OK","",N(F1410)/60*I1410)</f>
        <v/>
      </c>
      <c r="M1410" s="69" t="str">
        <f>IF(AND(A1410="",D1410=""),"",IF(A1410="","Produit manquant",IF(COUNTIF(prod_ref,A1410)=0,"Produit inconnu",IF(D1410="","Poste manquant",IF(ISNA(MATCH(D1410,po_code,0)),"Poste inconnu",IF(INDEX(po_check,MATCH(D1410,po_code,0))&lt;&gt;"OK","Poste à corriger",IF(AND(E1410&lt;&gt;"",OR(NOT(ISNUMBER(E1410)),N(E1410)&lt;0)),"Réglage invalide",IF(AND(F1410&lt;&gt;"",OR(NOT(ISNUMBER(F1410)),N(F1410)&lt;0)),"Temps par pièce invalide",IF(N(E1410)+N(F1410)=0,"Temps manquant",IF(AND(G1410&lt;&gt;"",OR(NOT(ISNUMBER(G1410)),N(G1410)&lt;=0)),"Opérateurs invalide","OK"))))))))))</f>
        <v/>
      </c>
      <c r="N1410" s="71" t="str">
        <f>IF(AND(fiche_sel&lt;&gt;"",A1410=fiche_sel),COUNTIF(A$6:A1410,fiche_sel),"")</f>
        <v/>
      </c>
    </row>
    <row r="1411">
      <c r="A1411" s="60" t="n"/>
      <c r="B1411" s="73" t="n"/>
      <c r="C1411" s="60" t="n"/>
      <c r="D1411" s="61" t="n"/>
      <c r="E1411" s="74" t="n"/>
      <c r="F1411" s="74" t="n"/>
      <c r="G1411" s="73" t="n"/>
      <c r="H1411" s="66" t="str">
        <f>IF(M1411&lt;&gt;"OK","",INDEX(po_mo,MATCH(D1411,po_code,0)))</f>
        <v/>
      </c>
      <c r="I1411" s="66" t="str">
        <f>IF(M1411&lt;&gt;"OK","",INDEX(po_mac,MATCH(D1411,po_code,0)))</f>
        <v/>
      </c>
      <c r="J1411" s="66" t="str">
        <f>IF(M1411&lt;&gt;"OK","",N(E1411)*(H1411*IF(G1411="",1,G1411)+I1411))</f>
        <v/>
      </c>
      <c r="K1411" s="66" t="str">
        <f>IF(M1411&lt;&gt;"OK","",N(F1411)/60*H1411*IF(G1411="",1,G1411))</f>
        <v/>
      </c>
      <c r="L1411" s="66" t="str">
        <f>IF(M1411&lt;&gt;"OK","",N(F1411)/60*I1411)</f>
        <v/>
      </c>
      <c r="M1411" s="69" t="str">
        <f>IF(AND(A1411="",D1411=""),"",IF(A1411="","Produit manquant",IF(COUNTIF(prod_ref,A1411)=0,"Produit inconnu",IF(D1411="","Poste manquant",IF(ISNA(MATCH(D1411,po_code,0)),"Poste inconnu",IF(INDEX(po_check,MATCH(D1411,po_code,0))&lt;&gt;"OK","Poste à corriger",IF(AND(E1411&lt;&gt;"",OR(NOT(ISNUMBER(E1411)),N(E1411)&lt;0)),"Réglage invalide",IF(AND(F1411&lt;&gt;"",OR(NOT(ISNUMBER(F1411)),N(F1411)&lt;0)),"Temps par pièce invalide",IF(N(E1411)+N(F1411)=0,"Temps manquant",IF(AND(G1411&lt;&gt;"",OR(NOT(ISNUMBER(G1411)),N(G1411)&lt;=0)),"Opérateurs invalide","OK"))))))))))</f>
        <v/>
      </c>
      <c r="N1411" s="71" t="str">
        <f>IF(AND(fiche_sel&lt;&gt;"",A1411=fiche_sel),COUNTIF(A$6:A1411,fiche_sel),"")</f>
        <v/>
      </c>
    </row>
    <row r="1412">
      <c r="A1412" s="60" t="n"/>
      <c r="B1412" s="73" t="n"/>
      <c r="C1412" s="60" t="n"/>
      <c r="D1412" s="61" t="n"/>
      <c r="E1412" s="74" t="n"/>
      <c r="F1412" s="74" t="n"/>
      <c r="G1412" s="73" t="n"/>
      <c r="H1412" s="66" t="str">
        <f>IF(M1412&lt;&gt;"OK","",INDEX(po_mo,MATCH(D1412,po_code,0)))</f>
        <v/>
      </c>
      <c r="I1412" s="66" t="str">
        <f>IF(M1412&lt;&gt;"OK","",INDEX(po_mac,MATCH(D1412,po_code,0)))</f>
        <v/>
      </c>
      <c r="J1412" s="66" t="str">
        <f>IF(M1412&lt;&gt;"OK","",N(E1412)*(H1412*IF(G1412="",1,G1412)+I1412))</f>
        <v/>
      </c>
      <c r="K1412" s="66" t="str">
        <f>IF(M1412&lt;&gt;"OK","",N(F1412)/60*H1412*IF(G1412="",1,G1412))</f>
        <v/>
      </c>
      <c r="L1412" s="66" t="str">
        <f>IF(M1412&lt;&gt;"OK","",N(F1412)/60*I1412)</f>
        <v/>
      </c>
      <c r="M1412" s="69" t="str">
        <f>IF(AND(A1412="",D1412=""),"",IF(A1412="","Produit manquant",IF(COUNTIF(prod_ref,A1412)=0,"Produit inconnu",IF(D1412="","Poste manquant",IF(ISNA(MATCH(D1412,po_code,0)),"Poste inconnu",IF(INDEX(po_check,MATCH(D1412,po_code,0))&lt;&gt;"OK","Poste à corriger",IF(AND(E1412&lt;&gt;"",OR(NOT(ISNUMBER(E1412)),N(E1412)&lt;0)),"Réglage invalide",IF(AND(F1412&lt;&gt;"",OR(NOT(ISNUMBER(F1412)),N(F1412)&lt;0)),"Temps par pièce invalide",IF(N(E1412)+N(F1412)=0,"Temps manquant",IF(AND(G1412&lt;&gt;"",OR(NOT(ISNUMBER(G1412)),N(G1412)&lt;=0)),"Opérateurs invalide","OK"))))))))))</f>
        <v/>
      </c>
      <c r="N1412" s="71" t="str">
        <f>IF(AND(fiche_sel&lt;&gt;"",A1412=fiche_sel),COUNTIF(A$6:A1412,fiche_sel),"")</f>
        <v/>
      </c>
    </row>
    <row r="1413">
      <c r="A1413" s="60" t="n"/>
      <c r="B1413" s="73" t="n"/>
      <c r="C1413" s="60" t="n"/>
      <c r="D1413" s="61" t="n"/>
      <c r="E1413" s="74" t="n"/>
      <c r="F1413" s="74" t="n"/>
      <c r="G1413" s="73" t="n"/>
      <c r="H1413" s="66" t="str">
        <f>IF(M1413&lt;&gt;"OK","",INDEX(po_mo,MATCH(D1413,po_code,0)))</f>
        <v/>
      </c>
      <c r="I1413" s="66" t="str">
        <f>IF(M1413&lt;&gt;"OK","",INDEX(po_mac,MATCH(D1413,po_code,0)))</f>
        <v/>
      </c>
      <c r="J1413" s="66" t="str">
        <f>IF(M1413&lt;&gt;"OK","",N(E1413)*(H1413*IF(G1413="",1,G1413)+I1413))</f>
        <v/>
      </c>
      <c r="K1413" s="66" t="str">
        <f>IF(M1413&lt;&gt;"OK","",N(F1413)/60*H1413*IF(G1413="",1,G1413))</f>
        <v/>
      </c>
      <c r="L1413" s="66" t="str">
        <f>IF(M1413&lt;&gt;"OK","",N(F1413)/60*I1413)</f>
        <v/>
      </c>
      <c r="M1413" s="69" t="str">
        <f>IF(AND(A1413="",D1413=""),"",IF(A1413="","Produit manquant",IF(COUNTIF(prod_ref,A1413)=0,"Produit inconnu",IF(D1413="","Poste manquant",IF(ISNA(MATCH(D1413,po_code,0)),"Poste inconnu",IF(INDEX(po_check,MATCH(D1413,po_code,0))&lt;&gt;"OK","Poste à corriger",IF(AND(E1413&lt;&gt;"",OR(NOT(ISNUMBER(E1413)),N(E1413)&lt;0)),"Réglage invalide",IF(AND(F1413&lt;&gt;"",OR(NOT(ISNUMBER(F1413)),N(F1413)&lt;0)),"Temps par pièce invalide",IF(N(E1413)+N(F1413)=0,"Temps manquant",IF(AND(G1413&lt;&gt;"",OR(NOT(ISNUMBER(G1413)),N(G1413)&lt;=0)),"Opérateurs invalide","OK"))))))))))</f>
        <v/>
      </c>
      <c r="N1413" s="71" t="str">
        <f>IF(AND(fiche_sel&lt;&gt;"",A1413=fiche_sel),COUNTIF(A$6:A1413,fiche_sel),"")</f>
        <v/>
      </c>
    </row>
    <row r="1414">
      <c r="A1414" s="60" t="n"/>
      <c r="B1414" s="73" t="n"/>
      <c r="C1414" s="60" t="n"/>
      <c r="D1414" s="61" t="n"/>
      <c r="E1414" s="74" t="n"/>
      <c r="F1414" s="74" t="n"/>
      <c r="G1414" s="73" t="n"/>
      <c r="H1414" s="66" t="str">
        <f>IF(M1414&lt;&gt;"OK","",INDEX(po_mo,MATCH(D1414,po_code,0)))</f>
        <v/>
      </c>
      <c r="I1414" s="66" t="str">
        <f>IF(M1414&lt;&gt;"OK","",INDEX(po_mac,MATCH(D1414,po_code,0)))</f>
        <v/>
      </c>
      <c r="J1414" s="66" t="str">
        <f>IF(M1414&lt;&gt;"OK","",N(E1414)*(H1414*IF(G1414="",1,G1414)+I1414))</f>
        <v/>
      </c>
      <c r="K1414" s="66" t="str">
        <f>IF(M1414&lt;&gt;"OK","",N(F1414)/60*H1414*IF(G1414="",1,G1414))</f>
        <v/>
      </c>
      <c r="L1414" s="66" t="str">
        <f>IF(M1414&lt;&gt;"OK","",N(F1414)/60*I1414)</f>
        <v/>
      </c>
      <c r="M1414" s="69" t="str">
        <f>IF(AND(A1414="",D1414=""),"",IF(A1414="","Produit manquant",IF(COUNTIF(prod_ref,A1414)=0,"Produit inconnu",IF(D1414="","Poste manquant",IF(ISNA(MATCH(D1414,po_code,0)),"Poste inconnu",IF(INDEX(po_check,MATCH(D1414,po_code,0))&lt;&gt;"OK","Poste à corriger",IF(AND(E1414&lt;&gt;"",OR(NOT(ISNUMBER(E1414)),N(E1414)&lt;0)),"Réglage invalide",IF(AND(F1414&lt;&gt;"",OR(NOT(ISNUMBER(F1414)),N(F1414)&lt;0)),"Temps par pièce invalide",IF(N(E1414)+N(F1414)=0,"Temps manquant",IF(AND(G1414&lt;&gt;"",OR(NOT(ISNUMBER(G1414)),N(G1414)&lt;=0)),"Opérateurs invalide","OK"))))))))))</f>
        <v/>
      </c>
      <c r="N1414" s="71" t="str">
        <f>IF(AND(fiche_sel&lt;&gt;"",A1414=fiche_sel),COUNTIF(A$6:A1414,fiche_sel),"")</f>
        <v/>
      </c>
    </row>
    <row r="1415">
      <c r="A1415" s="60" t="n"/>
      <c r="B1415" s="73" t="n"/>
      <c r="C1415" s="60" t="n"/>
      <c r="D1415" s="61" t="n"/>
      <c r="E1415" s="74" t="n"/>
      <c r="F1415" s="74" t="n"/>
      <c r="G1415" s="73" t="n"/>
      <c r="H1415" s="66" t="str">
        <f>IF(M1415&lt;&gt;"OK","",INDEX(po_mo,MATCH(D1415,po_code,0)))</f>
        <v/>
      </c>
      <c r="I1415" s="66" t="str">
        <f>IF(M1415&lt;&gt;"OK","",INDEX(po_mac,MATCH(D1415,po_code,0)))</f>
        <v/>
      </c>
      <c r="J1415" s="66" t="str">
        <f>IF(M1415&lt;&gt;"OK","",N(E1415)*(H1415*IF(G1415="",1,G1415)+I1415))</f>
        <v/>
      </c>
      <c r="K1415" s="66" t="str">
        <f>IF(M1415&lt;&gt;"OK","",N(F1415)/60*H1415*IF(G1415="",1,G1415))</f>
        <v/>
      </c>
      <c r="L1415" s="66" t="str">
        <f>IF(M1415&lt;&gt;"OK","",N(F1415)/60*I1415)</f>
        <v/>
      </c>
      <c r="M1415" s="69" t="str">
        <f>IF(AND(A1415="",D1415=""),"",IF(A1415="","Produit manquant",IF(COUNTIF(prod_ref,A1415)=0,"Produit inconnu",IF(D1415="","Poste manquant",IF(ISNA(MATCH(D1415,po_code,0)),"Poste inconnu",IF(INDEX(po_check,MATCH(D1415,po_code,0))&lt;&gt;"OK","Poste à corriger",IF(AND(E1415&lt;&gt;"",OR(NOT(ISNUMBER(E1415)),N(E1415)&lt;0)),"Réglage invalide",IF(AND(F1415&lt;&gt;"",OR(NOT(ISNUMBER(F1415)),N(F1415)&lt;0)),"Temps par pièce invalide",IF(N(E1415)+N(F1415)=0,"Temps manquant",IF(AND(G1415&lt;&gt;"",OR(NOT(ISNUMBER(G1415)),N(G1415)&lt;=0)),"Opérateurs invalide","OK"))))))))))</f>
        <v/>
      </c>
      <c r="N1415" s="71" t="str">
        <f>IF(AND(fiche_sel&lt;&gt;"",A1415=fiche_sel),COUNTIF(A$6:A1415,fiche_sel),"")</f>
        <v/>
      </c>
    </row>
    <row r="1416">
      <c r="A1416" s="60" t="n"/>
      <c r="B1416" s="73" t="n"/>
      <c r="C1416" s="60" t="n"/>
      <c r="D1416" s="61" t="n"/>
      <c r="E1416" s="74" t="n"/>
      <c r="F1416" s="74" t="n"/>
      <c r="G1416" s="73" t="n"/>
      <c r="H1416" s="66" t="str">
        <f>IF(M1416&lt;&gt;"OK","",INDEX(po_mo,MATCH(D1416,po_code,0)))</f>
        <v/>
      </c>
      <c r="I1416" s="66" t="str">
        <f>IF(M1416&lt;&gt;"OK","",INDEX(po_mac,MATCH(D1416,po_code,0)))</f>
        <v/>
      </c>
      <c r="J1416" s="66" t="str">
        <f>IF(M1416&lt;&gt;"OK","",N(E1416)*(H1416*IF(G1416="",1,G1416)+I1416))</f>
        <v/>
      </c>
      <c r="K1416" s="66" t="str">
        <f>IF(M1416&lt;&gt;"OK","",N(F1416)/60*H1416*IF(G1416="",1,G1416))</f>
        <v/>
      </c>
      <c r="L1416" s="66" t="str">
        <f>IF(M1416&lt;&gt;"OK","",N(F1416)/60*I1416)</f>
        <v/>
      </c>
      <c r="M1416" s="69" t="str">
        <f>IF(AND(A1416="",D1416=""),"",IF(A1416="","Produit manquant",IF(COUNTIF(prod_ref,A1416)=0,"Produit inconnu",IF(D1416="","Poste manquant",IF(ISNA(MATCH(D1416,po_code,0)),"Poste inconnu",IF(INDEX(po_check,MATCH(D1416,po_code,0))&lt;&gt;"OK","Poste à corriger",IF(AND(E1416&lt;&gt;"",OR(NOT(ISNUMBER(E1416)),N(E1416)&lt;0)),"Réglage invalide",IF(AND(F1416&lt;&gt;"",OR(NOT(ISNUMBER(F1416)),N(F1416)&lt;0)),"Temps par pièce invalide",IF(N(E1416)+N(F1416)=0,"Temps manquant",IF(AND(G1416&lt;&gt;"",OR(NOT(ISNUMBER(G1416)),N(G1416)&lt;=0)),"Opérateurs invalide","OK"))))))))))</f>
        <v/>
      </c>
      <c r="N1416" s="71" t="str">
        <f>IF(AND(fiche_sel&lt;&gt;"",A1416=fiche_sel),COUNTIF(A$6:A1416,fiche_sel),"")</f>
        <v/>
      </c>
    </row>
    <row r="1417">
      <c r="A1417" s="60" t="n"/>
      <c r="B1417" s="73" t="n"/>
      <c r="C1417" s="60" t="n"/>
      <c r="D1417" s="61" t="n"/>
      <c r="E1417" s="74" t="n"/>
      <c r="F1417" s="74" t="n"/>
      <c r="G1417" s="73" t="n"/>
      <c r="H1417" s="66" t="str">
        <f>IF(M1417&lt;&gt;"OK","",INDEX(po_mo,MATCH(D1417,po_code,0)))</f>
        <v/>
      </c>
      <c r="I1417" s="66" t="str">
        <f>IF(M1417&lt;&gt;"OK","",INDEX(po_mac,MATCH(D1417,po_code,0)))</f>
        <v/>
      </c>
      <c r="J1417" s="66" t="str">
        <f>IF(M1417&lt;&gt;"OK","",N(E1417)*(H1417*IF(G1417="",1,G1417)+I1417))</f>
        <v/>
      </c>
      <c r="K1417" s="66" t="str">
        <f>IF(M1417&lt;&gt;"OK","",N(F1417)/60*H1417*IF(G1417="",1,G1417))</f>
        <v/>
      </c>
      <c r="L1417" s="66" t="str">
        <f>IF(M1417&lt;&gt;"OK","",N(F1417)/60*I1417)</f>
        <v/>
      </c>
      <c r="M1417" s="69" t="str">
        <f>IF(AND(A1417="",D1417=""),"",IF(A1417="","Produit manquant",IF(COUNTIF(prod_ref,A1417)=0,"Produit inconnu",IF(D1417="","Poste manquant",IF(ISNA(MATCH(D1417,po_code,0)),"Poste inconnu",IF(INDEX(po_check,MATCH(D1417,po_code,0))&lt;&gt;"OK","Poste à corriger",IF(AND(E1417&lt;&gt;"",OR(NOT(ISNUMBER(E1417)),N(E1417)&lt;0)),"Réglage invalide",IF(AND(F1417&lt;&gt;"",OR(NOT(ISNUMBER(F1417)),N(F1417)&lt;0)),"Temps par pièce invalide",IF(N(E1417)+N(F1417)=0,"Temps manquant",IF(AND(G1417&lt;&gt;"",OR(NOT(ISNUMBER(G1417)),N(G1417)&lt;=0)),"Opérateurs invalide","OK"))))))))))</f>
        <v/>
      </c>
      <c r="N1417" s="71" t="str">
        <f>IF(AND(fiche_sel&lt;&gt;"",A1417=fiche_sel),COUNTIF(A$6:A1417,fiche_sel),"")</f>
        <v/>
      </c>
    </row>
    <row r="1418">
      <c r="A1418" s="60" t="n"/>
      <c r="B1418" s="73" t="n"/>
      <c r="C1418" s="60" t="n"/>
      <c r="D1418" s="61" t="n"/>
      <c r="E1418" s="74" t="n"/>
      <c r="F1418" s="74" t="n"/>
      <c r="G1418" s="73" t="n"/>
      <c r="H1418" s="66" t="str">
        <f>IF(M1418&lt;&gt;"OK","",INDEX(po_mo,MATCH(D1418,po_code,0)))</f>
        <v/>
      </c>
      <c r="I1418" s="66" t="str">
        <f>IF(M1418&lt;&gt;"OK","",INDEX(po_mac,MATCH(D1418,po_code,0)))</f>
        <v/>
      </c>
      <c r="J1418" s="66" t="str">
        <f>IF(M1418&lt;&gt;"OK","",N(E1418)*(H1418*IF(G1418="",1,G1418)+I1418))</f>
        <v/>
      </c>
      <c r="K1418" s="66" t="str">
        <f>IF(M1418&lt;&gt;"OK","",N(F1418)/60*H1418*IF(G1418="",1,G1418))</f>
        <v/>
      </c>
      <c r="L1418" s="66" t="str">
        <f>IF(M1418&lt;&gt;"OK","",N(F1418)/60*I1418)</f>
        <v/>
      </c>
      <c r="M1418" s="69" t="str">
        <f>IF(AND(A1418="",D1418=""),"",IF(A1418="","Produit manquant",IF(COUNTIF(prod_ref,A1418)=0,"Produit inconnu",IF(D1418="","Poste manquant",IF(ISNA(MATCH(D1418,po_code,0)),"Poste inconnu",IF(INDEX(po_check,MATCH(D1418,po_code,0))&lt;&gt;"OK","Poste à corriger",IF(AND(E1418&lt;&gt;"",OR(NOT(ISNUMBER(E1418)),N(E1418)&lt;0)),"Réglage invalide",IF(AND(F1418&lt;&gt;"",OR(NOT(ISNUMBER(F1418)),N(F1418)&lt;0)),"Temps par pièce invalide",IF(N(E1418)+N(F1418)=0,"Temps manquant",IF(AND(G1418&lt;&gt;"",OR(NOT(ISNUMBER(G1418)),N(G1418)&lt;=0)),"Opérateurs invalide","OK"))))))))))</f>
        <v/>
      </c>
      <c r="N1418" s="71" t="str">
        <f>IF(AND(fiche_sel&lt;&gt;"",A1418=fiche_sel),COUNTIF(A$6:A1418,fiche_sel),"")</f>
        <v/>
      </c>
    </row>
    <row r="1419">
      <c r="A1419" s="60" t="n"/>
      <c r="B1419" s="73" t="n"/>
      <c r="C1419" s="60" t="n"/>
      <c r="D1419" s="61" t="n"/>
      <c r="E1419" s="74" t="n"/>
      <c r="F1419" s="74" t="n"/>
      <c r="G1419" s="73" t="n"/>
      <c r="H1419" s="66" t="str">
        <f>IF(M1419&lt;&gt;"OK","",INDEX(po_mo,MATCH(D1419,po_code,0)))</f>
        <v/>
      </c>
      <c r="I1419" s="66" t="str">
        <f>IF(M1419&lt;&gt;"OK","",INDEX(po_mac,MATCH(D1419,po_code,0)))</f>
        <v/>
      </c>
      <c r="J1419" s="66" t="str">
        <f>IF(M1419&lt;&gt;"OK","",N(E1419)*(H1419*IF(G1419="",1,G1419)+I1419))</f>
        <v/>
      </c>
      <c r="K1419" s="66" t="str">
        <f>IF(M1419&lt;&gt;"OK","",N(F1419)/60*H1419*IF(G1419="",1,G1419))</f>
        <v/>
      </c>
      <c r="L1419" s="66" t="str">
        <f>IF(M1419&lt;&gt;"OK","",N(F1419)/60*I1419)</f>
        <v/>
      </c>
      <c r="M1419" s="69" t="str">
        <f>IF(AND(A1419="",D1419=""),"",IF(A1419="","Produit manquant",IF(COUNTIF(prod_ref,A1419)=0,"Produit inconnu",IF(D1419="","Poste manquant",IF(ISNA(MATCH(D1419,po_code,0)),"Poste inconnu",IF(INDEX(po_check,MATCH(D1419,po_code,0))&lt;&gt;"OK","Poste à corriger",IF(AND(E1419&lt;&gt;"",OR(NOT(ISNUMBER(E1419)),N(E1419)&lt;0)),"Réglage invalide",IF(AND(F1419&lt;&gt;"",OR(NOT(ISNUMBER(F1419)),N(F1419)&lt;0)),"Temps par pièce invalide",IF(N(E1419)+N(F1419)=0,"Temps manquant",IF(AND(G1419&lt;&gt;"",OR(NOT(ISNUMBER(G1419)),N(G1419)&lt;=0)),"Opérateurs invalide","OK"))))))))))</f>
        <v/>
      </c>
      <c r="N1419" s="71" t="str">
        <f>IF(AND(fiche_sel&lt;&gt;"",A1419=fiche_sel),COUNTIF(A$6:A1419,fiche_sel),"")</f>
        <v/>
      </c>
    </row>
    <row r="1420">
      <c r="A1420" s="60" t="n"/>
      <c r="B1420" s="73" t="n"/>
      <c r="C1420" s="60" t="n"/>
      <c r="D1420" s="61" t="n"/>
      <c r="E1420" s="74" t="n"/>
      <c r="F1420" s="74" t="n"/>
      <c r="G1420" s="73" t="n"/>
      <c r="H1420" s="66" t="str">
        <f>IF(M1420&lt;&gt;"OK","",INDEX(po_mo,MATCH(D1420,po_code,0)))</f>
        <v/>
      </c>
      <c r="I1420" s="66" t="str">
        <f>IF(M1420&lt;&gt;"OK","",INDEX(po_mac,MATCH(D1420,po_code,0)))</f>
        <v/>
      </c>
      <c r="J1420" s="66" t="str">
        <f>IF(M1420&lt;&gt;"OK","",N(E1420)*(H1420*IF(G1420="",1,G1420)+I1420))</f>
        <v/>
      </c>
      <c r="K1420" s="66" t="str">
        <f>IF(M1420&lt;&gt;"OK","",N(F1420)/60*H1420*IF(G1420="",1,G1420))</f>
        <v/>
      </c>
      <c r="L1420" s="66" t="str">
        <f>IF(M1420&lt;&gt;"OK","",N(F1420)/60*I1420)</f>
        <v/>
      </c>
      <c r="M1420" s="69" t="str">
        <f>IF(AND(A1420="",D1420=""),"",IF(A1420="","Produit manquant",IF(COUNTIF(prod_ref,A1420)=0,"Produit inconnu",IF(D1420="","Poste manquant",IF(ISNA(MATCH(D1420,po_code,0)),"Poste inconnu",IF(INDEX(po_check,MATCH(D1420,po_code,0))&lt;&gt;"OK","Poste à corriger",IF(AND(E1420&lt;&gt;"",OR(NOT(ISNUMBER(E1420)),N(E1420)&lt;0)),"Réglage invalide",IF(AND(F1420&lt;&gt;"",OR(NOT(ISNUMBER(F1420)),N(F1420)&lt;0)),"Temps par pièce invalide",IF(N(E1420)+N(F1420)=0,"Temps manquant",IF(AND(G1420&lt;&gt;"",OR(NOT(ISNUMBER(G1420)),N(G1420)&lt;=0)),"Opérateurs invalide","OK"))))))))))</f>
        <v/>
      </c>
      <c r="N1420" s="71" t="str">
        <f>IF(AND(fiche_sel&lt;&gt;"",A1420=fiche_sel),COUNTIF(A$6:A1420,fiche_sel),"")</f>
        <v/>
      </c>
    </row>
    <row r="1421">
      <c r="A1421" s="60" t="n"/>
      <c r="B1421" s="73" t="n"/>
      <c r="C1421" s="60" t="n"/>
      <c r="D1421" s="61" t="n"/>
      <c r="E1421" s="74" t="n"/>
      <c r="F1421" s="74" t="n"/>
      <c r="G1421" s="73" t="n"/>
      <c r="H1421" s="66" t="str">
        <f>IF(M1421&lt;&gt;"OK","",INDEX(po_mo,MATCH(D1421,po_code,0)))</f>
        <v/>
      </c>
      <c r="I1421" s="66" t="str">
        <f>IF(M1421&lt;&gt;"OK","",INDEX(po_mac,MATCH(D1421,po_code,0)))</f>
        <v/>
      </c>
      <c r="J1421" s="66" t="str">
        <f>IF(M1421&lt;&gt;"OK","",N(E1421)*(H1421*IF(G1421="",1,G1421)+I1421))</f>
        <v/>
      </c>
      <c r="K1421" s="66" t="str">
        <f>IF(M1421&lt;&gt;"OK","",N(F1421)/60*H1421*IF(G1421="",1,G1421))</f>
        <v/>
      </c>
      <c r="L1421" s="66" t="str">
        <f>IF(M1421&lt;&gt;"OK","",N(F1421)/60*I1421)</f>
        <v/>
      </c>
      <c r="M1421" s="69" t="str">
        <f>IF(AND(A1421="",D1421=""),"",IF(A1421="","Produit manquant",IF(COUNTIF(prod_ref,A1421)=0,"Produit inconnu",IF(D1421="","Poste manquant",IF(ISNA(MATCH(D1421,po_code,0)),"Poste inconnu",IF(INDEX(po_check,MATCH(D1421,po_code,0))&lt;&gt;"OK","Poste à corriger",IF(AND(E1421&lt;&gt;"",OR(NOT(ISNUMBER(E1421)),N(E1421)&lt;0)),"Réglage invalide",IF(AND(F1421&lt;&gt;"",OR(NOT(ISNUMBER(F1421)),N(F1421)&lt;0)),"Temps par pièce invalide",IF(N(E1421)+N(F1421)=0,"Temps manquant",IF(AND(G1421&lt;&gt;"",OR(NOT(ISNUMBER(G1421)),N(G1421)&lt;=0)),"Opérateurs invalide","OK"))))))))))</f>
        <v/>
      </c>
      <c r="N1421" s="71" t="str">
        <f>IF(AND(fiche_sel&lt;&gt;"",A1421=fiche_sel),COUNTIF(A$6:A1421,fiche_sel),"")</f>
        <v/>
      </c>
    </row>
    <row r="1422">
      <c r="A1422" s="60" t="n"/>
      <c r="B1422" s="73" t="n"/>
      <c r="C1422" s="60" t="n"/>
      <c r="D1422" s="61" t="n"/>
      <c r="E1422" s="74" t="n"/>
      <c r="F1422" s="74" t="n"/>
      <c r="G1422" s="73" t="n"/>
      <c r="H1422" s="66" t="str">
        <f>IF(M1422&lt;&gt;"OK","",INDEX(po_mo,MATCH(D1422,po_code,0)))</f>
        <v/>
      </c>
      <c r="I1422" s="66" t="str">
        <f>IF(M1422&lt;&gt;"OK","",INDEX(po_mac,MATCH(D1422,po_code,0)))</f>
        <v/>
      </c>
      <c r="J1422" s="66" t="str">
        <f>IF(M1422&lt;&gt;"OK","",N(E1422)*(H1422*IF(G1422="",1,G1422)+I1422))</f>
        <v/>
      </c>
      <c r="K1422" s="66" t="str">
        <f>IF(M1422&lt;&gt;"OK","",N(F1422)/60*H1422*IF(G1422="",1,G1422))</f>
        <v/>
      </c>
      <c r="L1422" s="66" t="str">
        <f>IF(M1422&lt;&gt;"OK","",N(F1422)/60*I1422)</f>
        <v/>
      </c>
      <c r="M1422" s="69" t="str">
        <f>IF(AND(A1422="",D1422=""),"",IF(A1422="","Produit manquant",IF(COUNTIF(prod_ref,A1422)=0,"Produit inconnu",IF(D1422="","Poste manquant",IF(ISNA(MATCH(D1422,po_code,0)),"Poste inconnu",IF(INDEX(po_check,MATCH(D1422,po_code,0))&lt;&gt;"OK","Poste à corriger",IF(AND(E1422&lt;&gt;"",OR(NOT(ISNUMBER(E1422)),N(E1422)&lt;0)),"Réglage invalide",IF(AND(F1422&lt;&gt;"",OR(NOT(ISNUMBER(F1422)),N(F1422)&lt;0)),"Temps par pièce invalide",IF(N(E1422)+N(F1422)=0,"Temps manquant",IF(AND(G1422&lt;&gt;"",OR(NOT(ISNUMBER(G1422)),N(G1422)&lt;=0)),"Opérateurs invalide","OK"))))))))))</f>
        <v/>
      </c>
      <c r="N1422" s="71" t="str">
        <f>IF(AND(fiche_sel&lt;&gt;"",A1422=fiche_sel),COUNTIF(A$6:A1422,fiche_sel),"")</f>
        <v/>
      </c>
    </row>
    <row r="1423">
      <c r="A1423" s="60" t="n"/>
      <c r="B1423" s="73" t="n"/>
      <c r="C1423" s="60" t="n"/>
      <c r="D1423" s="61" t="n"/>
      <c r="E1423" s="74" t="n"/>
      <c r="F1423" s="74" t="n"/>
      <c r="G1423" s="73" t="n"/>
      <c r="H1423" s="66" t="str">
        <f>IF(M1423&lt;&gt;"OK","",INDEX(po_mo,MATCH(D1423,po_code,0)))</f>
        <v/>
      </c>
      <c r="I1423" s="66" t="str">
        <f>IF(M1423&lt;&gt;"OK","",INDEX(po_mac,MATCH(D1423,po_code,0)))</f>
        <v/>
      </c>
      <c r="J1423" s="66" t="str">
        <f>IF(M1423&lt;&gt;"OK","",N(E1423)*(H1423*IF(G1423="",1,G1423)+I1423))</f>
        <v/>
      </c>
      <c r="K1423" s="66" t="str">
        <f>IF(M1423&lt;&gt;"OK","",N(F1423)/60*H1423*IF(G1423="",1,G1423))</f>
        <v/>
      </c>
      <c r="L1423" s="66" t="str">
        <f>IF(M1423&lt;&gt;"OK","",N(F1423)/60*I1423)</f>
        <v/>
      </c>
      <c r="M1423" s="69" t="str">
        <f>IF(AND(A1423="",D1423=""),"",IF(A1423="","Produit manquant",IF(COUNTIF(prod_ref,A1423)=0,"Produit inconnu",IF(D1423="","Poste manquant",IF(ISNA(MATCH(D1423,po_code,0)),"Poste inconnu",IF(INDEX(po_check,MATCH(D1423,po_code,0))&lt;&gt;"OK","Poste à corriger",IF(AND(E1423&lt;&gt;"",OR(NOT(ISNUMBER(E1423)),N(E1423)&lt;0)),"Réglage invalide",IF(AND(F1423&lt;&gt;"",OR(NOT(ISNUMBER(F1423)),N(F1423)&lt;0)),"Temps par pièce invalide",IF(N(E1423)+N(F1423)=0,"Temps manquant",IF(AND(G1423&lt;&gt;"",OR(NOT(ISNUMBER(G1423)),N(G1423)&lt;=0)),"Opérateurs invalide","OK"))))))))))</f>
        <v/>
      </c>
      <c r="N1423" s="71" t="str">
        <f>IF(AND(fiche_sel&lt;&gt;"",A1423=fiche_sel),COUNTIF(A$6:A1423,fiche_sel),"")</f>
        <v/>
      </c>
    </row>
    <row r="1424">
      <c r="A1424" s="60" t="n"/>
      <c r="B1424" s="73" t="n"/>
      <c r="C1424" s="60" t="n"/>
      <c r="D1424" s="61" t="n"/>
      <c r="E1424" s="74" t="n"/>
      <c r="F1424" s="74" t="n"/>
      <c r="G1424" s="73" t="n"/>
      <c r="H1424" s="66" t="str">
        <f>IF(M1424&lt;&gt;"OK","",INDEX(po_mo,MATCH(D1424,po_code,0)))</f>
        <v/>
      </c>
      <c r="I1424" s="66" t="str">
        <f>IF(M1424&lt;&gt;"OK","",INDEX(po_mac,MATCH(D1424,po_code,0)))</f>
        <v/>
      </c>
      <c r="J1424" s="66" t="str">
        <f>IF(M1424&lt;&gt;"OK","",N(E1424)*(H1424*IF(G1424="",1,G1424)+I1424))</f>
        <v/>
      </c>
      <c r="K1424" s="66" t="str">
        <f>IF(M1424&lt;&gt;"OK","",N(F1424)/60*H1424*IF(G1424="",1,G1424))</f>
        <v/>
      </c>
      <c r="L1424" s="66" t="str">
        <f>IF(M1424&lt;&gt;"OK","",N(F1424)/60*I1424)</f>
        <v/>
      </c>
      <c r="M1424" s="69" t="str">
        <f>IF(AND(A1424="",D1424=""),"",IF(A1424="","Produit manquant",IF(COUNTIF(prod_ref,A1424)=0,"Produit inconnu",IF(D1424="","Poste manquant",IF(ISNA(MATCH(D1424,po_code,0)),"Poste inconnu",IF(INDEX(po_check,MATCH(D1424,po_code,0))&lt;&gt;"OK","Poste à corriger",IF(AND(E1424&lt;&gt;"",OR(NOT(ISNUMBER(E1424)),N(E1424)&lt;0)),"Réglage invalide",IF(AND(F1424&lt;&gt;"",OR(NOT(ISNUMBER(F1424)),N(F1424)&lt;0)),"Temps par pièce invalide",IF(N(E1424)+N(F1424)=0,"Temps manquant",IF(AND(G1424&lt;&gt;"",OR(NOT(ISNUMBER(G1424)),N(G1424)&lt;=0)),"Opérateurs invalide","OK"))))))))))</f>
        <v/>
      </c>
      <c r="N1424" s="71" t="str">
        <f>IF(AND(fiche_sel&lt;&gt;"",A1424=fiche_sel),COUNTIF(A$6:A1424,fiche_sel),"")</f>
        <v/>
      </c>
    </row>
    <row r="1425">
      <c r="A1425" s="60" t="n"/>
      <c r="B1425" s="73" t="n"/>
      <c r="C1425" s="60" t="n"/>
      <c r="D1425" s="61" t="n"/>
      <c r="E1425" s="74" t="n"/>
      <c r="F1425" s="74" t="n"/>
      <c r="G1425" s="73" t="n"/>
      <c r="H1425" s="66" t="str">
        <f>IF(M1425&lt;&gt;"OK","",INDEX(po_mo,MATCH(D1425,po_code,0)))</f>
        <v/>
      </c>
      <c r="I1425" s="66" t="str">
        <f>IF(M1425&lt;&gt;"OK","",INDEX(po_mac,MATCH(D1425,po_code,0)))</f>
        <v/>
      </c>
      <c r="J1425" s="66" t="str">
        <f>IF(M1425&lt;&gt;"OK","",N(E1425)*(H1425*IF(G1425="",1,G1425)+I1425))</f>
        <v/>
      </c>
      <c r="K1425" s="66" t="str">
        <f>IF(M1425&lt;&gt;"OK","",N(F1425)/60*H1425*IF(G1425="",1,G1425))</f>
        <v/>
      </c>
      <c r="L1425" s="66" t="str">
        <f>IF(M1425&lt;&gt;"OK","",N(F1425)/60*I1425)</f>
        <v/>
      </c>
      <c r="M1425" s="69" t="str">
        <f>IF(AND(A1425="",D1425=""),"",IF(A1425="","Produit manquant",IF(COUNTIF(prod_ref,A1425)=0,"Produit inconnu",IF(D1425="","Poste manquant",IF(ISNA(MATCH(D1425,po_code,0)),"Poste inconnu",IF(INDEX(po_check,MATCH(D1425,po_code,0))&lt;&gt;"OK","Poste à corriger",IF(AND(E1425&lt;&gt;"",OR(NOT(ISNUMBER(E1425)),N(E1425)&lt;0)),"Réglage invalide",IF(AND(F1425&lt;&gt;"",OR(NOT(ISNUMBER(F1425)),N(F1425)&lt;0)),"Temps par pièce invalide",IF(N(E1425)+N(F1425)=0,"Temps manquant",IF(AND(G1425&lt;&gt;"",OR(NOT(ISNUMBER(G1425)),N(G1425)&lt;=0)),"Opérateurs invalide","OK"))))))))))</f>
        <v/>
      </c>
      <c r="N1425" s="71" t="str">
        <f>IF(AND(fiche_sel&lt;&gt;"",A1425=fiche_sel),COUNTIF(A$6:A1425,fiche_sel),"")</f>
        <v/>
      </c>
    </row>
    <row r="1426">
      <c r="A1426" s="60" t="n"/>
      <c r="B1426" s="73" t="n"/>
      <c r="C1426" s="60" t="n"/>
      <c r="D1426" s="61" t="n"/>
      <c r="E1426" s="74" t="n"/>
      <c r="F1426" s="74" t="n"/>
      <c r="G1426" s="73" t="n"/>
      <c r="H1426" s="66" t="str">
        <f>IF(M1426&lt;&gt;"OK","",INDEX(po_mo,MATCH(D1426,po_code,0)))</f>
        <v/>
      </c>
      <c r="I1426" s="66" t="str">
        <f>IF(M1426&lt;&gt;"OK","",INDEX(po_mac,MATCH(D1426,po_code,0)))</f>
        <v/>
      </c>
      <c r="J1426" s="66" t="str">
        <f>IF(M1426&lt;&gt;"OK","",N(E1426)*(H1426*IF(G1426="",1,G1426)+I1426))</f>
        <v/>
      </c>
      <c r="K1426" s="66" t="str">
        <f>IF(M1426&lt;&gt;"OK","",N(F1426)/60*H1426*IF(G1426="",1,G1426))</f>
        <v/>
      </c>
      <c r="L1426" s="66" t="str">
        <f>IF(M1426&lt;&gt;"OK","",N(F1426)/60*I1426)</f>
        <v/>
      </c>
      <c r="M1426" s="69" t="str">
        <f>IF(AND(A1426="",D1426=""),"",IF(A1426="","Produit manquant",IF(COUNTIF(prod_ref,A1426)=0,"Produit inconnu",IF(D1426="","Poste manquant",IF(ISNA(MATCH(D1426,po_code,0)),"Poste inconnu",IF(INDEX(po_check,MATCH(D1426,po_code,0))&lt;&gt;"OK","Poste à corriger",IF(AND(E1426&lt;&gt;"",OR(NOT(ISNUMBER(E1426)),N(E1426)&lt;0)),"Réglage invalide",IF(AND(F1426&lt;&gt;"",OR(NOT(ISNUMBER(F1426)),N(F1426)&lt;0)),"Temps par pièce invalide",IF(N(E1426)+N(F1426)=0,"Temps manquant",IF(AND(G1426&lt;&gt;"",OR(NOT(ISNUMBER(G1426)),N(G1426)&lt;=0)),"Opérateurs invalide","OK"))))))))))</f>
        <v/>
      </c>
      <c r="N1426" s="71" t="str">
        <f>IF(AND(fiche_sel&lt;&gt;"",A1426=fiche_sel),COUNTIF(A$6:A1426,fiche_sel),"")</f>
        <v/>
      </c>
    </row>
    <row r="1427">
      <c r="A1427" s="60" t="n"/>
      <c r="B1427" s="73" t="n"/>
      <c r="C1427" s="60" t="n"/>
      <c r="D1427" s="61" t="n"/>
      <c r="E1427" s="74" t="n"/>
      <c r="F1427" s="74" t="n"/>
      <c r="G1427" s="73" t="n"/>
      <c r="H1427" s="66" t="str">
        <f>IF(M1427&lt;&gt;"OK","",INDEX(po_mo,MATCH(D1427,po_code,0)))</f>
        <v/>
      </c>
      <c r="I1427" s="66" t="str">
        <f>IF(M1427&lt;&gt;"OK","",INDEX(po_mac,MATCH(D1427,po_code,0)))</f>
        <v/>
      </c>
      <c r="J1427" s="66" t="str">
        <f>IF(M1427&lt;&gt;"OK","",N(E1427)*(H1427*IF(G1427="",1,G1427)+I1427))</f>
        <v/>
      </c>
      <c r="K1427" s="66" t="str">
        <f>IF(M1427&lt;&gt;"OK","",N(F1427)/60*H1427*IF(G1427="",1,G1427))</f>
        <v/>
      </c>
      <c r="L1427" s="66" t="str">
        <f>IF(M1427&lt;&gt;"OK","",N(F1427)/60*I1427)</f>
        <v/>
      </c>
      <c r="M1427" s="69" t="str">
        <f>IF(AND(A1427="",D1427=""),"",IF(A1427="","Produit manquant",IF(COUNTIF(prod_ref,A1427)=0,"Produit inconnu",IF(D1427="","Poste manquant",IF(ISNA(MATCH(D1427,po_code,0)),"Poste inconnu",IF(INDEX(po_check,MATCH(D1427,po_code,0))&lt;&gt;"OK","Poste à corriger",IF(AND(E1427&lt;&gt;"",OR(NOT(ISNUMBER(E1427)),N(E1427)&lt;0)),"Réglage invalide",IF(AND(F1427&lt;&gt;"",OR(NOT(ISNUMBER(F1427)),N(F1427)&lt;0)),"Temps par pièce invalide",IF(N(E1427)+N(F1427)=0,"Temps manquant",IF(AND(G1427&lt;&gt;"",OR(NOT(ISNUMBER(G1427)),N(G1427)&lt;=0)),"Opérateurs invalide","OK"))))))))))</f>
        <v/>
      </c>
      <c r="N1427" s="71" t="str">
        <f>IF(AND(fiche_sel&lt;&gt;"",A1427=fiche_sel),COUNTIF(A$6:A1427,fiche_sel),"")</f>
        <v/>
      </c>
    </row>
    <row r="1428">
      <c r="A1428" s="60" t="n"/>
      <c r="B1428" s="73" t="n"/>
      <c r="C1428" s="60" t="n"/>
      <c r="D1428" s="61" t="n"/>
      <c r="E1428" s="74" t="n"/>
      <c r="F1428" s="74" t="n"/>
      <c r="G1428" s="73" t="n"/>
      <c r="H1428" s="66" t="str">
        <f>IF(M1428&lt;&gt;"OK","",INDEX(po_mo,MATCH(D1428,po_code,0)))</f>
        <v/>
      </c>
      <c r="I1428" s="66" t="str">
        <f>IF(M1428&lt;&gt;"OK","",INDEX(po_mac,MATCH(D1428,po_code,0)))</f>
        <v/>
      </c>
      <c r="J1428" s="66" t="str">
        <f>IF(M1428&lt;&gt;"OK","",N(E1428)*(H1428*IF(G1428="",1,G1428)+I1428))</f>
        <v/>
      </c>
      <c r="K1428" s="66" t="str">
        <f>IF(M1428&lt;&gt;"OK","",N(F1428)/60*H1428*IF(G1428="",1,G1428))</f>
        <v/>
      </c>
      <c r="L1428" s="66" t="str">
        <f>IF(M1428&lt;&gt;"OK","",N(F1428)/60*I1428)</f>
        <v/>
      </c>
      <c r="M1428" s="69" t="str">
        <f>IF(AND(A1428="",D1428=""),"",IF(A1428="","Produit manquant",IF(COUNTIF(prod_ref,A1428)=0,"Produit inconnu",IF(D1428="","Poste manquant",IF(ISNA(MATCH(D1428,po_code,0)),"Poste inconnu",IF(INDEX(po_check,MATCH(D1428,po_code,0))&lt;&gt;"OK","Poste à corriger",IF(AND(E1428&lt;&gt;"",OR(NOT(ISNUMBER(E1428)),N(E1428)&lt;0)),"Réglage invalide",IF(AND(F1428&lt;&gt;"",OR(NOT(ISNUMBER(F1428)),N(F1428)&lt;0)),"Temps par pièce invalide",IF(N(E1428)+N(F1428)=0,"Temps manquant",IF(AND(G1428&lt;&gt;"",OR(NOT(ISNUMBER(G1428)),N(G1428)&lt;=0)),"Opérateurs invalide","OK"))))))))))</f>
        <v/>
      </c>
      <c r="N1428" s="71" t="str">
        <f>IF(AND(fiche_sel&lt;&gt;"",A1428=fiche_sel),COUNTIF(A$6:A1428,fiche_sel),"")</f>
        <v/>
      </c>
    </row>
    <row r="1429">
      <c r="A1429" s="60" t="n"/>
      <c r="B1429" s="73" t="n"/>
      <c r="C1429" s="60" t="n"/>
      <c r="D1429" s="61" t="n"/>
      <c r="E1429" s="74" t="n"/>
      <c r="F1429" s="74" t="n"/>
      <c r="G1429" s="73" t="n"/>
      <c r="H1429" s="66" t="str">
        <f>IF(M1429&lt;&gt;"OK","",INDEX(po_mo,MATCH(D1429,po_code,0)))</f>
        <v/>
      </c>
      <c r="I1429" s="66" t="str">
        <f>IF(M1429&lt;&gt;"OK","",INDEX(po_mac,MATCH(D1429,po_code,0)))</f>
        <v/>
      </c>
      <c r="J1429" s="66" t="str">
        <f>IF(M1429&lt;&gt;"OK","",N(E1429)*(H1429*IF(G1429="",1,G1429)+I1429))</f>
        <v/>
      </c>
      <c r="K1429" s="66" t="str">
        <f>IF(M1429&lt;&gt;"OK","",N(F1429)/60*H1429*IF(G1429="",1,G1429))</f>
        <v/>
      </c>
      <c r="L1429" s="66" t="str">
        <f>IF(M1429&lt;&gt;"OK","",N(F1429)/60*I1429)</f>
        <v/>
      </c>
      <c r="M1429" s="69" t="str">
        <f>IF(AND(A1429="",D1429=""),"",IF(A1429="","Produit manquant",IF(COUNTIF(prod_ref,A1429)=0,"Produit inconnu",IF(D1429="","Poste manquant",IF(ISNA(MATCH(D1429,po_code,0)),"Poste inconnu",IF(INDEX(po_check,MATCH(D1429,po_code,0))&lt;&gt;"OK","Poste à corriger",IF(AND(E1429&lt;&gt;"",OR(NOT(ISNUMBER(E1429)),N(E1429)&lt;0)),"Réglage invalide",IF(AND(F1429&lt;&gt;"",OR(NOT(ISNUMBER(F1429)),N(F1429)&lt;0)),"Temps par pièce invalide",IF(N(E1429)+N(F1429)=0,"Temps manquant",IF(AND(G1429&lt;&gt;"",OR(NOT(ISNUMBER(G1429)),N(G1429)&lt;=0)),"Opérateurs invalide","OK"))))))))))</f>
        <v/>
      </c>
      <c r="N1429" s="71" t="str">
        <f>IF(AND(fiche_sel&lt;&gt;"",A1429=fiche_sel),COUNTIF(A$6:A1429,fiche_sel),"")</f>
        <v/>
      </c>
    </row>
    <row r="1430">
      <c r="A1430" s="60" t="n"/>
      <c r="B1430" s="73" t="n"/>
      <c r="C1430" s="60" t="n"/>
      <c r="D1430" s="61" t="n"/>
      <c r="E1430" s="74" t="n"/>
      <c r="F1430" s="74" t="n"/>
      <c r="G1430" s="73" t="n"/>
      <c r="H1430" s="66" t="str">
        <f>IF(M1430&lt;&gt;"OK","",INDEX(po_mo,MATCH(D1430,po_code,0)))</f>
        <v/>
      </c>
      <c r="I1430" s="66" t="str">
        <f>IF(M1430&lt;&gt;"OK","",INDEX(po_mac,MATCH(D1430,po_code,0)))</f>
        <v/>
      </c>
      <c r="J1430" s="66" t="str">
        <f>IF(M1430&lt;&gt;"OK","",N(E1430)*(H1430*IF(G1430="",1,G1430)+I1430))</f>
        <v/>
      </c>
      <c r="K1430" s="66" t="str">
        <f>IF(M1430&lt;&gt;"OK","",N(F1430)/60*H1430*IF(G1430="",1,G1430))</f>
        <v/>
      </c>
      <c r="L1430" s="66" t="str">
        <f>IF(M1430&lt;&gt;"OK","",N(F1430)/60*I1430)</f>
        <v/>
      </c>
      <c r="M1430" s="69" t="str">
        <f>IF(AND(A1430="",D1430=""),"",IF(A1430="","Produit manquant",IF(COUNTIF(prod_ref,A1430)=0,"Produit inconnu",IF(D1430="","Poste manquant",IF(ISNA(MATCH(D1430,po_code,0)),"Poste inconnu",IF(INDEX(po_check,MATCH(D1430,po_code,0))&lt;&gt;"OK","Poste à corriger",IF(AND(E1430&lt;&gt;"",OR(NOT(ISNUMBER(E1430)),N(E1430)&lt;0)),"Réglage invalide",IF(AND(F1430&lt;&gt;"",OR(NOT(ISNUMBER(F1430)),N(F1430)&lt;0)),"Temps par pièce invalide",IF(N(E1430)+N(F1430)=0,"Temps manquant",IF(AND(G1430&lt;&gt;"",OR(NOT(ISNUMBER(G1430)),N(G1430)&lt;=0)),"Opérateurs invalide","OK"))))))))))</f>
        <v/>
      </c>
      <c r="N1430" s="71" t="str">
        <f>IF(AND(fiche_sel&lt;&gt;"",A1430=fiche_sel),COUNTIF(A$6:A1430,fiche_sel),"")</f>
        <v/>
      </c>
    </row>
    <row r="1431">
      <c r="A1431" s="60" t="n"/>
      <c r="B1431" s="73" t="n"/>
      <c r="C1431" s="60" t="n"/>
      <c r="D1431" s="61" t="n"/>
      <c r="E1431" s="74" t="n"/>
      <c r="F1431" s="74" t="n"/>
      <c r="G1431" s="73" t="n"/>
      <c r="H1431" s="66" t="str">
        <f>IF(M1431&lt;&gt;"OK","",INDEX(po_mo,MATCH(D1431,po_code,0)))</f>
        <v/>
      </c>
      <c r="I1431" s="66" t="str">
        <f>IF(M1431&lt;&gt;"OK","",INDEX(po_mac,MATCH(D1431,po_code,0)))</f>
        <v/>
      </c>
      <c r="J1431" s="66" t="str">
        <f>IF(M1431&lt;&gt;"OK","",N(E1431)*(H1431*IF(G1431="",1,G1431)+I1431))</f>
        <v/>
      </c>
      <c r="K1431" s="66" t="str">
        <f>IF(M1431&lt;&gt;"OK","",N(F1431)/60*H1431*IF(G1431="",1,G1431))</f>
        <v/>
      </c>
      <c r="L1431" s="66" t="str">
        <f>IF(M1431&lt;&gt;"OK","",N(F1431)/60*I1431)</f>
        <v/>
      </c>
      <c r="M1431" s="69" t="str">
        <f>IF(AND(A1431="",D1431=""),"",IF(A1431="","Produit manquant",IF(COUNTIF(prod_ref,A1431)=0,"Produit inconnu",IF(D1431="","Poste manquant",IF(ISNA(MATCH(D1431,po_code,0)),"Poste inconnu",IF(INDEX(po_check,MATCH(D1431,po_code,0))&lt;&gt;"OK","Poste à corriger",IF(AND(E1431&lt;&gt;"",OR(NOT(ISNUMBER(E1431)),N(E1431)&lt;0)),"Réglage invalide",IF(AND(F1431&lt;&gt;"",OR(NOT(ISNUMBER(F1431)),N(F1431)&lt;0)),"Temps par pièce invalide",IF(N(E1431)+N(F1431)=0,"Temps manquant",IF(AND(G1431&lt;&gt;"",OR(NOT(ISNUMBER(G1431)),N(G1431)&lt;=0)),"Opérateurs invalide","OK"))))))))))</f>
        <v/>
      </c>
      <c r="N1431" s="71" t="str">
        <f>IF(AND(fiche_sel&lt;&gt;"",A1431=fiche_sel),COUNTIF(A$6:A1431,fiche_sel),"")</f>
        <v/>
      </c>
    </row>
    <row r="1432">
      <c r="A1432" s="60" t="n"/>
      <c r="B1432" s="73" t="n"/>
      <c r="C1432" s="60" t="n"/>
      <c r="D1432" s="61" t="n"/>
      <c r="E1432" s="74" t="n"/>
      <c r="F1432" s="74" t="n"/>
      <c r="G1432" s="73" t="n"/>
      <c r="H1432" s="66" t="str">
        <f>IF(M1432&lt;&gt;"OK","",INDEX(po_mo,MATCH(D1432,po_code,0)))</f>
        <v/>
      </c>
      <c r="I1432" s="66" t="str">
        <f>IF(M1432&lt;&gt;"OK","",INDEX(po_mac,MATCH(D1432,po_code,0)))</f>
        <v/>
      </c>
      <c r="J1432" s="66" t="str">
        <f>IF(M1432&lt;&gt;"OK","",N(E1432)*(H1432*IF(G1432="",1,G1432)+I1432))</f>
        <v/>
      </c>
      <c r="K1432" s="66" t="str">
        <f>IF(M1432&lt;&gt;"OK","",N(F1432)/60*H1432*IF(G1432="",1,G1432))</f>
        <v/>
      </c>
      <c r="L1432" s="66" t="str">
        <f>IF(M1432&lt;&gt;"OK","",N(F1432)/60*I1432)</f>
        <v/>
      </c>
      <c r="M1432" s="69" t="str">
        <f>IF(AND(A1432="",D1432=""),"",IF(A1432="","Produit manquant",IF(COUNTIF(prod_ref,A1432)=0,"Produit inconnu",IF(D1432="","Poste manquant",IF(ISNA(MATCH(D1432,po_code,0)),"Poste inconnu",IF(INDEX(po_check,MATCH(D1432,po_code,0))&lt;&gt;"OK","Poste à corriger",IF(AND(E1432&lt;&gt;"",OR(NOT(ISNUMBER(E1432)),N(E1432)&lt;0)),"Réglage invalide",IF(AND(F1432&lt;&gt;"",OR(NOT(ISNUMBER(F1432)),N(F1432)&lt;0)),"Temps par pièce invalide",IF(N(E1432)+N(F1432)=0,"Temps manquant",IF(AND(G1432&lt;&gt;"",OR(NOT(ISNUMBER(G1432)),N(G1432)&lt;=0)),"Opérateurs invalide","OK"))))))))))</f>
        <v/>
      </c>
      <c r="N1432" s="71" t="str">
        <f>IF(AND(fiche_sel&lt;&gt;"",A1432=fiche_sel),COUNTIF(A$6:A1432,fiche_sel),"")</f>
        <v/>
      </c>
    </row>
    <row r="1433">
      <c r="A1433" s="60" t="n"/>
      <c r="B1433" s="73" t="n"/>
      <c r="C1433" s="60" t="n"/>
      <c r="D1433" s="61" t="n"/>
      <c r="E1433" s="74" t="n"/>
      <c r="F1433" s="74" t="n"/>
      <c r="G1433" s="73" t="n"/>
      <c r="H1433" s="66" t="str">
        <f>IF(M1433&lt;&gt;"OK","",INDEX(po_mo,MATCH(D1433,po_code,0)))</f>
        <v/>
      </c>
      <c r="I1433" s="66" t="str">
        <f>IF(M1433&lt;&gt;"OK","",INDEX(po_mac,MATCH(D1433,po_code,0)))</f>
        <v/>
      </c>
      <c r="J1433" s="66" t="str">
        <f>IF(M1433&lt;&gt;"OK","",N(E1433)*(H1433*IF(G1433="",1,G1433)+I1433))</f>
        <v/>
      </c>
      <c r="K1433" s="66" t="str">
        <f>IF(M1433&lt;&gt;"OK","",N(F1433)/60*H1433*IF(G1433="",1,G1433))</f>
        <v/>
      </c>
      <c r="L1433" s="66" t="str">
        <f>IF(M1433&lt;&gt;"OK","",N(F1433)/60*I1433)</f>
        <v/>
      </c>
      <c r="M1433" s="69" t="str">
        <f>IF(AND(A1433="",D1433=""),"",IF(A1433="","Produit manquant",IF(COUNTIF(prod_ref,A1433)=0,"Produit inconnu",IF(D1433="","Poste manquant",IF(ISNA(MATCH(D1433,po_code,0)),"Poste inconnu",IF(INDEX(po_check,MATCH(D1433,po_code,0))&lt;&gt;"OK","Poste à corriger",IF(AND(E1433&lt;&gt;"",OR(NOT(ISNUMBER(E1433)),N(E1433)&lt;0)),"Réglage invalide",IF(AND(F1433&lt;&gt;"",OR(NOT(ISNUMBER(F1433)),N(F1433)&lt;0)),"Temps par pièce invalide",IF(N(E1433)+N(F1433)=0,"Temps manquant",IF(AND(G1433&lt;&gt;"",OR(NOT(ISNUMBER(G1433)),N(G1433)&lt;=0)),"Opérateurs invalide","OK"))))))))))</f>
        <v/>
      </c>
      <c r="N1433" s="71" t="str">
        <f>IF(AND(fiche_sel&lt;&gt;"",A1433=fiche_sel),COUNTIF(A$6:A1433,fiche_sel),"")</f>
        <v/>
      </c>
    </row>
    <row r="1434">
      <c r="A1434" s="60" t="n"/>
      <c r="B1434" s="73" t="n"/>
      <c r="C1434" s="60" t="n"/>
      <c r="D1434" s="61" t="n"/>
      <c r="E1434" s="74" t="n"/>
      <c r="F1434" s="74" t="n"/>
      <c r="G1434" s="73" t="n"/>
      <c r="H1434" s="66" t="str">
        <f>IF(M1434&lt;&gt;"OK","",INDEX(po_mo,MATCH(D1434,po_code,0)))</f>
        <v/>
      </c>
      <c r="I1434" s="66" t="str">
        <f>IF(M1434&lt;&gt;"OK","",INDEX(po_mac,MATCH(D1434,po_code,0)))</f>
        <v/>
      </c>
      <c r="J1434" s="66" t="str">
        <f>IF(M1434&lt;&gt;"OK","",N(E1434)*(H1434*IF(G1434="",1,G1434)+I1434))</f>
        <v/>
      </c>
      <c r="K1434" s="66" t="str">
        <f>IF(M1434&lt;&gt;"OK","",N(F1434)/60*H1434*IF(G1434="",1,G1434))</f>
        <v/>
      </c>
      <c r="L1434" s="66" t="str">
        <f>IF(M1434&lt;&gt;"OK","",N(F1434)/60*I1434)</f>
        <v/>
      </c>
      <c r="M1434" s="69" t="str">
        <f>IF(AND(A1434="",D1434=""),"",IF(A1434="","Produit manquant",IF(COUNTIF(prod_ref,A1434)=0,"Produit inconnu",IF(D1434="","Poste manquant",IF(ISNA(MATCH(D1434,po_code,0)),"Poste inconnu",IF(INDEX(po_check,MATCH(D1434,po_code,0))&lt;&gt;"OK","Poste à corriger",IF(AND(E1434&lt;&gt;"",OR(NOT(ISNUMBER(E1434)),N(E1434)&lt;0)),"Réglage invalide",IF(AND(F1434&lt;&gt;"",OR(NOT(ISNUMBER(F1434)),N(F1434)&lt;0)),"Temps par pièce invalide",IF(N(E1434)+N(F1434)=0,"Temps manquant",IF(AND(G1434&lt;&gt;"",OR(NOT(ISNUMBER(G1434)),N(G1434)&lt;=0)),"Opérateurs invalide","OK"))))))))))</f>
        <v/>
      </c>
      <c r="N1434" s="71" t="str">
        <f>IF(AND(fiche_sel&lt;&gt;"",A1434=fiche_sel),COUNTIF(A$6:A1434,fiche_sel),"")</f>
        <v/>
      </c>
    </row>
    <row r="1435">
      <c r="A1435" s="60" t="n"/>
      <c r="B1435" s="73" t="n"/>
      <c r="C1435" s="60" t="n"/>
      <c r="D1435" s="61" t="n"/>
      <c r="E1435" s="74" t="n"/>
      <c r="F1435" s="74" t="n"/>
      <c r="G1435" s="73" t="n"/>
      <c r="H1435" s="66" t="str">
        <f>IF(M1435&lt;&gt;"OK","",INDEX(po_mo,MATCH(D1435,po_code,0)))</f>
        <v/>
      </c>
      <c r="I1435" s="66" t="str">
        <f>IF(M1435&lt;&gt;"OK","",INDEX(po_mac,MATCH(D1435,po_code,0)))</f>
        <v/>
      </c>
      <c r="J1435" s="66" t="str">
        <f>IF(M1435&lt;&gt;"OK","",N(E1435)*(H1435*IF(G1435="",1,G1435)+I1435))</f>
        <v/>
      </c>
      <c r="K1435" s="66" t="str">
        <f>IF(M1435&lt;&gt;"OK","",N(F1435)/60*H1435*IF(G1435="",1,G1435))</f>
        <v/>
      </c>
      <c r="L1435" s="66" t="str">
        <f>IF(M1435&lt;&gt;"OK","",N(F1435)/60*I1435)</f>
        <v/>
      </c>
      <c r="M1435" s="69" t="str">
        <f>IF(AND(A1435="",D1435=""),"",IF(A1435="","Produit manquant",IF(COUNTIF(prod_ref,A1435)=0,"Produit inconnu",IF(D1435="","Poste manquant",IF(ISNA(MATCH(D1435,po_code,0)),"Poste inconnu",IF(INDEX(po_check,MATCH(D1435,po_code,0))&lt;&gt;"OK","Poste à corriger",IF(AND(E1435&lt;&gt;"",OR(NOT(ISNUMBER(E1435)),N(E1435)&lt;0)),"Réglage invalide",IF(AND(F1435&lt;&gt;"",OR(NOT(ISNUMBER(F1435)),N(F1435)&lt;0)),"Temps par pièce invalide",IF(N(E1435)+N(F1435)=0,"Temps manquant",IF(AND(G1435&lt;&gt;"",OR(NOT(ISNUMBER(G1435)),N(G1435)&lt;=0)),"Opérateurs invalide","OK"))))))))))</f>
        <v/>
      </c>
      <c r="N1435" s="71" t="str">
        <f>IF(AND(fiche_sel&lt;&gt;"",A1435=fiche_sel),COUNTIF(A$6:A1435,fiche_sel),"")</f>
        <v/>
      </c>
    </row>
    <row r="1436">
      <c r="A1436" s="60" t="n"/>
      <c r="B1436" s="73" t="n"/>
      <c r="C1436" s="60" t="n"/>
      <c r="D1436" s="61" t="n"/>
      <c r="E1436" s="74" t="n"/>
      <c r="F1436" s="74" t="n"/>
      <c r="G1436" s="73" t="n"/>
      <c r="H1436" s="66" t="str">
        <f>IF(M1436&lt;&gt;"OK","",INDEX(po_mo,MATCH(D1436,po_code,0)))</f>
        <v/>
      </c>
      <c r="I1436" s="66" t="str">
        <f>IF(M1436&lt;&gt;"OK","",INDEX(po_mac,MATCH(D1436,po_code,0)))</f>
        <v/>
      </c>
      <c r="J1436" s="66" t="str">
        <f>IF(M1436&lt;&gt;"OK","",N(E1436)*(H1436*IF(G1436="",1,G1436)+I1436))</f>
        <v/>
      </c>
      <c r="K1436" s="66" t="str">
        <f>IF(M1436&lt;&gt;"OK","",N(F1436)/60*H1436*IF(G1436="",1,G1436))</f>
        <v/>
      </c>
      <c r="L1436" s="66" t="str">
        <f>IF(M1436&lt;&gt;"OK","",N(F1436)/60*I1436)</f>
        <v/>
      </c>
      <c r="M1436" s="69" t="str">
        <f>IF(AND(A1436="",D1436=""),"",IF(A1436="","Produit manquant",IF(COUNTIF(prod_ref,A1436)=0,"Produit inconnu",IF(D1436="","Poste manquant",IF(ISNA(MATCH(D1436,po_code,0)),"Poste inconnu",IF(INDEX(po_check,MATCH(D1436,po_code,0))&lt;&gt;"OK","Poste à corriger",IF(AND(E1436&lt;&gt;"",OR(NOT(ISNUMBER(E1436)),N(E1436)&lt;0)),"Réglage invalide",IF(AND(F1436&lt;&gt;"",OR(NOT(ISNUMBER(F1436)),N(F1436)&lt;0)),"Temps par pièce invalide",IF(N(E1436)+N(F1436)=0,"Temps manquant",IF(AND(G1436&lt;&gt;"",OR(NOT(ISNUMBER(G1436)),N(G1436)&lt;=0)),"Opérateurs invalide","OK"))))))))))</f>
        <v/>
      </c>
      <c r="N1436" s="71" t="str">
        <f>IF(AND(fiche_sel&lt;&gt;"",A1436=fiche_sel),COUNTIF(A$6:A1436,fiche_sel),"")</f>
        <v/>
      </c>
    </row>
    <row r="1437">
      <c r="A1437" s="60" t="n"/>
      <c r="B1437" s="73" t="n"/>
      <c r="C1437" s="60" t="n"/>
      <c r="D1437" s="61" t="n"/>
      <c r="E1437" s="74" t="n"/>
      <c r="F1437" s="74" t="n"/>
      <c r="G1437" s="73" t="n"/>
      <c r="H1437" s="66" t="str">
        <f>IF(M1437&lt;&gt;"OK","",INDEX(po_mo,MATCH(D1437,po_code,0)))</f>
        <v/>
      </c>
      <c r="I1437" s="66" t="str">
        <f>IF(M1437&lt;&gt;"OK","",INDEX(po_mac,MATCH(D1437,po_code,0)))</f>
        <v/>
      </c>
      <c r="J1437" s="66" t="str">
        <f>IF(M1437&lt;&gt;"OK","",N(E1437)*(H1437*IF(G1437="",1,G1437)+I1437))</f>
        <v/>
      </c>
      <c r="K1437" s="66" t="str">
        <f>IF(M1437&lt;&gt;"OK","",N(F1437)/60*H1437*IF(G1437="",1,G1437))</f>
        <v/>
      </c>
      <c r="L1437" s="66" t="str">
        <f>IF(M1437&lt;&gt;"OK","",N(F1437)/60*I1437)</f>
        <v/>
      </c>
      <c r="M1437" s="69" t="str">
        <f>IF(AND(A1437="",D1437=""),"",IF(A1437="","Produit manquant",IF(COUNTIF(prod_ref,A1437)=0,"Produit inconnu",IF(D1437="","Poste manquant",IF(ISNA(MATCH(D1437,po_code,0)),"Poste inconnu",IF(INDEX(po_check,MATCH(D1437,po_code,0))&lt;&gt;"OK","Poste à corriger",IF(AND(E1437&lt;&gt;"",OR(NOT(ISNUMBER(E1437)),N(E1437)&lt;0)),"Réglage invalide",IF(AND(F1437&lt;&gt;"",OR(NOT(ISNUMBER(F1437)),N(F1437)&lt;0)),"Temps par pièce invalide",IF(N(E1437)+N(F1437)=0,"Temps manquant",IF(AND(G1437&lt;&gt;"",OR(NOT(ISNUMBER(G1437)),N(G1437)&lt;=0)),"Opérateurs invalide","OK"))))))))))</f>
        <v/>
      </c>
      <c r="N1437" s="71" t="str">
        <f>IF(AND(fiche_sel&lt;&gt;"",A1437=fiche_sel),COUNTIF(A$6:A1437,fiche_sel),"")</f>
        <v/>
      </c>
    </row>
    <row r="1438">
      <c r="A1438" s="60" t="n"/>
      <c r="B1438" s="73" t="n"/>
      <c r="C1438" s="60" t="n"/>
      <c r="D1438" s="61" t="n"/>
      <c r="E1438" s="74" t="n"/>
      <c r="F1438" s="74" t="n"/>
      <c r="G1438" s="73" t="n"/>
      <c r="H1438" s="66" t="str">
        <f>IF(M1438&lt;&gt;"OK","",INDEX(po_mo,MATCH(D1438,po_code,0)))</f>
        <v/>
      </c>
      <c r="I1438" s="66" t="str">
        <f>IF(M1438&lt;&gt;"OK","",INDEX(po_mac,MATCH(D1438,po_code,0)))</f>
        <v/>
      </c>
      <c r="J1438" s="66" t="str">
        <f>IF(M1438&lt;&gt;"OK","",N(E1438)*(H1438*IF(G1438="",1,G1438)+I1438))</f>
        <v/>
      </c>
      <c r="K1438" s="66" t="str">
        <f>IF(M1438&lt;&gt;"OK","",N(F1438)/60*H1438*IF(G1438="",1,G1438))</f>
        <v/>
      </c>
      <c r="L1438" s="66" t="str">
        <f>IF(M1438&lt;&gt;"OK","",N(F1438)/60*I1438)</f>
        <v/>
      </c>
      <c r="M1438" s="69" t="str">
        <f>IF(AND(A1438="",D1438=""),"",IF(A1438="","Produit manquant",IF(COUNTIF(prod_ref,A1438)=0,"Produit inconnu",IF(D1438="","Poste manquant",IF(ISNA(MATCH(D1438,po_code,0)),"Poste inconnu",IF(INDEX(po_check,MATCH(D1438,po_code,0))&lt;&gt;"OK","Poste à corriger",IF(AND(E1438&lt;&gt;"",OR(NOT(ISNUMBER(E1438)),N(E1438)&lt;0)),"Réglage invalide",IF(AND(F1438&lt;&gt;"",OR(NOT(ISNUMBER(F1438)),N(F1438)&lt;0)),"Temps par pièce invalide",IF(N(E1438)+N(F1438)=0,"Temps manquant",IF(AND(G1438&lt;&gt;"",OR(NOT(ISNUMBER(G1438)),N(G1438)&lt;=0)),"Opérateurs invalide","OK"))))))))))</f>
        <v/>
      </c>
      <c r="N1438" s="71" t="str">
        <f>IF(AND(fiche_sel&lt;&gt;"",A1438=fiche_sel),COUNTIF(A$6:A1438,fiche_sel),"")</f>
        <v/>
      </c>
    </row>
    <row r="1439">
      <c r="A1439" s="60" t="n"/>
      <c r="B1439" s="73" t="n"/>
      <c r="C1439" s="60" t="n"/>
      <c r="D1439" s="61" t="n"/>
      <c r="E1439" s="74" t="n"/>
      <c r="F1439" s="74" t="n"/>
      <c r="G1439" s="73" t="n"/>
      <c r="H1439" s="66" t="str">
        <f>IF(M1439&lt;&gt;"OK","",INDEX(po_mo,MATCH(D1439,po_code,0)))</f>
        <v/>
      </c>
      <c r="I1439" s="66" t="str">
        <f>IF(M1439&lt;&gt;"OK","",INDEX(po_mac,MATCH(D1439,po_code,0)))</f>
        <v/>
      </c>
      <c r="J1439" s="66" t="str">
        <f>IF(M1439&lt;&gt;"OK","",N(E1439)*(H1439*IF(G1439="",1,G1439)+I1439))</f>
        <v/>
      </c>
      <c r="K1439" s="66" t="str">
        <f>IF(M1439&lt;&gt;"OK","",N(F1439)/60*H1439*IF(G1439="",1,G1439))</f>
        <v/>
      </c>
      <c r="L1439" s="66" t="str">
        <f>IF(M1439&lt;&gt;"OK","",N(F1439)/60*I1439)</f>
        <v/>
      </c>
      <c r="M1439" s="69" t="str">
        <f>IF(AND(A1439="",D1439=""),"",IF(A1439="","Produit manquant",IF(COUNTIF(prod_ref,A1439)=0,"Produit inconnu",IF(D1439="","Poste manquant",IF(ISNA(MATCH(D1439,po_code,0)),"Poste inconnu",IF(INDEX(po_check,MATCH(D1439,po_code,0))&lt;&gt;"OK","Poste à corriger",IF(AND(E1439&lt;&gt;"",OR(NOT(ISNUMBER(E1439)),N(E1439)&lt;0)),"Réglage invalide",IF(AND(F1439&lt;&gt;"",OR(NOT(ISNUMBER(F1439)),N(F1439)&lt;0)),"Temps par pièce invalide",IF(N(E1439)+N(F1439)=0,"Temps manquant",IF(AND(G1439&lt;&gt;"",OR(NOT(ISNUMBER(G1439)),N(G1439)&lt;=0)),"Opérateurs invalide","OK"))))))))))</f>
        <v/>
      </c>
      <c r="N1439" s="71" t="str">
        <f>IF(AND(fiche_sel&lt;&gt;"",A1439=fiche_sel),COUNTIF(A$6:A1439,fiche_sel),"")</f>
        <v/>
      </c>
    </row>
    <row r="1440">
      <c r="A1440" s="60" t="n"/>
      <c r="B1440" s="73" t="n"/>
      <c r="C1440" s="60" t="n"/>
      <c r="D1440" s="61" t="n"/>
      <c r="E1440" s="74" t="n"/>
      <c r="F1440" s="74" t="n"/>
      <c r="G1440" s="73" t="n"/>
      <c r="H1440" s="66" t="str">
        <f>IF(M1440&lt;&gt;"OK","",INDEX(po_mo,MATCH(D1440,po_code,0)))</f>
        <v/>
      </c>
      <c r="I1440" s="66" t="str">
        <f>IF(M1440&lt;&gt;"OK","",INDEX(po_mac,MATCH(D1440,po_code,0)))</f>
        <v/>
      </c>
      <c r="J1440" s="66" t="str">
        <f>IF(M1440&lt;&gt;"OK","",N(E1440)*(H1440*IF(G1440="",1,G1440)+I1440))</f>
        <v/>
      </c>
      <c r="K1440" s="66" t="str">
        <f>IF(M1440&lt;&gt;"OK","",N(F1440)/60*H1440*IF(G1440="",1,G1440))</f>
        <v/>
      </c>
      <c r="L1440" s="66" t="str">
        <f>IF(M1440&lt;&gt;"OK","",N(F1440)/60*I1440)</f>
        <v/>
      </c>
      <c r="M1440" s="69" t="str">
        <f>IF(AND(A1440="",D1440=""),"",IF(A1440="","Produit manquant",IF(COUNTIF(prod_ref,A1440)=0,"Produit inconnu",IF(D1440="","Poste manquant",IF(ISNA(MATCH(D1440,po_code,0)),"Poste inconnu",IF(INDEX(po_check,MATCH(D1440,po_code,0))&lt;&gt;"OK","Poste à corriger",IF(AND(E1440&lt;&gt;"",OR(NOT(ISNUMBER(E1440)),N(E1440)&lt;0)),"Réglage invalide",IF(AND(F1440&lt;&gt;"",OR(NOT(ISNUMBER(F1440)),N(F1440)&lt;0)),"Temps par pièce invalide",IF(N(E1440)+N(F1440)=0,"Temps manquant",IF(AND(G1440&lt;&gt;"",OR(NOT(ISNUMBER(G1440)),N(G1440)&lt;=0)),"Opérateurs invalide","OK"))))))))))</f>
        <v/>
      </c>
      <c r="N1440" s="71" t="str">
        <f>IF(AND(fiche_sel&lt;&gt;"",A1440=fiche_sel),COUNTIF(A$6:A1440,fiche_sel),"")</f>
        <v/>
      </c>
    </row>
    <row r="1441">
      <c r="A1441" s="60" t="n"/>
      <c r="B1441" s="73" t="n"/>
      <c r="C1441" s="60" t="n"/>
      <c r="D1441" s="61" t="n"/>
      <c r="E1441" s="74" t="n"/>
      <c r="F1441" s="74" t="n"/>
      <c r="G1441" s="73" t="n"/>
      <c r="H1441" s="66" t="str">
        <f>IF(M1441&lt;&gt;"OK","",INDEX(po_mo,MATCH(D1441,po_code,0)))</f>
        <v/>
      </c>
      <c r="I1441" s="66" t="str">
        <f>IF(M1441&lt;&gt;"OK","",INDEX(po_mac,MATCH(D1441,po_code,0)))</f>
        <v/>
      </c>
      <c r="J1441" s="66" t="str">
        <f>IF(M1441&lt;&gt;"OK","",N(E1441)*(H1441*IF(G1441="",1,G1441)+I1441))</f>
        <v/>
      </c>
      <c r="K1441" s="66" t="str">
        <f>IF(M1441&lt;&gt;"OK","",N(F1441)/60*H1441*IF(G1441="",1,G1441))</f>
        <v/>
      </c>
      <c r="L1441" s="66" t="str">
        <f>IF(M1441&lt;&gt;"OK","",N(F1441)/60*I1441)</f>
        <v/>
      </c>
      <c r="M1441" s="69" t="str">
        <f>IF(AND(A1441="",D1441=""),"",IF(A1441="","Produit manquant",IF(COUNTIF(prod_ref,A1441)=0,"Produit inconnu",IF(D1441="","Poste manquant",IF(ISNA(MATCH(D1441,po_code,0)),"Poste inconnu",IF(INDEX(po_check,MATCH(D1441,po_code,0))&lt;&gt;"OK","Poste à corriger",IF(AND(E1441&lt;&gt;"",OR(NOT(ISNUMBER(E1441)),N(E1441)&lt;0)),"Réglage invalide",IF(AND(F1441&lt;&gt;"",OR(NOT(ISNUMBER(F1441)),N(F1441)&lt;0)),"Temps par pièce invalide",IF(N(E1441)+N(F1441)=0,"Temps manquant",IF(AND(G1441&lt;&gt;"",OR(NOT(ISNUMBER(G1441)),N(G1441)&lt;=0)),"Opérateurs invalide","OK"))))))))))</f>
        <v/>
      </c>
      <c r="N1441" s="71" t="str">
        <f>IF(AND(fiche_sel&lt;&gt;"",A1441=fiche_sel),COUNTIF(A$6:A1441,fiche_sel),"")</f>
        <v/>
      </c>
    </row>
    <row r="1442">
      <c r="A1442" s="60" t="n"/>
      <c r="B1442" s="73" t="n"/>
      <c r="C1442" s="60" t="n"/>
      <c r="D1442" s="61" t="n"/>
      <c r="E1442" s="74" t="n"/>
      <c r="F1442" s="74" t="n"/>
      <c r="G1442" s="73" t="n"/>
      <c r="H1442" s="66" t="str">
        <f>IF(M1442&lt;&gt;"OK","",INDEX(po_mo,MATCH(D1442,po_code,0)))</f>
        <v/>
      </c>
      <c r="I1442" s="66" t="str">
        <f>IF(M1442&lt;&gt;"OK","",INDEX(po_mac,MATCH(D1442,po_code,0)))</f>
        <v/>
      </c>
      <c r="J1442" s="66" t="str">
        <f>IF(M1442&lt;&gt;"OK","",N(E1442)*(H1442*IF(G1442="",1,G1442)+I1442))</f>
        <v/>
      </c>
      <c r="K1442" s="66" t="str">
        <f>IF(M1442&lt;&gt;"OK","",N(F1442)/60*H1442*IF(G1442="",1,G1442))</f>
        <v/>
      </c>
      <c r="L1442" s="66" t="str">
        <f>IF(M1442&lt;&gt;"OK","",N(F1442)/60*I1442)</f>
        <v/>
      </c>
      <c r="M1442" s="69" t="str">
        <f>IF(AND(A1442="",D1442=""),"",IF(A1442="","Produit manquant",IF(COUNTIF(prod_ref,A1442)=0,"Produit inconnu",IF(D1442="","Poste manquant",IF(ISNA(MATCH(D1442,po_code,0)),"Poste inconnu",IF(INDEX(po_check,MATCH(D1442,po_code,0))&lt;&gt;"OK","Poste à corriger",IF(AND(E1442&lt;&gt;"",OR(NOT(ISNUMBER(E1442)),N(E1442)&lt;0)),"Réglage invalide",IF(AND(F1442&lt;&gt;"",OR(NOT(ISNUMBER(F1442)),N(F1442)&lt;0)),"Temps par pièce invalide",IF(N(E1442)+N(F1442)=0,"Temps manquant",IF(AND(G1442&lt;&gt;"",OR(NOT(ISNUMBER(G1442)),N(G1442)&lt;=0)),"Opérateurs invalide","OK"))))))))))</f>
        <v/>
      </c>
      <c r="N1442" s="71" t="str">
        <f>IF(AND(fiche_sel&lt;&gt;"",A1442=fiche_sel),COUNTIF(A$6:A1442,fiche_sel),"")</f>
        <v/>
      </c>
    </row>
    <row r="1443">
      <c r="A1443" s="60" t="n"/>
      <c r="B1443" s="73" t="n"/>
      <c r="C1443" s="60" t="n"/>
      <c r="D1443" s="61" t="n"/>
      <c r="E1443" s="74" t="n"/>
      <c r="F1443" s="74" t="n"/>
      <c r="G1443" s="73" t="n"/>
      <c r="H1443" s="66" t="str">
        <f>IF(M1443&lt;&gt;"OK","",INDEX(po_mo,MATCH(D1443,po_code,0)))</f>
        <v/>
      </c>
      <c r="I1443" s="66" t="str">
        <f>IF(M1443&lt;&gt;"OK","",INDEX(po_mac,MATCH(D1443,po_code,0)))</f>
        <v/>
      </c>
      <c r="J1443" s="66" t="str">
        <f>IF(M1443&lt;&gt;"OK","",N(E1443)*(H1443*IF(G1443="",1,G1443)+I1443))</f>
        <v/>
      </c>
      <c r="K1443" s="66" t="str">
        <f>IF(M1443&lt;&gt;"OK","",N(F1443)/60*H1443*IF(G1443="",1,G1443))</f>
        <v/>
      </c>
      <c r="L1443" s="66" t="str">
        <f>IF(M1443&lt;&gt;"OK","",N(F1443)/60*I1443)</f>
        <v/>
      </c>
      <c r="M1443" s="69" t="str">
        <f>IF(AND(A1443="",D1443=""),"",IF(A1443="","Produit manquant",IF(COUNTIF(prod_ref,A1443)=0,"Produit inconnu",IF(D1443="","Poste manquant",IF(ISNA(MATCH(D1443,po_code,0)),"Poste inconnu",IF(INDEX(po_check,MATCH(D1443,po_code,0))&lt;&gt;"OK","Poste à corriger",IF(AND(E1443&lt;&gt;"",OR(NOT(ISNUMBER(E1443)),N(E1443)&lt;0)),"Réglage invalide",IF(AND(F1443&lt;&gt;"",OR(NOT(ISNUMBER(F1443)),N(F1443)&lt;0)),"Temps par pièce invalide",IF(N(E1443)+N(F1443)=0,"Temps manquant",IF(AND(G1443&lt;&gt;"",OR(NOT(ISNUMBER(G1443)),N(G1443)&lt;=0)),"Opérateurs invalide","OK"))))))))))</f>
        <v/>
      </c>
      <c r="N1443" s="71" t="str">
        <f>IF(AND(fiche_sel&lt;&gt;"",A1443=fiche_sel),COUNTIF(A$6:A1443,fiche_sel),"")</f>
        <v/>
      </c>
    </row>
    <row r="1444">
      <c r="A1444" s="60" t="n"/>
      <c r="B1444" s="73" t="n"/>
      <c r="C1444" s="60" t="n"/>
      <c r="D1444" s="61" t="n"/>
      <c r="E1444" s="74" t="n"/>
      <c r="F1444" s="74" t="n"/>
      <c r="G1444" s="73" t="n"/>
      <c r="H1444" s="66" t="str">
        <f>IF(M1444&lt;&gt;"OK","",INDEX(po_mo,MATCH(D1444,po_code,0)))</f>
        <v/>
      </c>
      <c r="I1444" s="66" t="str">
        <f>IF(M1444&lt;&gt;"OK","",INDEX(po_mac,MATCH(D1444,po_code,0)))</f>
        <v/>
      </c>
      <c r="J1444" s="66" t="str">
        <f>IF(M1444&lt;&gt;"OK","",N(E1444)*(H1444*IF(G1444="",1,G1444)+I1444))</f>
        <v/>
      </c>
      <c r="K1444" s="66" t="str">
        <f>IF(M1444&lt;&gt;"OK","",N(F1444)/60*H1444*IF(G1444="",1,G1444))</f>
        <v/>
      </c>
      <c r="L1444" s="66" t="str">
        <f>IF(M1444&lt;&gt;"OK","",N(F1444)/60*I1444)</f>
        <v/>
      </c>
      <c r="M1444" s="69" t="str">
        <f>IF(AND(A1444="",D1444=""),"",IF(A1444="","Produit manquant",IF(COUNTIF(prod_ref,A1444)=0,"Produit inconnu",IF(D1444="","Poste manquant",IF(ISNA(MATCH(D1444,po_code,0)),"Poste inconnu",IF(INDEX(po_check,MATCH(D1444,po_code,0))&lt;&gt;"OK","Poste à corriger",IF(AND(E1444&lt;&gt;"",OR(NOT(ISNUMBER(E1444)),N(E1444)&lt;0)),"Réglage invalide",IF(AND(F1444&lt;&gt;"",OR(NOT(ISNUMBER(F1444)),N(F1444)&lt;0)),"Temps par pièce invalide",IF(N(E1444)+N(F1444)=0,"Temps manquant",IF(AND(G1444&lt;&gt;"",OR(NOT(ISNUMBER(G1444)),N(G1444)&lt;=0)),"Opérateurs invalide","OK"))))))))))</f>
        <v/>
      </c>
      <c r="N1444" s="71" t="str">
        <f>IF(AND(fiche_sel&lt;&gt;"",A1444=fiche_sel),COUNTIF(A$6:A1444,fiche_sel),"")</f>
        <v/>
      </c>
    </row>
    <row r="1445">
      <c r="A1445" s="60" t="n"/>
      <c r="B1445" s="73" t="n"/>
      <c r="C1445" s="60" t="n"/>
      <c r="D1445" s="61" t="n"/>
      <c r="E1445" s="74" t="n"/>
      <c r="F1445" s="74" t="n"/>
      <c r="G1445" s="73" t="n"/>
      <c r="H1445" s="66" t="str">
        <f>IF(M1445&lt;&gt;"OK","",INDEX(po_mo,MATCH(D1445,po_code,0)))</f>
        <v/>
      </c>
      <c r="I1445" s="66" t="str">
        <f>IF(M1445&lt;&gt;"OK","",INDEX(po_mac,MATCH(D1445,po_code,0)))</f>
        <v/>
      </c>
      <c r="J1445" s="66" t="str">
        <f>IF(M1445&lt;&gt;"OK","",N(E1445)*(H1445*IF(G1445="",1,G1445)+I1445))</f>
        <v/>
      </c>
      <c r="K1445" s="66" t="str">
        <f>IF(M1445&lt;&gt;"OK","",N(F1445)/60*H1445*IF(G1445="",1,G1445))</f>
        <v/>
      </c>
      <c r="L1445" s="66" t="str">
        <f>IF(M1445&lt;&gt;"OK","",N(F1445)/60*I1445)</f>
        <v/>
      </c>
      <c r="M1445" s="69" t="str">
        <f>IF(AND(A1445="",D1445=""),"",IF(A1445="","Produit manquant",IF(COUNTIF(prod_ref,A1445)=0,"Produit inconnu",IF(D1445="","Poste manquant",IF(ISNA(MATCH(D1445,po_code,0)),"Poste inconnu",IF(INDEX(po_check,MATCH(D1445,po_code,0))&lt;&gt;"OK","Poste à corriger",IF(AND(E1445&lt;&gt;"",OR(NOT(ISNUMBER(E1445)),N(E1445)&lt;0)),"Réglage invalide",IF(AND(F1445&lt;&gt;"",OR(NOT(ISNUMBER(F1445)),N(F1445)&lt;0)),"Temps par pièce invalide",IF(N(E1445)+N(F1445)=0,"Temps manquant",IF(AND(G1445&lt;&gt;"",OR(NOT(ISNUMBER(G1445)),N(G1445)&lt;=0)),"Opérateurs invalide","OK"))))))))))</f>
        <v/>
      </c>
      <c r="N1445" s="71" t="str">
        <f>IF(AND(fiche_sel&lt;&gt;"",A1445=fiche_sel),COUNTIF(A$6:A1445,fiche_sel),"")</f>
        <v/>
      </c>
    </row>
    <row r="1446">
      <c r="A1446" s="60" t="n"/>
      <c r="B1446" s="73" t="n"/>
      <c r="C1446" s="60" t="n"/>
      <c r="D1446" s="61" t="n"/>
      <c r="E1446" s="74" t="n"/>
      <c r="F1446" s="74" t="n"/>
      <c r="G1446" s="73" t="n"/>
      <c r="H1446" s="66" t="str">
        <f>IF(M1446&lt;&gt;"OK","",INDEX(po_mo,MATCH(D1446,po_code,0)))</f>
        <v/>
      </c>
      <c r="I1446" s="66" t="str">
        <f>IF(M1446&lt;&gt;"OK","",INDEX(po_mac,MATCH(D1446,po_code,0)))</f>
        <v/>
      </c>
      <c r="J1446" s="66" t="str">
        <f>IF(M1446&lt;&gt;"OK","",N(E1446)*(H1446*IF(G1446="",1,G1446)+I1446))</f>
        <v/>
      </c>
      <c r="K1446" s="66" t="str">
        <f>IF(M1446&lt;&gt;"OK","",N(F1446)/60*H1446*IF(G1446="",1,G1446))</f>
        <v/>
      </c>
      <c r="L1446" s="66" t="str">
        <f>IF(M1446&lt;&gt;"OK","",N(F1446)/60*I1446)</f>
        <v/>
      </c>
      <c r="M1446" s="69" t="str">
        <f>IF(AND(A1446="",D1446=""),"",IF(A1446="","Produit manquant",IF(COUNTIF(prod_ref,A1446)=0,"Produit inconnu",IF(D1446="","Poste manquant",IF(ISNA(MATCH(D1446,po_code,0)),"Poste inconnu",IF(INDEX(po_check,MATCH(D1446,po_code,0))&lt;&gt;"OK","Poste à corriger",IF(AND(E1446&lt;&gt;"",OR(NOT(ISNUMBER(E1446)),N(E1446)&lt;0)),"Réglage invalide",IF(AND(F1446&lt;&gt;"",OR(NOT(ISNUMBER(F1446)),N(F1446)&lt;0)),"Temps par pièce invalide",IF(N(E1446)+N(F1446)=0,"Temps manquant",IF(AND(G1446&lt;&gt;"",OR(NOT(ISNUMBER(G1446)),N(G1446)&lt;=0)),"Opérateurs invalide","OK"))))))))))</f>
        <v/>
      </c>
      <c r="N1446" s="71" t="str">
        <f>IF(AND(fiche_sel&lt;&gt;"",A1446=fiche_sel),COUNTIF(A$6:A1446,fiche_sel),"")</f>
        <v/>
      </c>
    </row>
    <row r="1447">
      <c r="A1447" s="60" t="n"/>
      <c r="B1447" s="73" t="n"/>
      <c r="C1447" s="60" t="n"/>
      <c r="D1447" s="61" t="n"/>
      <c r="E1447" s="74" t="n"/>
      <c r="F1447" s="74" t="n"/>
      <c r="G1447" s="73" t="n"/>
      <c r="H1447" s="66" t="str">
        <f>IF(M1447&lt;&gt;"OK","",INDEX(po_mo,MATCH(D1447,po_code,0)))</f>
        <v/>
      </c>
      <c r="I1447" s="66" t="str">
        <f>IF(M1447&lt;&gt;"OK","",INDEX(po_mac,MATCH(D1447,po_code,0)))</f>
        <v/>
      </c>
      <c r="J1447" s="66" t="str">
        <f>IF(M1447&lt;&gt;"OK","",N(E1447)*(H1447*IF(G1447="",1,G1447)+I1447))</f>
        <v/>
      </c>
      <c r="K1447" s="66" t="str">
        <f>IF(M1447&lt;&gt;"OK","",N(F1447)/60*H1447*IF(G1447="",1,G1447))</f>
        <v/>
      </c>
      <c r="L1447" s="66" t="str">
        <f>IF(M1447&lt;&gt;"OK","",N(F1447)/60*I1447)</f>
        <v/>
      </c>
      <c r="M1447" s="69" t="str">
        <f>IF(AND(A1447="",D1447=""),"",IF(A1447="","Produit manquant",IF(COUNTIF(prod_ref,A1447)=0,"Produit inconnu",IF(D1447="","Poste manquant",IF(ISNA(MATCH(D1447,po_code,0)),"Poste inconnu",IF(INDEX(po_check,MATCH(D1447,po_code,0))&lt;&gt;"OK","Poste à corriger",IF(AND(E1447&lt;&gt;"",OR(NOT(ISNUMBER(E1447)),N(E1447)&lt;0)),"Réglage invalide",IF(AND(F1447&lt;&gt;"",OR(NOT(ISNUMBER(F1447)),N(F1447)&lt;0)),"Temps par pièce invalide",IF(N(E1447)+N(F1447)=0,"Temps manquant",IF(AND(G1447&lt;&gt;"",OR(NOT(ISNUMBER(G1447)),N(G1447)&lt;=0)),"Opérateurs invalide","OK"))))))))))</f>
        <v/>
      </c>
      <c r="N1447" s="71" t="str">
        <f>IF(AND(fiche_sel&lt;&gt;"",A1447=fiche_sel),COUNTIF(A$6:A1447,fiche_sel),"")</f>
        <v/>
      </c>
    </row>
    <row r="1448">
      <c r="A1448" s="60" t="n"/>
      <c r="B1448" s="73" t="n"/>
      <c r="C1448" s="60" t="n"/>
      <c r="D1448" s="61" t="n"/>
      <c r="E1448" s="74" t="n"/>
      <c r="F1448" s="74" t="n"/>
      <c r="G1448" s="73" t="n"/>
      <c r="H1448" s="66" t="str">
        <f>IF(M1448&lt;&gt;"OK","",INDEX(po_mo,MATCH(D1448,po_code,0)))</f>
        <v/>
      </c>
      <c r="I1448" s="66" t="str">
        <f>IF(M1448&lt;&gt;"OK","",INDEX(po_mac,MATCH(D1448,po_code,0)))</f>
        <v/>
      </c>
      <c r="J1448" s="66" t="str">
        <f>IF(M1448&lt;&gt;"OK","",N(E1448)*(H1448*IF(G1448="",1,G1448)+I1448))</f>
        <v/>
      </c>
      <c r="K1448" s="66" t="str">
        <f>IF(M1448&lt;&gt;"OK","",N(F1448)/60*H1448*IF(G1448="",1,G1448))</f>
        <v/>
      </c>
      <c r="L1448" s="66" t="str">
        <f>IF(M1448&lt;&gt;"OK","",N(F1448)/60*I1448)</f>
        <v/>
      </c>
      <c r="M1448" s="69" t="str">
        <f>IF(AND(A1448="",D1448=""),"",IF(A1448="","Produit manquant",IF(COUNTIF(prod_ref,A1448)=0,"Produit inconnu",IF(D1448="","Poste manquant",IF(ISNA(MATCH(D1448,po_code,0)),"Poste inconnu",IF(INDEX(po_check,MATCH(D1448,po_code,0))&lt;&gt;"OK","Poste à corriger",IF(AND(E1448&lt;&gt;"",OR(NOT(ISNUMBER(E1448)),N(E1448)&lt;0)),"Réglage invalide",IF(AND(F1448&lt;&gt;"",OR(NOT(ISNUMBER(F1448)),N(F1448)&lt;0)),"Temps par pièce invalide",IF(N(E1448)+N(F1448)=0,"Temps manquant",IF(AND(G1448&lt;&gt;"",OR(NOT(ISNUMBER(G1448)),N(G1448)&lt;=0)),"Opérateurs invalide","OK"))))))))))</f>
        <v/>
      </c>
      <c r="N1448" s="71" t="str">
        <f>IF(AND(fiche_sel&lt;&gt;"",A1448=fiche_sel),COUNTIF(A$6:A1448,fiche_sel),"")</f>
        <v/>
      </c>
    </row>
    <row r="1449">
      <c r="A1449" s="60" t="n"/>
      <c r="B1449" s="73" t="n"/>
      <c r="C1449" s="60" t="n"/>
      <c r="D1449" s="61" t="n"/>
      <c r="E1449" s="74" t="n"/>
      <c r="F1449" s="74" t="n"/>
      <c r="G1449" s="73" t="n"/>
      <c r="H1449" s="66" t="str">
        <f>IF(M1449&lt;&gt;"OK","",INDEX(po_mo,MATCH(D1449,po_code,0)))</f>
        <v/>
      </c>
      <c r="I1449" s="66" t="str">
        <f>IF(M1449&lt;&gt;"OK","",INDEX(po_mac,MATCH(D1449,po_code,0)))</f>
        <v/>
      </c>
      <c r="J1449" s="66" t="str">
        <f>IF(M1449&lt;&gt;"OK","",N(E1449)*(H1449*IF(G1449="",1,G1449)+I1449))</f>
        <v/>
      </c>
      <c r="K1449" s="66" t="str">
        <f>IF(M1449&lt;&gt;"OK","",N(F1449)/60*H1449*IF(G1449="",1,G1449))</f>
        <v/>
      </c>
      <c r="L1449" s="66" t="str">
        <f>IF(M1449&lt;&gt;"OK","",N(F1449)/60*I1449)</f>
        <v/>
      </c>
      <c r="M1449" s="69" t="str">
        <f>IF(AND(A1449="",D1449=""),"",IF(A1449="","Produit manquant",IF(COUNTIF(prod_ref,A1449)=0,"Produit inconnu",IF(D1449="","Poste manquant",IF(ISNA(MATCH(D1449,po_code,0)),"Poste inconnu",IF(INDEX(po_check,MATCH(D1449,po_code,0))&lt;&gt;"OK","Poste à corriger",IF(AND(E1449&lt;&gt;"",OR(NOT(ISNUMBER(E1449)),N(E1449)&lt;0)),"Réglage invalide",IF(AND(F1449&lt;&gt;"",OR(NOT(ISNUMBER(F1449)),N(F1449)&lt;0)),"Temps par pièce invalide",IF(N(E1449)+N(F1449)=0,"Temps manquant",IF(AND(G1449&lt;&gt;"",OR(NOT(ISNUMBER(G1449)),N(G1449)&lt;=0)),"Opérateurs invalide","OK"))))))))))</f>
        <v/>
      </c>
      <c r="N1449" s="71" t="str">
        <f>IF(AND(fiche_sel&lt;&gt;"",A1449=fiche_sel),COUNTIF(A$6:A1449,fiche_sel),"")</f>
        <v/>
      </c>
    </row>
    <row r="1450">
      <c r="A1450" s="60" t="n"/>
      <c r="B1450" s="73" t="n"/>
      <c r="C1450" s="60" t="n"/>
      <c r="D1450" s="61" t="n"/>
      <c r="E1450" s="74" t="n"/>
      <c r="F1450" s="74" t="n"/>
      <c r="G1450" s="73" t="n"/>
      <c r="H1450" s="66" t="str">
        <f>IF(M1450&lt;&gt;"OK","",INDEX(po_mo,MATCH(D1450,po_code,0)))</f>
        <v/>
      </c>
      <c r="I1450" s="66" t="str">
        <f>IF(M1450&lt;&gt;"OK","",INDEX(po_mac,MATCH(D1450,po_code,0)))</f>
        <v/>
      </c>
      <c r="J1450" s="66" t="str">
        <f>IF(M1450&lt;&gt;"OK","",N(E1450)*(H1450*IF(G1450="",1,G1450)+I1450))</f>
        <v/>
      </c>
      <c r="K1450" s="66" t="str">
        <f>IF(M1450&lt;&gt;"OK","",N(F1450)/60*H1450*IF(G1450="",1,G1450))</f>
        <v/>
      </c>
      <c r="L1450" s="66" t="str">
        <f>IF(M1450&lt;&gt;"OK","",N(F1450)/60*I1450)</f>
        <v/>
      </c>
      <c r="M1450" s="69" t="str">
        <f>IF(AND(A1450="",D1450=""),"",IF(A1450="","Produit manquant",IF(COUNTIF(prod_ref,A1450)=0,"Produit inconnu",IF(D1450="","Poste manquant",IF(ISNA(MATCH(D1450,po_code,0)),"Poste inconnu",IF(INDEX(po_check,MATCH(D1450,po_code,0))&lt;&gt;"OK","Poste à corriger",IF(AND(E1450&lt;&gt;"",OR(NOT(ISNUMBER(E1450)),N(E1450)&lt;0)),"Réglage invalide",IF(AND(F1450&lt;&gt;"",OR(NOT(ISNUMBER(F1450)),N(F1450)&lt;0)),"Temps par pièce invalide",IF(N(E1450)+N(F1450)=0,"Temps manquant",IF(AND(G1450&lt;&gt;"",OR(NOT(ISNUMBER(G1450)),N(G1450)&lt;=0)),"Opérateurs invalide","OK"))))))))))</f>
        <v/>
      </c>
      <c r="N1450" s="71" t="str">
        <f>IF(AND(fiche_sel&lt;&gt;"",A1450=fiche_sel),COUNTIF(A$6:A1450,fiche_sel),"")</f>
        <v/>
      </c>
    </row>
    <row r="1451">
      <c r="A1451" s="60" t="n"/>
      <c r="B1451" s="73" t="n"/>
      <c r="C1451" s="60" t="n"/>
      <c r="D1451" s="61" t="n"/>
      <c r="E1451" s="74" t="n"/>
      <c r="F1451" s="74" t="n"/>
      <c r="G1451" s="73" t="n"/>
      <c r="H1451" s="66" t="str">
        <f>IF(M1451&lt;&gt;"OK","",INDEX(po_mo,MATCH(D1451,po_code,0)))</f>
        <v/>
      </c>
      <c r="I1451" s="66" t="str">
        <f>IF(M1451&lt;&gt;"OK","",INDEX(po_mac,MATCH(D1451,po_code,0)))</f>
        <v/>
      </c>
      <c r="J1451" s="66" t="str">
        <f>IF(M1451&lt;&gt;"OK","",N(E1451)*(H1451*IF(G1451="",1,G1451)+I1451))</f>
        <v/>
      </c>
      <c r="K1451" s="66" t="str">
        <f>IF(M1451&lt;&gt;"OK","",N(F1451)/60*H1451*IF(G1451="",1,G1451))</f>
        <v/>
      </c>
      <c r="L1451" s="66" t="str">
        <f>IF(M1451&lt;&gt;"OK","",N(F1451)/60*I1451)</f>
        <v/>
      </c>
      <c r="M1451" s="69" t="str">
        <f>IF(AND(A1451="",D1451=""),"",IF(A1451="","Produit manquant",IF(COUNTIF(prod_ref,A1451)=0,"Produit inconnu",IF(D1451="","Poste manquant",IF(ISNA(MATCH(D1451,po_code,0)),"Poste inconnu",IF(INDEX(po_check,MATCH(D1451,po_code,0))&lt;&gt;"OK","Poste à corriger",IF(AND(E1451&lt;&gt;"",OR(NOT(ISNUMBER(E1451)),N(E1451)&lt;0)),"Réglage invalide",IF(AND(F1451&lt;&gt;"",OR(NOT(ISNUMBER(F1451)),N(F1451)&lt;0)),"Temps par pièce invalide",IF(N(E1451)+N(F1451)=0,"Temps manquant",IF(AND(G1451&lt;&gt;"",OR(NOT(ISNUMBER(G1451)),N(G1451)&lt;=0)),"Opérateurs invalide","OK"))))))))))</f>
        <v/>
      </c>
      <c r="N1451" s="71" t="str">
        <f>IF(AND(fiche_sel&lt;&gt;"",A1451=fiche_sel),COUNTIF(A$6:A1451,fiche_sel),"")</f>
        <v/>
      </c>
    </row>
    <row r="1452">
      <c r="A1452" s="60" t="n"/>
      <c r="B1452" s="73" t="n"/>
      <c r="C1452" s="60" t="n"/>
      <c r="D1452" s="61" t="n"/>
      <c r="E1452" s="74" t="n"/>
      <c r="F1452" s="74" t="n"/>
      <c r="G1452" s="73" t="n"/>
      <c r="H1452" s="66" t="str">
        <f>IF(M1452&lt;&gt;"OK","",INDEX(po_mo,MATCH(D1452,po_code,0)))</f>
        <v/>
      </c>
      <c r="I1452" s="66" t="str">
        <f>IF(M1452&lt;&gt;"OK","",INDEX(po_mac,MATCH(D1452,po_code,0)))</f>
        <v/>
      </c>
      <c r="J1452" s="66" t="str">
        <f>IF(M1452&lt;&gt;"OK","",N(E1452)*(H1452*IF(G1452="",1,G1452)+I1452))</f>
        <v/>
      </c>
      <c r="K1452" s="66" t="str">
        <f>IF(M1452&lt;&gt;"OK","",N(F1452)/60*H1452*IF(G1452="",1,G1452))</f>
        <v/>
      </c>
      <c r="L1452" s="66" t="str">
        <f>IF(M1452&lt;&gt;"OK","",N(F1452)/60*I1452)</f>
        <v/>
      </c>
      <c r="M1452" s="69" t="str">
        <f>IF(AND(A1452="",D1452=""),"",IF(A1452="","Produit manquant",IF(COUNTIF(prod_ref,A1452)=0,"Produit inconnu",IF(D1452="","Poste manquant",IF(ISNA(MATCH(D1452,po_code,0)),"Poste inconnu",IF(INDEX(po_check,MATCH(D1452,po_code,0))&lt;&gt;"OK","Poste à corriger",IF(AND(E1452&lt;&gt;"",OR(NOT(ISNUMBER(E1452)),N(E1452)&lt;0)),"Réglage invalide",IF(AND(F1452&lt;&gt;"",OR(NOT(ISNUMBER(F1452)),N(F1452)&lt;0)),"Temps par pièce invalide",IF(N(E1452)+N(F1452)=0,"Temps manquant",IF(AND(G1452&lt;&gt;"",OR(NOT(ISNUMBER(G1452)),N(G1452)&lt;=0)),"Opérateurs invalide","OK"))))))))))</f>
        <v/>
      </c>
      <c r="N1452" s="71" t="str">
        <f>IF(AND(fiche_sel&lt;&gt;"",A1452=fiche_sel),COUNTIF(A$6:A1452,fiche_sel),"")</f>
        <v/>
      </c>
    </row>
    <row r="1453">
      <c r="A1453" s="60" t="n"/>
      <c r="B1453" s="73" t="n"/>
      <c r="C1453" s="60" t="n"/>
      <c r="D1453" s="61" t="n"/>
      <c r="E1453" s="74" t="n"/>
      <c r="F1453" s="74" t="n"/>
      <c r="G1453" s="73" t="n"/>
      <c r="H1453" s="66" t="str">
        <f>IF(M1453&lt;&gt;"OK","",INDEX(po_mo,MATCH(D1453,po_code,0)))</f>
        <v/>
      </c>
      <c r="I1453" s="66" t="str">
        <f>IF(M1453&lt;&gt;"OK","",INDEX(po_mac,MATCH(D1453,po_code,0)))</f>
        <v/>
      </c>
      <c r="J1453" s="66" t="str">
        <f>IF(M1453&lt;&gt;"OK","",N(E1453)*(H1453*IF(G1453="",1,G1453)+I1453))</f>
        <v/>
      </c>
      <c r="K1453" s="66" t="str">
        <f>IF(M1453&lt;&gt;"OK","",N(F1453)/60*H1453*IF(G1453="",1,G1453))</f>
        <v/>
      </c>
      <c r="L1453" s="66" t="str">
        <f>IF(M1453&lt;&gt;"OK","",N(F1453)/60*I1453)</f>
        <v/>
      </c>
      <c r="M1453" s="69" t="str">
        <f>IF(AND(A1453="",D1453=""),"",IF(A1453="","Produit manquant",IF(COUNTIF(prod_ref,A1453)=0,"Produit inconnu",IF(D1453="","Poste manquant",IF(ISNA(MATCH(D1453,po_code,0)),"Poste inconnu",IF(INDEX(po_check,MATCH(D1453,po_code,0))&lt;&gt;"OK","Poste à corriger",IF(AND(E1453&lt;&gt;"",OR(NOT(ISNUMBER(E1453)),N(E1453)&lt;0)),"Réglage invalide",IF(AND(F1453&lt;&gt;"",OR(NOT(ISNUMBER(F1453)),N(F1453)&lt;0)),"Temps par pièce invalide",IF(N(E1453)+N(F1453)=0,"Temps manquant",IF(AND(G1453&lt;&gt;"",OR(NOT(ISNUMBER(G1453)),N(G1453)&lt;=0)),"Opérateurs invalide","OK"))))))))))</f>
        <v/>
      </c>
      <c r="N1453" s="71" t="str">
        <f>IF(AND(fiche_sel&lt;&gt;"",A1453=fiche_sel),COUNTIF(A$6:A1453,fiche_sel),"")</f>
        <v/>
      </c>
    </row>
    <row r="1454">
      <c r="A1454" s="60" t="n"/>
      <c r="B1454" s="73" t="n"/>
      <c r="C1454" s="60" t="n"/>
      <c r="D1454" s="61" t="n"/>
      <c r="E1454" s="74" t="n"/>
      <c r="F1454" s="74" t="n"/>
      <c r="G1454" s="73" t="n"/>
      <c r="H1454" s="66" t="str">
        <f>IF(M1454&lt;&gt;"OK","",INDEX(po_mo,MATCH(D1454,po_code,0)))</f>
        <v/>
      </c>
      <c r="I1454" s="66" t="str">
        <f>IF(M1454&lt;&gt;"OK","",INDEX(po_mac,MATCH(D1454,po_code,0)))</f>
        <v/>
      </c>
      <c r="J1454" s="66" t="str">
        <f>IF(M1454&lt;&gt;"OK","",N(E1454)*(H1454*IF(G1454="",1,G1454)+I1454))</f>
        <v/>
      </c>
      <c r="K1454" s="66" t="str">
        <f>IF(M1454&lt;&gt;"OK","",N(F1454)/60*H1454*IF(G1454="",1,G1454))</f>
        <v/>
      </c>
      <c r="L1454" s="66" t="str">
        <f>IF(M1454&lt;&gt;"OK","",N(F1454)/60*I1454)</f>
        <v/>
      </c>
      <c r="M1454" s="69" t="str">
        <f>IF(AND(A1454="",D1454=""),"",IF(A1454="","Produit manquant",IF(COUNTIF(prod_ref,A1454)=0,"Produit inconnu",IF(D1454="","Poste manquant",IF(ISNA(MATCH(D1454,po_code,0)),"Poste inconnu",IF(INDEX(po_check,MATCH(D1454,po_code,0))&lt;&gt;"OK","Poste à corriger",IF(AND(E1454&lt;&gt;"",OR(NOT(ISNUMBER(E1454)),N(E1454)&lt;0)),"Réglage invalide",IF(AND(F1454&lt;&gt;"",OR(NOT(ISNUMBER(F1454)),N(F1454)&lt;0)),"Temps par pièce invalide",IF(N(E1454)+N(F1454)=0,"Temps manquant",IF(AND(G1454&lt;&gt;"",OR(NOT(ISNUMBER(G1454)),N(G1454)&lt;=0)),"Opérateurs invalide","OK"))))))))))</f>
        <v/>
      </c>
      <c r="N1454" s="71" t="str">
        <f>IF(AND(fiche_sel&lt;&gt;"",A1454=fiche_sel),COUNTIF(A$6:A1454,fiche_sel),"")</f>
        <v/>
      </c>
    </row>
    <row r="1455">
      <c r="A1455" s="60" t="n"/>
      <c r="B1455" s="73" t="n"/>
      <c r="C1455" s="60" t="n"/>
      <c r="D1455" s="61" t="n"/>
      <c r="E1455" s="74" t="n"/>
      <c r="F1455" s="74" t="n"/>
      <c r="G1455" s="73" t="n"/>
      <c r="H1455" s="66" t="str">
        <f>IF(M1455&lt;&gt;"OK","",INDEX(po_mo,MATCH(D1455,po_code,0)))</f>
        <v/>
      </c>
      <c r="I1455" s="66" t="str">
        <f>IF(M1455&lt;&gt;"OK","",INDEX(po_mac,MATCH(D1455,po_code,0)))</f>
        <v/>
      </c>
      <c r="J1455" s="66" t="str">
        <f>IF(M1455&lt;&gt;"OK","",N(E1455)*(H1455*IF(G1455="",1,G1455)+I1455))</f>
        <v/>
      </c>
      <c r="K1455" s="66" t="str">
        <f>IF(M1455&lt;&gt;"OK","",N(F1455)/60*H1455*IF(G1455="",1,G1455))</f>
        <v/>
      </c>
      <c r="L1455" s="66" t="str">
        <f>IF(M1455&lt;&gt;"OK","",N(F1455)/60*I1455)</f>
        <v/>
      </c>
      <c r="M1455" s="69" t="str">
        <f>IF(AND(A1455="",D1455=""),"",IF(A1455="","Produit manquant",IF(COUNTIF(prod_ref,A1455)=0,"Produit inconnu",IF(D1455="","Poste manquant",IF(ISNA(MATCH(D1455,po_code,0)),"Poste inconnu",IF(INDEX(po_check,MATCH(D1455,po_code,0))&lt;&gt;"OK","Poste à corriger",IF(AND(E1455&lt;&gt;"",OR(NOT(ISNUMBER(E1455)),N(E1455)&lt;0)),"Réglage invalide",IF(AND(F1455&lt;&gt;"",OR(NOT(ISNUMBER(F1455)),N(F1455)&lt;0)),"Temps par pièce invalide",IF(N(E1455)+N(F1455)=0,"Temps manquant",IF(AND(G1455&lt;&gt;"",OR(NOT(ISNUMBER(G1455)),N(G1455)&lt;=0)),"Opérateurs invalide","OK"))))))))))</f>
        <v/>
      </c>
      <c r="N1455" s="71" t="str">
        <f>IF(AND(fiche_sel&lt;&gt;"",A1455=fiche_sel),COUNTIF(A$6:A1455,fiche_sel),"")</f>
        <v/>
      </c>
    </row>
    <row r="1456">
      <c r="A1456" s="60" t="n"/>
      <c r="B1456" s="73" t="n"/>
      <c r="C1456" s="60" t="n"/>
      <c r="D1456" s="61" t="n"/>
      <c r="E1456" s="74" t="n"/>
      <c r="F1456" s="74" t="n"/>
      <c r="G1456" s="73" t="n"/>
      <c r="H1456" s="66" t="str">
        <f>IF(M1456&lt;&gt;"OK","",INDEX(po_mo,MATCH(D1456,po_code,0)))</f>
        <v/>
      </c>
      <c r="I1456" s="66" t="str">
        <f>IF(M1456&lt;&gt;"OK","",INDEX(po_mac,MATCH(D1456,po_code,0)))</f>
        <v/>
      </c>
      <c r="J1456" s="66" t="str">
        <f>IF(M1456&lt;&gt;"OK","",N(E1456)*(H1456*IF(G1456="",1,G1456)+I1456))</f>
        <v/>
      </c>
      <c r="K1456" s="66" t="str">
        <f>IF(M1456&lt;&gt;"OK","",N(F1456)/60*H1456*IF(G1456="",1,G1456))</f>
        <v/>
      </c>
      <c r="L1456" s="66" t="str">
        <f>IF(M1456&lt;&gt;"OK","",N(F1456)/60*I1456)</f>
        <v/>
      </c>
      <c r="M1456" s="69" t="str">
        <f>IF(AND(A1456="",D1456=""),"",IF(A1456="","Produit manquant",IF(COUNTIF(prod_ref,A1456)=0,"Produit inconnu",IF(D1456="","Poste manquant",IF(ISNA(MATCH(D1456,po_code,0)),"Poste inconnu",IF(INDEX(po_check,MATCH(D1456,po_code,0))&lt;&gt;"OK","Poste à corriger",IF(AND(E1456&lt;&gt;"",OR(NOT(ISNUMBER(E1456)),N(E1456)&lt;0)),"Réglage invalide",IF(AND(F1456&lt;&gt;"",OR(NOT(ISNUMBER(F1456)),N(F1456)&lt;0)),"Temps par pièce invalide",IF(N(E1456)+N(F1456)=0,"Temps manquant",IF(AND(G1456&lt;&gt;"",OR(NOT(ISNUMBER(G1456)),N(G1456)&lt;=0)),"Opérateurs invalide","OK"))))))))))</f>
        <v/>
      </c>
      <c r="N1456" s="71" t="str">
        <f>IF(AND(fiche_sel&lt;&gt;"",A1456=fiche_sel),COUNTIF(A$6:A1456,fiche_sel),"")</f>
        <v/>
      </c>
    </row>
    <row r="1457">
      <c r="A1457" s="60" t="n"/>
      <c r="B1457" s="73" t="n"/>
      <c r="C1457" s="60" t="n"/>
      <c r="D1457" s="61" t="n"/>
      <c r="E1457" s="74" t="n"/>
      <c r="F1457" s="74" t="n"/>
      <c r="G1457" s="73" t="n"/>
      <c r="H1457" s="66" t="str">
        <f>IF(M1457&lt;&gt;"OK","",INDEX(po_mo,MATCH(D1457,po_code,0)))</f>
        <v/>
      </c>
      <c r="I1457" s="66" t="str">
        <f>IF(M1457&lt;&gt;"OK","",INDEX(po_mac,MATCH(D1457,po_code,0)))</f>
        <v/>
      </c>
      <c r="J1457" s="66" t="str">
        <f>IF(M1457&lt;&gt;"OK","",N(E1457)*(H1457*IF(G1457="",1,G1457)+I1457))</f>
        <v/>
      </c>
      <c r="K1457" s="66" t="str">
        <f>IF(M1457&lt;&gt;"OK","",N(F1457)/60*H1457*IF(G1457="",1,G1457))</f>
        <v/>
      </c>
      <c r="L1457" s="66" t="str">
        <f>IF(M1457&lt;&gt;"OK","",N(F1457)/60*I1457)</f>
        <v/>
      </c>
      <c r="M1457" s="69" t="str">
        <f>IF(AND(A1457="",D1457=""),"",IF(A1457="","Produit manquant",IF(COUNTIF(prod_ref,A1457)=0,"Produit inconnu",IF(D1457="","Poste manquant",IF(ISNA(MATCH(D1457,po_code,0)),"Poste inconnu",IF(INDEX(po_check,MATCH(D1457,po_code,0))&lt;&gt;"OK","Poste à corriger",IF(AND(E1457&lt;&gt;"",OR(NOT(ISNUMBER(E1457)),N(E1457)&lt;0)),"Réglage invalide",IF(AND(F1457&lt;&gt;"",OR(NOT(ISNUMBER(F1457)),N(F1457)&lt;0)),"Temps par pièce invalide",IF(N(E1457)+N(F1457)=0,"Temps manquant",IF(AND(G1457&lt;&gt;"",OR(NOT(ISNUMBER(G1457)),N(G1457)&lt;=0)),"Opérateurs invalide","OK"))))))))))</f>
        <v/>
      </c>
      <c r="N1457" s="71" t="str">
        <f>IF(AND(fiche_sel&lt;&gt;"",A1457=fiche_sel),COUNTIF(A$6:A1457,fiche_sel),"")</f>
        <v/>
      </c>
    </row>
    <row r="1458">
      <c r="A1458" s="60" t="n"/>
      <c r="B1458" s="73" t="n"/>
      <c r="C1458" s="60" t="n"/>
      <c r="D1458" s="61" t="n"/>
      <c r="E1458" s="74" t="n"/>
      <c r="F1458" s="74" t="n"/>
      <c r="G1458" s="73" t="n"/>
      <c r="H1458" s="66" t="str">
        <f>IF(M1458&lt;&gt;"OK","",INDEX(po_mo,MATCH(D1458,po_code,0)))</f>
        <v/>
      </c>
      <c r="I1458" s="66" t="str">
        <f>IF(M1458&lt;&gt;"OK","",INDEX(po_mac,MATCH(D1458,po_code,0)))</f>
        <v/>
      </c>
      <c r="J1458" s="66" t="str">
        <f>IF(M1458&lt;&gt;"OK","",N(E1458)*(H1458*IF(G1458="",1,G1458)+I1458))</f>
        <v/>
      </c>
      <c r="K1458" s="66" t="str">
        <f>IF(M1458&lt;&gt;"OK","",N(F1458)/60*H1458*IF(G1458="",1,G1458))</f>
        <v/>
      </c>
      <c r="L1458" s="66" t="str">
        <f>IF(M1458&lt;&gt;"OK","",N(F1458)/60*I1458)</f>
        <v/>
      </c>
      <c r="M1458" s="69" t="str">
        <f>IF(AND(A1458="",D1458=""),"",IF(A1458="","Produit manquant",IF(COUNTIF(prod_ref,A1458)=0,"Produit inconnu",IF(D1458="","Poste manquant",IF(ISNA(MATCH(D1458,po_code,0)),"Poste inconnu",IF(INDEX(po_check,MATCH(D1458,po_code,0))&lt;&gt;"OK","Poste à corriger",IF(AND(E1458&lt;&gt;"",OR(NOT(ISNUMBER(E1458)),N(E1458)&lt;0)),"Réglage invalide",IF(AND(F1458&lt;&gt;"",OR(NOT(ISNUMBER(F1458)),N(F1458)&lt;0)),"Temps par pièce invalide",IF(N(E1458)+N(F1458)=0,"Temps manquant",IF(AND(G1458&lt;&gt;"",OR(NOT(ISNUMBER(G1458)),N(G1458)&lt;=0)),"Opérateurs invalide","OK"))))))))))</f>
        <v/>
      </c>
      <c r="N1458" s="71" t="str">
        <f>IF(AND(fiche_sel&lt;&gt;"",A1458=fiche_sel),COUNTIF(A$6:A1458,fiche_sel),"")</f>
        <v/>
      </c>
    </row>
    <row r="1459">
      <c r="A1459" s="60" t="n"/>
      <c r="B1459" s="73" t="n"/>
      <c r="C1459" s="60" t="n"/>
      <c r="D1459" s="61" t="n"/>
      <c r="E1459" s="74" t="n"/>
      <c r="F1459" s="74" t="n"/>
      <c r="G1459" s="73" t="n"/>
      <c r="H1459" s="66" t="str">
        <f>IF(M1459&lt;&gt;"OK","",INDEX(po_mo,MATCH(D1459,po_code,0)))</f>
        <v/>
      </c>
      <c r="I1459" s="66" t="str">
        <f>IF(M1459&lt;&gt;"OK","",INDEX(po_mac,MATCH(D1459,po_code,0)))</f>
        <v/>
      </c>
      <c r="J1459" s="66" t="str">
        <f>IF(M1459&lt;&gt;"OK","",N(E1459)*(H1459*IF(G1459="",1,G1459)+I1459))</f>
        <v/>
      </c>
      <c r="K1459" s="66" t="str">
        <f>IF(M1459&lt;&gt;"OK","",N(F1459)/60*H1459*IF(G1459="",1,G1459))</f>
        <v/>
      </c>
      <c r="L1459" s="66" t="str">
        <f>IF(M1459&lt;&gt;"OK","",N(F1459)/60*I1459)</f>
        <v/>
      </c>
      <c r="M1459" s="69" t="str">
        <f>IF(AND(A1459="",D1459=""),"",IF(A1459="","Produit manquant",IF(COUNTIF(prod_ref,A1459)=0,"Produit inconnu",IF(D1459="","Poste manquant",IF(ISNA(MATCH(D1459,po_code,0)),"Poste inconnu",IF(INDEX(po_check,MATCH(D1459,po_code,0))&lt;&gt;"OK","Poste à corriger",IF(AND(E1459&lt;&gt;"",OR(NOT(ISNUMBER(E1459)),N(E1459)&lt;0)),"Réglage invalide",IF(AND(F1459&lt;&gt;"",OR(NOT(ISNUMBER(F1459)),N(F1459)&lt;0)),"Temps par pièce invalide",IF(N(E1459)+N(F1459)=0,"Temps manquant",IF(AND(G1459&lt;&gt;"",OR(NOT(ISNUMBER(G1459)),N(G1459)&lt;=0)),"Opérateurs invalide","OK"))))))))))</f>
        <v/>
      </c>
      <c r="N1459" s="71" t="str">
        <f>IF(AND(fiche_sel&lt;&gt;"",A1459=fiche_sel),COUNTIF(A$6:A1459,fiche_sel),"")</f>
        <v/>
      </c>
    </row>
    <row r="1460">
      <c r="A1460" s="60" t="n"/>
      <c r="B1460" s="73" t="n"/>
      <c r="C1460" s="60" t="n"/>
      <c r="D1460" s="61" t="n"/>
      <c r="E1460" s="74" t="n"/>
      <c r="F1460" s="74" t="n"/>
      <c r="G1460" s="73" t="n"/>
      <c r="H1460" s="66" t="str">
        <f>IF(M1460&lt;&gt;"OK","",INDEX(po_mo,MATCH(D1460,po_code,0)))</f>
        <v/>
      </c>
      <c r="I1460" s="66" t="str">
        <f>IF(M1460&lt;&gt;"OK","",INDEX(po_mac,MATCH(D1460,po_code,0)))</f>
        <v/>
      </c>
      <c r="J1460" s="66" t="str">
        <f>IF(M1460&lt;&gt;"OK","",N(E1460)*(H1460*IF(G1460="",1,G1460)+I1460))</f>
        <v/>
      </c>
      <c r="K1460" s="66" t="str">
        <f>IF(M1460&lt;&gt;"OK","",N(F1460)/60*H1460*IF(G1460="",1,G1460))</f>
        <v/>
      </c>
      <c r="L1460" s="66" t="str">
        <f>IF(M1460&lt;&gt;"OK","",N(F1460)/60*I1460)</f>
        <v/>
      </c>
      <c r="M1460" s="69" t="str">
        <f>IF(AND(A1460="",D1460=""),"",IF(A1460="","Produit manquant",IF(COUNTIF(prod_ref,A1460)=0,"Produit inconnu",IF(D1460="","Poste manquant",IF(ISNA(MATCH(D1460,po_code,0)),"Poste inconnu",IF(INDEX(po_check,MATCH(D1460,po_code,0))&lt;&gt;"OK","Poste à corriger",IF(AND(E1460&lt;&gt;"",OR(NOT(ISNUMBER(E1460)),N(E1460)&lt;0)),"Réglage invalide",IF(AND(F1460&lt;&gt;"",OR(NOT(ISNUMBER(F1460)),N(F1460)&lt;0)),"Temps par pièce invalide",IF(N(E1460)+N(F1460)=0,"Temps manquant",IF(AND(G1460&lt;&gt;"",OR(NOT(ISNUMBER(G1460)),N(G1460)&lt;=0)),"Opérateurs invalide","OK"))))))))))</f>
        <v/>
      </c>
      <c r="N1460" s="71" t="str">
        <f>IF(AND(fiche_sel&lt;&gt;"",A1460=fiche_sel),COUNTIF(A$6:A1460,fiche_sel),"")</f>
        <v/>
      </c>
    </row>
    <row r="1461">
      <c r="A1461" s="60" t="n"/>
      <c r="B1461" s="73" t="n"/>
      <c r="C1461" s="60" t="n"/>
      <c r="D1461" s="61" t="n"/>
      <c r="E1461" s="74" t="n"/>
      <c r="F1461" s="74" t="n"/>
      <c r="G1461" s="73" t="n"/>
      <c r="H1461" s="66" t="str">
        <f>IF(M1461&lt;&gt;"OK","",INDEX(po_mo,MATCH(D1461,po_code,0)))</f>
        <v/>
      </c>
      <c r="I1461" s="66" t="str">
        <f>IF(M1461&lt;&gt;"OK","",INDEX(po_mac,MATCH(D1461,po_code,0)))</f>
        <v/>
      </c>
      <c r="J1461" s="66" t="str">
        <f>IF(M1461&lt;&gt;"OK","",N(E1461)*(H1461*IF(G1461="",1,G1461)+I1461))</f>
        <v/>
      </c>
      <c r="K1461" s="66" t="str">
        <f>IF(M1461&lt;&gt;"OK","",N(F1461)/60*H1461*IF(G1461="",1,G1461))</f>
        <v/>
      </c>
      <c r="L1461" s="66" t="str">
        <f>IF(M1461&lt;&gt;"OK","",N(F1461)/60*I1461)</f>
        <v/>
      </c>
      <c r="M1461" s="69" t="str">
        <f>IF(AND(A1461="",D1461=""),"",IF(A1461="","Produit manquant",IF(COUNTIF(prod_ref,A1461)=0,"Produit inconnu",IF(D1461="","Poste manquant",IF(ISNA(MATCH(D1461,po_code,0)),"Poste inconnu",IF(INDEX(po_check,MATCH(D1461,po_code,0))&lt;&gt;"OK","Poste à corriger",IF(AND(E1461&lt;&gt;"",OR(NOT(ISNUMBER(E1461)),N(E1461)&lt;0)),"Réglage invalide",IF(AND(F1461&lt;&gt;"",OR(NOT(ISNUMBER(F1461)),N(F1461)&lt;0)),"Temps par pièce invalide",IF(N(E1461)+N(F1461)=0,"Temps manquant",IF(AND(G1461&lt;&gt;"",OR(NOT(ISNUMBER(G1461)),N(G1461)&lt;=0)),"Opérateurs invalide","OK"))))))))))</f>
        <v/>
      </c>
      <c r="N1461" s="71" t="str">
        <f>IF(AND(fiche_sel&lt;&gt;"",A1461=fiche_sel),COUNTIF(A$6:A1461,fiche_sel),"")</f>
        <v/>
      </c>
    </row>
    <row r="1462">
      <c r="A1462" s="60" t="n"/>
      <c r="B1462" s="73" t="n"/>
      <c r="C1462" s="60" t="n"/>
      <c r="D1462" s="61" t="n"/>
      <c r="E1462" s="74" t="n"/>
      <c r="F1462" s="74" t="n"/>
      <c r="G1462" s="73" t="n"/>
      <c r="H1462" s="66" t="str">
        <f>IF(M1462&lt;&gt;"OK","",INDEX(po_mo,MATCH(D1462,po_code,0)))</f>
        <v/>
      </c>
      <c r="I1462" s="66" t="str">
        <f>IF(M1462&lt;&gt;"OK","",INDEX(po_mac,MATCH(D1462,po_code,0)))</f>
        <v/>
      </c>
      <c r="J1462" s="66" t="str">
        <f>IF(M1462&lt;&gt;"OK","",N(E1462)*(H1462*IF(G1462="",1,G1462)+I1462))</f>
        <v/>
      </c>
      <c r="K1462" s="66" t="str">
        <f>IF(M1462&lt;&gt;"OK","",N(F1462)/60*H1462*IF(G1462="",1,G1462))</f>
        <v/>
      </c>
      <c r="L1462" s="66" t="str">
        <f>IF(M1462&lt;&gt;"OK","",N(F1462)/60*I1462)</f>
        <v/>
      </c>
      <c r="M1462" s="69" t="str">
        <f>IF(AND(A1462="",D1462=""),"",IF(A1462="","Produit manquant",IF(COUNTIF(prod_ref,A1462)=0,"Produit inconnu",IF(D1462="","Poste manquant",IF(ISNA(MATCH(D1462,po_code,0)),"Poste inconnu",IF(INDEX(po_check,MATCH(D1462,po_code,0))&lt;&gt;"OK","Poste à corriger",IF(AND(E1462&lt;&gt;"",OR(NOT(ISNUMBER(E1462)),N(E1462)&lt;0)),"Réglage invalide",IF(AND(F1462&lt;&gt;"",OR(NOT(ISNUMBER(F1462)),N(F1462)&lt;0)),"Temps par pièce invalide",IF(N(E1462)+N(F1462)=0,"Temps manquant",IF(AND(G1462&lt;&gt;"",OR(NOT(ISNUMBER(G1462)),N(G1462)&lt;=0)),"Opérateurs invalide","OK"))))))))))</f>
        <v/>
      </c>
      <c r="N1462" s="71" t="str">
        <f>IF(AND(fiche_sel&lt;&gt;"",A1462=fiche_sel),COUNTIF(A$6:A1462,fiche_sel),"")</f>
        <v/>
      </c>
    </row>
    <row r="1463">
      <c r="A1463" s="60" t="n"/>
      <c r="B1463" s="73" t="n"/>
      <c r="C1463" s="60" t="n"/>
      <c r="D1463" s="61" t="n"/>
      <c r="E1463" s="74" t="n"/>
      <c r="F1463" s="74" t="n"/>
      <c r="G1463" s="73" t="n"/>
      <c r="H1463" s="66" t="str">
        <f>IF(M1463&lt;&gt;"OK","",INDEX(po_mo,MATCH(D1463,po_code,0)))</f>
        <v/>
      </c>
      <c r="I1463" s="66" t="str">
        <f>IF(M1463&lt;&gt;"OK","",INDEX(po_mac,MATCH(D1463,po_code,0)))</f>
        <v/>
      </c>
      <c r="J1463" s="66" t="str">
        <f>IF(M1463&lt;&gt;"OK","",N(E1463)*(H1463*IF(G1463="",1,G1463)+I1463))</f>
        <v/>
      </c>
      <c r="K1463" s="66" t="str">
        <f>IF(M1463&lt;&gt;"OK","",N(F1463)/60*H1463*IF(G1463="",1,G1463))</f>
        <v/>
      </c>
      <c r="L1463" s="66" t="str">
        <f>IF(M1463&lt;&gt;"OK","",N(F1463)/60*I1463)</f>
        <v/>
      </c>
      <c r="M1463" s="69" t="str">
        <f>IF(AND(A1463="",D1463=""),"",IF(A1463="","Produit manquant",IF(COUNTIF(prod_ref,A1463)=0,"Produit inconnu",IF(D1463="","Poste manquant",IF(ISNA(MATCH(D1463,po_code,0)),"Poste inconnu",IF(INDEX(po_check,MATCH(D1463,po_code,0))&lt;&gt;"OK","Poste à corriger",IF(AND(E1463&lt;&gt;"",OR(NOT(ISNUMBER(E1463)),N(E1463)&lt;0)),"Réglage invalide",IF(AND(F1463&lt;&gt;"",OR(NOT(ISNUMBER(F1463)),N(F1463)&lt;0)),"Temps par pièce invalide",IF(N(E1463)+N(F1463)=0,"Temps manquant",IF(AND(G1463&lt;&gt;"",OR(NOT(ISNUMBER(G1463)),N(G1463)&lt;=0)),"Opérateurs invalide","OK"))))))))))</f>
        <v/>
      </c>
      <c r="N1463" s="71" t="str">
        <f>IF(AND(fiche_sel&lt;&gt;"",A1463=fiche_sel),COUNTIF(A$6:A1463,fiche_sel),"")</f>
        <v/>
      </c>
    </row>
    <row r="1464">
      <c r="A1464" s="60" t="n"/>
      <c r="B1464" s="73" t="n"/>
      <c r="C1464" s="60" t="n"/>
      <c r="D1464" s="61" t="n"/>
      <c r="E1464" s="74" t="n"/>
      <c r="F1464" s="74" t="n"/>
      <c r="G1464" s="73" t="n"/>
      <c r="H1464" s="66" t="str">
        <f>IF(M1464&lt;&gt;"OK","",INDEX(po_mo,MATCH(D1464,po_code,0)))</f>
        <v/>
      </c>
      <c r="I1464" s="66" t="str">
        <f>IF(M1464&lt;&gt;"OK","",INDEX(po_mac,MATCH(D1464,po_code,0)))</f>
        <v/>
      </c>
      <c r="J1464" s="66" t="str">
        <f>IF(M1464&lt;&gt;"OK","",N(E1464)*(H1464*IF(G1464="",1,G1464)+I1464))</f>
        <v/>
      </c>
      <c r="K1464" s="66" t="str">
        <f>IF(M1464&lt;&gt;"OK","",N(F1464)/60*H1464*IF(G1464="",1,G1464))</f>
        <v/>
      </c>
      <c r="L1464" s="66" t="str">
        <f>IF(M1464&lt;&gt;"OK","",N(F1464)/60*I1464)</f>
        <v/>
      </c>
      <c r="M1464" s="69" t="str">
        <f>IF(AND(A1464="",D1464=""),"",IF(A1464="","Produit manquant",IF(COUNTIF(prod_ref,A1464)=0,"Produit inconnu",IF(D1464="","Poste manquant",IF(ISNA(MATCH(D1464,po_code,0)),"Poste inconnu",IF(INDEX(po_check,MATCH(D1464,po_code,0))&lt;&gt;"OK","Poste à corriger",IF(AND(E1464&lt;&gt;"",OR(NOT(ISNUMBER(E1464)),N(E1464)&lt;0)),"Réglage invalide",IF(AND(F1464&lt;&gt;"",OR(NOT(ISNUMBER(F1464)),N(F1464)&lt;0)),"Temps par pièce invalide",IF(N(E1464)+N(F1464)=0,"Temps manquant",IF(AND(G1464&lt;&gt;"",OR(NOT(ISNUMBER(G1464)),N(G1464)&lt;=0)),"Opérateurs invalide","OK"))))))))))</f>
        <v/>
      </c>
      <c r="N1464" s="71" t="str">
        <f>IF(AND(fiche_sel&lt;&gt;"",A1464=fiche_sel),COUNTIF(A$6:A1464,fiche_sel),"")</f>
        <v/>
      </c>
    </row>
    <row r="1465">
      <c r="A1465" s="60" t="n"/>
      <c r="B1465" s="73" t="n"/>
      <c r="C1465" s="60" t="n"/>
      <c r="D1465" s="61" t="n"/>
      <c r="E1465" s="74" t="n"/>
      <c r="F1465" s="74" t="n"/>
      <c r="G1465" s="73" t="n"/>
      <c r="H1465" s="66" t="str">
        <f>IF(M1465&lt;&gt;"OK","",INDEX(po_mo,MATCH(D1465,po_code,0)))</f>
        <v/>
      </c>
      <c r="I1465" s="66" t="str">
        <f>IF(M1465&lt;&gt;"OK","",INDEX(po_mac,MATCH(D1465,po_code,0)))</f>
        <v/>
      </c>
      <c r="J1465" s="66" t="str">
        <f>IF(M1465&lt;&gt;"OK","",N(E1465)*(H1465*IF(G1465="",1,G1465)+I1465))</f>
        <v/>
      </c>
      <c r="K1465" s="66" t="str">
        <f>IF(M1465&lt;&gt;"OK","",N(F1465)/60*H1465*IF(G1465="",1,G1465))</f>
        <v/>
      </c>
      <c r="L1465" s="66" t="str">
        <f>IF(M1465&lt;&gt;"OK","",N(F1465)/60*I1465)</f>
        <v/>
      </c>
      <c r="M1465" s="69" t="str">
        <f>IF(AND(A1465="",D1465=""),"",IF(A1465="","Produit manquant",IF(COUNTIF(prod_ref,A1465)=0,"Produit inconnu",IF(D1465="","Poste manquant",IF(ISNA(MATCH(D1465,po_code,0)),"Poste inconnu",IF(INDEX(po_check,MATCH(D1465,po_code,0))&lt;&gt;"OK","Poste à corriger",IF(AND(E1465&lt;&gt;"",OR(NOT(ISNUMBER(E1465)),N(E1465)&lt;0)),"Réglage invalide",IF(AND(F1465&lt;&gt;"",OR(NOT(ISNUMBER(F1465)),N(F1465)&lt;0)),"Temps par pièce invalide",IF(N(E1465)+N(F1465)=0,"Temps manquant",IF(AND(G1465&lt;&gt;"",OR(NOT(ISNUMBER(G1465)),N(G1465)&lt;=0)),"Opérateurs invalide","OK"))))))))))</f>
        <v/>
      </c>
      <c r="N1465" s="71" t="str">
        <f>IF(AND(fiche_sel&lt;&gt;"",A1465=fiche_sel),COUNTIF(A$6:A1465,fiche_sel),"")</f>
        <v/>
      </c>
    </row>
    <row r="1466">
      <c r="A1466" s="60" t="n"/>
      <c r="B1466" s="73" t="n"/>
      <c r="C1466" s="60" t="n"/>
      <c r="D1466" s="61" t="n"/>
      <c r="E1466" s="74" t="n"/>
      <c r="F1466" s="74" t="n"/>
      <c r="G1466" s="73" t="n"/>
      <c r="H1466" s="66" t="str">
        <f>IF(M1466&lt;&gt;"OK","",INDEX(po_mo,MATCH(D1466,po_code,0)))</f>
        <v/>
      </c>
      <c r="I1466" s="66" t="str">
        <f>IF(M1466&lt;&gt;"OK","",INDEX(po_mac,MATCH(D1466,po_code,0)))</f>
        <v/>
      </c>
      <c r="J1466" s="66" t="str">
        <f>IF(M1466&lt;&gt;"OK","",N(E1466)*(H1466*IF(G1466="",1,G1466)+I1466))</f>
        <v/>
      </c>
      <c r="K1466" s="66" t="str">
        <f>IF(M1466&lt;&gt;"OK","",N(F1466)/60*H1466*IF(G1466="",1,G1466))</f>
        <v/>
      </c>
      <c r="L1466" s="66" t="str">
        <f>IF(M1466&lt;&gt;"OK","",N(F1466)/60*I1466)</f>
        <v/>
      </c>
      <c r="M1466" s="69" t="str">
        <f>IF(AND(A1466="",D1466=""),"",IF(A1466="","Produit manquant",IF(COUNTIF(prod_ref,A1466)=0,"Produit inconnu",IF(D1466="","Poste manquant",IF(ISNA(MATCH(D1466,po_code,0)),"Poste inconnu",IF(INDEX(po_check,MATCH(D1466,po_code,0))&lt;&gt;"OK","Poste à corriger",IF(AND(E1466&lt;&gt;"",OR(NOT(ISNUMBER(E1466)),N(E1466)&lt;0)),"Réglage invalide",IF(AND(F1466&lt;&gt;"",OR(NOT(ISNUMBER(F1466)),N(F1466)&lt;0)),"Temps par pièce invalide",IF(N(E1466)+N(F1466)=0,"Temps manquant",IF(AND(G1466&lt;&gt;"",OR(NOT(ISNUMBER(G1466)),N(G1466)&lt;=0)),"Opérateurs invalide","OK"))))))))))</f>
        <v/>
      </c>
      <c r="N1466" s="71" t="str">
        <f>IF(AND(fiche_sel&lt;&gt;"",A1466=fiche_sel),COUNTIF(A$6:A1466,fiche_sel),"")</f>
        <v/>
      </c>
    </row>
    <row r="1467">
      <c r="A1467" s="60" t="n"/>
      <c r="B1467" s="73" t="n"/>
      <c r="C1467" s="60" t="n"/>
      <c r="D1467" s="61" t="n"/>
      <c r="E1467" s="74" t="n"/>
      <c r="F1467" s="74" t="n"/>
      <c r="G1467" s="73" t="n"/>
      <c r="H1467" s="66" t="str">
        <f>IF(M1467&lt;&gt;"OK","",INDEX(po_mo,MATCH(D1467,po_code,0)))</f>
        <v/>
      </c>
      <c r="I1467" s="66" t="str">
        <f>IF(M1467&lt;&gt;"OK","",INDEX(po_mac,MATCH(D1467,po_code,0)))</f>
        <v/>
      </c>
      <c r="J1467" s="66" t="str">
        <f>IF(M1467&lt;&gt;"OK","",N(E1467)*(H1467*IF(G1467="",1,G1467)+I1467))</f>
        <v/>
      </c>
      <c r="K1467" s="66" t="str">
        <f>IF(M1467&lt;&gt;"OK","",N(F1467)/60*H1467*IF(G1467="",1,G1467))</f>
        <v/>
      </c>
      <c r="L1467" s="66" t="str">
        <f>IF(M1467&lt;&gt;"OK","",N(F1467)/60*I1467)</f>
        <v/>
      </c>
      <c r="M1467" s="69" t="str">
        <f>IF(AND(A1467="",D1467=""),"",IF(A1467="","Produit manquant",IF(COUNTIF(prod_ref,A1467)=0,"Produit inconnu",IF(D1467="","Poste manquant",IF(ISNA(MATCH(D1467,po_code,0)),"Poste inconnu",IF(INDEX(po_check,MATCH(D1467,po_code,0))&lt;&gt;"OK","Poste à corriger",IF(AND(E1467&lt;&gt;"",OR(NOT(ISNUMBER(E1467)),N(E1467)&lt;0)),"Réglage invalide",IF(AND(F1467&lt;&gt;"",OR(NOT(ISNUMBER(F1467)),N(F1467)&lt;0)),"Temps par pièce invalide",IF(N(E1467)+N(F1467)=0,"Temps manquant",IF(AND(G1467&lt;&gt;"",OR(NOT(ISNUMBER(G1467)),N(G1467)&lt;=0)),"Opérateurs invalide","OK"))))))))))</f>
        <v/>
      </c>
      <c r="N1467" s="71" t="str">
        <f>IF(AND(fiche_sel&lt;&gt;"",A1467=fiche_sel),COUNTIF(A$6:A1467,fiche_sel),"")</f>
        <v/>
      </c>
    </row>
    <row r="1468">
      <c r="A1468" s="60" t="n"/>
      <c r="B1468" s="73" t="n"/>
      <c r="C1468" s="60" t="n"/>
      <c r="D1468" s="61" t="n"/>
      <c r="E1468" s="74" t="n"/>
      <c r="F1468" s="74" t="n"/>
      <c r="G1468" s="73" t="n"/>
      <c r="H1468" s="66" t="str">
        <f>IF(M1468&lt;&gt;"OK","",INDEX(po_mo,MATCH(D1468,po_code,0)))</f>
        <v/>
      </c>
      <c r="I1468" s="66" t="str">
        <f>IF(M1468&lt;&gt;"OK","",INDEX(po_mac,MATCH(D1468,po_code,0)))</f>
        <v/>
      </c>
      <c r="J1468" s="66" t="str">
        <f>IF(M1468&lt;&gt;"OK","",N(E1468)*(H1468*IF(G1468="",1,G1468)+I1468))</f>
        <v/>
      </c>
      <c r="K1468" s="66" t="str">
        <f>IF(M1468&lt;&gt;"OK","",N(F1468)/60*H1468*IF(G1468="",1,G1468))</f>
        <v/>
      </c>
      <c r="L1468" s="66" t="str">
        <f>IF(M1468&lt;&gt;"OK","",N(F1468)/60*I1468)</f>
        <v/>
      </c>
      <c r="M1468" s="69" t="str">
        <f>IF(AND(A1468="",D1468=""),"",IF(A1468="","Produit manquant",IF(COUNTIF(prod_ref,A1468)=0,"Produit inconnu",IF(D1468="","Poste manquant",IF(ISNA(MATCH(D1468,po_code,0)),"Poste inconnu",IF(INDEX(po_check,MATCH(D1468,po_code,0))&lt;&gt;"OK","Poste à corriger",IF(AND(E1468&lt;&gt;"",OR(NOT(ISNUMBER(E1468)),N(E1468)&lt;0)),"Réglage invalide",IF(AND(F1468&lt;&gt;"",OR(NOT(ISNUMBER(F1468)),N(F1468)&lt;0)),"Temps par pièce invalide",IF(N(E1468)+N(F1468)=0,"Temps manquant",IF(AND(G1468&lt;&gt;"",OR(NOT(ISNUMBER(G1468)),N(G1468)&lt;=0)),"Opérateurs invalide","OK"))))))))))</f>
        <v/>
      </c>
      <c r="N1468" s="71" t="str">
        <f>IF(AND(fiche_sel&lt;&gt;"",A1468=fiche_sel),COUNTIF(A$6:A1468,fiche_sel),"")</f>
        <v/>
      </c>
    </row>
    <row r="1469">
      <c r="A1469" s="60" t="n"/>
      <c r="B1469" s="73" t="n"/>
      <c r="C1469" s="60" t="n"/>
      <c r="D1469" s="61" t="n"/>
      <c r="E1469" s="74" t="n"/>
      <c r="F1469" s="74" t="n"/>
      <c r="G1469" s="73" t="n"/>
      <c r="H1469" s="66" t="str">
        <f>IF(M1469&lt;&gt;"OK","",INDEX(po_mo,MATCH(D1469,po_code,0)))</f>
        <v/>
      </c>
      <c r="I1469" s="66" t="str">
        <f>IF(M1469&lt;&gt;"OK","",INDEX(po_mac,MATCH(D1469,po_code,0)))</f>
        <v/>
      </c>
      <c r="J1469" s="66" t="str">
        <f>IF(M1469&lt;&gt;"OK","",N(E1469)*(H1469*IF(G1469="",1,G1469)+I1469))</f>
        <v/>
      </c>
      <c r="K1469" s="66" t="str">
        <f>IF(M1469&lt;&gt;"OK","",N(F1469)/60*H1469*IF(G1469="",1,G1469))</f>
        <v/>
      </c>
      <c r="L1469" s="66" t="str">
        <f>IF(M1469&lt;&gt;"OK","",N(F1469)/60*I1469)</f>
        <v/>
      </c>
      <c r="M1469" s="69" t="str">
        <f>IF(AND(A1469="",D1469=""),"",IF(A1469="","Produit manquant",IF(COUNTIF(prod_ref,A1469)=0,"Produit inconnu",IF(D1469="","Poste manquant",IF(ISNA(MATCH(D1469,po_code,0)),"Poste inconnu",IF(INDEX(po_check,MATCH(D1469,po_code,0))&lt;&gt;"OK","Poste à corriger",IF(AND(E1469&lt;&gt;"",OR(NOT(ISNUMBER(E1469)),N(E1469)&lt;0)),"Réglage invalide",IF(AND(F1469&lt;&gt;"",OR(NOT(ISNUMBER(F1469)),N(F1469)&lt;0)),"Temps par pièce invalide",IF(N(E1469)+N(F1469)=0,"Temps manquant",IF(AND(G1469&lt;&gt;"",OR(NOT(ISNUMBER(G1469)),N(G1469)&lt;=0)),"Opérateurs invalide","OK"))))))))))</f>
        <v/>
      </c>
      <c r="N1469" s="71" t="str">
        <f>IF(AND(fiche_sel&lt;&gt;"",A1469=fiche_sel),COUNTIF(A$6:A1469,fiche_sel),"")</f>
        <v/>
      </c>
    </row>
    <row r="1470">
      <c r="A1470" s="60" t="n"/>
      <c r="B1470" s="73" t="n"/>
      <c r="C1470" s="60" t="n"/>
      <c r="D1470" s="61" t="n"/>
      <c r="E1470" s="74" t="n"/>
      <c r="F1470" s="74" t="n"/>
      <c r="G1470" s="73" t="n"/>
      <c r="H1470" s="66" t="str">
        <f>IF(M1470&lt;&gt;"OK","",INDEX(po_mo,MATCH(D1470,po_code,0)))</f>
        <v/>
      </c>
      <c r="I1470" s="66" t="str">
        <f>IF(M1470&lt;&gt;"OK","",INDEX(po_mac,MATCH(D1470,po_code,0)))</f>
        <v/>
      </c>
      <c r="J1470" s="66" t="str">
        <f>IF(M1470&lt;&gt;"OK","",N(E1470)*(H1470*IF(G1470="",1,G1470)+I1470))</f>
        <v/>
      </c>
      <c r="K1470" s="66" t="str">
        <f>IF(M1470&lt;&gt;"OK","",N(F1470)/60*H1470*IF(G1470="",1,G1470))</f>
        <v/>
      </c>
      <c r="L1470" s="66" t="str">
        <f>IF(M1470&lt;&gt;"OK","",N(F1470)/60*I1470)</f>
        <v/>
      </c>
      <c r="M1470" s="69" t="str">
        <f>IF(AND(A1470="",D1470=""),"",IF(A1470="","Produit manquant",IF(COUNTIF(prod_ref,A1470)=0,"Produit inconnu",IF(D1470="","Poste manquant",IF(ISNA(MATCH(D1470,po_code,0)),"Poste inconnu",IF(INDEX(po_check,MATCH(D1470,po_code,0))&lt;&gt;"OK","Poste à corriger",IF(AND(E1470&lt;&gt;"",OR(NOT(ISNUMBER(E1470)),N(E1470)&lt;0)),"Réglage invalide",IF(AND(F1470&lt;&gt;"",OR(NOT(ISNUMBER(F1470)),N(F1470)&lt;0)),"Temps par pièce invalide",IF(N(E1470)+N(F1470)=0,"Temps manquant",IF(AND(G1470&lt;&gt;"",OR(NOT(ISNUMBER(G1470)),N(G1470)&lt;=0)),"Opérateurs invalide","OK"))))))))))</f>
        <v/>
      </c>
      <c r="N1470" s="71" t="str">
        <f>IF(AND(fiche_sel&lt;&gt;"",A1470=fiche_sel),COUNTIF(A$6:A1470,fiche_sel),"")</f>
        <v/>
      </c>
    </row>
    <row r="1471">
      <c r="A1471" s="60" t="n"/>
      <c r="B1471" s="73" t="n"/>
      <c r="C1471" s="60" t="n"/>
      <c r="D1471" s="61" t="n"/>
      <c r="E1471" s="74" t="n"/>
      <c r="F1471" s="74" t="n"/>
      <c r="G1471" s="73" t="n"/>
      <c r="H1471" s="66" t="str">
        <f>IF(M1471&lt;&gt;"OK","",INDEX(po_mo,MATCH(D1471,po_code,0)))</f>
        <v/>
      </c>
      <c r="I1471" s="66" t="str">
        <f>IF(M1471&lt;&gt;"OK","",INDEX(po_mac,MATCH(D1471,po_code,0)))</f>
        <v/>
      </c>
      <c r="J1471" s="66" t="str">
        <f>IF(M1471&lt;&gt;"OK","",N(E1471)*(H1471*IF(G1471="",1,G1471)+I1471))</f>
        <v/>
      </c>
      <c r="K1471" s="66" t="str">
        <f>IF(M1471&lt;&gt;"OK","",N(F1471)/60*H1471*IF(G1471="",1,G1471))</f>
        <v/>
      </c>
      <c r="L1471" s="66" t="str">
        <f>IF(M1471&lt;&gt;"OK","",N(F1471)/60*I1471)</f>
        <v/>
      </c>
      <c r="M1471" s="69" t="str">
        <f>IF(AND(A1471="",D1471=""),"",IF(A1471="","Produit manquant",IF(COUNTIF(prod_ref,A1471)=0,"Produit inconnu",IF(D1471="","Poste manquant",IF(ISNA(MATCH(D1471,po_code,0)),"Poste inconnu",IF(INDEX(po_check,MATCH(D1471,po_code,0))&lt;&gt;"OK","Poste à corriger",IF(AND(E1471&lt;&gt;"",OR(NOT(ISNUMBER(E1471)),N(E1471)&lt;0)),"Réglage invalide",IF(AND(F1471&lt;&gt;"",OR(NOT(ISNUMBER(F1471)),N(F1471)&lt;0)),"Temps par pièce invalide",IF(N(E1471)+N(F1471)=0,"Temps manquant",IF(AND(G1471&lt;&gt;"",OR(NOT(ISNUMBER(G1471)),N(G1471)&lt;=0)),"Opérateurs invalide","OK"))))))))))</f>
        <v/>
      </c>
      <c r="N1471" s="71" t="str">
        <f>IF(AND(fiche_sel&lt;&gt;"",A1471=fiche_sel),COUNTIF(A$6:A1471,fiche_sel),"")</f>
        <v/>
      </c>
    </row>
    <row r="1472">
      <c r="A1472" s="60" t="n"/>
      <c r="B1472" s="73" t="n"/>
      <c r="C1472" s="60" t="n"/>
      <c r="D1472" s="61" t="n"/>
      <c r="E1472" s="74" t="n"/>
      <c r="F1472" s="74" t="n"/>
      <c r="G1472" s="73" t="n"/>
      <c r="H1472" s="66" t="str">
        <f>IF(M1472&lt;&gt;"OK","",INDEX(po_mo,MATCH(D1472,po_code,0)))</f>
        <v/>
      </c>
      <c r="I1472" s="66" t="str">
        <f>IF(M1472&lt;&gt;"OK","",INDEX(po_mac,MATCH(D1472,po_code,0)))</f>
        <v/>
      </c>
      <c r="J1472" s="66" t="str">
        <f>IF(M1472&lt;&gt;"OK","",N(E1472)*(H1472*IF(G1472="",1,G1472)+I1472))</f>
        <v/>
      </c>
      <c r="K1472" s="66" t="str">
        <f>IF(M1472&lt;&gt;"OK","",N(F1472)/60*H1472*IF(G1472="",1,G1472))</f>
        <v/>
      </c>
      <c r="L1472" s="66" t="str">
        <f>IF(M1472&lt;&gt;"OK","",N(F1472)/60*I1472)</f>
        <v/>
      </c>
      <c r="M1472" s="69" t="str">
        <f>IF(AND(A1472="",D1472=""),"",IF(A1472="","Produit manquant",IF(COUNTIF(prod_ref,A1472)=0,"Produit inconnu",IF(D1472="","Poste manquant",IF(ISNA(MATCH(D1472,po_code,0)),"Poste inconnu",IF(INDEX(po_check,MATCH(D1472,po_code,0))&lt;&gt;"OK","Poste à corriger",IF(AND(E1472&lt;&gt;"",OR(NOT(ISNUMBER(E1472)),N(E1472)&lt;0)),"Réglage invalide",IF(AND(F1472&lt;&gt;"",OR(NOT(ISNUMBER(F1472)),N(F1472)&lt;0)),"Temps par pièce invalide",IF(N(E1472)+N(F1472)=0,"Temps manquant",IF(AND(G1472&lt;&gt;"",OR(NOT(ISNUMBER(G1472)),N(G1472)&lt;=0)),"Opérateurs invalide","OK"))))))))))</f>
        <v/>
      </c>
      <c r="N1472" s="71" t="str">
        <f>IF(AND(fiche_sel&lt;&gt;"",A1472=fiche_sel),COUNTIF(A$6:A1472,fiche_sel),"")</f>
        <v/>
      </c>
    </row>
    <row r="1473">
      <c r="A1473" s="60" t="n"/>
      <c r="B1473" s="73" t="n"/>
      <c r="C1473" s="60" t="n"/>
      <c r="D1473" s="61" t="n"/>
      <c r="E1473" s="74" t="n"/>
      <c r="F1473" s="74" t="n"/>
      <c r="G1473" s="73" t="n"/>
      <c r="H1473" s="66" t="str">
        <f>IF(M1473&lt;&gt;"OK","",INDEX(po_mo,MATCH(D1473,po_code,0)))</f>
        <v/>
      </c>
      <c r="I1473" s="66" t="str">
        <f>IF(M1473&lt;&gt;"OK","",INDEX(po_mac,MATCH(D1473,po_code,0)))</f>
        <v/>
      </c>
      <c r="J1473" s="66" t="str">
        <f>IF(M1473&lt;&gt;"OK","",N(E1473)*(H1473*IF(G1473="",1,G1473)+I1473))</f>
        <v/>
      </c>
      <c r="K1473" s="66" t="str">
        <f>IF(M1473&lt;&gt;"OK","",N(F1473)/60*H1473*IF(G1473="",1,G1473))</f>
        <v/>
      </c>
      <c r="L1473" s="66" t="str">
        <f>IF(M1473&lt;&gt;"OK","",N(F1473)/60*I1473)</f>
        <v/>
      </c>
      <c r="M1473" s="69" t="str">
        <f>IF(AND(A1473="",D1473=""),"",IF(A1473="","Produit manquant",IF(COUNTIF(prod_ref,A1473)=0,"Produit inconnu",IF(D1473="","Poste manquant",IF(ISNA(MATCH(D1473,po_code,0)),"Poste inconnu",IF(INDEX(po_check,MATCH(D1473,po_code,0))&lt;&gt;"OK","Poste à corriger",IF(AND(E1473&lt;&gt;"",OR(NOT(ISNUMBER(E1473)),N(E1473)&lt;0)),"Réglage invalide",IF(AND(F1473&lt;&gt;"",OR(NOT(ISNUMBER(F1473)),N(F1473)&lt;0)),"Temps par pièce invalide",IF(N(E1473)+N(F1473)=0,"Temps manquant",IF(AND(G1473&lt;&gt;"",OR(NOT(ISNUMBER(G1473)),N(G1473)&lt;=0)),"Opérateurs invalide","OK"))))))))))</f>
        <v/>
      </c>
      <c r="N1473" s="71" t="str">
        <f>IF(AND(fiche_sel&lt;&gt;"",A1473=fiche_sel),COUNTIF(A$6:A1473,fiche_sel),"")</f>
        <v/>
      </c>
    </row>
    <row r="1474">
      <c r="A1474" s="60" t="n"/>
      <c r="B1474" s="73" t="n"/>
      <c r="C1474" s="60" t="n"/>
      <c r="D1474" s="61" t="n"/>
      <c r="E1474" s="74" t="n"/>
      <c r="F1474" s="74" t="n"/>
      <c r="G1474" s="73" t="n"/>
      <c r="H1474" s="66" t="str">
        <f>IF(M1474&lt;&gt;"OK","",INDEX(po_mo,MATCH(D1474,po_code,0)))</f>
        <v/>
      </c>
      <c r="I1474" s="66" t="str">
        <f>IF(M1474&lt;&gt;"OK","",INDEX(po_mac,MATCH(D1474,po_code,0)))</f>
        <v/>
      </c>
      <c r="J1474" s="66" t="str">
        <f>IF(M1474&lt;&gt;"OK","",N(E1474)*(H1474*IF(G1474="",1,G1474)+I1474))</f>
        <v/>
      </c>
      <c r="K1474" s="66" t="str">
        <f>IF(M1474&lt;&gt;"OK","",N(F1474)/60*H1474*IF(G1474="",1,G1474))</f>
        <v/>
      </c>
      <c r="L1474" s="66" t="str">
        <f>IF(M1474&lt;&gt;"OK","",N(F1474)/60*I1474)</f>
        <v/>
      </c>
      <c r="M1474" s="69" t="str">
        <f>IF(AND(A1474="",D1474=""),"",IF(A1474="","Produit manquant",IF(COUNTIF(prod_ref,A1474)=0,"Produit inconnu",IF(D1474="","Poste manquant",IF(ISNA(MATCH(D1474,po_code,0)),"Poste inconnu",IF(INDEX(po_check,MATCH(D1474,po_code,0))&lt;&gt;"OK","Poste à corriger",IF(AND(E1474&lt;&gt;"",OR(NOT(ISNUMBER(E1474)),N(E1474)&lt;0)),"Réglage invalide",IF(AND(F1474&lt;&gt;"",OR(NOT(ISNUMBER(F1474)),N(F1474)&lt;0)),"Temps par pièce invalide",IF(N(E1474)+N(F1474)=0,"Temps manquant",IF(AND(G1474&lt;&gt;"",OR(NOT(ISNUMBER(G1474)),N(G1474)&lt;=0)),"Opérateurs invalide","OK"))))))))))</f>
        <v/>
      </c>
      <c r="N1474" s="71" t="str">
        <f>IF(AND(fiche_sel&lt;&gt;"",A1474=fiche_sel),COUNTIF(A$6:A1474,fiche_sel),"")</f>
        <v/>
      </c>
    </row>
    <row r="1475">
      <c r="A1475" s="60" t="n"/>
      <c r="B1475" s="73" t="n"/>
      <c r="C1475" s="60" t="n"/>
      <c r="D1475" s="61" t="n"/>
      <c r="E1475" s="74" t="n"/>
      <c r="F1475" s="74" t="n"/>
      <c r="G1475" s="73" t="n"/>
      <c r="H1475" s="66" t="str">
        <f>IF(M1475&lt;&gt;"OK","",INDEX(po_mo,MATCH(D1475,po_code,0)))</f>
        <v/>
      </c>
      <c r="I1475" s="66" t="str">
        <f>IF(M1475&lt;&gt;"OK","",INDEX(po_mac,MATCH(D1475,po_code,0)))</f>
        <v/>
      </c>
      <c r="J1475" s="66" t="str">
        <f>IF(M1475&lt;&gt;"OK","",N(E1475)*(H1475*IF(G1475="",1,G1475)+I1475))</f>
        <v/>
      </c>
      <c r="K1475" s="66" t="str">
        <f>IF(M1475&lt;&gt;"OK","",N(F1475)/60*H1475*IF(G1475="",1,G1475))</f>
        <v/>
      </c>
      <c r="L1475" s="66" t="str">
        <f>IF(M1475&lt;&gt;"OK","",N(F1475)/60*I1475)</f>
        <v/>
      </c>
      <c r="M1475" s="69" t="str">
        <f>IF(AND(A1475="",D1475=""),"",IF(A1475="","Produit manquant",IF(COUNTIF(prod_ref,A1475)=0,"Produit inconnu",IF(D1475="","Poste manquant",IF(ISNA(MATCH(D1475,po_code,0)),"Poste inconnu",IF(INDEX(po_check,MATCH(D1475,po_code,0))&lt;&gt;"OK","Poste à corriger",IF(AND(E1475&lt;&gt;"",OR(NOT(ISNUMBER(E1475)),N(E1475)&lt;0)),"Réglage invalide",IF(AND(F1475&lt;&gt;"",OR(NOT(ISNUMBER(F1475)),N(F1475)&lt;0)),"Temps par pièce invalide",IF(N(E1475)+N(F1475)=0,"Temps manquant",IF(AND(G1475&lt;&gt;"",OR(NOT(ISNUMBER(G1475)),N(G1475)&lt;=0)),"Opérateurs invalide","OK"))))))))))</f>
        <v/>
      </c>
      <c r="N1475" s="71" t="str">
        <f>IF(AND(fiche_sel&lt;&gt;"",A1475=fiche_sel),COUNTIF(A$6:A1475,fiche_sel),"")</f>
        <v/>
      </c>
    </row>
    <row r="1476">
      <c r="A1476" s="60" t="n"/>
      <c r="B1476" s="73" t="n"/>
      <c r="C1476" s="60" t="n"/>
      <c r="D1476" s="61" t="n"/>
      <c r="E1476" s="74" t="n"/>
      <c r="F1476" s="74" t="n"/>
      <c r="G1476" s="73" t="n"/>
      <c r="H1476" s="66" t="str">
        <f>IF(M1476&lt;&gt;"OK","",INDEX(po_mo,MATCH(D1476,po_code,0)))</f>
        <v/>
      </c>
      <c r="I1476" s="66" t="str">
        <f>IF(M1476&lt;&gt;"OK","",INDEX(po_mac,MATCH(D1476,po_code,0)))</f>
        <v/>
      </c>
      <c r="J1476" s="66" t="str">
        <f>IF(M1476&lt;&gt;"OK","",N(E1476)*(H1476*IF(G1476="",1,G1476)+I1476))</f>
        <v/>
      </c>
      <c r="K1476" s="66" t="str">
        <f>IF(M1476&lt;&gt;"OK","",N(F1476)/60*H1476*IF(G1476="",1,G1476))</f>
        <v/>
      </c>
      <c r="L1476" s="66" t="str">
        <f>IF(M1476&lt;&gt;"OK","",N(F1476)/60*I1476)</f>
        <v/>
      </c>
      <c r="M1476" s="69" t="str">
        <f>IF(AND(A1476="",D1476=""),"",IF(A1476="","Produit manquant",IF(COUNTIF(prod_ref,A1476)=0,"Produit inconnu",IF(D1476="","Poste manquant",IF(ISNA(MATCH(D1476,po_code,0)),"Poste inconnu",IF(INDEX(po_check,MATCH(D1476,po_code,0))&lt;&gt;"OK","Poste à corriger",IF(AND(E1476&lt;&gt;"",OR(NOT(ISNUMBER(E1476)),N(E1476)&lt;0)),"Réglage invalide",IF(AND(F1476&lt;&gt;"",OR(NOT(ISNUMBER(F1476)),N(F1476)&lt;0)),"Temps par pièce invalide",IF(N(E1476)+N(F1476)=0,"Temps manquant",IF(AND(G1476&lt;&gt;"",OR(NOT(ISNUMBER(G1476)),N(G1476)&lt;=0)),"Opérateurs invalide","OK"))))))))))</f>
        <v/>
      </c>
      <c r="N1476" s="71" t="str">
        <f>IF(AND(fiche_sel&lt;&gt;"",A1476=fiche_sel),COUNTIF(A$6:A1476,fiche_sel),"")</f>
        <v/>
      </c>
    </row>
    <row r="1477">
      <c r="A1477" s="60" t="n"/>
      <c r="B1477" s="73" t="n"/>
      <c r="C1477" s="60" t="n"/>
      <c r="D1477" s="61" t="n"/>
      <c r="E1477" s="74" t="n"/>
      <c r="F1477" s="74" t="n"/>
      <c r="G1477" s="73" t="n"/>
      <c r="H1477" s="66" t="str">
        <f>IF(M1477&lt;&gt;"OK","",INDEX(po_mo,MATCH(D1477,po_code,0)))</f>
        <v/>
      </c>
      <c r="I1477" s="66" t="str">
        <f>IF(M1477&lt;&gt;"OK","",INDEX(po_mac,MATCH(D1477,po_code,0)))</f>
        <v/>
      </c>
      <c r="J1477" s="66" t="str">
        <f>IF(M1477&lt;&gt;"OK","",N(E1477)*(H1477*IF(G1477="",1,G1477)+I1477))</f>
        <v/>
      </c>
      <c r="K1477" s="66" t="str">
        <f>IF(M1477&lt;&gt;"OK","",N(F1477)/60*H1477*IF(G1477="",1,G1477))</f>
        <v/>
      </c>
      <c r="L1477" s="66" t="str">
        <f>IF(M1477&lt;&gt;"OK","",N(F1477)/60*I1477)</f>
        <v/>
      </c>
      <c r="M1477" s="69" t="str">
        <f>IF(AND(A1477="",D1477=""),"",IF(A1477="","Produit manquant",IF(COUNTIF(prod_ref,A1477)=0,"Produit inconnu",IF(D1477="","Poste manquant",IF(ISNA(MATCH(D1477,po_code,0)),"Poste inconnu",IF(INDEX(po_check,MATCH(D1477,po_code,0))&lt;&gt;"OK","Poste à corriger",IF(AND(E1477&lt;&gt;"",OR(NOT(ISNUMBER(E1477)),N(E1477)&lt;0)),"Réglage invalide",IF(AND(F1477&lt;&gt;"",OR(NOT(ISNUMBER(F1477)),N(F1477)&lt;0)),"Temps par pièce invalide",IF(N(E1477)+N(F1477)=0,"Temps manquant",IF(AND(G1477&lt;&gt;"",OR(NOT(ISNUMBER(G1477)),N(G1477)&lt;=0)),"Opérateurs invalide","OK"))))))))))</f>
        <v/>
      </c>
      <c r="N1477" s="71" t="str">
        <f>IF(AND(fiche_sel&lt;&gt;"",A1477=fiche_sel),COUNTIF(A$6:A1477,fiche_sel),"")</f>
        <v/>
      </c>
    </row>
    <row r="1478">
      <c r="A1478" s="60" t="n"/>
      <c r="B1478" s="73" t="n"/>
      <c r="C1478" s="60" t="n"/>
      <c r="D1478" s="61" t="n"/>
      <c r="E1478" s="74" t="n"/>
      <c r="F1478" s="74" t="n"/>
      <c r="G1478" s="73" t="n"/>
      <c r="H1478" s="66" t="str">
        <f>IF(M1478&lt;&gt;"OK","",INDEX(po_mo,MATCH(D1478,po_code,0)))</f>
        <v/>
      </c>
      <c r="I1478" s="66" t="str">
        <f>IF(M1478&lt;&gt;"OK","",INDEX(po_mac,MATCH(D1478,po_code,0)))</f>
        <v/>
      </c>
      <c r="J1478" s="66" t="str">
        <f>IF(M1478&lt;&gt;"OK","",N(E1478)*(H1478*IF(G1478="",1,G1478)+I1478))</f>
        <v/>
      </c>
      <c r="K1478" s="66" t="str">
        <f>IF(M1478&lt;&gt;"OK","",N(F1478)/60*H1478*IF(G1478="",1,G1478))</f>
        <v/>
      </c>
      <c r="L1478" s="66" t="str">
        <f>IF(M1478&lt;&gt;"OK","",N(F1478)/60*I1478)</f>
        <v/>
      </c>
      <c r="M1478" s="69" t="str">
        <f>IF(AND(A1478="",D1478=""),"",IF(A1478="","Produit manquant",IF(COUNTIF(prod_ref,A1478)=0,"Produit inconnu",IF(D1478="","Poste manquant",IF(ISNA(MATCH(D1478,po_code,0)),"Poste inconnu",IF(INDEX(po_check,MATCH(D1478,po_code,0))&lt;&gt;"OK","Poste à corriger",IF(AND(E1478&lt;&gt;"",OR(NOT(ISNUMBER(E1478)),N(E1478)&lt;0)),"Réglage invalide",IF(AND(F1478&lt;&gt;"",OR(NOT(ISNUMBER(F1478)),N(F1478)&lt;0)),"Temps par pièce invalide",IF(N(E1478)+N(F1478)=0,"Temps manquant",IF(AND(G1478&lt;&gt;"",OR(NOT(ISNUMBER(G1478)),N(G1478)&lt;=0)),"Opérateurs invalide","OK"))))))))))</f>
        <v/>
      </c>
      <c r="N1478" s="71" t="str">
        <f>IF(AND(fiche_sel&lt;&gt;"",A1478=fiche_sel),COUNTIF(A$6:A1478,fiche_sel),"")</f>
        <v/>
      </c>
    </row>
    <row r="1479">
      <c r="A1479" s="60" t="n"/>
      <c r="B1479" s="73" t="n"/>
      <c r="C1479" s="60" t="n"/>
      <c r="D1479" s="61" t="n"/>
      <c r="E1479" s="74" t="n"/>
      <c r="F1479" s="74" t="n"/>
      <c r="G1479" s="73" t="n"/>
      <c r="H1479" s="66" t="str">
        <f>IF(M1479&lt;&gt;"OK","",INDEX(po_mo,MATCH(D1479,po_code,0)))</f>
        <v/>
      </c>
      <c r="I1479" s="66" t="str">
        <f>IF(M1479&lt;&gt;"OK","",INDEX(po_mac,MATCH(D1479,po_code,0)))</f>
        <v/>
      </c>
      <c r="J1479" s="66" t="str">
        <f>IF(M1479&lt;&gt;"OK","",N(E1479)*(H1479*IF(G1479="",1,G1479)+I1479))</f>
        <v/>
      </c>
      <c r="K1479" s="66" t="str">
        <f>IF(M1479&lt;&gt;"OK","",N(F1479)/60*H1479*IF(G1479="",1,G1479))</f>
        <v/>
      </c>
      <c r="L1479" s="66" t="str">
        <f>IF(M1479&lt;&gt;"OK","",N(F1479)/60*I1479)</f>
        <v/>
      </c>
      <c r="M1479" s="69" t="str">
        <f>IF(AND(A1479="",D1479=""),"",IF(A1479="","Produit manquant",IF(COUNTIF(prod_ref,A1479)=0,"Produit inconnu",IF(D1479="","Poste manquant",IF(ISNA(MATCH(D1479,po_code,0)),"Poste inconnu",IF(INDEX(po_check,MATCH(D1479,po_code,0))&lt;&gt;"OK","Poste à corriger",IF(AND(E1479&lt;&gt;"",OR(NOT(ISNUMBER(E1479)),N(E1479)&lt;0)),"Réglage invalide",IF(AND(F1479&lt;&gt;"",OR(NOT(ISNUMBER(F1479)),N(F1479)&lt;0)),"Temps par pièce invalide",IF(N(E1479)+N(F1479)=0,"Temps manquant",IF(AND(G1479&lt;&gt;"",OR(NOT(ISNUMBER(G1479)),N(G1479)&lt;=0)),"Opérateurs invalide","OK"))))))))))</f>
        <v/>
      </c>
      <c r="N1479" s="71" t="str">
        <f>IF(AND(fiche_sel&lt;&gt;"",A1479=fiche_sel),COUNTIF(A$6:A1479,fiche_sel),"")</f>
        <v/>
      </c>
    </row>
    <row r="1480">
      <c r="A1480" s="60" t="n"/>
      <c r="B1480" s="73" t="n"/>
      <c r="C1480" s="60" t="n"/>
      <c r="D1480" s="61" t="n"/>
      <c r="E1480" s="74" t="n"/>
      <c r="F1480" s="74" t="n"/>
      <c r="G1480" s="73" t="n"/>
      <c r="H1480" s="66" t="str">
        <f>IF(M1480&lt;&gt;"OK","",INDEX(po_mo,MATCH(D1480,po_code,0)))</f>
        <v/>
      </c>
      <c r="I1480" s="66" t="str">
        <f>IF(M1480&lt;&gt;"OK","",INDEX(po_mac,MATCH(D1480,po_code,0)))</f>
        <v/>
      </c>
      <c r="J1480" s="66" t="str">
        <f>IF(M1480&lt;&gt;"OK","",N(E1480)*(H1480*IF(G1480="",1,G1480)+I1480))</f>
        <v/>
      </c>
      <c r="K1480" s="66" t="str">
        <f>IF(M1480&lt;&gt;"OK","",N(F1480)/60*H1480*IF(G1480="",1,G1480))</f>
        <v/>
      </c>
      <c r="L1480" s="66" t="str">
        <f>IF(M1480&lt;&gt;"OK","",N(F1480)/60*I1480)</f>
        <v/>
      </c>
      <c r="M1480" s="69" t="str">
        <f>IF(AND(A1480="",D1480=""),"",IF(A1480="","Produit manquant",IF(COUNTIF(prod_ref,A1480)=0,"Produit inconnu",IF(D1480="","Poste manquant",IF(ISNA(MATCH(D1480,po_code,0)),"Poste inconnu",IF(INDEX(po_check,MATCH(D1480,po_code,0))&lt;&gt;"OK","Poste à corriger",IF(AND(E1480&lt;&gt;"",OR(NOT(ISNUMBER(E1480)),N(E1480)&lt;0)),"Réglage invalide",IF(AND(F1480&lt;&gt;"",OR(NOT(ISNUMBER(F1480)),N(F1480)&lt;0)),"Temps par pièce invalide",IF(N(E1480)+N(F1480)=0,"Temps manquant",IF(AND(G1480&lt;&gt;"",OR(NOT(ISNUMBER(G1480)),N(G1480)&lt;=0)),"Opérateurs invalide","OK"))))))))))</f>
        <v/>
      </c>
      <c r="N1480" s="71" t="str">
        <f>IF(AND(fiche_sel&lt;&gt;"",A1480=fiche_sel),COUNTIF(A$6:A1480,fiche_sel),"")</f>
        <v/>
      </c>
    </row>
    <row r="1481">
      <c r="A1481" s="60" t="n"/>
      <c r="B1481" s="73" t="n"/>
      <c r="C1481" s="60" t="n"/>
      <c r="D1481" s="61" t="n"/>
      <c r="E1481" s="74" t="n"/>
      <c r="F1481" s="74" t="n"/>
      <c r="G1481" s="73" t="n"/>
      <c r="H1481" s="66" t="str">
        <f>IF(M1481&lt;&gt;"OK","",INDEX(po_mo,MATCH(D1481,po_code,0)))</f>
        <v/>
      </c>
      <c r="I1481" s="66" t="str">
        <f>IF(M1481&lt;&gt;"OK","",INDEX(po_mac,MATCH(D1481,po_code,0)))</f>
        <v/>
      </c>
      <c r="J1481" s="66" t="str">
        <f>IF(M1481&lt;&gt;"OK","",N(E1481)*(H1481*IF(G1481="",1,G1481)+I1481))</f>
        <v/>
      </c>
      <c r="K1481" s="66" t="str">
        <f>IF(M1481&lt;&gt;"OK","",N(F1481)/60*H1481*IF(G1481="",1,G1481))</f>
        <v/>
      </c>
      <c r="L1481" s="66" t="str">
        <f>IF(M1481&lt;&gt;"OK","",N(F1481)/60*I1481)</f>
        <v/>
      </c>
      <c r="M1481" s="69" t="str">
        <f>IF(AND(A1481="",D1481=""),"",IF(A1481="","Produit manquant",IF(COUNTIF(prod_ref,A1481)=0,"Produit inconnu",IF(D1481="","Poste manquant",IF(ISNA(MATCH(D1481,po_code,0)),"Poste inconnu",IF(INDEX(po_check,MATCH(D1481,po_code,0))&lt;&gt;"OK","Poste à corriger",IF(AND(E1481&lt;&gt;"",OR(NOT(ISNUMBER(E1481)),N(E1481)&lt;0)),"Réglage invalide",IF(AND(F1481&lt;&gt;"",OR(NOT(ISNUMBER(F1481)),N(F1481)&lt;0)),"Temps par pièce invalide",IF(N(E1481)+N(F1481)=0,"Temps manquant",IF(AND(G1481&lt;&gt;"",OR(NOT(ISNUMBER(G1481)),N(G1481)&lt;=0)),"Opérateurs invalide","OK"))))))))))</f>
        <v/>
      </c>
      <c r="N1481" s="71" t="str">
        <f>IF(AND(fiche_sel&lt;&gt;"",A1481=fiche_sel),COUNTIF(A$6:A1481,fiche_sel),"")</f>
        <v/>
      </c>
    </row>
    <row r="1482">
      <c r="A1482" s="60" t="n"/>
      <c r="B1482" s="73" t="n"/>
      <c r="C1482" s="60" t="n"/>
      <c r="D1482" s="61" t="n"/>
      <c r="E1482" s="74" t="n"/>
      <c r="F1482" s="74" t="n"/>
      <c r="G1482" s="73" t="n"/>
      <c r="H1482" s="66" t="str">
        <f>IF(M1482&lt;&gt;"OK","",INDEX(po_mo,MATCH(D1482,po_code,0)))</f>
        <v/>
      </c>
      <c r="I1482" s="66" t="str">
        <f>IF(M1482&lt;&gt;"OK","",INDEX(po_mac,MATCH(D1482,po_code,0)))</f>
        <v/>
      </c>
      <c r="J1482" s="66" t="str">
        <f>IF(M1482&lt;&gt;"OK","",N(E1482)*(H1482*IF(G1482="",1,G1482)+I1482))</f>
        <v/>
      </c>
      <c r="K1482" s="66" t="str">
        <f>IF(M1482&lt;&gt;"OK","",N(F1482)/60*H1482*IF(G1482="",1,G1482))</f>
        <v/>
      </c>
      <c r="L1482" s="66" t="str">
        <f>IF(M1482&lt;&gt;"OK","",N(F1482)/60*I1482)</f>
        <v/>
      </c>
      <c r="M1482" s="69" t="str">
        <f>IF(AND(A1482="",D1482=""),"",IF(A1482="","Produit manquant",IF(COUNTIF(prod_ref,A1482)=0,"Produit inconnu",IF(D1482="","Poste manquant",IF(ISNA(MATCH(D1482,po_code,0)),"Poste inconnu",IF(INDEX(po_check,MATCH(D1482,po_code,0))&lt;&gt;"OK","Poste à corriger",IF(AND(E1482&lt;&gt;"",OR(NOT(ISNUMBER(E1482)),N(E1482)&lt;0)),"Réglage invalide",IF(AND(F1482&lt;&gt;"",OR(NOT(ISNUMBER(F1482)),N(F1482)&lt;0)),"Temps par pièce invalide",IF(N(E1482)+N(F1482)=0,"Temps manquant",IF(AND(G1482&lt;&gt;"",OR(NOT(ISNUMBER(G1482)),N(G1482)&lt;=0)),"Opérateurs invalide","OK"))))))))))</f>
        <v/>
      </c>
      <c r="N1482" s="71" t="str">
        <f>IF(AND(fiche_sel&lt;&gt;"",A1482=fiche_sel),COUNTIF(A$6:A1482,fiche_sel),"")</f>
        <v/>
      </c>
    </row>
    <row r="1483">
      <c r="A1483" s="60" t="n"/>
      <c r="B1483" s="73" t="n"/>
      <c r="C1483" s="60" t="n"/>
      <c r="D1483" s="61" t="n"/>
      <c r="E1483" s="74" t="n"/>
      <c r="F1483" s="74" t="n"/>
      <c r="G1483" s="73" t="n"/>
      <c r="H1483" s="66" t="str">
        <f>IF(M1483&lt;&gt;"OK","",INDEX(po_mo,MATCH(D1483,po_code,0)))</f>
        <v/>
      </c>
      <c r="I1483" s="66" t="str">
        <f>IF(M1483&lt;&gt;"OK","",INDEX(po_mac,MATCH(D1483,po_code,0)))</f>
        <v/>
      </c>
      <c r="J1483" s="66" t="str">
        <f>IF(M1483&lt;&gt;"OK","",N(E1483)*(H1483*IF(G1483="",1,G1483)+I1483))</f>
        <v/>
      </c>
      <c r="K1483" s="66" t="str">
        <f>IF(M1483&lt;&gt;"OK","",N(F1483)/60*H1483*IF(G1483="",1,G1483))</f>
        <v/>
      </c>
      <c r="L1483" s="66" t="str">
        <f>IF(M1483&lt;&gt;"OK","",N(F1483)/60*I1483)</f>
        <v/>
      </c>
      <c r="M1483" s="69" t="str">
        <f>IF(AND(A1483="",D1483=""),"",IF(A1483="","Produit manquant",IF(COUNTIF(prod_ref,A1483)=0,"Produit inconnu",IF(D1483="","Poste manquant",IF(ISNA(MATCH(D1483,po_code,0)),"Poste inconnu",IF(INDEX(po_check,MATCH(D1483,po_code,0))&lt;&gt;"OK","Poste à corriger",IF(AND(E1483&lt;&gt;"",OR(NOT(ISNUMBER(E1483)),N(E1483)&lt;0)),"Réglage invalide",IF(AND(F1483&lt;&gt;"",OR(NOT(ISNUMBER(F1483)),N(F1483)&lt;0)),"Temps par pièce invalide",IF(N(E1483)+N(F1483)=0,"Temps manquant",IF(AND(G1483&lt;&gt;"",OR(NOT(ISNUMBER(G1483)),N(G1483)&lt;=0)),"Opérateurs invalide","OK"))))))))))</f>
        <v/>
      </c>
      <c r="N1483" s="71" t="str">
        <f>IF(AND(fiche_sel&lt;&gt;"",A1483=fiche_sel),COUNTIF(A$6:A1483,fiche_sel),"")</f>
        <v/>
      </c>
    </row>
    <row r="1484">
      <c r="A1484" s="60" t="n"/>
      <c r="B1484" s="73" t="n"/>
      <c r="C1484" s="60" t="n"/>
      <c r="D1484" s="61" t="n"/>
      <c r="E1484" s="74" t="n"/>
      <c r="F1484" s="74" t="n"/>
      <c r="G1484" s="73" t="n"/>
      <c r="H1484" s="66" t="str">
        <f>IF(M1484&lt;&gt;"OK","",INDEX(po_mo,MATCH(D1484,po_code,0)))</f>
        <v/>
      </c>
      <c r="I1484" s="66" t="str">
        <f>IF(M1484&lt;&gt;"OK","",INDEX(po_mac,MATCH(D1484,po_code,0)))</f>
        <v/>
      </c>
      <c r="J1484" s="66" t="str">
        <f>IF(M1484&lt;&gt;"OK","",N(E1484)*(H1484*IF(G1484="",1,G1484)+I1484))</f>
        <v/>
      </c>
      <c r="K1484" s="66" t="str">
        <f>IF(M1484&lt;&gt;"OK","",N(F1484)/60*H1484*IF(G1484="",1,G1484))</f>
        <v/>
      </c>
      <c r="L1484" s="66" t="str">
        <f>IF(M1484&lt;&gt;"OK","",N(F1484)/60*I1484)</f>
        <v/>
      </c>
      <c r="M1484" s="69" t="str">
        <f>IF(AND(A1484="",D1484=""),"",IF(A1484="","Produit manquant",IF(COUNTIF(prod_ref,A1484)=0,"Produit inconnu",IF(D1484="","Poste manquant",IF(ISNA(MATCH(D1484,po_code,0)),"Poste inconnu",IF(INDEX(po_check,MATCH(D1484,po_code,0))&lt;&gt;"OK","Poste à corriger",IF(AND(E1484&lt;&gt;"",OR(NOT(ISNUMBER(E1484)),N(E1484)&lt;0)),"Réglage invalide",IF(AND(F1484&lt;&gt;"",OR(NOT(ISNUMBER(F1484)),N(F1484)&lt;0)),"Temps par pièce invalide",IF(N(E1484)+N(F1484)=0,"Temps manquant",IF(AND(G1484&lt;&gt;"",OR(NOT(ISNUMBER(G1484)),N(G1484)&lt;=0)),"Opérateurs invalide","OK"))))))))))</f>
        <v/>
      </c>
      <c r="N1484" s="71" t="str">
        <f>IF(AND(fiche_sel&lt;&gt;"",A1484=fiche_sel),COUNTIF(A$6:A1484,fiche_sel),"")</f>
        <v/>
      </c>
    </row>
    <row r="1485">
      <c r="A1485" s="60" t="n"/>
      <c r="B1485" s="73" t="n"/>
      <c r="C1485" s="60" t="n"/>
      <c r="D1485" s="61" t="n"/>
      <c r="E1485" s="74" t="n"/>
      <c r="F1485" s="74" t="n"/>
      <c r="G1485" s="73" t="n"/>
      <c r="H1485" s="66" t="str">
        <f>IF(M1485&lt;&gt;"OK","",INDEX(po_mo,MATCH(D1485,po_code,0)))</f>
        <v/>
      </c>
      <c r="I1485" s="66" t="str">
        <f>IF(M1485&lt;&gt;"OK","",INDEX(po_mac,MATCH(D1485,po_code,0)))</f>
        <v/>
      </c>
      <c r="J1485" s="66" t="str">
        <f>IF(M1485&lt;&gt;"OK","",N(E1485)*(H1485*IF(G1485="",1,G1485)+I1485))</f>
        <v/>
      </c>
      <c r="K1485" s="66" t="str">
        <f>IF(M1485&lt;&gt;"OK","",N(F1485)/60*H1485*IF(G1485="",1,G1485))</f>
        <v/>
      </c>
      <c r="L1485" s="66" t="str">
        <f>IF(M1485&lt;&gt;"OK","",N(F1485)/60*I1485)</f>
        <v/>
      </c>
      <c r="M1485" s="69" t="str">
        <f>IF(AND(A1485="",D1485=""),"",IF(A1485="","Produit manquant",IF(COUNTIF(prod_ref,A1485)=0,"Produit inconnu",IF(D1485="","Poste manquant",IF(ISNA(MATCH(D1485,po_code,0)),"Poste inconnu",IF(INDEX(po_check,MATCH(D1485,po_code,0))&lt;&gt;"OK","Poste à corriger",IF(AND(E1485&lt;&gt;"",OR(NOT(ISNUMBER(E1485)),N(E1485)&lt;0)),"Réglage invalide",IF(AND(F1485&lt;&gt;"",OR(NOT(ISNUMBER(F1485)),N(F1485)&lt;0)),"Temps par pièce invalide",IF(N(E1485)+N(F1485)=0,"Temps manquant",IF(AND(G1485&lt;&gt;"",OR(NOT(ISNUMBER(G1485)),N(G1485)&lt;=0)),"Opérateurs invalide","OK"))))))))))</f>
        <v/>
      </c>
      <c r="N1485" s="71" t="str">
        <f>IF(AND(fiche_sel&lt;&gt;"",A1485=fiche_sel),COUNTIF(A$6:A1485,fiche_sel),"")</f>
        <v/>
      </c>
    </row>
    <row r="1486">
      <c r="A1486" s="60" t="n"/>
      <c r="B1486" s="73" t="n"/>
      <c r="C1486" s="60" t="n"/>
      <c r="D1486" s="61" t="n"/>
      <c r="E1486" s="74" t="n"/>
      <c r="F1486" s="74" t="n"/>
      <c r="G1486" s="73" t="n"/>
      <c r="H1486" s="66" t="str">
        <f>IF(M1486&lt;&gt;"OK","",INDEX(po_mo,MATCH(D1486,po_code,0)))</f>
        <v/>
      </c>
      <c r="I1486" s="66" t="str">
        <f>IF(M1486&lt;&gt;"OK","",INDEX(po_mac,MATCH(D1486,po_code,0)))</f>
        <v/>
      </c>
      <c r="J1486" s="66" t="str">
        <f>IF(M1486&lt;&gt;"OK","",N(E1486)*(H1486*IF(G1486="",1,G1486)+I1486))</f>
        <v/>
      </c>
      <c r="K1486" s="66" t="str">
        <f>IF(M1486&lt;&gt;"OK","",N(F1486)/60*H1486*IF(G1486="",1,G1486))</f>
        <v/>
      </c>
      <c r="L1486" s="66" t="str">
        <f>IF(M1486&lt;&gt;"OK","",N(F1486)/60*I1486)</f>
        <v/>
      </c>
      <c r="M1486" s="69" t="str">
        <f>IF(AND(A1486="",D1486=""),"",IF(A1486="","Produit manquant",IF(COUNTIF(prod_ref,A1486)=0,"Produit inconnu",IF(D1486="","Poste manquant",IF(ISNA(MATCH(D1486,po_code,0)),"Poste inconnu",IF(INDEX(po_check,MATCH(D1486,po_code,0))&lt;&gt;"OK","Poste à corriger",IF(AND(E1486&lt;&gt;"",OR(NOT(ISNUMBER(E1486)),N(E1486)&lt;0)),"Réglage invalide",IF(AND(F1486&lt;&gt;"",OR(NOT(ISNUMBER(F1486)),N(F1486)&lt;0)),"Temps par pièce invalide",IF(N(E1486)+N(F1486)=0,"Temps manquant",IF(AND(G1486&lt;&gt;"",OR(NOT(ISNUMBER(G1486)),N(G1486)&lt;=0)),"Opérateurs invalide","OK"))))))))))</f>
        <v/>
      </c>
      <c r="N1486" s="71" t="str">
        <f>IF(AND(fiche_sel&lt;&gt;"",A1486=fiche_sel),COUNTIF(A$6:A1486,fiche_sel),"")</f>
        <v/>
      </c>
    </row>
    <row r="1487">
      <c r="A1487" s="60" t="n"/>
      <c r="B1487" s="73" t="n"/>
      <c r="C1487" s="60" t="n"/>
      <c r="D1487" s="61" t="n"/>
      <c r="E1487" s="74" t="n"/>
      <c r="F1487" s="74" t="n"/>
      <c r="G1487" s="73" t="n"/>
      <c r="H1487" s="66" t="str">
        <f>IF(M1487&lt;&gt;"OK","",INDEX(po_mo,MATCH(D1487,po_code,0)))</f>
        <v/>
      </c>
      <c r="I1487" s="66" t="str">
        <f>IF(M1487&lt;&gt;"OK","",INDEX(po_mac,MATCH(D1487,po_code,0)))</f>
        <v/>
      </c>
      <c r="J1487" s="66" t="str">
        <f>IF(M1487&lt;&gt;"OK","",N(E1487)*(H1487*IF(G1487="",1,G1487)+I1487))</f>
        <v/>
      </c>
      <c r="K1487" s="66" t="str">
        <f>IF(M1487&lt;&gt;"OK","",N(F1487)/60*H1487*IF(G1487="",1,G1487))</f>
        <v/>
      </c>
      <c r="L1487" s="66" t="str">
        <f>IF(M1487&lt;&gt;"OK","",N(F1487)/60*I1487)</f>
        <v/>
      </c>
      <c r="M1487" s="69" t="str">
        <f>IF(AND(A1487="",D1487=""),"",IF(A1487="","Produit manquant",IF(COUNTIF(prod_ref,A1487)=0,"Produit inconnu",IF(D1487="","Poste manquant",IF(ISNA(MATCH(D1487,po_code,0)),"Poste inconnu",IF(INDEX(po_check,MATCH(D1487,po_code,0))&lt;&gt;"OK","Poste à corriger",IF(AND(E1487&lt;&gt;"",OR(NOT(ISNUMBER(E1487)),N(E1487)&lt;0)),"Réglage invalide",IF(AND(F1487&lt;&gt;"",OR(NOT(ISNUMBER(F1487)),N(F1487)&lt;0)),"Temps par pièce invalide",IF(N(E1487)+N(F1487)=0,"Temps manquant",IF(AND(G1487&lt;&gt;"",OR(NOT(ISNUMBER(G1487)),N(G1487)&lt;=0)),"Opérateurs invalide","OK"))))))))))</f>
        <v/>
      </c>
      <c r="N1487" s="71" t="str">
        <f>IF(AND(fiche_sel&lt;&gt;"",A1487=fiche_sel),COUNTIF(A$6:A1487,fiche_sel),"")</f>
        <v/>
      </c>
    </row>
    <row r="1488">
      <c r="A1488" s="60" t="n"/>
      <c r="B1488" s="73" t="n"/>
      <c r="C1488" s="60" t="n"/>
      <c r="D1488" s="61" t="n"/>
      <c r="E1488" s="74" t="n"/>
      <c r="F1488" s="74" t="n"/>
      <c r="G1488" s="73" t="n"/>
      <c r="H1488" s="66" t="str">
        <f>IF(M1488&lt;&gt;"OK","",INDEX(po_mo,MATCH(D1488,po_code,0)))</f>
        <v/>
      </c>
      <c r="I1488" s="66" t="str">
        <f>IF(M1488&lt;&gt;"OK","",INDEX(po_mac,MATCH(D1488,po_code,0)))</f>
        <v/>
      </c>
      <c r="J1488" s="66" t="str">
        <f>IF(M1488&lt;&gt;"OK","",N(E1488)*(H1488*IF(G1488="",1,G1488)+I1488))</f>
        <v/>
      </c>
      <c r="K1488" s="66" t="str">
        <f>IF(M1488&lt;&gt;"OK","",N(F1488)/60*H1488*IF(G1488="",1,G1488))</f>
        <v/>
      </c>
      <c r="L1488" s="66" t="str">
        <f>IF(M1488&lt;&gt;"OK","",N(F1488)/60*I1488)</f>
        <v/>
      </c>
      <c r="M1488" s="69" t="str">
        <f>IF(AND(A1488="",D1488=""),"",IF(A1488="","Produit manquant",IF(COUNTIF(prod_ref,A1488)=0,"Produit inconnu",IF(D1488="","Poste manquant",IF(ISNA(MATCH(D1488,po_code,0)),"Poste inconnu",IF(INDEX(po_check,MATCH(D1488,po_code,0))&lt;&gt;"OK","Poste à corriger",IF(AND(E1488&lt;&gt;"",OR(NOT(ISNUMBER(E1488)),N(E1488)&lt;0)),"Réglage invalide",IF(AND(F1488&lt;&gt;"",OR(NOT(ISNUMBER(F1488)),N(F1488)&lt;0)),"Temps par pièce invalide",IF(N(E1488)+N(F1488)=0,"Temps manquant",IF(AND(G1488&lt;&gt;"",OR(NOT(ISNUMBER(G1488)),N(G1488)&lt;=0)),"Opérateurs invalide","OK"))))))))))</f>
        <v/>
      </c>
      <c r="N1488" s="71" t="str">
        <f>IF(AND(fiche_sel&lt;&gt;"",A1488=fiche_sel),COUNTIF(A$6:A1488,fiche_sel),"")</f>
        <v/>
      </c>
    </row>
    <row r="1489">
      <c r="A1489" s="60" t="n"/>
      <c r="B1489" s="73" t="n"/>
      <c r="C1489" s="60" t="n"/>
      <c r="D1489" s="61" t="n"/>
      <c r="E1489" s="74" t="n"/>
      <c r="F1489" s="74" t="n"/>
      <c r="G1489" s="73" t="n"/>
      <c r="H1489" s="66" t="str">
        <f>IF(M1489&lt;&gt;"OK","",INDEX(po_mo,MATCH(D1489,po_code,0)))</f>
        <v/>
      </c>
      <c r="I1489" s="66" t="str">
        <f>IF(M1489&lt;&gt;"OK","",INDEX(po_mac,MATCH(D1489,po_code,0)))</f>
        <v/>
      </c>
      <c r="J1489" s="66" t="str">
        <f>IF(M1489&lt;&gt;"OK","",N(E1489)*(H1489*IF(G1489="",1,G1489)+I1489))</f>
        <v/>
      </c>
      <c r="K1489" s="66" t="str">
        <f>IF(M1489&lt;&gt;"OK","",N(F1489)/60*H1489*IF(G1489="",1,G1489))</f>
        <v/>
      </c>
      <c r="L1489" s="66" t="str">
        <f>IF(M1489&lt;&gt;"OK","",N(F1489)/60*I1489)</f>
        <v/>
      </c>
      <c r="M1489" s="69" t="str">
        <f>IF(AND(A1489="",D1489=""),"",IF(A1489="","Produit manquant",IF(COUNTIF(prod_ref,A1489)=0,"Produit inconnu",IF(D1489="","Poste manquant",IF(ISNA(MATCH(D1489,po_code,0)),"Poste inconnu",IF(INDEX(po_check,MATCH(D1489,po_code,0))&lt;&gt;"OK","Poste à corriger",IF(AND(E1489&lt;&gt;"",OR(NOT(ISNUMBER(E1489)),N(E1489)&lt;0)),"Réglage invalide",IF(AND(F1489&lt;&gt;"",OR(NOT(ISNUMBER(F1489)),N(F1489)&lt;0)),"Temps par pièce invalide",IF(N(E1489)+N(F1489)=0,"Temps manquant",IF(AND(G1489&lt;&gt;"",OR(NOT(ISNUMBER(G1489)),N(G1489)&lt;=0)),"Opérateurs invalide","OK"))))))))))</f>
        <v/>
      </c>
      <c r="N1489" s="71" t="str">
        <f>IF(AND(fiche_sel&lt;&gt;"",A1489=fiche_sel),COUNTIF(A$6:A1489,fiche_sel),"")</f>
        <v/>
      </c>
    </row>
    <row r="1490">
      <c r="A1490" s="60" t="n"/>
      <c r="B1490" s="73" t="n"/>
      <c r="C1490" s="60" t="n"/>
      <c r="D1490" s="61" t="n"/>
      <c r="E1490" s="74" t="n"/>
      <c r="F1490" s="74" t="n"/>
      <c r="G1490" s="73" t="n"/>
      <c r="H1490" s="66" t="str">
        <f>IF(M1490&lt;&gt;"OK","",INDEX(po_mo,MATCH(D1490,po_code,0)))</f>
        <v/>
      </c>
      <c r="I1490" s="66" t="str">
        <f>IF(M1490&lt;&gt;"OK","",INDEX(po_mac,MATCH(D1490,po_code,0)))</f>
        <v/>
      </c>
      <c r="J1490" s="66" t="str">
        <f>IF(M1490&lt;&gt;"OK","",N(E1490)*(H1490*IF(G1490="",1,G1490)+I1490))</f>
        <v/>
      </c>
      <c r="K1490" s="66" t="str">
        <f>IF(M1490&lt;&gt;"OK","",N(F1490)/60*H1490*IF(G1490="",1,G1490))</f>
        <v/>
      </c>
      <c r="L1490" s="66" t="str">
        <f>IF(M1490&lt;&gt;"OK","",N(F1490)/60*I1490)</f>
        <v/>
      </c>
      <c r="M1490" s="69" t="str">
        <f>IF(AND(A1490="",D1490=""),"",IF(A1490="","Produit manquant",IF(COUNTIF(prod_ref,A1490)=0,"Produit inconnu",IF(D1490="","Poste manquant",IF(ISNA(MATCH(D1490,po_code,0)),"Poste inconnu",IF(INDEX(po_check,MATCH(D1490,po_code,0))&lt;&gt;"OK","Poste à corriger",IF(AND(E1490&lt;&gt;"",OR(NOT(ISNUMBER(E1490)),N(E1490)&lt;0)),"Réglage invalide",IF(AND(F1490&lt;&gt;"",OR(NOT(ISNUMBER(F1490)),N(F1490)&lt;0)),"Temps par pièce invalide",IF(N(E1490)+N(F1490)=0,"Temps manquant",IF(AND(G1490&lt;&gt;"",OR(NOT(ISNUMBER(G1490)),N(G1490)&lt;=0)),"Opérateurs invalide","OK"))))))))))</f>
        <v/>
      </c>
      <c r="N1490" s="71" t="str">
        <f>IF(AND(fiche_sel&lt;&gt;"",A1490=fiche_sel),COUNTIF(A$6:A1490,fiche_sel),"")</f>
        <v/>
      </c>
    </row>
    <row r="1491">
      <c r="A1491" s="60" t="n"/>
      <c r="B1491" s="73" t="n"/>
      <c r="C1491" s="60" t="n"/>
      <c r="D1491" s="61" t="n"/>
      <c r="E1491" s="74" t="n"/>
      <c r="F1491" s="74" t="n"/>
      <c r="G1491" s="73" t="n"/>
      <c r="H1491" s="66" t="str">
        <f>IF(M1491&lt;&gt;"OK","",INDEX(po_mo,MATCH(D1491,po_code,0)))</f>
        <v/>
      </c>
      <c r="I1491" s="66" t="str">
        <f>IF(M1491&lt;&gt;"OK","",INDEX(po_mac,MATCH(D1491,po_code,0)))</f>
        <v/>
      </c>
      <c r="J1491" s="66" t="str">
        <f>IF(M1491&lt;&gt;"OK","",N(E1491)*(H1491*IF(G1491="",1,G1491)+I1491))</f>
        <v/>
      </c>
      <c r="K1491" s="66" t="str">
        <f>IF(M1491&lt;&gt;"OK","",N(F1491)/60*H1491*IF(G1491="",1,G1491))</f>
        <v/>
      </c>
      <c r="L1491" s="66" t="str">
        <f>IF(M1491&lt;&gt;"OK","",N(F1491)/60*I1491)</f>
        <v/>
      </c>
      <c r="M1491" s="69" t="str">
        <f>IF(AND(A1491="",D1491=""),"",IF(A1491="","Produit manquant",IF(COUNTIF(prod_ref,A1491)=0,"Produit inconnu",IF(D1491="","Poste manquant",IF(ISNA(MATCH(D1491,po_code,0)),"Poste inconnu",IF(INDEX(po_check,MATCH(D1491,po_code,0))&lt;&gt;"OK","Poste à corriger",IF(AND(E1491&lt;&gt;"",OR(NOT(ISNUMBER(E1491)),N(E1491)&lt;0)),"Réglage invalide",IF(AND(F1491&lt;&gt;"",OR(NOT(ISNUMBER(F1491)),N(F1491)&lt;0)),"Temps par pièce invalide",IF(N(E1491)+N(F1491)=0,"Temps manquant",IF(AND(G1491&lt;&gt;"",OR(NOT(ISNUMBER(G1491)),N(G1491)&lt;=0)),"Opérateurs invalide","OK"))))))))))</f>
        <v/>
      </c>
      <c r="N1491" s="71" t="str">
        <f>IF(AND(fiche_sel&lt;&gt;"",A1491=fiche_sel),COUNTIF(A$6:A1491,fiche_sel),"")</f>
        <v/>
      </c>
    </row>
    <row r="1492">
      <c r="A1492" s="60" t="n"/>
      <c r="B1492" s="73" t="n"/>
      <c r="C1492" s="60" t="n"/>
      <c r="D1492" s="61" t="n"/>
      <c r="E1492" s="74" t="n"/>
      <c r="F1492" s="74" t="n"/>
      <c r="G1492" s="73" t="n"/>
      <c r="H1492" s="66" t="str">
        <f>IF(M1492&lt;&gt;"OK","",INDEX(po_mo,MATCH(D1492,po_code,0)))</f>
        <v/>
      </c>
      <c r="I1492" s="66" t="str">
        <f>IF(M1492&lt;&gt;"OK","",INDEX(po_mac,MATCH(D1492,po_code,0)))</f>
        <v/>
      </c>
      <c r="J1492" s="66" t="str">
        <f>IF(M1492&lt;&gt;"OK","",N(E1492)*(H1492*IF(G1492="",1,G1492)+I1492))</f>
        <v/>
      </c>
      <c r="K1492" s="66" t="str">
        <f>IF(M1492&lt;&gt;"OK","",N(F1492)/60*H1492*IF(G1492="",1,G1492))</f>
        <v/>
      </c>
      <c r="L1492" s="66" t="str">
        <f>IF(M1492&lt;&gt;"OK","",N(F1492)/60*I1492)</f>
        <v/>
      </c>
      <c r="M1492" s="69" t="str">
        <f>IF(AND(A1492="",D1492=""),"",IF(A1492="","Produit manquant",IF(COUNTIF(prod_ref,A1492)=0,"Produit inconnu",IF(D1492="","Poste manquant",IF(ISNA(MATCH(D1492,po_code,0)),"Poste inconnu",IF(INDEX(po_check,MATCH(D1492,po_code,0))&lt;&gt;"OK","Poste à corriger",IF(AND(E1492&lt;&gt;"",OR(NOT(ISNUMBER(E1492)),N(E1492)&lt;0)),"Réglage invalide",IF(AND(F1492&lt;&gt;"",OR(NOT(ISNUMBER(F1492)),N(F1492)&lt;0)),"Temps par pièce invalide",IF(N(E1492)+N(F1492)=0,"Temps manquant",IF(AND(G1492&lt;&gt;"",OR(NOT(ISNUMBER(G1492)),N(G1492)&lt;=0)),"Opérateurs invalide","OK"))))))))))</f>
        <v/>
      </c>
      <c r="N1492" s="71" t="str">
        <f>IF(AND(fiche_sel&lt;&gt;"",A1492=fiche_sel),COUNTIF(A$6:A1492,fiche_sel),"")</f>
        <v/>
      </c>
    </row>
    <row r="1493">
      <c r="A1493" s="60" t="n"/>
      <c r="B1493" s="73" t="n"/>
      <c r="C1493" s="60" t="n"/>
      <c r="D1493" s="61" t="n"/>
      <c r="E1493" s="74" t="n"/>
      <c r="F1493" s="74" t="n"/>
      <c r="G1493" s="73" t="n"/>
      <c r="H1493" s="66" t="str">
        <f>IF(M1493&lt;&gt;"OK","",INDEX(po_mo,MATCH(D1493,po_code,0)))</f>
        <v/>
      </c>
      <c r="I1493" s="66" t="str">
        <f>IF(M1493&lt;&gt;"OK","",INDEX(po_mac,MATCH(D1493,po_code,0)))</f>
        <v/>
      </c>
      <c r="J1493" s="66" t="str">
        <f>IF(M1493&lt;&gt;"OK","",N(E1493)*(H1493*IF(G1493="",1,G1493)+I1493))</f>
        <v/>
      </c>
      <c r="K1493" s="66" t="str">
        <f>IF(M1493&lt;&gt;"OK","",N(F1493)/60*H1493*IF(G1493="",1,G1493))</f>
        <v/>
      </c>
      <c r="L1493" s="66" t="str">
        <f>IF(M1493&lt;&gt;"OK","",N(F1493)/60*I1493)</f>
        <v/>
      </c>
      <c r="M1493" s="69" t="str">
        <f>IF(AND(A1493="",D1493=""),"",IF(A1493="","Produit manquant",IF(COUNTIF(prod_ref,A1493)=0,"Produit inconnu",IF(D1493="","Poste manquant",IF(ISNA(MATCH(D1493,po_code,0)),"Poste inconnu",IF(INDEX(po_check,MATCH(D1493,po_code,0))&lt;&gt;"OK","Poste à corriger",IF(AND(E1493&lt;&gt;"",OR(NOT(ISNUMBER(E1493)),N(E1493)&lt;0)),"Réglage invalide",IF(AND(F1493&lt;&gt;"",OR(NOT(ISNUMBER(F1493)),N(F1493)&lt;0)),"Temps par pièce invalide",IF(N(E1493)+N(F1493)=0,"Temps manquant",IF(AND(G1493&lt;&gt;"",OR(NOT(ISNUMBER(G1493)),N(G1493)&lt;=0)),"Opérateurs invalide","OK"))))))))))</f>
        <v/>
      </c>
      <c r="N1493" s="71" t="str">
        <f>IF(AND(fiche_sel&lt;&gt;"",A1493=fiche_sel),COUNTIF(A$6:A1493,fiche_sel),"")</f>
        <v/>
      </c>
    </row>
    <row r="1494">
      <c r="A1494" s="60" t="n"/>
      <c r="B1494" s="73" t="n"/>
      <c r="C1494" s="60" t="n"/>
      <c r="D1494" s="61" t="n"/>
      <c r="E1494" s="74" t="n"/>
      <c r="F1494" s="74" t="n"/>
      <c r="G1494" s="73" t="n"/>
      <c r="H1494" s="66" t="str">
        <f>IF(M1494&lt;&gt;"OK","",INDEX(po_mo,MATCH(D1494,po_code,0)))</f>
        <v/>
      </c>
      <c r="I1494" s="66" t="str">
        <f>IF(M1494&lt;&gt;"OK","",INDEX(po_mac,MATCH(D1494,po_code,0)))</f>
        <v/>
      </c>
      <c r="J1494" s="66" t="str">
        <f>IF(M1494&lt;&gt;"OK","",N(E1494)*(H1494*IF(G1494="",1,G1494)+I1494))</f>
        <v/>
      </c>
      <c r="K1494" s="66" t="str">
        <f>IF(M1494&lt;&gt;"OK","",N(F1494)/60*H1494*IF(G1494="",1,G1494))</f>
        <v/>
      </c>
      <c r="L1494" s="66" t="str">
        <f>IF(M1494&lt;&gt;"OK","",N(F1494)/60*I1494)</f>
        <v/>
      </c>
      <c r="M1494" s="69" t="str">
        <f>IF(AND(A1494="",D1494=""),"",IF(A1494="","Produit manquant",IF(COUNTIF(prod_ref,A1494)=0,"Produit inconnu",IF(D1494="","Poste manquant",IF(ISNA(MATCH(D1494,po_code,0)),"Poste inconnu",IF(INDEX(po_check,MATCH(D1494,po_code,0))&lt;&gt;"OK","Poste à corriger",IF(AND(E1494&lt;&gt;"",OR(NOT(ISNUMBER(E1494)),N(E1494)&lt;0)),"Réglage invalide",IF(AND(F1494&lt;&gt;"",OR(NOT(ISNUMBER(F1494)),N(F1494)&lt;0)),"Temps par pièce invalide",IF(N(E1494)+N(F1494)=0,"Temps manquant",IF(AND(G1494&lt;&gt;"",OR(NOT(ISNUMBER(G1494)),N(G1494)&lt;=0)),"Opérateurs invalide","OK"))))))))))</f>
        <v/>
      </c>
      <c r="N1494" s="71" t="str">
        <f>IF(AND(fiche_sel&lt;&gt;"",A1494=fiche_sel),COUNTIF(A$6:A1494,fiche_sel),"")</f>
        <v/>
      </c>
    </row>
    <row r="1495">
      <c r="A1495" s="60" t="n"/>
      <c r="B1495" s="73" t="n"/>
      <c r="C1495" s="60" t="n"/>
      <c r="D1495" s="61" t="n"/>
      <c r="E1495" s="74" t="n"/>
      <c r="F1495" s="74" t="n"/>
      <c r="G1495" s="73" t="n"/>
      <c r="H1495" s="66" t="str">
        <f>IF(M1495&lt;&gt;"OK","",INDEX(po_mo,MATCH(D1495,po_code,0)))</f>
        <v/>
      </c>
      <c r="I1495" s="66" t="str">
        <f>IF(M1495&lt;&gt;"OK","",INDEX(po_mac,MATCH(D1495,po_code,0)))</f>
        <v/>
      </c>
      <c r="J1495" s="66" t="str">
        <f>IF(M1495&lt;&gt;"OK","",N(E1495)*(H1495*IF(G1495="",1,G1495)+I1495))</f>
        <v/>
      </c>
      <c r="K1495" s="66" t="str">
        <f>IF(M1495&lt;&gt;"OK","",N(F1495)/60*H1495*IF(G1495="",1,G1495))</f>
        <v/>
      </c>
      <c r="L1495" s="66" t="str">
        <f>IF(M1495&lt;&gt;"OK","",N(F1495)/60*I1495)</f>
        <v/>
      </c>
      <c r="M1495" s="69" t="str">
        <f>IF(AND(A1495="",D1495=""),"",IF(A1495="","Produit manquant",IF(COUNTIF(prod_ref,A1495)=0,"Produit inconnu",IF(D1495="","Poste manquant",IF(ISNA(MATCH(D1495,po_code,0)),"Poste inconnu",IF(INDEX(po_check,MATCH(D1495,po_code,0))&lt;&gt;"OK","Poste à corriger",IF(AND(E1495&lt;&gt;"",OR(NOT(ISNUMBER(E1495)),N(E1495)&lt;0)),"Réglage invalide",IF(AND(F1495&lt;&gt;"",OR(NOT(ISNUMBER(F1495)),N(F1495)&lt;0)),"Temps par pièce invalide",IF(N(E1495)+N(F1495)=0,"Temps manquant",IF(AND(G1495&lt;&gt;"",OR(NOT(ISNUMBER(G1495)),N(G1495)&lt;=0)),"Opérateurs invalide","OK"))))))))))</f>
        <v/>
      </c>
      <c r="N1495" s="71" t="str">
        <f>IF(AND(fiche_sel&lt;&gt;"",A1495=fiche_sel),COUNTIF(A$6:A1495,fiche_sel),"")</f>
        <v/>
      </c>
    </row>
    <row r="1496">
      <c r="A1496" s="60" t="n"/>
      <c r="B1496" s="73" t="n"/>
      <c r="C1496" s="60" t="n"/>
      <c r="D1496" s="61" t="n"/>
      <c r="E1496" s="74" t="n"/>
      <c r="F1496" s="74" t="n"/>
      <c r="G1496" s="73" t="n"/>
      <c r="H1496" s="66" t="str">
        <f>IF(M1496&lt;&gt;"OK","",INDEX(po_mo,MATCH(D1496,po_code,0)))</f>
        <v/>
      </c>
      <c r="I1496" s="66" t="str">
        <f>IF(M1496&lt;&gt;"OK","",INDEX(po_mac,MATCH(D1496,po_code,0)))</f>
        <v/>
      </c>
      <c r="J1496" s="66" t="str">
        <f>IF(M1496&lt;&gt;"OK","",N(E1496)*(H1496*IF(G1496="",1,G1496)+I1496))</f>
        <v/>
      </c>
      <c r="K1496" s="66" t="str">
        <f>IF(M1496&lt;&gt;"OK","",N(F1496)/60*H1496*IF(G1496="",1,G1496))</f>
        <v/>
      </c>
      <c r="L1496" s="66" t="str">
        <f>IF(M1496&lt;&gt;"OK","",N(F1496)/60*I1496)</f>
        <v/>
      </c>
      <c r="M1496" s="69" t="str">
        <f>IF(AND(A1496="",D1496=""),"",IF(A1496="","Produit manquant",IF(COUNTIF(prod_ref,A1496)=0,"Produit inconnu",IF(D1496="","Poste manquant",IF(ISNA(MATCH(D1496,po_code,0)),"Poste inconnu",IF(INDEX(po_check,MATCH(D1496,po_code,0))&lt;&gt;"OK","Poste à corriger",IF(AND(E1496&lt;&gt;"",OR(NOT(ISNUMBER(E1496)),N(E1496)&lt;0)),"Réglage invalide",IF(AND(F1496&lt;&gt;"",OR(NOT(ISNUMBER(F1496)),N(F1496)&lt;0)),"Temps par pièce invalide",IF(N(E1496)+N(F1496)=0,"Temps manquant",IF(AND(G1496&lt;&gt;"",OR(NOT(ISNUMBER(G1496)),N(G1496)&lt;=0)),"Opérateurs invalide","OK"))))))))))</f>
        <v/>
      </c>
      <c r="N1496" s="71" t="str">
        <f>IF(AND(fiche_sel&lt;&gt;"",A1496=fiche_sel),COUNTIF(A$6:A1496,fiche_sel),"")</f>
        <v/>
      </c>
    </row>
    <row r="1497">
      <c r="A1497" s="60" t="n"/>
      <c r="B1497" s="73" t="n"/>
      <c r="C1497" s="60" t="n"/>
      <c r="D1497" s="61" t="n"/>
      <c r="E1497" s="74" t="n"/>
      <c r="F1497" s="74" t="n"/>
      <c r="G1497" s="73" t="n"/>
      <c r="H1497" s="66" t="str">
        <f>IF(M1497&lt;&gt;"OK","",INDEX(po_mo,MATCH(D1497,po_code,0)))</f>
        <v/>
      </c>
      <c r="I1497" s="66" t="str">
        <f>IF(M1497&lt;&gt;"OK","",INDEX(po_mac,MATCH(D1497,po_code,0)))</f>
        <v/>
      </c>
      <c r="J1497" s="66" t="str">
        <f>IF(M1497&lt;&gt;"OK","",N(E1497)*(H1497*IF(G1497="",1,G1497)+I1497))</f>
        <v/>
      </c>
      <c r="K1497" s="66" t="str">
        <f>IF(M1497&lt;&gt;"OK","",N(F1497)/60*H1497*IF(G1497="",1,G1497))</f>
        <v/>
      </c>
      <c r="L1497" s="66" t="str">
        <f>IF(M1497&lt;&gt;"OK","",N(F1497)/60*I1497)</f>
        <v/>
      </c>
      <c r="M1497" s="69" t="str">
        <f>IF(AND(A1497="",D1497=""),"",IF(A1497="","Produit manquant",IF(COUNTIF(prod_ref,A1497)=0,"Produit inconnu",IF(D1497="","Poste manquant",IF(ISNA(MATCH(D1497,po_code,0)),"Poste inconnu",IF(INDEX(po_check,MATCH(D1497,po_code,0))&lt;&gt;"OK","Poste à corriger",IF(AND(E1497&lt;&gt;"",OR(NOT(ISNUMBER(E1497)),N(E1497)&lt;0)),"Réglage invalide",IF(AND(F1497&lt;&gt;"",OR(NOT(ISNUMBER(F1497)),N(F1497)&lt;0)),"Temps par pièce invalide",IF(N(E1497)+N(F1497)=0,"Temps manquant",IF(AND(G1497&lt;&gt;"",OR(NOT(ISNUMBER(G1497)),N(G1497)&lt;=0)),"Opérateurs invalide","OK"))))))))))</f>
        <v/>
      </c>
      <c r="N1497" s="71" t="str">
        <f>IF(AND(fiche_sel&lt;&gt;"",A1497=fiche_sel),COUNTIF(A$6:A1497,fiche_sel),"")</f>
        <v/>
      </c>
    </row>
    <row r="1498">
      <c r="A1498" s="60" t="n"/>
      <c r="B1498" s="73" t="n"/>
      <c r="C1498" s="60" t="n"/>
      <c r="D1498" s="61" t="n"/>
      <c r="E1498" s="74" t="n"/>
      <c r="F1498" s="74" t="n"/>
      <c r="G1498" s="73" t="n"/>
      <c r="H1498" s="66" t="str">
        <f>IF(M1498&lt;&gt;"OK","",INDEX(po_mo,MATCH(D1498,po_code,0)))</f>
        <v/>
      </c>
      <c r="I1498" s="66" t="str">
        <f>IF(M1498&lt;&gt;"OK","",INDEX(po_mac,MATCH(D1498,po_code,0)))</f>
        <v/>
      </c>
      <c r="J1498" s="66" t="str">
        <f>IF(M1498&lt;&gt;"OK","",N(E1498)*(H1498*IF(G1498="",1,G1498)+I1498))</f>
        <v/>
      </c>
      <c r="K1498" s="66" t="str">
        <f>IF(M1498&lt;&gt;"OK","",N(F1498)/60*H1498*IF(G1498="",1,G1498))</f>
        <v/>
      </c>
      <c r="L1498" s="66" t="str">
        <f>IF(M1498&lt;&gt;"OK","",N(F1498)/60*I1498)</f>
        <v/>
      </c>
      <c r="M1498" s="69" t="str">
        <f>IF(AND(A1498="",D1498=""),"",IF(A1498="","Produit manquant",IF(COUNTIF(prod_ref,A1498)=0,"Produit inconnu",IF(D1498="","Poste manquant",IF(ISNA(MATCH(D1498,po_code,0)),"Poste inconnu",IF(INDEX(po_check,MATCH(D1498,po_code,0))&lt;&gt;"OK","Poste à corriger",IF(AND(E1498&lt;&gt;"",OR(NOT(ISNUMBER(E1498)),N(E1498)&lt;0)),"Réglage invalide",IF(AND(F1498&lt;&gt;"",OR(NOT(ISNUMBER(F1498)),N(F1498)&lt;0)),"Temps par pièce invalide",IF(N(E1498)+N(F1498)=0,"Temps manquant",IF(AND(G1498&lt;&gt;"",OR(NOT(ISNUMBER(G1498)),N(G1498)&lt;=0)),"Opérateurs invalide","OK"))))))))))</f>
        <v/>
      </c>
      <c r="N1498" s="71" t="str">
        <f>IF(AND(fiche_sel&lt;&gt;"",A1498=fiche_sel),COUNTIF(A$6:A1498,fiche_sel),"")</f>
        <v/>
      </c>
    </row>
    <row r="1499">
      <c r="A1499" s="60" t="n"/>
      <c r="B1499" s="73" t="n"/>
      <c r="C1499" s="60" t="n"/>
      <c r="D1499" s="61" t="n"/>
      <c r="E1499" s="74" t="n"/>
      <c r="F1499" s="74" t="n"/>
      <c r="G1499" s="73" t="n"/>
      <c r="H1499" s="66" t="str">
        <f>IF(M1499&lt;&gt;"OK","",INDEX(po_mo,MATCH(D1499,po_code,0)))</f>
        <v/>
      </c>
      <c r="I1499" s="66" t="str">
        <f>IF(M1499&lt;&gt;"OK","",INDEX(po_mac,MATCH(D1499,po_code,0)))</f>
        <v/>
      </c>
      <c r="J1499" s="66" t="str">
        <f>IF(M1499&lt;&gt;"OK","",N(E1499)*(H1499*IF(G1499="",1,G1499)+I1499))</f>
        <v/>
      </c>
      <c r="K1499" s="66" t="str">
        <f>IF(M1499&lt;&gt;"OK","",N(F1499)/60*H1499*IF(G1499="",1,G1499))</f>
        <v/>
      </c>
      <c r="L1499" s="66" t="str">
        <f>IF(M1499&lt;&gt;"OK","",N(F1499)/60*I1499)</f>
        <v/>
      </c>
      <c r="M1499" s="69" t="str">
        <f>IF(AND(A1499="",D1499=""),"",IF(A1499="","Produit manquant",IF(COUNTIF(prod_ref,A1499)=0,"Produit inconnu",IF(D1499="","Poste manquant",IF(ISNA(MATCH(D1499,po_code,0)),"Poste inconnu",IF(INDEX(po_check,MATCH(D1499,po_code,0))&lt;&gt;"OK","Poste à corriger",IF(AND(E1499&lt;&gt;"",OR(NOT(ISNUMBER(E1499)),N(E1499)&lt;0)),"Réglage invalide",IF(AND(F1499&lt;&gt;"",OR(NOT(ISNUMBER(F1499)),N(F1499)&lt;0)),"Temps par pièce invalide",IF(N(E1499)+N(F1499)=0,"Temps manquant",IF(AND(G1499&lt;&gt;"",OR(NOT(ISNUMBER(G1499)),N(G1499)&lt;=0)),"Opérateurs invalide","OK"))))))))))</f>
        <v/>
      </c>
      <c r="N1499" s="71" t="str">
        <f>IF(AND(fiche_sel&lt;&gt;"",A1499=fiche_sel),COUNTIF(A$6:A1499,fiche_sel),"")</f>
        <v/>
      </c>
    </row>
    <row r="1500">
      <c r="A1500" s="60" t="n"/>
      <c r="B1500" s="73" t="n"/>
      <c r="C1500" s="60" t="n"/>
      <c r="D1500" s="61" t="n"/>
      <c r="E1500" s="74" t="n"/>
      <c r="F1500" s="74" t="n"/>
      <c r="G1500" s="73" t="n"/>
      <c r="H1500" s="66" t="str">
        <f>IF(M1500&lt;&gt;"OK","",INDEX(po_mo,MATCH(D1500,po_code,0)))</f>
        <v/>
      </c>
      <c r="I1500" s="66" t="str">
        <f>IF(M1500&lt;&gt;"OK","",INDEX(po_mac,MATCH(D1500,po_code,0)))</f>
        <v/>
      </c>
      <c r="J1500" s="66" t="str">
        <f>IF(M1500&lt;&gt;"OK","",N(E1500)*(H1500*IF(G1500="",1,G1500)+I1500))</f>
        <v/>
      </c>
      <c r="K1500" s="66" t="str">
        <f>IF(M1500&lt;&gt;"OK","",N(F1500)/60*H1500*IF(G1500="",1,G1500))</f>
        <v/>
      </c>
      <c r="L1500" s="66" t="str">
        <f>IF(M1500&lt;&gt;"OK","",N(F1500)/60*I1500)</f>
        <v/>
      </c>
      <c r="M1500" s="69" t="str">
        <f>IF(AND(A1500="",D1500=""),"",IF(A1500="","Produit manquant",IF(COUNTIF(prod_ref,A1500)=0,"Produit inconnu",IF(D1500="","Poste manquant",IF(ISNA(MATCH(D1500,po_code,0)),"Poste inconnu",IF(INDEX(po_check,MATCH(D1500,po_code,0))&lt;&gt;"OK","Poste à corriger",IF(AND(E1500&lt;&gt;"",OR(NOT(ISNUMBER(E1500)),N(E1500)&lt;0)),"Réglage invalide",IF(AND(F1500&lt;&gt;"",OR(NOT(ISNUMBER(F1500)),N(F1500)&lt;0)),"Temps par pièce invalide",IF(N(E1500)+N(F1500)=0,"Temps manquant",IF(AND(G1500&lt;&gt;"",OR(NOT(ISNUMBER(G1500)),N(G1500)&lt;=0)),"Opérateurs invalide","OK"))))))))))</f>
        <v/>
      </c>
      <c r="N1500" s="71" t="str">
        <f>IF(AND(fiche_sel&lt;&gt;"",A1500=fiche_sel),COUNTIF(A$6:A1500,fiche_sel),"")</f>
        <v/>
      </c>
    </row>
    <row r="1501">
      <c r="A1501" s="60" t="n"/>
      <c r="B1501" s="73" t="n"/>
      <c r="C1501" s="60" t="n"/>
      <c r="D1501" s="61" t="n"/>
      <c r="E1501" s="74" t="n"/>
      <c r="F1501" s="74" t="n"/>
      <c r="G1501" s="73" t="n"/>
      <c r="H1501" s="66" t="str">
        <f>IF(M1501&lt;&gt;"OK","",INDEX(po_mo,MATCH(D1501,po_code,0)))</f>
        <v/>
      </c>
      <c r="I1501" s="66" t="str">
        <f>IF(M1501&lt;&gt;"OK","",INDEX(po_mac,MATCH(D1501,po_code,0)))</f>
        <v/>
      </c>
      <c r="J1501" s="66" t="str">
        <f>IF(M1501&lt;&gt;"OK","",N(E1501)*(H1501*IF(G1501="",1,G1501)+I1501))</f>
        <v/>
      </c>
      <c r="K1501" s="66" t="str">
        <f>IF(M1501&lt;&gt;"OK","",N(F1501)/60*H1501*IF(G1501="",1,G1501))</f>
        <v/>
      </c>
      <c r="L1501" s="66" t="str">
        <f>IF(M1501&lt;&gt;"OK","",N(F1501)/60*I1501)</f>
        <v/>
      </c>
      <c r="M1501" s="69" t="str">
        <f>IF(AND(A1501="",D1501=""),"",IF(A1501="","Produit manquant",IF(COUNTIF(prod_ref,A1501)=0,"Produit inconnu",IF(D1501="","Poste manquant",IF(ISNA(MATCH(D1501,po_code,0)),"Poste inconnu",IF(INDEX(po_check,MATCH(D1501,po_code,0))&lt;&gt;"OK","Poste à corriger",IF(AND(E1501&lt;&gt;"",OR(NOT(ISNUMBER(E1501)),N(E1501)&lt;0)),"Réglage invalide",IF(AND(F1501&lt;&gt;"",OR(NOT(ISNUMBER(F1501)),N(F1501)&lt;0)),"Temps par pièce invalide",IF(N(E1501)+N(F1501)=0,"Temps manquant",IF(AND(G1501&lt;&gt;"",OR(NOT(ISNUMBER(G1501)),N(G1501)&lt;=0)),"Opérateurs invalide","OK"))))))))))</f>
        <v/>
      </c>
      <c r="N1501" s="71" t="str">
        <f>IF(AND(fiche_sel&lt;&gt;"",A1501=fiche_sel),COUNTIF(A$6:A1501,fiche_sel),"")</f>
        <v/>
      </c>
    </row>
    <row r="1502">
      <c r="A1502" s="60" t="n"/>
      <c r="B1502" s="73" t="n"/>
      <c r="C1502" s="60" t="n"/>
      <c r="D1502" s="61" t="n"/>
      <c r="E1502" s="74" t="n"/>
      <c r="F1502" s="74" t="n"/>
      <c r="G1502" s="73" t="n"/>
      <c r="H1502" s="66" t="str">
        <f>IF(M1502&lt;&gt;"OK","",INDEX(po_mo,MATCH(D1502,po_code,0)))</f>
        <v/>
      </c>
      <c r="I1502" s="66" t="str">
        <f>IF(M1502&lt;&gt;"OK","",INDEX(po_mac,MATCH(D1502,po_code,0)))</f>
        <v/>
      </c>
      <c r="J1502" s="66" t="str">
        <f>IF(M1502&lt;&gt;"OK","",N(E1502)*(H1502*IF(G1502="",1,G1502)+I1502))</f>
        <v/>
      </c>
      <c r="K1502" s="66" t="str">
        <f>IF(M1502&lt;&gt;"OK","",N(F1502)/60*H1502*IF(G1502="",1,G1502))</f>
        <v/>
      </c>
      <c r="L1502" s="66" t="str">
        <f>IF(M1502&lt;&gt;"OK","",N(F1502)/60*I1502)</f>
        <v/>
      </c>
      <c r="M1502" s="69" t="str">
        <f>IF(AND(A1502="",D1502=""),"",IF(A1502="","Produit manquant",IF(COUNTIF(prod_ref,A1502)=0,"Produit inconnu",IF(D1502="","Poste manquant",IF(ISNA(MATCH(D1502,po_code,0)),"Poste inconnu",IF(INDEX(po_check,MATCH(D1502,po_code,0))&lt;&gt;"OK","Poste à corriger",IF(AND(E1502&lt;&gt;"",OR(NOT(ISNUMBER(E1502)),N(E1502)&lt;0)),"Réglage invalide",IF(AND(F1502&lt;&gt;"",OR(NOT(ISNUMBER(F1502)),N(F1502)&lt;0)),"Temps par pièce invalide",IF(N(E1502)+N(F1502)=0,"Temps manquant",IF(AND(G1502&lt;&gt;"",OR(NOT(ISNUMBER(G1502)),N(G1502)&lt;=0)),"Opérateurs invalide","OK"))))))))))</f>
        <v/>
      </c>
      <c r="N1502" s="71" t="str">
        <f>IF(AND(fiche_sel&lt;&gt;"",A1502=fiche_sel),COUNTIF(A$6:A1502,fiche_sel),"")</f>
        <v/>
      </c>
    </row>
    <row r="1503">
      <c r="A1503" s="60" t="n"/>
      <c r="B1503" s="73" t="n"/>
      <c r="C1503" s="60" t="n"/>
      <c r="D1503" s="61" t="n"/>
      <c r="E1503" s="74" t="n"/>
      <c r="F1503" s="74" t="n"/>
      <c r="G1503" s="73" t="n"/>
      <c r="H1503" s="66" t="str">
        <f>IF(M1503&lt;&gt;"OK","",INDEX(po_mo,MATCH(D1503,po_code,0)))</f>
        <v/>
      </c>
      <c r="I1503" s="66" t="str">
        <f>IF(M1503&lt;&gt;"OK","",INDEX(po_mac,MATCH(D1503,po_code,0)))</f>
        <v/>
      </c>
      <c r="J1503" s="66" t="str">
        <f>IF(M1503&lt;&gt;"OK","",N(E1503)*(H1503*IF(G1503="",1,G1503)+I1503))</f>
        <v/>
      </c>
      <c r="K1503" s="66" t="str">
        <f>IF(M1503&lt;&gt;"OK","",N(F1503)/60*H1503*IF(G1503="",1,G1503))</f>
        <v/>
      </c>
      <c r="L1503" s="66" t="str">
        <f>IF(M1503&lt;&gt;"OK","",N(F1503)/60*I1503)</f>
        <v/>
      </c>
      <c r="M1503" s="69" t="str">
        <f>IF(AND(A1503="",D1503=""),"",IF(A1503="","Produit manquant",IF(COUNTIF(prod_ref,A1503)=0,"Produit inconnu",IF(D1503="","Poste manquant",IF(ISNA(MATCH(D1503,po_code,0)),"Poste inconnu",IF(INDEX(po_check,MATCH(D1503,po_code,0))&lt;&gt;"OK","Poste à corriger",IF(AND(E1503&lt;&gt;"",OR(NOT(ISNUMBER(E1503)),N(E1503)&lt;0)),"Réglage invalide",IF(AND(F1503&lt;&gt;"",OR(NOT(ISNUMBER(F1503)),N(F1503)&lt;0)),"Temps par pièce invalide",IF(N(E1503)+N(F1503)=0,"Temps manquant",IF(AND(G1503&lt;&gt;"",OR(NOT(ISNUMBER(G1503)),N(G1503)&lt;=0)),"Opérateurs invalide","OK"))))))))))</f>
        <v/>
      </c>
      <c r="N1503" s="71" t="str">
        <f>IF(AND(fiche_sel&lt;&gt;"",A1503=fiche_sel),COUNTIF(A$6:A1503,fiche_sel),"")</f>
        <v/>
      </c>
    </row>
    <row r="1504">
      <c r="A1504" s="60" t="n"/>
      <c r="B1504" s="73" t="n"/>
      <c r="C1504" s="60" t="n"/>
      <c r="D1504" s="61" t="n"/>
      <c r="E1504" s="74" t="n"/>
      <c r="F1504" s="74" t="n"/>
      <c r="G1504" s="73" t="n"/>
      <c r="H1504" s="66" t="str">
        <f>IF(M1504&lt;&gt;"OK","",INDEX(po_mo,MATCH(D1504,po_code,0)))</f>
        <v/>
      </c>
      <c r="I1504" s="66" t="str">
        <f>IF(M1504&lt;&gt;"OK","",INDEX(po_mac,MATCH(D1504,po_code,0)))</f>
        <v/>
      </c>
      <c r="J1504" s="66" t="str">
        <f>IF(M1504&lt;&gt;"OK","",N(E1504)*(H1504*IF(G1504="",1,G1504)+I1504))</f>
        <v/>
      </c>
      <c r="K1504" s="66" t="str">
        <f>IF(M1504&lt;&gt;"OK","",N(F1504)/60*H1504*IF(G1504="",1,G1504))</f>
        <v/>
      </c>
      <c r="L1504" s="66" t="str">
        <f>IF(M1504&lt;&gt;"OK","",N(F1504)/60*I1504)</f>
        <v/>
      </c>
      <c r="M1504" s="69" t="str">
        <f>IF(AND(A1504="",D1504=""),"",IF(A1504="","Produit manquant",IF(COUNTIF(prod_ref,A1504)=0,"Produit inconnu",IF(D1504="","Poste manquant",IF(ISNA(MATCH(D1504,po_code,0)),"Poste inconnu",IF(INDEX(po_check,MATCH(D1504,po_code,0))&lt;&gt;"OK","Poste à corriger",IF(AND(E1504&lt;&gt;"",OR(NOT(ISNUMBER(E1504)),N(E1504)&lt;0)),"Réglage invalide",IF(AND(F1504&lt;&gt;"",OR(NOT(ISNUMBER(F1504)),N(F1504)&lt;0)),"Temps par pièce invalide",IF(N(E1504)+N(F1504)=0,"Temps manquant",IF(AND(G1504&lt;&gt;"",OR(NOT(ISNUMBER(G1504)),N(G1504)&lt;=0)),"Opérateurs invalide","OK"))))))))))</f>
        <v/>
      </c>
      <c r="N1504" s="71" t="str">
        <f>IF(AND(fiche_sel&lt;&gt;"",A1504=fiche_sel),COUNTIF(A$6:A1504,fiche_sel),"")</f>
        <v/>
      </c>
    </row>
    <row r="1505">
      <c r="A1505" s="60" t="n"/>
      <c r="B1505" s="73" t="n"/>
      <c r="C1505" s="60" t="n"/>
      <c r="D1505" s="61" t="n"/>
      <c r="E1505" s="74" t="n"/>
      <c r="F1505" s="74" t="n"/>
      <c r="G1505" s="73" t="n"/>
      <c r="H1505" s="66" t="str">
        <f>IF(M1505&lt;&gt;"OK","",INDEX(po_mo,MATCH(D1505,po_code,0)))</f>
        <v/>
      </c>
      <c r="I1505" s="66" t="str">
        <f>IF(M1505&lt;&gt;"OK","",INDEX(po_mac,MATCH(D1505,po_code,0)))</f>
        <v/>
      </c>
      <c r="J1505" s="66" t="str">
        <f>IF(M1505&lt;&gt;"OK","",N(E1505)*(H1505*IF(G1505="",1,G1505)+I1505))</f>
        <v/>
      </c>
      <c r="K1505" s="66" t="str">
        <f>IF(M1505&lt;&gt;"OK","",N(F1505)/60*H1505*IF(G1505="",1,G1505))</f>
        <v/>
      </c>
      <c r="L1505" s="66" t="str">
        <f>IF(M1505&lt;&gt;"OK","",N(F1505)/60*I1505)</f>
        <v/>
      </c>
      <c r="M1505" s="69" t="str">
        <f>IF(AND(A1505="",D1505=""),"",IF(A1505="","Produit manquant",IF(COUNTIF(prod_ref,A1505)=0,"Produit inconnu",IF(D1505="","Poste manquant",IF(ISNA(MATCH(D1505,po_code,0)),"Poste inconnu",IF(INDEX(po_check,MATCH(D1505,po_code,0))&lt;&gt;"OK","Poste à corriger",IF(AND(E1505&lt;&gt;"",OR(NOT(ISNUMBER(E1505)),N(E1505)&lt;0)),"Réglage invalide",IF(AND(F1505&lt;&gt;"",OR(NOT(ISNUMBER(F1505)),N(F1505)&lt;0)),"Temps par pièce invalide",IF(N(E1505)+N(F1505)=0,"Temps manquant",IF(AND(G1505&lt;&gt;"",OR(NOT(ISNUMBER(G1505)),N(G1505)&lt;=0)),"Opérateurs invalide","OK"))))))))))</f>
        <v/>
      </c>
      <c r="N1505" s="71" t="str">
        <f>IF(AND(fiche_sel&lt;&gt;"",A1505=fiche_sel),COUNTIF(A$6:A1505,fiche_sel),"")</f>
        <v/>
      </c>
    </row>
    <row r="1506">
      <c r="A1506" s="60" t="n"/>
      <c r="B1506" s="73" t="n"/>
      <c r="C1506" s="60" t="n"/>
      <c r="D1506" s="61" t="n"/>
      <c r="E1506" s="74" t="n"/>
      <c r="F1506" s="74" t="n"/>
      <c r="G1506" s="73" t="n"/>
      <c r="H1506" s="66" t="str">
        <f>IF(M1506&lt;&gt;"OK","",INDEX(po_mo,MATCH(D1506,po_code,0)))</f>
        <v/>
      </c>
      <c r="I1506" s="66" t="str">
        <f>IF(M1506&lt;&gt;"OK","",INDEX(po_mac,MATCH(D1506,po_code,0)))</f>
        <v/>
      </c>
      <c r="J1506" s="66" t="str">
        <f>IF(M1506&lt;&gt;"OK","",N(E1506)*(H1506*IF(G1506="",1,G1506)+I1506))</f>
        <v/>
      </c>
      <c r="K1506" s="66" t="str">
        <f>IF(M1506&lt;&gt;"OK","",N(F1506)/60*H1506*IF(G1506="",1,G1506))</f>
        <v/>
      </c>
      <c r="L1506" s="66" t="str">
        <f>IF(M1506&lt;&gt;"OK","",N(F1506)/60*I1506)</f>
        <v/>
      </c>
      <c r="M1506" s="69" t="str">
        <f>IF(AND(A1506="",D1506=""),"",IF(A1506="","Produit manquant",IF(COUNTIF(prod_ref,A1506)=0,"Produit inconnu",IF(D1506="","Poste manquant",IF(ISNA(MATCH(D1506,po_code,0)),"Poste inconnu",IF(INDEX(po_check,MATCH(D1506,po_code,0))&lt;&gt;"OK","Poste à corriger",IF(AND(E1506&lt;&gt;"",OR(NOT(ISNUMBER(E1506)),N(E1506)&lt;0)),"Réglage invalide",IF(AND(F1506&lt;&gt;"",OR(NOT(ISNUMBER(F1506)),N(F1506)&lt;0)),"Temps par pièce invalide",IF(N(E1506)+N(F1506)=0,"Temps manquant",IF(AND(G1506&lt;&gt;"",OR(NOT(ISNUMBER(G1506)),N(G1506)&lt;=0)),"Opérateurs invalide","OK"))))))))))</f>
        <v/>
      </c>
      <c r="N1506" s="71" t="str">
        <f>IF(AND(fiche_sel&lt;&gt;"",A1506=fiche_sel),COUNTIF(A$6:A1506,fiche_sel),"")</f>
        <v/>
      </c>
    </row>
    <row r="1507">
      <c r="A1507" s="60" t="n"/>
      <c r="B1507" s="73" t="n"/>
      <c r="C1507" s="60" t="n"/>
      <c r="D1507" s="61" t="n"/>
      <c r="E1507" s="74" t="n"/>
      <c r="F1507" s="74" t="n"/>
      <c r="G1507" s="73" t="n"/>
      <c r="H1507" s="66" t="str">
        <f>IF(M1507&lt;&gt;"OK","",INDEX(po_mo,MATCH(D1507,po_code,0)))</f>
        <v/>
      </c>
      <c r="I1507" s="66" t="str">
        <f>IF(M1507&lt;&gt;"OK","",INDEX(po_mac,MATCH(D1507,po_code,0)))</f>
        <v/>
      </c>
      <c r="J1507" s="66" t="str">
        <f>IF(M1507&lt;&gt;"OK","",N(E1507)*(H1507*IF(G1507="",1,G1507)+I1507))</f>
        <v/>
      </c>
      <c r="K1507" s="66" t="str">
        <f>IF(M1507&lt;&gt;"OK","",N(F1507)/60*H1507*IF(G1507="",1,G1507))</f>
        <v/>
      </c>
      <c r="L1507" s="66" t="str">
        <f>IF(M1507&lt;&gt;"OK","",N(F1507)/60*I1507)</f>
        <v/>
      </c>
      <c r="M1507" s="69" t="str">
        <f>IF(AND(A1507="",D1507=""),"",IF(A1507="","Produit manquant",IF(COUNTIF(prod_ref,A1507)=0,"Produit inconnu",IF(D1507="","Poste manquant",IF(ISNA(MATCH(D1507,po_code,0)),"Poste inconnu",IF(INDEX(po_check,MATCH(D1507,po_code,0))&lt;&gt;"OK","Poste à corriger",IF(AND(E1507&lt;&gt;"",OR(NOT(ISNUMBER(E1507)),N(E1507)&lt;0)),"Réglage invalide",IF(AND(F1507&lt;&gt;"",OR(NOT(ISNUMBER(F1507)),N(F1507)&lt;0)),"Temps par pièce invalide",IF(N(E1507)+N(F1507)=0,"Temps manquant",IF(AND(G1507&lt;&gt;"",OR(NOT(ISNUMBER(G1507)),N(G1507)&lt;=0)),"Opérateurs invalide","OK"))))))))))</f>
        <v/>
      </c>
      <c r="N1507" s="71" t="str">
        <f>IF(AND(fiche_sel&lt;&gt;"",A1507=fiche_sel),COUNTIF(A$6:A1507,fiche_sel),"")</f>
        <v/>
      </c>
    </row>
    <row r="1508">
      <c r="A1508" s="60" t="n"/>
      <c r="B1508" s="73" t="n"/>
      <c r="C1508" s="60" t="n"/>
      <c r="D1508" s="61" t="n"/>
      <c r="E1508" s="74" t="n"/>
      <c r="F1508" s="74" t="n"/>
      <c r="G1508" s="73" t="n"/>
      <c r="H1508" s="66" t="str">
        <f>IF(M1508&lt;&gt;"OK","",INDEX(po_mo,MATCH(D1508,po_code,0)))</f>
        <v/>
      </c>
      <c r="I1508" s="66" t="str">
        <f>IF(M1508&lt;&gt;"OK","",INDEX(po_mac,MATCH(D1508,po_code,0)))</f>
        <v/>
      </c>
      <c r="J1508" s="66" t="str">
        <f>IF(M1508&lt;&gt;"OK","",N(E1508)*(H1508*IF(G1508="",1,G1508)+I1508))</f>
        <v/>
      </c>
      <c r="K1508" s="66" t="str">
        <f>IF(M1508&lt;&gt;"OK","",N(F1508)/60*H1508*IF(G1508="",1,G1508))</f>
        <v/>
      </c>
      <c r="L1508" s="66" t="str">
        <f>IF(M1508&lt;&gt;"OK","",N(F1508)/60*I1508)</f>
        <v/>
      </c>
      <c r="M1508" s="69" t="str">
        <f>IF(AND(A1508="",D1508=""),"",IF(A1508="","Produit manquant",IF(COUNTIF(prod_ref,A1508)=0,"Produit inconnu",IF(D1508="","Poste manquant",IF(ISNA(MATCH(D1508,po_code,0)),"Poste inconnu",IF(INDEX(po_check,MATCH(D1508,po_code,0))&lt;&gt;"OK","Poste à corriger",IF(AND(E1508&lt;&gt;"",OR(NOT(ISNUMBER(E1508)),N(E1508)&lt;0)),"Réglage invalide",IF(AND(F1508&lt;&gt;"",OR(NOT(ISNUMBER(F1508)),N(F1508)&lt;0)),"Temps par pièce invalide",IF(N(E1508)+N(F1508)=0,"Temps manquant",IF(AND(G1508&lt;&gt;"",OR(NOT(ISNUMBER(G1508)),N(G1508)&lt;=0)),"Opérateurs invalide","OK"))))))))))</f>
        <v/>
      </c>
      <c r="N1508" s="71" t="str">
        <f>IF(AND(fiche_sel&lt;&gt;"",A1508=fiche_sel),COUNTIF(A$6:A1508,fiche_sel),"")</f>
        <v/>
      </c>
    </row>
    <row r="1509">
      <c r="A1509" s="60" t="n"/>
      <c r="B1509" s="73" t="n"/>
      <c r="C1509" s="60" t="n"/>
      <c r="D1509" s="61" t="n"/>
      <c r="E1509" s="74" t="n"/>
      <c r="F1509" s="74" t="n"/>
      <c r="G1509" s="73" t="n"/>
      <c r="H1509" s="66" t="str">
        <f>IF(M1509&lt;&gt;"OK","",INDEX(po_mo,MATCH(D1509,po_code,0)))</f>
        <v/>
      </c>
      <c r="I1509" s="66" t="str">
        <f>IF(M1509&lt;&gt;"OK","",INDEX(po_mac,MATCH(D1509,po_code,0)))</f>
        <v/>
      </c>
      <c r="J1509" s="66" t="str">
        <f>IF(M1509&lt;&gt;"OK","",N(E1509)*(H1509*IF(G1509="",1,G1509)+I1509))</f>
        <v/>
      </c>
      <c r="K1509" s="66" t="str">
        <f>IF(M1509&lt;&gt;"OK","",N(F1509)/60*H1509*IF(G1509="",1,G1509))</f>
        <v/>
      </c>
      <c r="L1509" s="66" t="str">
        <f>IF(M1509&lt;&gt;"OK","",N(F1509)/60*I1509)</f>
        <v/>
      </c>
      <c r="M1509" s="69" t="str">
        <f>IF(AND(A1509="",D1509=""),"",IF(A1509="","Produit manquant",IF(COUNTIF(prod_ref,A1509)=0,"Produit inconnu",IF(D1509="","Poste manquant",IF(ISNA(MATCH(D1509,po_code,0)),"Poste inconnu",IF(INDEX(po_check,MATCH(D1509,po_code,0))&lt;&gt;"OK","Poste à corriger",IF(AND(E1509&lt;&gt;"",OR(NOT(ISNUMBER(E1509)),N(E1509)&lt;0)),"Réglage invalide",IF(AND(F1509&lt;&gt;"",OR(NOT(ISNUMBER(F1509)),N(F1509)&lt;0)),"Temps par pièce invalide",IF(N(E1509)+N(F1509)=0,"Temps manquant",IF(AND(G1509&lt;&gt;"",OR(NOT(ISNUMBER(G1509)),N(G1509)&lt;=0)),"Opérateurs invalide","OK"))))))))))</f>
        <v/>
      </c>
      <c r="N1509" s="71" t="str">
        <f>IF(AND(fiche_sel&lt;&gt;"",A1509=fiche_sel),COUNTIF(A$6:A1509,fiche_sel),"")</f>
        <v/>
      </c>
    </row>
    <row r="1510">
      <c r="A1510" s="60" t="n"/>
      <c r="B1510" s="73" t="n"/>
      <c r="C1510" s="60" t="n"/>
      <c r="D1510" s="61" t="n"/>
      <c r="E1510" s="74" t="n"/>
      <c r="F1510" s="74" t="n"/>
      <c r="G1510" s="73" t="n"/>
      <c r="H1510" s="66" t="str">
        <f>IF(M1510&lt;&gt;"OK","",INDEX(po_mo,MATCH(D1510,po_code,0)))</f>
        <v/>
      </c>
      <c r="I1510" s="66" t="str">
        <f>IF(M1510&lt;&gt;"OK","",INDEX(po_mac,MATCH(D1510,po_code,0)))</f>
        <v/>
      </c>
      <c r="J1510" s="66" t="str">
        <f>IF(M1510&lt;&gt;"OK","",N(E1510)*(H1510*IF(G1510="",1,G1510)+I1510))</f>
        <v/>
      </c>
      <c r="K1510" s="66" t="str">
        <f>IF(M1510&lt;&gt;"OK","",N(F1510)/60*H1510*IF(G1510="",1,G1510))</f>
        <v/>
      </c>
      <c r="L1510" s="66" t="str">
        <f>IF(M1510&lt;&gt;"OK","",N(F1510)/60*I1510)</f>
        <v/>
      </c>
      <c r="M1510" s="69" t="str">
        <f>IF(AND(A1510="",D1510=""),"",IF(A1510="","Produit manquant",IF(COUNTIF(prod_ref,A1510)=0,"Produit inconnu",IF(D1510="","Poste manquant",IF(ISNA(MATCH(D1510,po_code,0)),"Poste inconnu",IF(INDEX(po_check,MATCH(D1510,po_code,0))&lt;&gt;"OK","Poste à corriger",IF(AND(E1510&lt;&gt;"",OR(NOT(ISNUMBER(E1510)),N(E1510)&lt;0)),"Réglage invalide",IF(AND(F1510&lt;&gt;"",OR(NOT(ISNUMBER(F1510)),N(F1510)&lt;0)),"Temps par pièce invalide",IF(N(E1510)+N(F1510)=0,"Temps manquant",IF(AND(G1510&lt;&gt;"",OR(NOT(ISNUMBER(G1510)),N(G1510)&lt;=0)),"Opérateurs invalide","OK"))))))))))</f>
        <v/>
      </c>
      <c r="N1510" s="71" t="str">
        <f>IF(AND(fiche_sel&lt;&gt;"",A1510=fiche_sel),COUNTIF(A$6:A1510,fiche_sel),"")</f>
        <v/>
      </c>
    </row>
    <row r="1511">
      <c r="A1511" s="60" t="n"/>
      <c r="B1511" s="73" t="n"/>
      <c r="C1511" s="60" t="n"/>
      <c r="D1511" s="61" t="n"/>
      <c r="E1511" s="74" t="n"/>
      <c r="F1511" s="74" t="n"/>
      <c r="G1511" s="73" t="n"/>
      <c r="H1511" s="66" t="str">
        <f>IF(M1511&lt;&gt;"OK","",INDEX(po_mo,MATCH(D1511,po_code,0)))</f>
        <v/>
      </c>
      <c r="I1511" s="66" t="str">
        <f>IF(M1511&lt;&gt;"OK","",INDEX(po_mac,MATCH(D1511,po_code,0)))</f>
        <v/>
      </c>
      <c r="J1511" s="66" t="str">
        <f>IF(M1511&lt;&gt;"OK","",N(E1511)*(H1511*IF(G1511="",1,G1511)+I1511))</f>
        <v/>
      </c>
      <c r="K1511" s="66" t="str">
        <f>IF(M1511&lt;&gt;"OK","",N(F1511)/60*H1511*IF(G1511="",1,G1511))</f>
        <v/>
      </c>
      <c r="L1511" s="66" t="str">
        <f>IF(M1511&lt;&gt;"OK","",N(F1511)/60*I1511)</f>
        <v/>
      </c>
      <c r="M1511" s="69" t="str">
        <f>IF(AND(A1511="",D1511=""),"",IF(A1511="","Produit manquant",IF(COUNTIF(prod_ref,A1511)=0,"Produit inconnu",IF(D1511="","Poste manquant",IF(ISNA(MATCH(D1511,po_code,0)),"Poste inconnu",IF(INDEX(po_check,MATCH(D1511,po_code,0))&lt;&gt;"OK","Poste à corriger",IF(AND(E1511&lt;&gt;"",OR(NOT(ISNUMBER(E1511)),N(E1511)&lt;0)),"Réglage invalide",IF(AND(F1511&lt;&gt;"",OR(NOT(ISNUMBER(F1511)),N(F1511)&lt;0)),"Temps par pièce invalide",IF(N(E1511)+N(F1511)=0,"Temps manquant",IF(AND(G1511&lt;&gt;"",OR(NOT(ISNUMBER(G1511)),N(G1511)&lt;=0)),"Opérateurs invalide","OK"))))))))))</f>
        <v/>
      </c>
      <c r="N1511" s="71" t="str">
        <f>IF(AND(fiche_sel&lt;&gt;"",A1511=fiche_sel),COUNTIF(A$6:A1511,fiche_sel),"")</f>
        <v/>
      </c>
    </row>
    <row r="1512">
      <c r="A1512" s="60" t="n"/>
      <c r="B1512" s="73" t="n"/>
      <c r="C1512" s="60" t="n"/>
      <c r="D1512" s="61" t="n"/>
      <c r="E1512" s="74" t="n"/>
      <c r="F1512" s="74" t="n"/>
      <c r="G1512" s="73" t="n"/>
      <c r="H1512" s="66" t="str">
        <f>IF(M1512&lt;&gt;"OK","",INDEX(po_mo,MATCH(D1512,po_code,0)))</f>
        <v/>
      </c>
      <c r="I1512" s="66" t="str">
        <f>IF(M1512&lt;&gt;"OK","",INDEX(po_mac,MATCH(D1512,po_code,0)))</f>
        <v/>
      </c>
      <c r="J1512" s="66" t="str">
        <f>IF(M1512&lt;&gt;"OK","",N(E1512)*(H1512*IF(G1512="",1,G1512)+I1512))</f>
        <v/>
      </c>
      <c r="K1512" s="66" t="str">
        <f>IF(M1512&lt;&gt;"OK","",N(F1512)/60*H1512*IF(G1512="",1,G1512))</f>
        <v/>
      </c>
      <c r="L1512" s="66" t="str">
        <f>IF(M1512&lt;&gt;"OK","",N(F1512)/60*I1512)</f>
        <v/>
      </c>
      <c r="M1512" s="69" t="str">
        <f>IF(AND(A1512="",D1512=""),"",IF(A1512="","Produit manquant",IF(COUNTIF(prod_ref,A1512)=0,"Produit inconnu",IF(D1512="","Poste manquant",IF(ISNA(MATCH(D1512,po_code,0)),"Poste inconnu",IF(INDEX(po_check,MATCH(D1512,po_code,0))&lt;&gt;"OK","Poste à corriger",IF(AND(E1512&lt;&gt;"",OR(NOT(ISNUMBER(E1512)),N(E1512)&lt;0)),"Réglage invalide",IF(AND(F1512&lt;&gt;"",OR(NOT(ISNUMBER(F1512)),N(F1512)&lt;0)),"Temps par pièce invalide",IF(N(E1512)+N(F1512)=0,"Temps manquant",IF(AND(G1512&lt;&gt;"",OR(NOT(ISNUMBER(G1512)),N(G1512)&lt;=0)),"Opérateurs invalide","OK"))))))))))</f>
        <v/>
      </c>
      <c r="N1512" s="71" t="str">
        <f>IF(AND(fiche_sel&lt;&gt;"",A1512=fiche_sel),COUNTIF(A$6:A1512,fiche_sel),"")</f>
        <v/>
      </c>
    </row>
    <row r="1513">
      <c r="A1513" s="60" t="n"/>
      <c r="B1513" s="73" t="n"/>
      <c r="C1513" s="60" t="n"/>
      <c r="D1513" s="61" t="n"/>
      <c r="E1513" s="74" t="n"/>
      <c r="F1513" s="74" t="n"/>
      <c r="G1513" s="73" t="n"/>
      <c r="H1513" s="66" t="str">
        <f>IF(M1513&lt;&gt;"OK","",INDEX(po_mo,MATCH(D1513,po_code,0)))</f>
        <v/>
      </c>
      <c r="I1513" s="66" t="str">
        <f>IF(M1513&lt;&gt;"OK","",INDEX(po_mac,MATCH(D1513,po_code,0)))</f>
        <v/>
      </c>
      <c r="J1513" s="66" t="str">
        <f>IF(M1513&lt;&gt;"OK","",N(E1513)*(H1513*IF(G1513="",1,G1513)+I1513))</f>
        <v/>
      </c>
      <c r="K1513" s="66" t="str">
        <f>IF(M1513&lt;&gt;"OK","",N(F1513)/60*H1513*IF(G1513="",1,G1513))</f>
        <v/>
      </c>
      <c r="L1513" s="66" t="str">
        <f>IF(M1513&lt;&gt;"OK","",N(F1513)/60*I1513)</f>
        <v/>
      </c>
      <c r="M1513" s="69" t="str">
        <f>IF(AND(A1513="",D1513=""),"",IF(A1513="","Produit manquant",IF(COUNTIF(prod_ref,A1513)=0,"Produit inconnu",IF(D1513="","Poste manquant",IF(ISNA(MATCH(D1513,po_code,0)),"Poste inconnu",IF(INDEX(po_check,MATCH(D1513,po_code,0))&lt;&gt;"OK","Poste à corriger",IF(AND(E1513&lt;&gt;"",OR(NOT(ISNUMBER(E1513)),N(E1513)&lt;0)),"Réglage invalide",IF(AND(F1513&lt;&gt;"",OR(NOT(ISNUMBER(F1513)),N(F1513)&lt;0)),"Temps par pièce invalide",IF(N(E1513)+N(F1513)=0,"Temps manquant",IF(AND(G1513&lt;&gt;"",OR(NOT(ISNUMBER(G1513)),N(G1513)&lt;=0)),"Opérateurs invalide","OK"))))))))))</f>
        <v/>
      </c>
      <c r="N1513" s="71" t="str">
        <f>IF(AND(fiche_sel&lt;&gt;"",A1513=fiche_sel),COUNTIF(A$6:A1513,fiche_sel),"")</f>
        <v/>
      </c>
    </row>
    <row r="1514">
      <c r="A1514" s="60" t="n"/>
      <c r="B1514" s="73" t="n"/>
      <c r="C1514" s="60" t="n"/>
      <c r="D1514" s="61" t="n"/>
      <c r="E1514" s="74" t="n"/>
      <c r="F1514" s="74" t="n"/>
      <c r="G1514" s="73" t="n"/>
      <c r="H1514" s="66" t="str">
        <f>IF(M1514&lt;&gt;"OK","",INDEX(po_mo,MATCH(D1514,po_code,0)))</f>
        <v/>
      </c>
      <c r="I1514" s="66" t="str">
        <f>IF(M1514&lt;&gt;"OK","",INDEX(po_mac,MATCH(D1514,po_code,0)))</f>
        <v/>
      </c>
      <c r="J1514" s="66" t="str">
        <f>IF(M1514&lt;&gt;"OK","",N(E1514)*(H1514*IF(G1514="",1,G1514)+I1514))</f>
        <v/>
      </c>
      <c r="K1514" s="66" t="str">
        <f>IF(M1514&lt;&gt;"OK","",N(F1514)/60*H1514*IF(G1514="",1,G1514))</f>
        <v/>
      </c>
      <c r="L1514" s="66" t="str">
        <f>IF(M1514&lt;&gt;"OK","",N(F1514)/60*I1514)</f>
        <v/>
      </c>
      <c r="M1514" s="69" t="str">
        <f>IF(AND(A1514="",D1514=""),"",IF(A1514="","Produit manquant",IF(COUNTIF(prod_ref,A1514)=0,"Produit inconnu",IF(D1514="","Poste manquant",IF(ISNA(MATCH(D1514,po_code,0)),"Poste inconnu",IF(INDEX(po_check,MATCH(D1514,po_code,0))&lt;&gt;"OK","Poste à corriger",IF(AND(E1514&lt;&gt;"",OR(NOT(ISNUMBER(E1514)),N(E1514)&lt;0)),"Réglage invalide",IF(AND(F1514&lt;&gt;"",OR(NOT(ISNUMBER(F1514)),N(F1514)&lt;0)),"Temps par pièce invalide",IF(N(E1514)+N(F1514)=0,"Temps manquant",IF(AND(G1514&lt;&gt;"",OR(NOT(ISNUMBER(G1514)),N(G1514)&lt;=0)),"Opérateurs invalide","OK"))))))))))</f>
        <v/>
      </c>
      <c r="N1514" s="71" t="str">
        <f>IF(AND(fiche_sel&lt;&gt;"",A1514=fiche_sel),COUNTIF(A$6:A1514,fiche_sel),"")</f>
        <v/>
      </c>
    </row>
    <row r="1515">
      <c r="A1515" s="60" t="n"/>
      <c r="B1515" s="73" t="n"/>
      <c r="C1515" s="60" t="n"/>
      <c r="D1515" s="61" t="n"/>
      <c r="E1515" s="74" t="n"/>
      <c r="F1515" s="74" t="n"/>
      <c r="G1515" s="73" t="n"/>
      <c r="H1515" s="66" t="str">
        <f>IF(M1515&lt;&gt;"OK","",INDEX(po_mo,MATCH(D1515,po_code,0)))</f>
        <v/>
      </c>
      <c r="I1515" s="66" t="str">
        <f>IF(M1515&lt;&gt;"OK","",INDEX(po_mac,MATCH(D1515,po_code,0)))</f>
        <v/>
      </c>
      <c r="J1515" s="66" t="str">
        <f>IF(M1515&lt;&gt;"OK","",N(E1515)*(H1515*IF(G1515="",1,G1515)+I1515))</f>
        <v/>
      </c>
      <c r="K1515" s="66" t="str">
        <f>IF(M1515&lt;&gt;"OK","",N(F1515)/60*H1515*IF(G1515="",1,G1515))</f>
        <v/>
      </c>
      <c r="L1515" s="66" t="str">
        <f>IF(M1515&lt;&gt;"OK","",N(F1515)/60*I1515)</f>
        <v/>
      </c>
      <c r="M1515" s="69" t="str">
        <f>IF(AND(A1515="",D1515=""),"",IF(A1515="","Produit manquant",IF(COUNTIF(prod_ref,A1515)=0,"Produit inconnu",IF(D1515="","Poste manquant",IF(ISNA(MATCH(D1515,po_code,0)),"Poste inconnu",IF(INDEX(po_check,MATCH(D1515,po_code,0))&lt;&gt;"OK","Poste à corriger",IF(AND(E1515&lt;&gt;"",OR(NOT(ISNUMBER(E1515)),N(E1515)&lt;0)),"Réglage invalide",IF(AND(F1515&lt;&gt;"",OR(NOT(ISNUMBER(F1515)),N(F1515)&lt;0)),"Temps par pièce invalide",IF(N(E1515)+N(F1515)=0,"Temps manquant",IF(AND(G1515&lt;&gt;"",OR(NOT(ISNUMBER(G1515)),N(G1515)&lt;=0)),"Opérateurs invalide","OK"))))))))))</f>
        <v/>
      </c>
      <c r="N1515" s="71" t="str">
        <f>IF(AND(fiche_sel&lt;&gt;"",A1515=fiche_sel),COUNTIF(A$6:A1515,fiche_sel),"")</f>
        <v/>
      </c>
    </row>
    <row r="1516">
      <c r="A1516" s="60" t="n"/>
      <c r="B1516" s="73" t="n"/>
      <c r="C1516" s="60" t="n"/>
      <c r="D1516" s="61" t="n"/>
      <c r="E1516" s="74" t="n"/>
      <c r="F1516" s="74" t="n"/>
      <c r="G1516" s="73" t="n"/>
      <c r="H1516" s="66" t="str">
        <f>IF(M1516&lt;&gt;"OK","",INDEX(po_mo,MATCH(D1516,po_code,0)))</f>
        <v/>
      </c>
      <c r="I1516" s="66" t="str">
        <f>IF(M1516&lt;&gt;"OK","",INDEX(po_mac,MATCH(D1516,po_code,0)))</f>
        <v/>
      </c>
      <c r="J1516" s="66" t="str">
        <f>IF(M1516&lt;&gt;"OK","",N(E1516)*(H1516*IF(G1516="",1,G1516)+I1516))</f>
        <v/>
      </c>
      <c r="K1516" s="66" t="str">
        <f>IF(M1516&lt;&gt;"OK","",N(F1516)/60*H1516*IF(G1516="",1,G1516))</f>
        <v/>
      </c>
      <c r="L1516" s="66" t="str">
        <f>IF(M1516&lt;&gt;"OK","",N(F1516)/60*I1516)</f>
        <v/>
      </c>
      <c r="M1516" s="69" t="str">
        <f>IF(AND(A1516="",D1516=""),"",IF(A1516="","Produit manquant",IF(COUNTIF(prod_ref,A1516)=0,"Produit inconnu",IF(D1516="","Poste manquant",IF(ISNA(MATCH(D1516,po_code,0)),"Poste inconnu",IF(INDEX(po_check,MATCH(D1516,po_code,0))&lt;&gt;"OK","Poste à corriger",IF(AND(E1516&lt;&gt;"",OR(NOT(ISNUMBER(E1516)),N(E1516)&lt;0)),"Réglage invalide",IF(AND(F1516&lt;&gt;"",OR(NOT(ISNUMBER(F1516)),N(F1516)&lt;0)),"Temps par pièce invalide",IF(N(E1516)+N(F1516)=0,"Temps manquant",IF(AND(G1516&lt;&gt;"",OR(NOT(ISNUMBER(G1516)),N(G1516)&lt;=0)),"Opérateurs invalide","OK"))))))))))</f>
        <v/>
      </c>
      <c r="N1516" s="71" t="str">
        <f>IF(AND(fiche_sel&lt;&gt;"",A1516=fiche_sel),COUNTIF(A$6:A1516,fiche_sel),"")</f>
        <v/>
      </c>
    </row>
    <row r="1517">
      <c r="A1517" s="60" t="n"/>
      <c r="B1517" s="73" t="n"/>
      <c r="C1517" s="60" t="n"/>
      <c r="D1517" s="61" t="n"/>
      <c r="E1517" s="74" t="n"/>
      <c r="F1517" s="74" t="n"/>
      <c r="G1517" s="73" t="n"/>
      <c r="H1517" s="66" t="str">
        <f>IF(M1517&lt;&gt;"OK","",INDEX(po_mo,MATCH(D1517,po_code,0)))</f>
        <v/>
      </c>
      <c r="I1517" s="66" t="str">
        <f>IF(M1517&lt;&gt;"OK","",INDEX(po_mac,MATCH(D1517,po_code,0)))</f>
        <v/>
      </c>
      <c r="J1517" s="66" t="str">
        <f>IF(M1517&lt;&gt;"OK","",N(E1517)*(H1517*IF(G1517="",1,G1517)+I1517))</f>
        <v/>
      </c>
      <c r="K1517" s="66" t="str">
        <f>IF(M1517&lt;&gt;"OK","",N(F1517)/60*H1517*IF(G1517="",1,G1517))</f>
        <v/>
      </c>
      <c r="L1517" s="66" t="str">
        <f>IF(M1517&lt;&gt;"OK","",N(F1517)/60*I1517)</f>
        <v/>
      </c>
      <c r="M1517" s="69" t="str">
        <f>IF(AND(A1517="",D1517=""),"",IF(A1517="","Produit manquant",IF(COUNTIF(prod_ref,A1517)=0,"Produit inconnu",IF(D1517="","Poste manquant",IF(ISNA(MATCH(D1517,po_code,0)),"Poste inconnu",IF(INDEX(po_check,MATCH(D1517,po_code,0))&lt;&gt;"OK","Poste à corriger",IF(AND(E1517&lt;&gt;"",OR(NOT(ISNUMBER(E1517)),N(E1517)&lt;0)),"Réglage invalide",IF(AND(F1517&lt;&gt;"",OR(NOT(ISNUMBER(F1517)),N(F1517)&lt;0)),"Temps par pièce invalide",IF(N(E1517)+N(F1517)=0,"Temps manquant",IF(AND(G1517&lt;&gt;"",OR(NOT(ISNUMBER(G1517)),N(G1517)&lt;=0)),"Opérateurs invalide","OK"))))))))))</f>
        <v/>
      </c>
      <c r="N1517" s="71" t="str">
        <f>IF(AND(fiche_sel&lt;&gt;"",A1517=fiche_sel),COUNTIF(A$6:A1517,fiche_sel),"")</f>
        <v/>
      </c>
    </row>
    <row r="1518">
      <c r="A1518" s="60" t="n"/>
      <c r="B1518" s="73" t="n"/>
      <c r="C1518" s="60" t="n"/>
      <c r="D1518" s="61" t="n"/>
      <c r="E1518" s="74" t="n"/>
      <c r="F1518" s="74" t="n"/>
      <c r="G1518" s="73" t="n"/>
      <c r="H1518" s="66" t="str">
        <f>IF(M1518&lt;&gt;"OK","",INDEX(po_mo,MATCH(D1518,po_code,0)))</f>
        <v/>
      </c>
      <c r="I1518" s="66" t="str">
        <f>IF(M1518&lt;&gt;"OK","",INDEX(po_mac,MATCH(D1518,po_code,0)))</f>
        <v/>
      </c>
      <c r="J1518" s="66" t="str">
        <f>IF(M1518&lt;&gt;"OK","",N(E1518)*(H1518*IF(G1518="",1,G1518)+I1518))</f>
        <v/>
      </c>
      <c r="K1518" s="66" t="str">
        <f>IF(M1518&lt;&gt;"OK","",N(F1518)/60*H1518*IF(G1518="",1,G1518))</f>
        <v/>
      </c>
      <c r="L1518" s="66" t="str">
        <f>IF(M1518&lt;&gt;"OK","",N(F1518)/60*I1518)</f>
        <v/>
      </c>
      <c r="M1518" s="69" t="str">
        <f>IF(AND(A1518="",D1518=""),"",IF(A1518="","Produit manquant",IF(COUNTIF(prod_ref,A1518)=0,"Produit inconnu",IF(D1518="","Poste manquant",IF(ISNA(MATCH(D1518,po_code,0)),"Poste inconnu",IF(INDEX(po_check,MATCH(D1518,po_code,0))&lt;&gt;"OK","Poste à corriger",IF(AND(E1518&lt;&gt;"",OR(NOT(ISNUMBER(E1518)),N(E1518)&lt;0)),"Réglage invalide",IF(AND(F1518&lt;&gt;"",OR(NOT(ISNUMBER(F1518)),N(F1518)&lt;0)),"Temps par pièce invalide",IF(N(E1518)+N(F1518)=0,"Temps manquant",IF(AND(G1518&lt;&gt;"",OR(NOT(ISNUMBER(G1518)),N(G1518)&lt;=0)),"Opérateurs invalide","OK"))))))))))</f>
        <v/>
      </c>
      <c r="N1518" s="71" t="str">
        <f>IF(AND(fiche_sel&lt;&gt;"",A1518=fiche_sel),COUNTIF(A$6:A1518,fiche_sel),"")</f>
        <v/>
      </c>
    </row>
    <row r="1519">
      <c r="A1519" s="60" t="n"/>
      <c r="B1519" s="73" t="n"/>
      <c r="C1519" s="60" t="n"/>
      <c r="D1519" s="61" t="n"/>
      <c r="E1519" s="74" t="n"/>
      <c r="F1519" s="74" t="n"/>
      <c r="G1519" s="73" t="n"/>
      <c r="H1519" s="66" t="str">
        <f>IF(M1519&lt;&gt;"OK","",INDEX(po_mo,MATCH(D1519,po_code,0)))</f>
        <v/>
      </c>
      <c r="I1519" s="66" t="str">
        <f>IF(M1519&lt;&gt;"OK","",INDEX(po_mac,MATCH(D1519,po_code,0)))</f>
        <v/>
      </c>
      <c r="J1519" s="66" t="str">
        <f>IF(M1519&lt;&gt;"OK","",N(E1519)*(H1519*IF(G1519="",1,G1519)+I1519))</f>
        <v/>
      </c>
      <c r="K1519" s="66" t="str">
        <f>IF(M1519&lt;&gt;"OK","",N(F1519)/60*H1519*IF(G1519="",1,G1519))</f>
        <v/>
      </c>
      <c r="L1519" s="66" t="str">
        <f>IF(M1519&lt;&gt;"OK","",N(F1519)/60*I1519)</f>
        <v/>
      </c>
      <c r="M1519" s="69" t="str">
        <f>IF(AND(A1519="",D1519=""),"",IF(A1519="","Produit manquant",IF(COUNTIF(prod_ref,A1519)=0,"Produit inconnu",IF(D1519="","Poste manquant",IF(ISNA(MATCH(D1519,po_code,0)),"Poste inconnu",IF(INDEX(po_check,MATCH(D1519,po_code,0))&lt;&gt;"OK","Poste à corriger",IF(AND(E1519&lt;&gt;"",OR(NOT(ISNUMBER(E1519)),N(E1519)&lt;0)),"Réglage invalide",IF(AND(F1519&lt;&gt;"",OR(NOT(ISNUMBER(F1519)),N(F1519)&lt;0)),"Temps par pièce invalide",IF(N(E1519)+N(F1519)=0,"Temps manquant",IF(AND(G1519&lt;&gt;"",OR(NOT(ISNUMBER(G1519)),N(G1519)&lt;=0)),"Opérateurs invalide","OK"))))))))))</f>
        <v/>
      </c>
      <c r="N1519" s="71" t="str">
        <f>IF(AND(fiche_sel&lt;&gt;"",A1519=fiche_sel),COUNTIF(A$6:A1519,fiche_sel),"")</f>
        <v/>
      </c>
    </row>
    <row r="1520">
      <c r="A1520" s="60" t="n"/>
      <c r="B1520" s="73" t="n"/>
      <c r="C1520" s="60" t="n"/>
      <c r="D1520" s="61" t="n"/>
      <c r="E1520" s="74" t="n"/>
      <c r="F1520" s="74" t="n"/>
      <c r="G1520" s="73" t="n"/>
      <c r="H1520" s="66" t="str">
        <f>IF(M1520&lt;&gt;"OK","",INDEX(po_mo,MATCH(D1520,po_code,0)))</f>
        <v/>
      </c>
      <c r="I1520" s="66" t="str">
        <f>IF(M1520&lt;&gt;"OK","",INDEX(po_mac,MATCH(D1520,po_code,0)))</f>
        <v/>
      </c>
      <c r="J1520" s="66" t="str">
        <f>IF(M1520&lt;&gt;"OK","",N(E1520)*(H1520*IF(G1520="",1,G1520)+I1520))</f>
        <v/>
      </c>
      <c r="K1520" s="66" t="str">
        <f>IF(M1520&lt;&gt;"OK","",N(F1520)/60*H1520*IF(G1520="",1,G1520))</f>
        <v/>
      </c>
      <c r="L1520" s="66" t="str">
        <f>IF(M1520&lt;&gt;"OK","",N(F1520)/60*I1520)</f>
        <v/>
      </c>
      <c r="M1520" s="69" t="str">
        <f>IF(AND(A1520="",D1520=""),"",IF(A1520="","Produit manquant",IF(COUNTIF(prod_ref,A1520)=0,"Produit inconnu",IF(D1520="","Poste manquant",IF(ISNA(MATCH(D1520,po_code,0)),"Poste inconnu",IF(INDEX(po_check,MATCH(D1520,po_code,0))&lt;&gt;"OK","Poste à corriger",IF(AND(E1520&lt;&gt;"",OR(NOT(ISNUMBER(E1520)),N(E1520)&lt;0)),"Réglage invalide",IF(AND(F1520&lt;&gt;"",OR(NOT(ISNUMBER(F1520)),N(F1520)&lt;0)),"Temps par pièce invalide",IF(N(E1520)+N(F1520)=0,"Temps manquant",IF(AND(G1520&lt;&gt;"",OR(NOT(ISNUMBER(G1520)),N(G1520)&lt;=0)),"Opérateurs invalide","OK"))))))))))</f>
        <v/>
      </c>
      <c r="N1520" s="71" t="str">
        <f>IF(AND(fiche_sel&lt;&gt;"",A1520=fiche_sel),COUNTIF(A$6:A1520,fiche_sel),"")</f>
        <v/>
      </c>
    </row>
    <row r="1521">
      <c r="A1521" s="60" t="n"/>
      <c r="B1521" s="73" t="n"/>
      <c r="C1521" s="60" t="n"/>
      <c r="D1521" s="61" t="n"/>
      <c r="E1521" s="74" t="n"/>
      <c r="F1521" s="74" t="n"/>
      <c r="G1521" s="73" t="n"/>
      <c r="H1521" s="66" t="str">
        <f>IF(M1521&lt;&gt;"OK","",INDEX(po_mo,MATCH(D1521,po_code,0)))</f>
        <v/>
      </c>
      <c r="I1521" s="66" t="str">
        <f>IF(M1521&lt;&gt;"OK","",INDEX(po_mac,MATCH(D1521,po_code,0)))</f>
        <v/>
      </c>
      <c r="J1521" s="66" t="str">
        <f>IF(M1521&lt;&gt;"OK","",N(E1521)*(H1521*IF(G1521="",1,G1521)+I1521))</f>
        <v/>
      </c>
      <c r="K1521" s="66" t="str">
        <f>IF(M1521&lt;&gt;"OK","",N(F1521)/60*H1521*IF(G1521="",1,G1521))</f>
        <v/>
      </c>
      <c r="L1521" s="66" t="str">
        <f>IF(M1521&lt;&gt;"OK","",N(F1521)/60*I1521)</f>
        <v/>
      </c>
      <c r="M1521" s="69" t="str">
        <f>IF(AND(A1521="",D1521=""),"",IF(A1521="","Produit manquant",IF(COUNTIF(prod_ref,A1521)=0,"Produit inconnu",IF(D1521="","Poste manquant",IF(ISNA(MATCH(D1521,po_code,0)),"Poste inconnu",IF(INDEX(po_check,MATCH(D1521,po_code,0))&lt;&gt;"OK","Poste à corriger",IF(AND(E1521&lt;&gt;"",OR(NOT(ISNUMBER(E1521)),N(E1521)&lt;0)),"Réglage invalide",IF(AND(F1521&lt;&gt;"",OR(NOT(ISNUMBER(F1521)),N(F1521)&lt;0)),"Temps par pièce invalide",IF(N(E1521)+N(F1521)=0,"Temps manquant",IF(AND(G1521&lt;&gt;"",OR(NOT(ISNUMBER(G1521)),N(G1521)&lt;=0)),"Opérateurs invalide","OK"))))))))))</f>
        <v/>
      </c>
      <c r="N1521" s="71" t="str">
        <f>IF(AND(fiche_sel&lt;&gt;"",A1521=fiche_sel),COUNTIF(A$6:A1521,fiche_sel),"")</f>
        <v/>
      </c>
    </row>
    <row r="1522">
      <c r="A1522" s="60" t="n"/>
      <c r="B1522" s="73" t="n"/>
      <c r="C1522" s="60" t="n"/>
      <c r="D1522" s="61" t="n"/>
      <c r="E1522" s="74" t="n"/>
      <c r="F1522" s="74" t="n"/>
      <c r="G1522" s="73" t="n"/>
      <c r="H1522" s="66" t="str">
        <f>IF(M1522&lt;&gt;"OK","",INDEX(po_mo,MATCH(D1522,po_code,0)))</f>
        <v/>
      </c>
      <c r="I1522" s="66" t="str">
        <f>IF(M1522&lt;&gt;"OK","",INDEX(po_mac,MATCH(D1522,po_code,0)))</f>
        <v/>
      </c>
      <c r="J1522" s="66" t="str">
        <f>IF(M1522&lt;&gt;"OK","",N(E1522)*(H1522*IF(G1522="",1,G1522)+I1522))</f>
        <v/>
      </c>
      <c r="K1522" s="66" t="str">
        <f>IF(M1522&lt;&gt;"OK","",N(F1522)/60*H1522*IF(G1522="",1,G1522))</f>
        <v/>
      </c>
      <c r="L1522" s="66" t="str">
        <f>IF(M1522&lt;&gt;"OK","",N(F1522)/60*I1522)</f>
        <v/>
      </c>
      <c r="M1522" s="69" t="str">
        <f>IF(AND(A1522="",D1522=""),"",IF(A1522="","Produit manquant",IF(COUNTIF(prod_ref,A1522)=0,"Produit inconnu",IF(D1522="","Poste manquant",IF(ISNA(MATCH(D1522,po_code,0)),"Poste inconnu",IF(INDEX(po_check,MATCH(D1522,po_code,0))&lt;&gt;"OK","Poste à corriger",IF(AND(E1522&lt;&gt;"",OR(NOT(ISNUMBER(E1522)),N(E1522)&lt;0)),"Réglage invalide",IF(AND(F1522&lt;&gt;"",OR(NOT(ISNUMBER(F1522)),N(F1522)&lt;0)),"Temps par pièce invalide",IF(N(E1522)+N(F1522)=0,"Temps manquant",IF(AND(G1522&lt;&gt;"",OR(NOT(ISNUMBER(G1522)),N(G1522)&lt;=0)),"Opérateurs invalide","OK"))))))))))</f>
        <v/>
      </c>
      <c r="N1522" s="71" t="str">
        <f>IF(AND(fiche_sel&lt;&gt;"",A1522=fiche_sel),COUNTIF(A$6:A1522,fiche_sel),"")</f>
        <v/>
      </c>
    </row>
    <row r="1523">
      <c r="A1523" s="60" t="n"/>
      <c r="B1523" s="73" t="n"/>
      <c r="C1523" s="60" t="n"/>
      <c r="D1523" s="61" t="n"/>
      <c r="E1523" s="74" t="n"/>
      <c r="F1523" s="74" t="n"/>
      <c r="G1523" s="73" t="n"/>
      <c r="H1523" s="66" t="str">
        <f>IF(M1523&lt;&gt;"OK","",INDEX(po_mo,MATCH(D1523,po_code,0)))</f>
        <v/>
      </c>
      <c r="I1523" s="66" t="str">
        <f>IF(M1523&lt;&gt;"OK","",INDEX(po_mac,MATCH(D1523,po_code,0)))</f>
        <v/>
      </c>
      <c r="J1523" s="66" t="str">
        <f>IF(M1523&lt;&gt;"OK","",N(E1523)*(H1523*IF(G1523="",1,G1523)+I1523))</f>
        <v/>
      </c>
      <c r="K1523" s="66" t="str">
        <f>IF(M1523&lt;&gt;"OK","",N(F1523)/60*H1523*IF(G1523="",1,G1523))</f>
        <v/>
      </c>
      <c r="L1523" s="66" t="str">
        <f>IF(M1523&lt;&gt;"OK","",N(F1523)/60*I1523)</f>
        <v/>
      </c>
      <c r="M1523" s="69" t="str">
        <f>IF(AND(A1523="",D1523=""),"",IF(A1523="","Produit manquant",IF(COUNTIF(prod_ref,A1523)=0,"Produit inconnu",IF(D1523="","Poste manquant",IF(ISNA(MATCH(D1523,po_code,0)),"Poste inconnu",IF(INDEX(po_check,MATCH(D1523,po_code,0))&lt;&gt;"OK","Poste à corriger",IF(AND(E1523&lt;&gt;"",OR(NOT(ISNUMBER(E1523)),N(E1523)&lt;0)),"Réglage invalide",IF(AND(F1523&lt;&gt;"",OR(NOT(ISNUMBER(F1523)),N(F1523)&lt;0)),"Temps par pièce invalide",IF(N(E1523)+N(F1523)=0,"Temps manquant",IF(AND(G1523&lt;&gt;"",OR(NOT(ISNUMBER(G1523)),N(G1523)&lt;=0)),"Opérateurs invalide","OK"))))))))))</f>
        <v/>
      </c>
      <c r="N1523" s="71" t="str">
        <f>IF(AND(fiche_sel&lt;&gt;"",A1523=fiche_sel),COUNTIF(A$6:A1523,fiche_sel),"")</f>
        <v/>
      </c>
    </row>
    <row r="1524">
      <c r="A1524" s="60" t="n"/>
      <c r="B1524" s="73" t="n"/>
      <c r="C1524" s="60" t="n"/>
      <c r="D1524" s="61" t="n"/>
      <c r="E1524" s="74" t="n"/>
      <c r="F1524" s="74" t="n"/>
      <c r="G1524" s="73" t="n"/>
      <c r="H1524" s="66" t="str">
        <f>IF(M1524&lt;&gt;"OK","",INDEX(po_mo,MATCH(D1524,po_code,0)))</f>
        <v/>
      </c>
      <c r="I1524" s="66" t="str">
        <f>IF(M1524&lt;&gt;"OK","",INDEX(po_mac,MATCH(D1524,po_code,0)))</f>
        <v/>
      </c>
      <c r="J1524" s="66" t="str">
        <f>IF(M1524&lt;&gt;"OK","",N(E1524)*(H1524*IF(G1524="",1,G1524)+I1524))</f>
        <v/>
      </c>
      <c r="K1524" s="66" t="str">
        <f>IF(M1524&lt;&gt;"OK","",N(F1524)/60*H1524*IF(G1524="",1,G1524))</f>
        <v/>
      </c>
      <c r="L1524" s="66" t="str">
        <f>IF(M1524&lt;&gt;"OK","",N(F1524)/60*I1524)</f>
        <v/>
      </c>
      <c r="M1524" s="69" t="str">
        <f>IF(AND(A1524="",D1524=""),"",IF(A1524="","Produit manquant",IF(COUNTIF(prod_ref,A1524)=0,"Produit inconnu",IF(D1524="","Poste manquant",IF(ISNA(MATCH(D1524,po_code,0)),"Poste inconnu",IF(INDEX(po_check,MATCH(D1524,po_code,0))&lt;&gt;"OK","Poste à corriger",IF(AND(E1524&lt;&gt;"",OR(NOT(ISNUMBER(E1524)),N(E1524)&lt;0)),"Réglage invalide",IF(AND(F1524&lt;&gt;"",OR(NOT(ISNUMBER(F1524)),N(F1524)&lt;0)),"Temps par pièce invalide",IF(N(E1524)+N(F1524)=0,"Temps manquant",IF(AND(G1524&lt;&gt;"",OR(NOT(ISNUMBER(G1524)),N(G1524)&lt;=0)),"Opérateurs invalide","OK"))))))))))</f>
        <v/>
      </c>
      <c r="N1524" s="71" t="str">
        <f>IF(AND(fiche_sel&lt;&gt;"",A1524=fiche_sel),COUNTIF(A$6:A1524,fiche_sel),"")</f>
        <v/>
      </c>
    </row>
    <row r="1525">
      <c r="A1525" s="60" t="n"/>
      <c r="B1525" s="73" t="n"/>
      <c r="C1525" s="60" t="n"/>
      <c r="D1525" s="61" t="n"/>
      <c r="E1525" s="74" t="n"/>
      <c r="F1525" s="74" t="n"/>
      <c r="G1525" s="73" t="n"/>
      <c r="H1525" s="66" t="str">
        <f>IF(M1525&lt;&gt;"OK","",INDEX(po_mo,MATCH(D1525,po_code,0)))</f>
        <v/>
      </c>
      <c r="I1525" s="66" t="str">
        <f>IF(M1525&lt;&gt;"OK","",INDEX(po_mac,MATCH(D1525,po_code,0)))</f>
        <v/>
      </c>
      <c r="J1525" s="66" t="str">
        <f>IF(M1525&lt;&gt;"OK","",N(E1525)*(H1525*IF(G1525="",1,G1525)+I1525))</f>
        <v/>
      </c>
      <c r="K1525" s="66" t="str">
        <f>IF(M1525&lt;&gt;"OK","",N(F1525)/60*H1525*IF(G1525="",1,G1525))</f>
        <v/>
      </c>
      <c r="L1525" s="66" t="str">
        <f>IF(M1525&lt;&gt;"OK","",N(F1525)/60*I1525)</f>
        <v/>
      </c>
      <c r="M1525" s="69" t="str">
        <f>IF(AND(A1525="",D1525=""),"",IF(A1525="","Produit manquant",IF(COUNTIF(prod_ref,A1525)=0,"Produit inconnu",IF(D1525="","Poste manquant",IF(ISNA(MATCH(D1525,po_code,0)),"Poste inconnu",IF(INDEX(po_check,MATCH(D1525,po_code,0))&lt;&gt;"OK","Poste à corriger",IF(AND(E1525&lt;&gt;"",OR(NOT(ISNUMBER(E1525)),N(E1525)&lt;0)),"Réglage invalide",IF(AND(F1525&lt;&gt;"",OR(NOT(ISNUMBER(F1525)),N(F1525)&lt;0)),"Temps par pièce invalide",IF(N(E1525)+N(F1525)=0,"Temps manquant",IF(AND(G1525&lt;&gt;"",OR(NOT(ISNUMBER(G1525)),N(G1525)&lt;=0)),"Opérateurs invalide","OK"))))))))))</f>
        <v/>
      </c>
      <c r="N1525" s="71" t="str">
        <f>IF(AND(fiche_sel&lt;&gt;"",A1525=fiche_sel),COUNTIF(A$6:A1525,fiche_sel),"")</f>
        <v/>
      </c>
    </row>
    <row r="1526">
      <c r="A1526" s="60" t="n"/>
      <c r="B1526" s="73" t="n"/>
      <c r="C1526" s="60" t="n"/>
      <c r="D1526" s="61" t="n"/>
      <c r="E1526" s="74" t="n"/>
      <c r="F1526" s="74" t="n"/>
      <c r="G1526" s="73" t="n"/>
      <c r="H1526" s="66" t="str">
        <f>IF(M1526&lt;&gt;"OK","",INDEX(po_mo,MATCH(D1526,po_code,0)))</f>
        <v/>
      </c>
      <c r="I1526" s="66" t="str">
        <f>IF(M1526&lt;&gt;"OK","",INDEX(po_mac,MATCH(D1526,po_code,0)))</f>
        <v/>
      </c>
      <c r="J1526" s="66" t="str">
        <f>IF(M1526&lt;&gt;"OK","",N(E1526)*(H1526*IF(G1526="",1,G1526)+I1526))</f>
        <v/>
      </c>
      <c r="K1526" s="66" t="str">
        <f>IF(M1526&lt;&gt;"OK","",N(F1526)/60*H1526*IF(G1526="",1,G1526))</f>
        <v/>
      </c>
      <c r="L1526" s="66" t="str">
        <f>IF(M1526&lt;&gt;"OK","",N(F1526)/60*I1526)</f>
        <v/>
      </c>
      <c r="M1526" s="69" t="str">
        <f>IF(AND(A1526="",D1526=""),"",IF(A1526="","Produit manquant",IF(COUNTIF(prod_ref,A1526)=0,"Produit inconnu",IF(D1526="","Poste manquant",IF(ISNA(MATCH(D1526,po_code,0)),"Poste inconnu",IF(INDEX(po_check,MATCH(D1526,po_code,0))&lt;&gt;"OK","Poste à corriger",IF(AND(E1526&lt;&gt;"",OR(NOT(ISNUMBER(E1526)),N(E1526)&lt;0)),"Réglage invalide",IF(AND(F1526&lt;&gt;"",OR(NOT(ISNUMBER(F1526)),N(F1526)&lt;0)),"Temps par pièce invalide",IF(N(E1526)+N(F1526)=0,"Temps manquant",IF(AND(G1526&lt;&gt;"",OR(NOT(ISNUMBER(G1526)),N(G1526)&lt;=0)),"Opérateurs invalide","OK"))))))))))</f>
        <v/>
      </c>
      <c r="N1526" s="71" t="str">
        <f>IF(AND(fiche_sel&lt;&gt;"",A1526=fiche_sel),COUNTIF(A$6:A1526,fiche_sel),"")</f>
        <v/>
      </c>
    </row>
    <row r="1527">
      <c r="A1527" s="60" t="n"/>
      <c r="B1527" s="73" t="n"/>
      <c r="C1527" s="60" t="n"/>
      <c r="D1527" s="61" t="n"/>
      <c r="E1527" s="74" t="n"/>
      <c r="F1527" s="74" t="n"/>
      <c r="G1527" s="73" t="n"/>
      <c r="H1527" s="66" t="str">
        <f>IF(M1527&lt;&gt;"OK","",INDEX(po_mo,MATCH(D1527,po_code,0)))</f>
        <v/>
      </c>
      <c r="I1527" s="66" t="str">
        <f>IF(M1527&lt;&gt;"OK","",INDEX(po_mac,MATCH(D1527,po_code,0)))</f>
        <v/>
      </c>
      <c r="J1527" s="66" t="str">
        <f>IF(M1527&lt;&gt;"OK","",N(E1527)*(H1527*IF(G1527="",1,G1527)+I1527))</f>
        <v/>
      </c>
      <c r="K1527" s="66" t="str">
        <f>IF(M1527&lt;&gt;"OK","",N(F1527)/60*H1527*IF(G1527="",1,G1527))</f>
        <v/>
      </c>
      <c r="L1527" s="66" t="str">
        <f>IF(M1527&lt;&gt;"OK","",N(F1527)/60*I1527)</f>
        <v/>
      </c>
      <c r="M1527" s="69" t="str">
        <f>IF(AND(A1527="",D1527=""),"",IF(A1527="","Produit manquant",IF(COUNTIF(prod_ref,A1527)=0,"Produit inconnu",IF(D1527="","Poste manquant",IF(ISNA(MATCH(D1527,po_code,0)),"Poste inconnu",IF(INDEX(po_check,MATCH(D1527,po_code,0))&lt;&gt;"OK","Poste à corriger",IF(AND(E1527&lt;&gt;"",OR(NOT(ISNUMBER(E1527)),N(E1527)&lt;0)),"Réglage invalide",IF(AND(F1527&lt;&gt;"",OR(NOT(ISNUMBER(F1527)),N(F1527)&lt;0)),"Temps par pièce invalide",IF(N(E1527)+N(F1527)=0,"Temps manquant",IF(AND(G1527&lt;&gt;"",OR(NOT(ISNUMBER(G1527)),N(G1527)&lt;=0)),"Opérateurs invalide","OK"))))))))))</f>
        <v/>
      </c>
      <c r="N1527" s="71" t="str">
        <f>IF(AND(fiche_sel&lt;&gt;"",A1527=fiche_sel),COUNTIF(A$6:A1527,fiche_sel),"")</f>
        <v/>
      </c>
    </row>
    <row r="1528">
      <c r="A1528" s="60" t="n"/>
      <c r="B1528" s="73" t="n"/>
      <c r="C1528" s="60" t="n"/>
      <c r="D1528" s="61" t="n"/>
      <c r="E1528" s="74" t="n"/>
      <c r="F1528" s="74" t="n"/>
      <c r="G1528" s="73" t="n"/>
      <c r="H1528" s="66" t="str">
        <f>IF(M1528&lt;&gt;"OK","",INDEX(po_mo,MATCH(D1528,po_code,0)))</f>
        <v/>
      </c>
      <c r="I1528" s="66" t="str">
        <f>IF(M1528&lt;&gt;"OK","",INDEX(po_mac,MATCH(D1528,po_code,0)))</f>
        <v/>
      </c>
      <c r="J1528" s="66" t="str">
        <f>IF(M1528&lt;&gt;"OK","",N(E1528)*(H1528*IF(G1528="",1,G1528)+I1528))</f>
        <v/>
      </c>
      <c r="K1528" s="66" t="str">
        <f>IF(M1528&lt;&gt;"OK","",N(F1528)/60*H1528*IF(G1528="",1,G1528))</f>
        <v/>
      </c>
      <c r="L1528" s="66" t="str">
        <f>IF(M1528&lt;&gt;"OK","",N(F1528)/60*I1528)</f>
        <v/>
      </c>
      <c r="M1528" s="69" t="str">
        <f>IF(AND(A1528="",D1528=""),"",IF(A1528="","Produit manquant",IF(COUNTIF(prod_ref,A1528)=0,"Produit inconnu",IF(D1528="","Poste manquant",IF(ISNA(MATCH(D1528,po_code,0)),"Poste inconnu",IF(INDEX(po_check,MATCH(D1528,po_code,0))&lt;&gt;"OK","Poste à corriger",IF(AND(E1528&lt;&gt;"",OR(NOT(ISNUMBER(E1528)),N(E1528)&lt;0)),"Réglage invalide",IF(AND(F1528&lt;&gt;"",OR(NOT(ISNUMBER(F1528)),N(F1528)&lt;0)),"Temps par pièce invalide",IF(N(E1528)+N(F1528)=0,"Temps manquant",IF(AND(G1528&lt;&gt;"",OR(NOT(ISNUMBER(G1528)),N(G1528)&lt;=0)),"Opérateurs invalide","OK"))))))))))</f>
        <v/>
      </c>
      <c r="N1528" s="71" t="str">
        <f>IF(AND(fiche_sel&lt;&gt;"",A1528=fiche_sel),COUNTIF(A$6:A1528,fiche_sel),"")</f>
        <v/>
      </c>
    </row>
    <row r="1529">
      <c r="A1529" s="60" t="n"/>
      <c r="B1529" s="73" t="n"/>
      <c r="C1529" s="60" t="n"/>
      <c r="D1529" s="61" t="n"/>
      <c r="E1529" s="74" t="n"/>
      <c r="F1529" s="74" t="n"/>
      <c r="G1529" s="73" t="n"/>
      <c r="H1529" s="66" t="str">
        <f>IF(M1529&lt;&gt;"OK","",INDEX(po_mo,MATCH(D1529,po_code,0)))</f>
        <v/>
      </c>
      <c r="I1529" s="66" t="str">
        <f>IF(M1529&lt;&gt;"OK","",INDEX(po_mac,MATCH(D1529,po_code,0)))</f>
        <v/>
      </c>
      <c r="J1529" s="66" t="str">
        <f>IF(M1529&lt;&gt;"OK","",N(E1529)*(H1529*IF(G1529="",1,G1529)+I1529))</f>
        <v/>
      </c>
      <c r="K1529" s="66" t="str">
        <f>IF(M1529&lt;&gt;"OK","",N(F1529)/60*H1529*IF(G1529="",1,G1529))</f>
        <v/>
      </c>
      <c r="L1529" s="66" t="str">
        <f>IF(M1529&lt;&gt;"OK","",N(F1529)/60*I1529)</f>
        <v/>
      </c>
      <c r="M1529" s="69" t="str">
        <f>IF(AND(A1529="",D1529=""),"",IF(A1529="","Produit manquant",IF(COUNTIF(prod_ref,A1529)=0,"Produit inconnu",IF(D1529="","Poste manquant",IF(ISNA(MATCH(D1529,po_code,0)),"Poste inconnu",IF(INDEX(po_check,MATCH(D1529,po_code,0))&lt;&gt;"OK","Poste à corriger",IF(AND(E1529&lt;&gt;"",OR(NOT(ISNUMBER(E1529)),N(E1529)&lt;0)),"Réglage invalide",IF(AND(F1529&lt;&gt;"",OR(NOT(ISNUMBER(F1529)),N(F1529)&lt;0)),"Temps par pièce invalide",IF(N(E1529)+N(F1529)=0,"Temps manquant",IF(AND(G1529&lt;&gt;"",OR(NOT(ISNUMBER(G1529)),N(G1529)&lt;=0)),"Opérateurs invalide","OK"))))))))))</f>
        <v/>
      </c>
      <c r="N1529" s="71" t="str">
        <f>IF(AND(fiche_sel&lt;&gt;"",A1529=fiche_sel),COUNTIF(A$6:A1529,fiche_sel),"")</f>
        <v/>
      </c>
    </row>
    <row r="1530">
      <c r="A1530" s="60" t="n"/>
      <c r="B1530" s="73" t="n"/>
      <c r="C1530" s="60" t="n"/>
      <c r="D1530" s="61" t="n"/>
      <c r="E1530" s="74" t="n"/>
      <c r="F1530" s="74" t="n"/>
      <c r="G1530" s="73" t="n"/>
      <c r="H1530" s="66" t="str">
        <f>IF(M1530&lt;&gt;"OK","",INDEX(po_mo,MATCH(D1530,po_code,0)))</f>
        <v/>
      </c>
      <c r="I1530" s="66" t="str">
        <f>IF(M1530&lt;&gt;"OK","",INDEX(po_mac,MATCH(D1530,po_code,0)))</f>
        <v/>
      </c>
      <c r="J1530" s="66" t="str">
        <f>IF(M1530&lt;&gt;"OK","",N(E1530)*(H1530*IF(G1530="",1,G1530)+I1530))</f>
        <v/>
      </c>
      <c r="K1530" s="66" t="str">
        <f>IF(M1530&lt;&gt;"OK","",N(F1530)/60*H1530*IF(G1530="",1,G1530))</f>
        <v/>
      </c>
      <c r="L1530" s="66" t="str">
        <f>IF(M1530&lt;&gt;"OK","",N(F1530)/60*I1530)</f>
        <v/>
      </c>
      <c r="M1530" s="69" t="str">
        <f>IF(AND(A1530="",D1530=""),"",IF(A1530="","Produit manquant",IF(COUNTIF(prod_ref,A1530)=0,"Produit inconnu",IF(D1530="","Poste manquant",IF(ISNA(MATCH(D1530,po_code,0)),"Poste inconnu",IF(INDEX(po_check,MATCH(D1530,po_code,0))&lt;&gt;"OK","Poste à corriger",IF(AND(E1530&lt;&gt;"",OR(NOT(ISNUMBER(E1530)),N(E1530)&lt;0)),"Réglage invalide",IF(AND(F1530&lt;&gt;"",OR(NOT(ISNUMBER(F1530)),N(F1530)&lt;0)),"Temps par pièce invalide",IF(N(E1530)+N(F1530)=0,"Temps manquant",IF(AND(G1530&lt;&gt;"",OR(NOT(ISNUMBER(G1530)),N(G1530)&lt;=0)),"Opérateurs invalide","OK"))))))))))</f>
        <v/>
      </c>
      <c r="N1530" s="71" t="str">
        <f>IF(AND(fiche_sel&lt;&gt;"",A1530=fiche_sel),COUNTIF(A$6:A1530,fiche_sel),"")</f>
        <v/>
      </c>
    </row>
    <row r="1531">
      <c r="A1531" s="60" t="n"/>
      <c r="B1531" s="73" t="n"/>
      <c r="C1531" s="60" t="n"/>
      <c r="D1531" s="61" t="n"/>
      <c r="E1531" s="74" t="n"/>
      <c r="F1531" s="74" t="n"/>
      <c r="G1531" s="73" t="n"/>
      <c r="H1531" s="66" t="str">
        <f>IF(M1531&lt;&gt;"OK","",INDEX(po_mo,MATCH(D1531,po_code,0)))</f>
        <v/>
      </c>
      <c r="I1531" s="66" t="str">
        <f>IF(M1531&lt;&gt;"OK","",INDEX(po_mac,MATCH(D1531,po_code,0)))</f>
        <v/>
      </c>
      <c r="J1531" s="66" t="str">
        <f>IF(M1531&lt;&gt;"OK","",N(E1531)*(H1531*IF(G1531="",1,G1531)+I1531))</f>
        <v/>
      </c>
      <c r="K1531" s="66" t="str">
        <f>IF(M1531&lt;&gt;"OK","",N(F1531)/60*H1531*IF(G1531="",1,G1531))</f>
        <v/>
      </c>
      <c r="L1531" s="66" t="str">
        <f>IF(M1531&lt;&gt;"OK","",N(F1531)/60*I1531)</f>
        <v/>
      </c>
      <c r="M1531" s="69" t="str">
        <f>IF(AND(A1531="",D1531=""),"",IF(A1531="","Produit manquant",IF(COUNTIF(prod_ref,A1531)=0,"Produit inconnu",IF(D1531="","Poste manquant",IF(ISNA(MATCH(D1531,po_code,0)),"Poste inconnu",IF(INDEX(po_check,MATCH(D1531,po_code,0))&lt;&gt;"OK","Poste à corriger",IF(AND(E1531&lt;&gt;"",OR(NOT(ISNUMBER(E1531)),N(E1531)&lt;0)),"Réglage invalide",IF(AND(F1531&lt;&gt;"",OR(NOT(ISNUMBER(F1531)),N(F1531)&lt;0)),"Temps par pièce invalide",IF(N(E1531)+N(F1531)=0,"Temps manquant",IF(AND(G1531&lt;&gt;"",OR(NOT(ISNUMBER(G1531)),N(G1531)&lt;=0)),"Opérateurs invalide","OK"))))))))))</f>
        <v/>
      </c>
      <c r="N1531" s="71" t="str">
        <f>IF(AND(fiche_sel&lt;&gt;"",A1531=fiche_sel),COUNTIF(A$6:A1531,fiche_sel),"")</f>
        <v/>
      </c>
    </row>
    <row r="1532">
      <c r="A1532" s="60" t="n"/>
      <c r="B1532" s="73" t="n"/>
      <c r="C1532" s="60" t="n"/>
      <c r="D1532" s="61" t="n"/>
      <c r="E1532" s="74" t="n"/>
      <c r="F1532" s="74" t="n"/>
      <c r="G1532" s="73" t="n"/>
      <c r="H1532" s="66" t="str">
        <f>IF(M1532&lt;&gt;"OK","",INDEX(po_mo,MATCH(D1532,po_code,0)))</f>
        <v/>
      </c>
      <c r="I1532" s="66" t="str">
        <f>IF(M1532&lt;&gt;"OK","",INDEX(po_mac,MATCH(D1532,po_code,0)))</f>
        <v/>
      </c>
      <c r="J1532" s="66" t="str">
        <f>IF(M1532&lt;&gt;"OK","",N(E1532)*(H1532*IF(G1532="",1,G1532)+I1532))</f>
        <v/>
      </c>
      <c r="K1532" s="66" t="str">
        <f>IF(M1532&lt;&gt;"OK","",N(F1532)/60*H1532*IF(G1532="",1,G1532))</f>
        <v/>
      </c>
      <c r="L1532" s="66" t="str">
        <f>IF(M1532&lt;&gt;"OK","",N(F1532)/60*I1532)</f>
        <v/>
      </c>
      <c r="M1532" s="69" t="str">
        <f>IF(AND(A1532="",D1532=""),"",IF(A1532="","Produit manquant",IF(COUNTIF(prod_ref,A1532)=0,"Produit inconnu",IF(D1532="","Poste manquant",IF(ISNA(MATCH(D1532,po_code,0)),"Poste inconnu",IF(INDEX(po_check,MATCH(D1532,po_code,0))&lt;&gt;"OK","Poste à corriger",IF(AND(E1532&lt;&gt;"",OR(NOT(ISNUMBER(E1532)),N(E1532)&lt;0)),"Réglage invalide",IF(AND(F1532&lt;&gt;"",OR(NOT(ISNUMBER(F1532)),N(F1532)&lt;0)),"Temps par pièce invalide",IF(N(E1532)+N(F1532)=0,"Temps manquant",IF(AND(G1532&lt;&gt;"",OR(NOT(ISNUMBER(G1532)),N(G1532)&lt;=0)),"Opérateurs invalide","OK"))))))))))</f>
        <v/>
      </c>
      <c r="N1532" s="71" t="str">
        <f>IF(AND(fiche_sel&lt;&gt;"",A1532=fiche_sel),COUNTIF(A$6:A1532,fiche_sel),"")</f>
        <v/>
      </c>
    </row>
    <row r="1533">
      <c r="A1533" s="60" t="n"/>
      <c r="B1533" s="73" t="n"/>
      <c r="C1533" s="60" t="n"/>
      <c r="D1533" s="61" t="n"/>
      <c r="E1533" s="74" t="n"/>
      <c r="F1533" s="74" t="n"/>
      <c r="G1533" s="73" t="n"/>
      <c r="H1533" s="66" t="str">
        <f>IF(M1533&lt;&gt;"OK","",INDEX(po_mo,MATCH(D1533,po_code,0)))</f>
        <v/>
      </c>
      <c r="I1533" s="66" t="str">
        <f>IF(M1533&lt;&gt;"OK","",INDEX(po_mac,MATCH(D1533,po_code,0)))</f>
        <v/>
      </c>
      <c r="J1533" s="66" t="str">
        <f>IF(M1533&lt;&gt;"OK","",N(E1533)*(H1533*IF(G1533="",1,G1533)+I1533))</f>
        <v/>
      </c>
      <c r="K1533" s="66" t="str">
        <f>IF(M1533&lt;&gt;"OK","",N(F1533)/60*H1533*IF(G1533="",1,G1533))</f>
        <v/>
      </c>
      <c r="L1533" s="66" t="str">
        <f>IF(M1533&lt;&gt;"OK","",N(F1533)/60*I1533)</f>
        <v/>
      </c>
      <c r="M1533" s="69" t="str">
        <f>IF(AND(A1533="",D1533=""),"",IF(A1533="","Produit manquant",IF(COUNTIF(prod_ref,A1533)=0,"Produit inconnu",IF(D1533="","Poste manquant",IF(ISNA(MATCH(D1533,po_code,0)),"Poste inconnu",IF(INDEX(po_check,MATCH(D1533,po_code,0))&lt;&gt;"OK","Poste à corriger",IF(AND(E1533&lt;&gt;"",OR(NOT(ISNUMBER(E1533)),N(E1533)&lt;0)),"Réglage invalide",IF(AND(F1533&lt;&gt;"",OR(NOT(ISNUMBER(F1533)),N(F1533)&lt;0)),"Temps par pièce invalide",IF(N(E1533)+N(F1533)=0,"Temps manquant",IF(AND(G1533&lt;&gt;"",OR(NOT(ISNUMBER(G1533)),N(G1533)&lt;=0)),"Opérateurs invalide","OK"))))))))))</f>
        <v/>
      </c>
      <c r="N1533" s="71" t="str">
        <f>IF(AND(fiche_sel&lt;&gt;"",A1533=fiche_sel),COUNTIF(A$6:A1533,fiche_sel),"")</f>
        <v/>
      </c>
    </row>
    <row r="1534">
      <c r="A1534" s="60" t="n"/>
      <c r="B1534" s="73" t="n"/>
      <c r="C1534" s="60" t="n"/>
      <c r="D1534" s="61" t="n"/>
      <c r="E1534" s="74" t="n"/>
      <c r="F1534" s="74" t="n"/>
      <c r="G1534" s="73" t="n"/>
      <c r="H1534" s="66" t="str">
        <f>IF(M1534&lt;&gt;"OK","",INDEX(po_mo,MATCH(D1534,po_code,0)))</f>
        <v/>
      </c>
      <c r="I1534" s="66" t="str">
        <f>IF(M1534&lt;&gt;"OK","",INDEX(po_mac,MATCH(D1534,po_code,0)))</f>
        <v/>
      </c>
      <c r="J1534" s="66" t="str">
        <f>IF(M1534&lt;&gt;"OK","",N(E1534)*(H1534*IF(G1534="",1,G1534)+I1534))</f>
        <v/>
      </c>
      <c r="K1534" s="66" t="str">
        <f>IF(M1534&lt;&gt;"OK","",N(F1534)/60*H1534*IF(G1534="",1,G1534))</f>
        <v/>
      </c>
      <c r="L1534" s="66" t="str">
        <f>IF(M1534&lt;&gt;"OK","",N(F1534)/60*I1534)</f>
        <v/>
      </c>
      <c r="M1534" s="69" t="str">
        <f>IF(AND(A1534="",D1534=""),"",IF(A1534="","Produit manquant",IF(COUNTIF(prod_ref,A1534)=0,"Produit inconnu",IF(D1534="","Poste manquant",IF(ISNA(MATCH(D1534,po_code,0)),"Poste inconnu",IF(INDEX(po_check,MATCH(D1534,po_code,0))&lt;&gt;"OK","Poste à corriger",IF(AND(E1534&lt;&gt;"",OR(NOT(ISNUMBER(E1534)),N(E1534)&lt;0)),"Réglage invalide",IF(AND(F1534&lt;&gt;"",OR(NOT(ISNUMBER(F1534)),N(F1534)&lt;0)),"Temps par pièce invalide",IF(N(E1534)+N(F1534)=0,"Temps manquant",IF(AND(G1534&lt;&gt;"",OR(NOT(ISNUMBER(G1534)),N(G1534)&lt;=0)),"Opérateurs invalide","OK"))))))))))</f>
        <v/>
      </c>
      <c r="N1534" s="71" t="str">
        <f>IF(AND(fiche_sel&lt;&gt;"",A1534=fiche_sel),COUNTIF(A$6:A1534,fiche_sel),"")</f>
        <v/>
      </c>
    </row>
    <row r="1535">
      <c r="A1535" s="60" t="n"/>
      <c r="B1535" s="73" t="n"/>
      <c r="C1535" s="60" t="n"/>
      <c r="D1535" s="61" t="n"/>
      <c r="E1535" s="74" t="n"/>
      <c r="F1535" s="74" t="n"/>
      <c r="G1535" s="73" t="n"/>
      <c r="H1535" s="66" t="str">
        <f>IF(M1535&lt;&gt;"OK","",INDEX(po_mo,MATCH(D1535,po_code,0)))</f>
        <v/>
      </c>
      <c r="I1535" s="66" t="str">
        <f>IF(M1535&lt;&gt;"OK","",INDEX(po_mac,MATCH(D1535,po_code,0)))</f>
        <v/>
      </c>
      <c r="J1535" s="66" t="str">
        <f>IF(M1535&lt;&gt;"OK","",N(E1535)*(H1535*IF(G1535="",1,G1535)+I1535))</f>
        <v/>
      </c>
      <c r="K1535" s="66" t="str">
        <f>IF(M1535&lt;&gt;"OK","",N(F1535)/60*H1535*IF(G1535="",1,G1535))</f>
        <v/>
      </c>
      <c r="L1535" s="66" t="str">
        <f>IF(M1535&lt;&gt;"OK","",N(F1535)/60*I1535)</f>
        <v/>
      </c>
      <c r="M1535" s="69" t="str">
        <f>IF(AND(A1535="",D1535=""),"",IF(A1535="","Produit manquant",IF(COUNTIF(prod_ref,A1535)=0,"Produit inconnu",IF(D1535="","Poste manquant",IF(ISNA(MATCH(D1535,po_code,0)),"Poste inconnu",IF(INDEX(po_check,MATCH(D1535,po_code,0))&lt;&gt;"OK","Poste à corriger",IF(AND(E1535&lt;&gt;"",OR(NOT(ISNUMBER(E1535)),N(E1535)&lt;0)),"Réglage invalide",IF(AND(F1535&lt;&gt;"",OR(NOT(ISNUMBER(F1535)),N(F1535)&lt;0)),"Temps par pièce invalide",IF(N(E1535)+N(F1535)=0,"Temps manquant",IF(AND(G1535&lt;&gt;"",OR(NOT(ISNUMBER(G1535)),N(G1535)&lt;=0)),"Opérateurs invalide","OK"))))))))))</f>
        <v/>
      </c>
      <c r="N1535" s="71" t="str">
        <f>IF(AND(fiche_sel&lt;&gt;"",A1535=fiche_sel),COUNTIF(A$6:A1535,fiche_sel),"")</f>
        <v/>
      </c>
    </row>
    <row r="1536">
      <c r="A1536" s="60" t="n"/>
      <c r="B1536" s="73" t="n"/>
      <c r="C1536" s="60" t="n"/>
      <c r="D1536" s="61" t="n"/>
      <c r="E1536" s="74" t="n"/>
      <c r="F1536" s="74" t="n"/>
      <c r="G1536" s="73" t="n"/>
      <c r="H1536" s="66" t="str">
        <f>IF(M1536&lt;&gt;"OK","",INDEX(po_mo,MATCH(D1536,po_code,0)))</f>
        <v/>
      </c>
      <c r="I1536" s="66" t="str">
        <f>IF(M1536&lt;&gt;"OK","",INDEX(po_mac,MATCH(D1536,po_code,0)))</f>
        <v/>
      </c>
      <c r="J1536" s="66" t="str">
        <f>IF(M1536&lt;&gt;"OK","",N(E1536)*(H1536*IF(G1536="",1,G1536)+I1536))</f>
        <v/>
      </c>
      <c r="K1536" s="66" t="str">
        <f>IF(M1536&lt;&gt;"OK","",N(F1536)/60*H1536*IF(G1536="",1,G1536))</f>
        <v/>
      </c>
      <c r="L1536" s="66" t="str">
        <f>IF(M1536&lt;&gt;"OK","",N(F1536)/60*I1536)</f>
        <v/>
      </c>
      <c r="M1536" s="69" t="str">
        <f>IF(AND(A1536="",D1536=""),"",IF(A1536="","Produit manquant",IF(COUNTIF(prod_ref,A1536)=0,"Produit inconnu",IF(D1536="","Poste manquant",IF(ISNA(MATCH(D1536,po_code,0)),"Poste inconnu",IF(INDEX(po_check,MATCH(D1536,po_code,0))&lt;&gt;"OK","Poste à corriger",IF(AND(E1536&lt;&gt;"",OR(NOT(ISNUMBER(E1536)),N(E1536)&lt;0)),"Réglage invalide",IF(AND(F1536&lt;&gt;"",OR(NOT(ISNUMBER(F1536)),N(F1536)&lt;0)),"Temps par pièce invalide",IF(N(E1536)+N(F1536)=0,"Temps manquant",IF(AND(G1536&lt;&gt;"",OR(NOT(ISNUMBER(G1536)),N(G1536)&lt;=0)),"Opérateurs invalide","OK"))))))))))</f>
        <v/>
      </c>
      <c r="N1536" s="71" t="str">
        <f>IF(AND(fiche_sel&lt;&gt;"",A1536=fiche_sel),COUNTIF(A$6:A1536,fiche_sel),"")</f>
        <v/>
      </c>
    </row>
    <row r="1537">
      <c r="A1537" s="60" t="n"/>
      <c r="B1537" s="73" t="n"/>
      <c r="C1537" s="60" t="n"/>
      <c r="D1537" s="61" t="n"/>
      <c r="E1537" s="74" t="n"/>
      <c r="F1537" s="74" t="n"/>
      <c r="G1537" s="73" t="n"/>
      <c r="H1537" s="66" t="str">
        <f>IF(M1537&lt;&gt;"OK","",INDEX(po_mo,MATCH(D1537,po_code,0)))</f>
        <v/>
      </c>
      <c r="I1537" s="66" t="str">
        <f>IF(M1537&lt;&gt;"OK","",INDEX(po_mac,MATCH(D1537,po_code,0)))</f>
        <v/>
      </c>
      <c r="J1537" s="66" t="str">
        <f>IF(M1537&lt;&gt;"OK","",N(E1537)*(H1537*IF(G1537="",1,G1537)+I1537))</f>
        <v/>
      </c>
      <c r="K1537" s="66" t="str">
        <f>IF(M1537&lt;&gt;"OK","",N(F1537)/60*H1537*IF(G1537="",1,G1537))</f>
        <v/>
      </c>
      <c r="L1537" s="66" t="str">
        <f>IF(M1537&lt;&gt;"OK","",N(F1537)/60*I1537)</f>
        <v/>
      </c>
      <c r="M1537" s="69" t="str">
        <f>IF(AND(A1537="",D1537=""),"",IF(A1537="","Produit manquant",IF(COUNTIF(prod_ref,A1537)=0,"Produit inconnu",IF(D1537="","Poste manquant",IF(ISNA(MATCH(D1537,po_code,0)),"Poste inconnu",IF(INDEX(po_check,MATCH(D1537,po_code,0))&lt;&gt;"OK","Poste à corriger",IF(AND(E1537&lt;&gt;"",OR(NOT(ISNUMBER(E1537)),N(E1537)&lt;0)),"Réglage invalide",IF(AND(F1537&lt;&gt;"",OR(NOT(ISNUMBER(F1537)),N(F1537)&lt;0)),"Temps par pièce invalide",IF(N(E1537)+N(F1537)=0,"Temps manquant",IF(AND(G1537&lt;&gt;"",OR(NOT(ISNUMBER(G1537)),N(G1537)&lt;=0)),"Opérateurs invalide","OK"))))))))))</f>
        <v/>
      </c>
      <c r="N1537" s="71" t="str">
        <f>IF(AND(fiche_sel&lt;&gt;"",A1537=fiche_sel),COUNTIF(A$6:A1537,fiche_sel),"")</f>
        <v/>
      </c>
    </row>
    <row r="1538">
      <c r="A1538" s="60" t="n"/>
      <c r="B1538" s="73" t="n"/>
      <c r="C1538" s="60" t="n"/>
      <c r="D1538" s="61" t="n"/>
      <c r="E1538" s="74" t="n"/>
      <c r="F1538" s="74" t="n"/>
      <c r="G1538" s="73" t="n"/>
      <c r="H1538" s="66" t="str">
        <f>IF(M1538&lt;&gt;"OK","",INDEX(po_mo,MATCH(D1538,po_code,0)))</f>
        <v/>
      </c>
      <c r="I1538" s="66" t="str">
        <f>IF(M1538&lt;&gt;"OK","",INDEX(po_mac,MATCH(D1538,po_code,0)))</f>
        <v/>
      </c>
      <c r="J1538" s="66" t="str">
        <f>IF(M1538&lt;&gt;"OK","",N(E1538)*(H1538*IF(G1538="",1,G1538)+I1538))</f>
        <v/>
      </c>
      <c r="K1538" s="66" t="str">
        <f>IF(M1538&lt;&gt;"OK","",N(F1538)/60*H1538*IF(G1538="",1,G1538))</f>
        <v/>
      </c>
      <c r="L1538" s="66" t="str">
        <f>IF(M1538&lt;&gt;"OK","",N(F1538)/60*I1538)</f>
        <v/>
      </c>
      <c r="M1538" s="69" t="str">
        <f>IF(AND(A1538="",D1538=""),"",IF(A1538="","Produit manquant",IF(COUNTIF(prod_ref,A1538)=0,"Produit inconnu",IF(D1538="","Poste manquant",IF(ISNA(MATCH(D1538,po_code,0)),"Poste inconnu",IF(INDEX(po_check,MATCH(D1538,po_code,0))&lt;&gt;"OK","Poste à corriger",IF(AND(E1538&lt;&gt;"",OR(NOT(ISNUMBER(E1538)),N(E1538)&lt;0)),"Réglage invalide",IF(AND(F1538&lt;&gt;"",OR(NOT(ISNUMBER(F1538)),N(F1538)&lt;0)),"Temps par pièce invalide",IF(N(E1538)+N(F1538)=0,"Temps manquant",IF(AND(G1538&lt;&gt;"",OR(NOT(ISNUMBER(G1538)),N(G1538)&lt;=0)),"Opérateurs invalide","OK"))))))))))</f>
        <v/>
      </c>
      <c r="N1538" s="71" t="str">
        <f>IF(AND(fiche_sel&lt;&gt;"",A1538=fiche_sel),COUNTIF(A$6:A1538,fiche_sel),"")</f>
        <v/>
      </c>
    </row>
    <row r="1539">
      <c r="A1539" s="60" t="n"/>
      <c r="B1539" s="73" t="n"/>
      <c r="C1539" s="60" t="n"/>
      <c r="D1539" s="61" t="n"/>
      <c r="E1539" s="74" t="n"/>
      <c r="F1539" s="74" t="n"/>
      <c r="G1539" s="73" t="n"/>
      <c r="H1539" s="66" t="str">
        <f>IF(M1539&lt;&gt;"OK","",INDEX(po_mo,MATCH(D1539,po_code,0)))</f>
        <v/>
      </c>
      <c r="I1539" s="66" t="str">
        <f>IF(M1539&lt;&gt;"OK","",INDEX(po_mac,MATCH(D1539,po_code,0)))</f>
        <v/>
      </c>
      <c r="J1539" s="66" t="str">
        <f>IF(M1539&lt;&gt;"OK","",N(E1539)*(H1539*IF(G1539="",1,G1539)+I1539))</f>
        <v/>
      </c>
      <c r="K1539" s="66" t="str">
        <f>IF(M1539&lt;&gt;"OK","",N(F1539)/60*H1539*IF(G1539="",1,G1539))</f>
        <v/>
      </c>
      <c r="L1539" s="66" t="str">
        <f>IF(M1539&lt;&gt;"OK","",N(F1539)/60*I1539)</f>
        <v/>
      </c>
      <c r="M1539" s="69" t="str">
        <f>IF(AND(A1539="",D1539=""),"",IF(A1539="","Produit manquant",IF(COUNTIF(prod_ref,A1539)=0,"Produit inconnu",IF(D1539="","Poste manquant",IF(ISNA(MATCH(D1539,po_code,0)),"Poste inconnu",IF(INDEX(po_check,MATCH(D1539,po_code,0))&lt;&gt;"OK","Poste à corriger",IF(AND(E1539&lt;&gt;"",OR(NOT(ISNUMBER(E1539)),N(E1539)&lt;0)),"Réglage invalide",IF(AND(F1539&lt;&gt;"",OR(NOT(ISNUMBER(F1539)),N(F1539)&lt;0)),"Temps par pièce invalide",IF(N(E1539)+N(F1539)=0,"Temps manquant",IF(AND(G1539&lt;&gt;"",OR(NOT(ISNUMBER(G1539)),N(G1539)&lt;=0)),"Opérateurs invalide","OK"))))))))))</f>
        <v/>
      </c>
      <c r="N1539" s="71" t="str">
        <f>IF(AND(fiche_sel&lt;&gt;"",A1539=fiche_sel),COUNTIF(A$6:A1539,fiche_sel),"")</f>
        <v/>
      </c>
    </row>
    <row r="1540">
      <c r="A1540" s="60" t="n"/>
      <c r="B1540" s="73" t="n"/>
      <c r="C1540" s="60" t="n"/>
      <c r="D1540" s="61" t="n"/>
      <c r="E1540" s="74" t="n"/>
      <c r="F1540" s="74" t="n"/>
      <c r="G1540" s="73" t="n"/>
      <c r="H1540" s="66" t="str">
        <f>IF(M1540&lt;&gt;"OK","",INDEX(po_mo,MATCH(D1540,po_code,0)))</f>
        <v/>
      </c>
      <c r="I1540" s="66" t="str">
        <f>IF(M1540&lt;&gt;"OK","",INDEX(po_mac,MATCH(D1540,po_code,0)))</f>
        <v/>
      </c>
      <c r="J1540" s="66" t="str">
        <f>IF(M1540&lt;&gt;"OK","",N(E1540)*(H1540*IF(G1540="",1,G1540)+I1540))</f>
        <v/>
      </c>
      <c r="K1540" s="66" t="str">
        <f>IF(M1540&lt;&gt;"OK","",N(F1540)/60*H1540*IF(G1540="",1,G1540))</f>
        <v/>
      </c>
      <c r="L1540" s="66" t="str">
        <f>IF(M1540&lt;&gt;"OK","",N(F1540)/60*I1540)</f>
        <v/>
      </c>
      <c r="M1540" s="69" t="str">
        <f>IF(AND(A1540="",D1540=""),"",IF(A1540="","Produit manquant",IF(COUNTIF(prod_ref,A1540)=0,"Produit inconnu",IF(D1540="","Poste manquant",IF(ISNA(MATCH(D1540,po_code,0)),"Poste inconnu",IF(INDEX(po_check,MATCH(D1540,po_code,0))&lt;&gt;"OK","Poste à corriger",IF(AND(E1540&lt;&gt;"",OR(NOT(ISNUMBER(E1540)),N(E1540)&lt;0)),"Réglage invalide",IF(AND(F1540&lt;&gt;"",OR(NOT(ISNUMBER(F1540)),N(F1540)&lt;0)),"Temps par pièce invalide",IF(N(E1540)+N(F1540)=0,"Temps manquant",IF(AND(G1540&lt;&gt;"",OR(NOT(ISNUMBER(G1540)),N(G1540)&lt;=0)),"Opérateurs invalide","OK"))))))))))</f>
        <v/>
      </c>
      <c r="N1540" s="71" t="str">
        <f>IF(AND(fiche_sel&lt;&gt;"",A1540=fiche_sel),COUNTIF(A$6:A1540,fiche_sel),"")</f>
        <v/>
      </c>
    </row>
    <row r="1541">
      <c r="A1541" s="60" t="n"/>
      <c r="B1541" s="73" t="n"/>
      <c r="C1541" s="60" t="n"/>
      <c r="D1541" s="61" t="n"/>
      <c r="E1541" s="74" t="n"/>
      <c r="F1541" s="74" t="n"/>
      <c r="G1541" s="73" t="n"/>
      <c r="H1541" s="66" t="str">
        <f>IF(M1541&lt;&gt;"OK","",INDEX(po_mo,MATCH(D1541,po_code,0)))</f>
        <v/>
      </c>
      <c r="I1541" s="66" t="str">
        <f>IF(M1541&lt;&gt;"OK","",INDEX(po_mac,MATCH(D1541,po_code,0)))</f>
        <v/>
      </c>
      <c r="J1541" s="66" t="str">
        <f>IF(M1541&lt;&gt;"OK","",N(E1541)*(H1541*IF(G1541="",1,G1541)+I1541))</f>
        <v/>
      </c>
      <c r="K1541" s="66" t="str">
        <f>IF(M1541&lt;&gt;"OK","",N(F1541)/60*H1541*IF(G1541="",1,G1541))</f>
        <v/>
      </c>
      <c r="L1541" s="66" t="str">
        <f>IF(M1541&lt;&gt;"OK","",N(F1541)/60*I1541)</f>
        <v/>
      </c>
      <c r="M1541" s="69" t="str">
        <f>IF(AND(A1541="",D1541=""),"",IF(A1541="","Produit manquant",IF(COUNTIF(prod_ref,A1541)=0,"Produit inconnu",IF(D1541="","Poste manquant",IF(ISNA(MATCH(D1541,po_code,0)),"Poste inconnu",IF(INDEX(po_check,MATCH(D1541,po_code,0))&lt;&gt;"OK","Poste à corriger",IF(AND(E1541&lt;&gt;"",OR(NOT(ISNUMBER(E1541)),N(E1541)&lt;0)),"Réglage invalide",IF(AND(F1541&lt;&gt;"",OR(NOT(ISNUMBER(F1541)),N(F1541)&lt;0)),"Temps par pièce invalide",IF(N(E1541)+N(F1541)=0,"Temps manquant",IF(AND(G1541&lt;&gt;"",OR(NOT(ISNUMBER(G1541)),N(G1541)&lt;=0)),"Opérateurs invalide","OK"))))))))))</f>
        <v/>
      </c>
      <c r="N1541" s="71" t="str">
        <f>IF(AND(fiche_sel&lt;&gt;"",A1541=fiche_sel),COUNTIF(A$6:A1541,fiche_sel),"")</f>
        <v/>
      </c>
    </row>
    <row r="1542">
      <c r="A1542" s="60" t="n"/>
      <c r="B1542" s="73" t="n"/>
      <c r="C1542" s="60" t="n"/>
      <c r="D1542" s="61" t="n"/>
      <c r="E1542" s="74" t="n"/>
      <c r="F1542" s="74" t="n"/>
      <c r="G1542" s="73" t="n"/>
      <c r="H1542" s="66" t="str">
        <f>IF(M1542&lt;&gt;"OK","",INDEX(po_mo,MATCH(D1542,po_code,0)))</f>
        <v/>
      </c>
      <c r="I1542" s="66" t="str">
        <f>IF(M1542&lt;&gt;"OK","",INDEX(po_mac,MATCH(D1542,po_code,0)))</f>
        <v/>
      </c>
      <c r="J1542" s="66" t="str">
        <f>IF(M1542&lt;&gt;"OK","",N(E1542)*(H1542*IF(G1542="",1,G1542)+I1542))</f>
        <v/>
      </c>
      <c r="K1542" s="66" t="str">
        <f>IF(M1542&lt;&gt;"OK","",N(F1542)/60*H1542*IF(G1542="",1,G1542))</f>
        <v/>
      </c>
      <c r="L1542" s="66" t="str">
        <f>IF(M1542&lt;&gt;"OK","",N(F1542)/60*I1542)</f>
        <v/>
      </c>
      <c r="M1542" s="69" t="str">
        <f>IF(AND(A1542="",D1542=""),"",IF(A1542="","Produit manquant",IF(COUNTIF(prod_ref,A1542)=0,"Produit inconnu",IF(D1542="","Poste manquant",IF(ISNA(MATCH(D1542,po_code,0)),"Poste inconnu",IF(INDEX(po_check,MATCH(D1542,po_code,0))&lt;&gt;"OK","Poste à corriger",IF(AND(E1542&lt;&gt;"",OR(NOT(ISNUMBER(E1542)),N(E1542)&lt;0)),"Réglage invalide",IF(AND(F1542&lt;&gt;"",OR(NOT(ISNUMBER(F1542)),N(F1542)&lt;0)),"Temps par pièce invalide",IF(N(E1542)+N(F1542)=0,"Temps manquant",IF(AND(G1542&lt;&gt;"",OR(NOT(ISNUMBER(G1542)),N(G1542)&lt;=0)),"Opérateurs invalide","OK"))))))))))</f>
        <v/>
      </c>
      <c r="N1542" s="71" t="str">
        <f>IF(AND(fiche_sel&lt;&gt;"",A1542=fiche_sel),COUNTIF(A$6:A1542,fiche_sel),"")</f>
        <v/>
      </c>
    </row>
    <row r="1543">
      <c r="A1543" s="60" t="n"/>
      <c r="B1543" s="73" t="n"/>
      <c r="C1543" s="60" t="n"/>
      <c r="D1543" s="61" t="n"/>
      <c r="E1543" s="74" t="n"/>
      <c r="F1543" s="74" t="n"/>
      <c r="G1543" s="73" t="n"/>
      <c r="H1543" s="66" t="str">
        <f>IF(M1543&lt;&gt;"OK","",INDEX(po_mo,MATCH(D1543,po_code,0)))</f>
        <v/>
      </c>
      <c r="I1543" s="66" t="str">
        <f>IF(M1543&lt;&gt;"OK","",INDEX(po_mac,MATCH(D1543,po_code,0)))</f>
        <v/>
      </c>
      <c r="J1543" s="66" t="str">
        <f>IF(M1543&lt;&gt;"OK","",N(E1543)*(H1543*IF(G1543="",1,G1543)+I1543))</f>
        <v/>
      </c>
      <c r="K1543" s="66" t="str">
        <f>IF(M1543&lt;&gt;"OK","",N(F1543)/60*H1543*IF(G1543="",1,G1543))</f>
        <v/>
      </c>
      <c r="L1543" s="66" t="str">
        <f>IF(M1543&lt;&gt;"OK","",N(F1543)/60*I1543)</f>
        <v/>
      </c>
      <c r="M1543" s="69" t="str">
        <f>IF(AND(A1543="",D1543=""),"",IF(A1543="","Produit manquant",IF(COUNTIF(prod_ref,A1543)=0,"Produit inconnu",IF(D1543="","Poste manquant",IF(ISNA(MATCH(D1543,po_code,0)),"Poste inconnu",IF(INDEX(po_check,MATCH(D1543,po_code,0))&lt;&gt;"OK","Poste à corriger",IF(AND(E1543&lt;&gt;"",OR(NOT(ISNUMBER(E1543)),N(E1543)&lt;0)),"Réglage invalide",IF(AND(F1543&lt;&gt;"",OR(NOT(ISNUMBER(F1543)),N(F1543)&lt;0)),"Temps par pièce invalide",IF(N(E1543)+N(F1543)=0,"Temps manquant",IF(AND(G1543&lt;&gt;"",OR(NOT(ISNUMBER(G1543)),N(G1543)&lt;=0)),"Opérateurs invalide","OK"))))))))))</f>
        <v/>
      </c>
      <c r="N1543" s="71" t="str">
        <f>IF(AND(fiche_sel&lt;&gt;"",A1543=fiche_sel),COUNTIF(A$6:A1543,fiche_sel),"")</f>
        <v/>
      </c>
    </row>
    <row r="1544">
      <c r="A1544" s="60" t="n"/>
      <c r="B1544" s="73" t="n"/>
      <c r="C1544" s="60" t="n"/>
      <c r="D1544" s="61" t="n"/>
      <c r="E1544" s="74" t="n"/>
      <c r="F1544" s="74" t="n"/>
      <c r="G1544" s="73" t="n"/>
      <c r="H1544" s="66" t="str">
        <f>IF(M1544&lt;&gt;"OK","",INDEX(po_mo,MATCH(D1544,po_code,0)))</f>
        <v/>
      </c>
      <c r="I1544" s="66" t="str">
        <f>IF(M1544&lt;&gt;"OK","",INDEX(po_mac,MATCH(D1544,po_code,0)))</f>
        <v/>
      </c>
      <c r="J1544" s="66" t="str">
        <f>IF(M1544&lt;&gt;"OK","",N(E1544)*(H1544*IF(G1544="",1,G1544)+I1544))</f>
        <v/>
      </c>
      <c r="K1544" s="66" t="str">
        <f>IF(M1544&lt;&gt;"OK","",N(F1544)/60*H1544*IF(G1544="",1,G1544))</f>
        <v/>
      </c>
      <c r="L1544" s="66" t="str">
        <f>IF(M1544&lt;&gt;"OK","",N(F1544)/60*I1544)</f>
        <v/>
      </c>
      <c r="M1544" s="69" t="str">
        <f>IF(AND(A1544="",D1544=""),"",IF(A1544="","Produit manquant",IF(COUNTIF(prod_ref,A1544)=0,"Produit inconnu",IF(D1544="","Poste manquant",IF(ISNA(MATCH(D1544,po_code,0)),"Poste inconnu",IF(INDEX(po_check,MATCH(D1544,po_code,0))&lt;&gt;"OK","Poste à corriger",IF(AND(E1544&lt;&gt;"",OR(NOT(ISNUMBER(E1544)),N(E1544)&lt;0)),"Réglage invalide",IF(AND(F1544&lt;&gt;"",OR(NOT(ISNUMBER(F1544)),N(F1544)&lt;0)),"Temps par pièce invalide",IF(N(E1544)+N(F1544)=0,"Temps manquant",IF(AND(G1544&lt;&gt;"",OR(NOT(ISNUMBER(G1544)),N(G1544)&lt;=0)),"Opérateurs invalide","OK"))))))))))</f>
        <v/>
      </c>
      <c r="N1544" s="71" t="str">
        <f>IF(AND(fiche_sel&lt;&gt;"",A1544=fiche_sel),COUNTIF(A$6:A1544,fiche_sel),"")</f>
        <v/>
      </c>
    </row>
    <row r="1545">
      <c r="A1545" s="60" t="n"/>
      <c r="B1545" s="73" t="n"/>
      <c r="C1545" s="60" t="n"/>
      <c r="D1545" s="61" t="n"/>
      <c r="E1545" s="74" t="n"/>
      <c r="F1545" s="74" t="n"/>
      <c r="G1545" s="73" t="n"/>
      <c r="H1545" s="66" t="str">
        <f>IF(M1545&lt;&gt;"OK","",INDEX(po_mo,MATCH(D1545,po_code,0)))</f>
        <v/>
      </c>
      <c r="I1545" s="66" t="str">
        <f>IF(M1545&lt;&gt;"OK","",INDEX(po_mac,MATCH(D1545,po_code,0)))</f>
        <v/>
      </c>
      <c r="J1545" s="66" t="str">
        <f>IF(M1545&lt;&gt;"OK","",N(E1545)*(H1545*IF(G1545="",1,G1545)+I1545))</f>
        <v/>
      </c>
      <c r="K1545" s="66" t="str">
        <f>IF(M1545&lt;&gt;"OK","",N(F1545)/60*H1545*IF(G1545="",1,G1545))</f>
        <v/>
      </c>
      <c r="L1545" s="66" t="str">
        <f>IF(M1545&lt;&gt;"OK","",N(F1545)/60*I1545)</f>
        <v/>
      </c>
      <c r="M1545" s="69" t="str">
        <f>IF(AND(A1545="",D1545=""),"",IF(A1545="","Produit manquant",IF(COUNTIF(prod_ref,A1545)=0,"Produit inconnu",IF(D1545="","Poste manquant",IF(ISNA(MATCH(D1545,po_code,0)),"Poste inconnu",IF(INDEX(po_check,MATCH(D1545,po_code,0))&lt;&gt;"OK","Poste à corriger",IF(AND(E1545&lt;&gt;"",OR(NOT(ISNUMBER(E1545)),N(E1545)&lt;0)),"Réglage invalide",IF(AND(F1545&lt;&gt;"",OR(NOT(ISNUMBER(F1545)),N(F1545)&lt;0)),"Temps par pièce invalide",IF(N(E1545)+N(F1545)=0,"Temps manquant",IF(AND(G1545&lt;&gt;"",OR(NOT(ISNUMBER(G1545)),N(G1545)&lt;=0)),"Opérateurs invalide","OK"))))))))))</f>
        <v/>
      </c>
      <c r="N1545" s="71" t="str">
        <f>IF(AND(fiche_sel&lt;&gt;"",A1545=fiche_sel),COUNTIF(A$6:A1545,fiche_sel),"")</f>
        <v/>
      </c>
    </row>
    <row r="1546">
      <c r="A1546" s="60" t="n"/>
      <c r="B1546" s="73" t="n"/>
      <c r="C1546" s="60" t="n"/>
      <c r="D1546" s="61" t="n"/>
      <c r="E1546" s="74" t="n"/>
      <c r="F1546" s="74" t="n"/>
      <c r="G1546" s="73" t="n"/>
      <c r="H1546" s="66" t="str">
        <f>IF(M1546&lt;&gt;"OK","",INDEX(po_mo,MATCH(D1546,po_code,0)))</f>
        <v/>
      </c>
      <c r="I1546" s="66" t="str">
        <f>IF(M1546&lt;&gt;"OK","",INDEX(po_mac,MATCH(D1546,po_code,0)))</f>
        <v/>
      </c>
      <c r="J1546" s="66" t="str">
        <f>IF(M1546&lt;&gt;"OK","",N(E1546)*(H1546*IF(G1546="",1,G1546)+I1546))</f>
        <v/>
      </c>
      <c r="K1546" s="66" t="str">
        <f>IF(M1546&lt;&gt;"OK","",N(F1546)/60*H1546*IF(G1546="",1,G1546))</f>
        <v/>
      </c>
      <c r="L1546" s="66" t="str">
        <f>IF(M1546&lt;&gt;"OK","",N(F1546)/60*I1546)</f>
        <v/>
      </c>
      <c r="M1546" s="69" t="str">
        <f>IF(AND(A1546="",D1546=""),"",IF(A1546="","Produit manquant",IF(COUNTIF(prod_ref,A1546)=0,"Produit inconnu",IF(D1546="","Poste manquant",IF(ISNA(MATCH(D1546,po_code,0)),"Poste inconnu",IF(INDEX(po_check,MATCH(D1546,po_code,0))&lt;&gt;"OK","Poste à corriger",IF(AND(E1546&lt;&gt;"",OR(NOT(ISNUMBER(E1546)),N(E1546)&lt;0)),"Réglage invalide",IF(AND(F1546&lt;&gt;"",OR(NOT(ISNUMBER(F1546)),N(F1546)&lt;0)),"Temps par pièce invalide",IF(N(E1546)+N(F1546)=0,"Temps manquant",IF(AND(G1546&lt;&gt;"",OR(NOT(ISNUMBER(G1546)),N(G1546)&lt;=0)),"Opérateurs invalide","OK"))))))))))</f>
        <v/>
      </c>
      <c r="N1546" s="71" t="str">
        <f>IF(AND(fiche_sel&lt;&gt;"",A1546=fiche_sel),COUNTIF(A$6:A1546,fiche_sel),"")</f>
        <v/>
      </c>
    </row>
    <row r="1547">
      <c r="A1547" s="60" t="n"/>
      <c r="B1547" s="73" t="n"/>
      <c r="C1547" s="60" t="n"/>
      <c r="D1547" s="61" t="n"/>
      <c r="E1547" s="74" t="n"/>
      <c r="F1547" s="74" t="n"/>
      <c r="G1547" s="73" t="n"/>
      <c r="H1547" s="66" t="str">
        <f>IF(M1547&lt;&gt;"OK","",INDEX(po_mo,MATCH(D1547,po_code,0)))</f>
        <v/>
      </c>
      <c r="I1547" s="66" t="str">
        <f>IF(M1547&lt;&gt;"OK","",INDEX(po_mac,MATCH(D1547,po_code,0)))</f>
        <v/>
      </c>
      <c r="J1547" s="66" t="str">
        <f>IF(M1547&lt;&gt;"OK","",N(E1547)*(H1547*IF(G1547="",1,G1547)+I1547))</f>
        <v/>
      </c>
      <c r="K1547" s="66" t="str">
        <f>IF(M1547&lt;&gt;"OK","",N(F1547)/60*H1547*IF(G1547="",1,G1547))</f>
        <v/>
      </c>
      <c r="L1547" s="66" t="str">
        <f>IF(M1547&lt;&gt;"OK","",N(F1547)/60*I1547)</f>
        <v/>
      </c>
      <c r="M1547" s="69" t="str">
        <f>IF(AND(A1547="",D1547=""),"",IF(A1547="","Produit manquant",IF(COUNTIF(prod_ref,A1547)=0,"Produit inconnu",IF(D1547="","Poste manquant",IF(ISNA(MATCH(D1547,po_code,0)),"Poste inconnu",IF(INDEX(po_check,MATCH(D1547,po_code,0))&lt;&gt;"OK","Poste à corriger",IF(AND(E1547&lt;&gt;"",OR(NOT(ISNUMBER(E1547)),N(E1547)&lt;0)),"Réglage invalide",IF(AND(F1547&lt;&gt;"",OR(NOT(ISNUMBER(F1547)),N(F1547)&lt;0)),"Temps par pièce invalide",IF(N(E1547)+N(F1547)=0,"Temps manquant",IF(AND(G1547&lt;&gt;"",OR(NOT(ISNUMBER(G1547)),N(G1547)&lt;=0)),"Opérateurs invalide","OK"))))))))))</f>
        <v/>
      </c>
      <c r="N1547" s="71" t="str">
        <f>IF(AND(fiche_sel&lt;&gt;"",A1547=fiche_sel),COUNTIF(A$6:A1547,fiche_sel),"")</f>
        <v/>
      </c>
    </row>
    <row r="1548">
      <c r="A1548" s="60" t="n"/>
      <c r="B1548" s="73" t="n"/>
      <c r="C1548" s="60" t="n"/>
      <c r="D1548" s="61" t="n"/>
      <c r="E1548" s="74" t="n"/>
      <c r="F1548" s="74" t="n"/>
      <c r="G1548" s="73" t="n"/>
      <c r="H1548" s="66" t="str">
        <f>IF(M1548&lt;&gt;"OK","",INDEX(po_mo,MATCH(D1548,po_code,0)))</f>
        <v/>
      </c>
      <c r="I1548" s="66" t="str">
        <f>IF(M1548&lt;&gt;"OK","",INDEX(po_mac,MATCH(D1548,po_code,0)))</f>
        <v/>
      </c>
      <c r="J1548" s="66" t="str">
        <f>IF(M1548&lt;&gt;"OK","",N(E1548)*(H1548*IF(G1548="",1,G1548)+I1548))</f>
        <v/>
      </c>
      <c r="K1548" s="66" t="str">
        <f>IF(M1548&lt;&gt;"OK","",N(F1548)/60*H1548*IF(G1548="",1,G1548))</f>
        <v/>
      </c>
      <c r="L1548" s="66" t="str">
        <f>IF(M1548&lt;&gt;"OK","",N(F1548)/60*I1548)</f>
        <v/>
      </c>
      <c r="M1548" s="69" t="str">
        <f>IF(AND(A1548="",D1548=""),"",IF(A1548="","Produit manquant",IF(COUNTIF(prod_ref,A1548)=0,"Produit inconnu",IF(D1548="","Poste manquant",IF(ISNA(MATCH(D1548,po_code,0)),"Poste inconnu",IF(INDEX(po_check,MATCH(D1548,po_code,0))&lt;&gt;"OK","Poste à corriger",IF(AND(E1548&lt;&gt;"",OR(NOT(ISNUMBER(E1548)),N(E1548)&lt;0)),"Réglage invalide",IF(AND(F1548&lt;&gt;"",OR(NOT(ISNUMBER(F1548)),N(F1548)&lt;0)),"Temps par pièce invalide",IF(N(E1548)+N(F1548)=0,"Temps manquant",IF(AND(G1548&lt;&gt;"",OR(NOT(ISNUMBER(G1548)),N(G1548)&lt;=0)),"Opérateurs invalide","OK"))))))))))</f>
        <v/>
      </c>
      <c r="N1548" s="71" t="str">
        <f>IF(AND(fiche_sel&lt;&gt;"",A1548=fiche_sel),COUNTIF(A$6:A1548,fiche_sel),"")</f>
        <v/>
      </c>
    </row>
    <row r="1549">
      <c r="A1549" s="60" t="n"/>
      <c r="B1549" s="73" t="n"/>
      <c r="C1549" s="60" t="n"/>
      <c r="D1549" s="61" t="n"/>
      <c r="E1549" s="74" t="n"/>
      <c r="F1549" s="74" t="n"/>
      <c r="G1549" s="73" t="n"/>
      <c r="H1549" s="66" t="str">
        <f>IF(M1549&lt;&gt;"OK","",INDEX(po_mo,MATCH(D1549,po_code,0)))</f>
        <v/>
      </c>
      <c r="I1549" s="66" t="str">
        <f>IF(M1549&lt;&gt;"OK","",INDEX(po_mac,MATCH(D1549,po_code,0)))</f>
        <v/>
      </c>
      <c r="J1549" s="66" t="str">
        <f>IF(M1549&lt;&gt;"OK","",N(E1549)*(H1549*IF(G1549="",1,G1549)+I1549))</f>
        <v/>
      </c>
      <c r="K1549" s="66" t="str">
        <f>IF(M1549&lt;&gt;"OK","",N(F1549)/60*H1549*IF(G1549="",1,G1549))</f>
        <v/>
      </c>
      <c r="L1549" s="66" t="str">
        <f>IF(M1549&lt;&gt;"OK","",N(F1549)/60*I1549)</f>
        <v/>
      </c>
      <c r="M1549" s="69" t="str">
        <f>IF(AND(A1549="",D1549=""),"",IF(A1549="","Produit manquant",IF(COUNTIF(prod_ref,A1549)=0,"Produit inconnu",IF(D1549="","Poste manquant",IF(ISNA(MATCH(D1549,po_code,0)),"Poste inconnu",IF(INDEX(po_check,MATCH(D1549,po_code,0))&lt;&gt;"OK","Poste à corriger",IF(AND(E1549&lt;&gt;"",OR(NOT(ISNUMBER(E1549)),N(E1549)&lt;0)),"Réglage invalide",IF(AND(F1549&lt;&gt;"",OR(NOT(ISNUMBER(F1549)),N(F1549)&lt;0)),"Temps par pièce invalide",IF(N(E1549)+N(F1549)=0,"Temps manquant",IF(AND(G1549&lt;&gt;"",OR(NOT(ISNUMBER(G1549)),N(G1549)&lt;=0)),"Opérateurs invalide","OK"))))))))))</f>
        <v/>
      </c>
      <c r="N1549" s="71" t="str">
        <f>IF(AND(fiche_sel&lt;&gt;"",A1549=fiche_sel),COUNTIF(A$6:A1549,fiche_sel),"")</f>
        <v/>
      </c>
    </row>
    <row r="1550">
      <c r="A1550" s="60" t="n"/>
      <c r="B1550" s="73" t="n"/>
      <c r="C1550" s="60" t="n"/>
      <c r="D1550" s="61" t="n"/>
      <c r="E1550" s="74" t="n"/>
      <c r="F1550" s="74" t="n"/>
      <c r="G1550" s="73" t="n"/>
      <c r="H1550" s="66" t="str">
        <f>IF(M1550&lt;&gt;"OK","",INDEX(po_mo,MATCH(D1550,po_code,0)))</f>
        <v/>
      </c>
      <c r="I1550" s="66" t="str">
        <f>IF(M1550&lt;&gt;"OK","",INDEX(po_mac,MATCH(D1550,po_code,0)))</f>
        <v/>
      </c>
      <c r="J1550" s="66" t="str">
        <f>IF(M1550&lt;&gt;"OK","",N(E1550)*(H1550*IF(G1550="",1,G1550)+I1550))</f>
        <v/>
      </c>
      <c r="K1550" s="66" t="str">
        <f>IF(M1550&lt;&gt;"OK","",N(F1550)/60*H1550*IF(G1550="",1,G1550))</f>
        <v/>
      </c>
      <c r="L1550" s="66" t="str">
        <f>IF(M1550&lt;&gt;"OK","",N(F1550)/60*I1550)</f>
        <v/>
      </c>
      <c r="M1550" s="69" t="str">
        <f>IF(AND(A1550="",D1550=""),"",IF(A1550="","Produit manquant",IF(COUNTIF(prod_ref,A1550)=0,"Produit inconnu",IF(D1550="","Poste manquant",IF(ISNA(MATCH(D1550,po_code,0)),"Poste inconnu",IF(INDEX(po_check,MATCH(D1550,po_code,0))&lt;&gt;"OK","Poste à corriger",IF(AND(E1550&lt;&gt;"",OR(NOT(ISNUMBER(E1550)),N(E1550)&lt;0)),"Réglage invalide",IF(AND(F1550&lt;&gt;"",OR(NOT(ISNUMBER(F1550)),N(F1550)&lt;0)),"Temps par pièce invalide",IF(N(E1550)+N(F1550)=0,"Temps manquant",IF(AND(G1550&lt;&gt;"",OR(NOT(ISNUMBER(G1550)),N(G1550)&lt;=0)),"Opérateurs invalide","OK"))))))))))</f>
        <v/>
      </c>
      <c r="N1550" s="71" t="str">
        <f>IF(AND(fiche_sel&lt;&gt;"",A1550=fiche_sel),COUNTIF(A$6:A1550,fiche_sel),"")</f>
        <v/>
      </c>
    </row>
    <row r="1551">
      <c r="A1551" s="60" t="n"/>
      <c r="B1551" s="73" t="n"/>
      <c r="C1551" s="60" t="n"/>
      <c r="D1551" s="61" t="n"/>
      <c r="E1551" s="74" t="n"/>
      <c r="F1551" s="74" t="n"/>
      <c r="G1551" s="73" t="n"/>
      <c r="H1551" s="66" t="str">
        <f>IF(M1551&lt;&gt;"OK","",INDEX(po_mo,MATCH(D1551,po_code,0)))</f>
        <v/>
      </c>
      <c r="I1551" s="66" t="str">
        <f>IF(M1551&lt;&gt;"OK","",INDEX(po_mac,MATCH(D1551,po_code,0)))</f>
        <v/>
      </c>
      <c r="J1551" s="66" t="str">
        <f>IF(M1551&lt;&gt;"OK","",N(E1551)*(H1551*IF(G1551="",1,G1551)+I1551))</f>
        <v/>
      </c>
      <c r="K1551" s="66" t="str">
        <f>IF(M1551&lt;&gt;"OK","",N(F1551)/60*H1551*IF(G1551="",1,G1551))</f>
        <v/>
      </c>
      <c r="L1551" s="66" t="str">
        <f>IF(M1551&lt;&gt;"OK","",N(F1551)/60*I1551)</f>
        <v/>
      </c>
      <c r="M1551" s="69" t="str">
        <f>IF(AND(A1551="",D1551=""),"",IF(A1551="","Produit manquant",IF(COUNTIF(prod_ref,A1551)=0,"Produit inconnu",IF(D1551="","Poste manquant",IF(ISNA(MATCH(D1551,po_code,0)),"Poste inconnu",IF(INDEX(po_check,MATCH(D1551,po_code,0))&lt;&gt;"OK","Poste à corriger",IF(AND(E1551&lt;&gt;"",OR(NOT(ISNUMBER(E1551)),N(E1551)&lt;0)),"Réglage invalide",IF(AND(F1551&lt;&gt;"",OR(NOT(ISNUMBER(F1551)),N(F1551)&lt;0)),"Temps par pièce invalide",IF(N(E1551)+N(F1551)=0,"Temps manquant",IF(AND(G1551&lt;&gt;"",OR(NOT(ISNUMBER(G1551)),N(G1551)&lt;=0)),"Opérateurs invalide","OK"))))))))))</f>
        <v/>
      </c>
      <c r="N1551" s="71" t="str">
        <f>IF(AND(fiche_sel&lt;&gt;"",A1551=fiche_sel),COUNTIF(A$6:A1551,fiche_sel),"")</f>
        <v/>
      </c>
    </row>
    <row r="1552">
      <c r="A1552" s="60" t="n"/>
      <c r="B1552" s="73" t="n"/>
      <c r="C1552" s="60" t="n"/>
      <c r="D1552" s="61" t="n"/>
      <c r="E1552" s="74" t="n"/>
      <c r="F1552" s="74" t="n"/>
      <c r="G1552" s="73" t="n"/>
      <c r="H1552" s="66" t="str">
        <f>IF(M1552&lt;&gt;"OK","",INDEX(po_mo,MATCH(D1552,po_code,0)))</f>
        <v/>
      </c>
      <c r="I1552" s="66" t="str">
        <f>IF(M1552&lt;&gt;"OK","",INDEX(po_mac,MATCH(D1552,po_code,0)))</f>
        <v/>
      </c>
      <c r="J1552" s="66" t="str">
        <f>IF(M1552&lt;&gt;"OK","",N(E1552)*(H1552*IF(G1552="",1,G1552)+I1552))</f>
        <v/>
      </c>
      <c r="K1552" s="66" t="str">
        <f>IF(M1552&lt;&gt;"OK","",N(F1552)/60*H1552*IF(G1552="",1,G1552))</f>
        <v/>
      </c>
      <c r="L1552" s="66" t="str">
        <f>IF(M1552&lt;&gt;"OK","",N(F1552)/60*I1552)</f>
        <v/>
      </c>
      <c r="M1552" s="69" t="str">
        <f>IF(AND(A1552="",D1552=""),"",IF(A1552="","Produit manquant",IF(COUNTIF(prod_ref,A1552)=0,"Produit inconnu",IF(D1552="","Poste manquant",IF(ISNA(MATCH(D1552,po_code,0)),"Poste inconnu",IF(INDEX(po_check,MATCH(D1552,po_code,0))&lt;&gt;"OK","Poste à corriger",IF(AND(E1552&lt;&gt;"",OR(NOT(ISNUMBER(E1552)),N(E1552)&lt;0)),"Réglage invalide",IF(AND(F1552&lt;&gt;"",OR(NOT(ISNUMBER(F1552)),N(F1552)&lt;0)),"Temps par pièce invalide",IF(N(E1552)+N(F1552)=0,"Temps manquant",IF(AND(G1552&lt;&gt;"",OR(NOT(ISNUMBER(G1552)),N(G1552)&lt;=0)),"Opérateurs invalide","OK"))))))))))</f>
        <v/>
      </c>
      <c r="N1552" s="71" t="str">
        <f>IF(AND(fiche_sel&lt;&gt;"",A1552=fiche_sel),COUNTIF(A$6:A1552,fiche_sel),"")</f>
        <v/>
      </c>
    </row>
    <row r="1553">
      <c r="A1553" s="60" t="n"/>
      <c r="B1553" s="73" t="n"/>
      <c r="C1553" s="60" t="n"/>
      <c r="D1553" s="61" t="n"/>
      <c r="E1553" s="74" t="n"/>
      <c r="F1553" s="74" t="n"/>
      <c r="G1553" s="73" t="n"/>
      <c r="H1553" s="66" t="str">
        <f>IF(M1553&lt;&gt;"OK","",INDEX(po_mo,MATCH(D1553,po_code,0)))</f>
        <v/>
      </c>
      <c r="I1553" s="66" t="str">
        <f>IF(M1553&lt;&gt;"OK","",INDEX(po_mac,MATCH(D1553,po_code,0)))</f>
        <v/>
      </c>
      <c r="J1553" s="66" t="str">
        <f>IF(M1553&lt;&gt;"OK","",N(E1553)*(H1553*IF(G1553="",1,G1553)+I1553))</f>
        <v/>
      </c>
      <c r="K1553" s="66" t="str">
        <f>IF(M1553&lt;&gt;"OK","",N(F1553)/60*H1553*IF(G1553="",1,G1553))</f>
        <v/>
      </c>
      <c r="L1553" s="66" t="str">
        <f>IF(M1553&lt;&gt;"OK","",N(F1553)/60*I1553)</f>
        <v/>
      </c>
      <c r="M1553" s="69" t="str">
        <f>IF(AND(A1553="",D1553=""),"",IF(A1553="","Produit manquant",IF(COUNTIF(prod_ref,A1553)=0,"Produit inconnu",IF(D1553="","Poste manquant",IF(ISNA(MATCH(D1553,po_code,0)),"Poste inconnu",IF(INDEX(po_check,MATCH(D1553,po_code,0))&lt;&gt;"OK","Poste à corriger",IF(AND(E1553&lt;&gt;"",OR(NOT(ISNUMBER(E1553)),N(E1553)&lt;0)),"Réglage invalide",IF(AND(F1553&lt;&gt;"",OR(NOT(ISNUMBER(F1553)),N(F1553)&lt;0)),"Temps par pièce invalide",IF(N(E1553)+N(F1553)=0,"Temps manquant",IF(AND(G1553&lt;&gt;"",OR(NOT(ISNUMBER(G1553)),N(G1553)&lt;=0)),"Opérateurs invalide","OK"))))))))))</f>
        <v/>
      </c>
      <c r="N1553" s="71" t="str">
        <f>IF(AND(fiche_sel&lt;&gt;"",A1553=fiche_sel),COUNTIF(A$6:A1553,fiche_sel),"")</f>
        <v/>
      </c>
    </row>
    <row r="1554">
      <c r="A1554" s="60" t="n"/>
      <c r="B1554" s="73" t="n"/>
      <c r="C1554" s="60" t="n"/>
      <c r="D1554" s="61" t="n"/>
      <c r="E1554" s="74" t="n"/>
      <c r="F1554" s="74" t="n"/>
      <c r="G1554" s="73" t="n"/>
      <c r="H1554" s="66" t="str">
        <f>IF(M1554&lt;&gt;"OK","",INDEX(po_mo,MATCH(D1554,po_code,0)))</f>
        <v/>
      </c>
      <c r="I1554" s="66" t="str">
        <f>IF(M1554&lt;&gt;"OK","",INDEX(po_mac,MATCH(D1554,po_code,0)))</f>
        <v/>
      </c>
      <c r="J1554" s="66" t="str">
        <f>IF(M1554&lt;&gt;"OK","",N(E1554)*(H1554*IF(G1554="",1,G1554)+I1554))</f>
        <v/>
      </c>
      <c r="K1554" s="66" t="str">
        <f>IF(M1554&lt;&gt;"OK","",N(F1554)/60*H1554*IF(G1554="",1,G1554))</f>
        <v/>
      </c>
      <c r="L1554" s="66" t="str">
        <f>IF(M1554&lt;&gt;"OK","",N(F1554)/60*I1554)</f>
        <v/>
      </c>
      <c r="M1554" s="69" t="str">
        <f>IF(AND(A1554="",D1554=""),"",IF(A1554="","Produit manquant",IF(COUNTIF(prod_ref,A1554)=0,"Produit inconnu",IF(D1554="","Poste manquant",IF(ISNA(MATCH(D1554,po_code,0)),"Poste inconnu",IF(INDEX(po_check,MATCH(D1554,po_code,0))&lt;&gt;"OK","Poste à corriger",IF(AND(E1554&lt;&gt;"",OR(NOT(ISNUMBER(E1554)),N(E1554)&lt;0)),"Réglage invalide",IF(AND(F1554&lt;&gt;"",OR(NOT(ISNUMBER(F1554)),N(F1554)&lt;0)),"Temps par pièce invalide",IF(N(E1554)+N(F1554)=0,"Temps manquant",IF(AND(G1554&lt;&gt;"",OR(NOT(ISNUMBER(G1554)),N(G1554)&lt;=0)),"Opérateurs invalide","OK"))))))))))</f>
        <v/>
      </c>
      <c r="N1554" s="71" t="str">
        <f>IF(AND(fiche_sel&lt;&gt;"",A1554=fiche_sel),COUNTIF(A$6:A1554,fiche_sel),"")</f>
        <v/>
      </c>
    </row>
    <row r="1555">
      <c r="A1555" s="60" t="n"/>
      <c r="B1555" s="73" t="n"/>
      <c r="C1555" s="60" t="n"/>
      <c r="D1555" s="61" t="n"/>
      <c r="E1555" s="74" t="n"/>
      <c r="F1555" s="74" t="n"/>
      <c r="G1555" s="73" t="n"/>
      <c r="H1555" s="66" t="str">
        <f>IF(M1555&lt;&gt;"OK","",INDEX(po_mo,MATCH(D1555,po_code,0)))</f>
        <v/>
      </c>
      <c r="I1555" s="66" t="str">
        <f>IF(M1555&lt;&gt;"OK","",INDEX(po_mac,MATCH(D1555,po_code,0)))</f>
        <v/>
      </c>
      <c r="J1555" s="66" t="str">
        <f>IF(M1555&lt;&gt;"OK","",N(E1555)*(H1555*IF(G1555="",1,G1555)+I1555))</f>
        <v/>
      </c>
      <c r="K1555" s="66" t="str">
        <f>IF(M1555&lt;&gt;"OK","",N(F1555)/60*H1555*IF(G1555="",1,G1555))</f>
        <v/>
      </c>
      <c r="L1555" s="66" t="str">
        <f>IF(M1555&lt;&gt;"OK","",N(F1555)/60*I1555)</f>
        <v/>
      </c>
      <c r="M1555" s="69" t="str">
        <f>IF(AND(A1555="",D1555=""),"",IF(A1555="","Produit manquant",IF(COUNTIF(prod_ref,A1555)=0,"Produit inconnu",IF(D1555="","Poste manquant",IF(ISNA(MATCH(D1555,po_code,0)),"Poste inconnu",IF(INDEX(po_check,MATCH(D1555,po_code,0))&lt;&gt;"OK","Poste à corriger",IF(AND(E1555&lt;&gt;"",OR(NOT(ISNUMBER(E1555)),N(E1555)&lt;0)),"Réglage invalide",IF(AND(F1555&lt;&gt;"",OR(NOT(ISNUMBER(F1555)),N(F1555)&lt;0)),"Temps par pièce invalide",IF(N(E1555)+N(F1555)=0,"Temps manquant",IF(AND(G1555&lt;&gt;"",OR(NOT(ISNUMBER(G1555)),N(G1555)&lt;=0)),"Opérateurs invalide","OK"))))))))))</f>
        <v/>
      </c>
      <c r="N1555" s="71" t="str">
        <f>IF(AND(fiche_sel&lt;&gt;"",A1555=fiche_sel),COUNTIF(A$6:A1555,fiche_sel),"")</f>
        <v/>
      </c>
    </row>
    <row r="1556">
      <c r="A1556" s="60" t="n"/>
      <c r="B1556" s="73" t="n"/>
      <c r="C1556" s="60" t="n"/>
      <c r="D1556" s="61" t="n"/>
      <c r="E1556" s="74" t="n"/>
      <c r="F1556" s="74" t="n"/>
      <c r="G1556" s="73" t="n"/>
      <c r="H1556" s="66" t="str">
        <f>IF(M1556&lt;&gt;"OK","",INDEX(po_mo,MATCH(D1556,po_code,0)))</f>
        <v/>
      </c>
      <c r="I1556" s="66" t="str">
        <f>IF(M1556&lt;&gt;"OK","",INDEX(po_mac,MATCH(D1556,po_code,0)))</f>
        <v/>
      </c>
      <c r="J1556" s="66" t="str">
        <f>IF(M1556&lt;&gt;"OK","",N(E1556)*(H1556*IF(G1556="",1,G1556)+I1556))</f>
        <v/>
      </c>
      <c r="K1556" s="66" t="str">
        <f>IF(M1556&lt;&gt;"OK","",N(F1556)/60*H1556*IF(G1556="",1,G1556))</f>
        <v/>
      </c>
      <c r="L1556" s="66" t="str">
        <f>IF(M1556&lt;&gt;"OK","",N(F1556)/60*I1556)</f>
        <v/>
      </c>
      <c r="M1556" s="69" t="str">
        <f>IF(AND(A1556="",D1556=""),"",IF(A1556="","Produit manquant",IF(COUNTIF(prod_ref,A1556)=0,"Produit inconnu",IF(D1556="","Poste manquant",IF(ISNA(MATCH(D1556,po_code,0)),"Poste inconnu",IF(INDEX(po_check,MATCH(D1556,po_code,0))&lt;&gt;"OK","Poste à corriger",IF(AND(E1556&lt;&gt;"",OR(NOT(ISNUMBER(E1556)),N(E1556)&lt;0)),"Réglage invalide",IF(AND(F1556&lt;&gt;"",OR(NOT(ISNUMBER(F1556)),N(F1556)&lt;0)),"Temps par pièce invalide",IF(N(E1556)+N(F1556)=0,"Temps manquant",IF(AND(G1556&lt;&gt;"",OR(NOT(ISNUMBER(G1556)),N(G1556)&lt;=0)),"Opérateurs invalide","OK"))))))))))</f>
        <v/>
      </c>
      <c r="N1556" s="71" t="str">
        <f>IF(AND(fiche_sel&lt;&gt;"",A1556=fiche_sel),COUNTIF(A$6:A1556,fiche_sel),"")</f>
        <v/>
      </c>
    </row>
    <row r="1557">
      <c r="A1557" s="60" t="n"/>
      <c r="B1557" s="73" t="n"/>
      <c r="C1557" s="60" t="n"/>
      <c r="D1557" s="61" t="n"/>
      <c r="E1557" s="74" t="n"/>
      <c r="F1557" s="74" t="n"/>
      <c r="G1557" s="73" t="n"/>
      <c r="H1557" s="66" t="str">
        <f>IF(M1557&lt;&gt;"OK","",INDEX(po_mo,MATCH(D1557,po_code,0)))</f>
        <v/>
      </c>
      <c r="I1557" s="66" t="str">
        <f>IF(M1557&lt;&gt;"OK","",INDEX(po_mac,MATCH(D1557,po_code,0)))</f>
        <v/>
      </c>
      <c r="J1557" s="66" t="str">
        <f>IF(M1557&lt;&gt;"OK","",N(E1557)*(H1557*IF(G1557="",1,G1557)+I1557))</f>
        <v/>
      </c>
      <c r="K1557" s="66" t="str">
        <f>IF(M1557&lt;&gt;"OK","",N(F1557)/60*H1557*IF(G1557="",1,G1557))</f>
        <v/>
      </c>
      <c r="L1557" s="66" t="str">
        <f>IF(M1557&lt;&gt;"OK","",N(F1557)/60*I1557)</f>
        <v/>
      </c>
      <c r="M1557" s="69" t="str">
        <f>IF(AND(A1557="",D1557=""),"",IF(A1557="","Produit manquant",IF(COUNTIF(prod_ref,A1557)=0,"Produit inconnu",IF(D1557="","Poste manquant",IF(ISNA(MATCH(D1557,po_code,0)),"Poste inconnu",IF(INDEX(po_check,MATCH(D1557,po_code,0))&lt;&gt;"OK","Poste à corriger",IF(AND(E1557&lt;&gt;"",OR(NOT(ISNUMBER(E1557)),N(E1557)&lt;0)),"Réglage invalide",IF(AND(F1557&lt;&gt;"",OR(NOT(ISNUMBER(F1557)),N(F1557)&lt;0)),"Temps par pièce invalide",IF(N(E1557)+N(F1557)=0,"Temps manquant",IF(AND(G1557&lt;&gt;"",OR(NOT(ISNUMBER(G1557)),N(G1557)&lt;=0)),"Opérateurs invalide","OK"))))))))))</f>
        <v/>
      </c>
      <c r="N1557" s="71" t="str">
        <f>IF(AND(fiche_sel&lt;&gt;"",A1557=fiche_sel),COUNTIF(A$6:A1557,fiche_sel),"")</f>
        <v/>
      </c>
    </row>
    <row r="1558">
      <c r="A1558" s="60" t="n"/>
      <c r="B1558" s="73" t="n"/>
      <c r="C1558" s="60" t="n"/>
      <c r="D1558" s="61" t="n"/>
      <c r="E1558" s="74" t="n"/>
      <c r="F1558" s="74" t="n"/>
      <c r="G1558" s="73" t="n"/>
      <c r="H1558" s="66" t="str">
        <f>IF(M1558&lt;&gt;"OK","",INDEX(po_mo,MATCH(D1558,po_code,0)))</f>
        <v/>
      </c>
      <c r="I1558" s="66" t="str">
        <f>IF(M1558&lt;&gt;"OK","",INDEX(po_mac,MATCH(D1558,po_code,0)))</f>
        <v/>
      </c>
      <c r="J1558" s="66" t="str">
        <f>IF(M1558&lt;&gt;"OK","",N(E1558)*(H1558*IF(G1558="",1,G1558)+I1558))</f>
        <v/>
      </c>
      <c r="K1558" s="66" t="str">
        <f>IF(M1558&lt;&gt;"OK","",N(F1558)/60*H1558*IF(G1558="",1,G1558))</f>
        <v/>
      </c>
      <c r="L1558" s="66" t="str">
        <f>IF(M1558&lt;&gt;"OK","",N(F1558)/60*I1558)</f>
        <v/>
      </c>
      <c r="M1558" s="69" t="str">
        <f>IF(AND(A1558="",D1558=""),"",IF(A1558="","Produit manquant",IF(COUNTIF(prod_ref,A1558)=0,"Produit inconnu",IF(D1558="","Poste manquant",IF(ISNA(MATCH(D1558,po_code,0)),"Poste inconnu",IF(INDEX(po_check,MATCH(D1558,po_code,0))&lt;&gt;"OK","Poste à corriger",IF(AND(E1558&lt;&gt;"",OR(NOT(ISNUMBER(E1558)),N(E1558)&lt;0)),"Réglage invalide",IF(AND(F1558&lt;&gt;"",OR(NOT(ISNUMBER(F1558)),N(F1558)&lt;0)),"Temps par pièce invalide",IF(N(E1558)+N(F1558)=0,"Temps manquant",IF(AND(G1558&lt;&gt;"",OR(NOT(ISNUMBER(G1558)),N(G1558)&lt;=0)),"Opérateurs invalide","OK"))))))))))</f>
        <v/>
      </c>
      <c r="N1558" s="71" t="str">
        <f>IF(AND(fiche_sel&lt;&gt;"",A1558=fiche_sel),COUNTIF(A$6:A1558,fiche_sel),"")</f>
        <v/>
      </c>
    </row>
    <row r="1559">
      <c r="A1559" s="60" t="n"/>
      <c r="B1559" s="73" t="n"/>
      <c r="C1559" s="60" t="n"/>
      <c r="D1559" s="61" t="n"/>
      <c r="E1559" s="74" t="n"/>
      <c r="F1559" s="74" t="n"/>
      <c r="G1559" s="73" t="n"/>
      <c r="H1559" s="66" t="str">
        <f>IF(M1559&lt;&gt;"OK","",INDEX(po_mo,MATCH(D1559,po_code,0)))</f>
        <v/>
      </c>
      <c r="I1559" s="66" t="str">
        <f>IF(M1559&lt;&gt;"OK","",INDEX(po_mac,MATCH(D1559,po_code,0)))</f>
        <v/>
      </c>
      <c r="J1559" s="66" t="str">
        <f>IF(M1559&lt;&gt;"OK","",N(E1559)*(H1559*IF(G1559="",1,G1559)+I1559))</f>
        <v/>
      </c>
      <c r="K1559" s="66" t="str">
        <f>IF(M1559&lt;&gt;"OK","",N(F1559)/60*H1559*IF(G1559="",1,G1559))</f>
        <v/>
      </c>
      <c r="L1559" s="66" t="str">
        <f>IF(M1559&lt;&gt;"OK","",N(F1559)/60*I1559)</f>
        <v/>
      </c>
      <c r="M1559" s="69" t="str">
        <f>IF(AND(A1559="",D1559=""),"",IF(A1559="","Produit manquant",IF(COUNTIF(prod_ref,A1559)=0,"Produit inconnu",IF(D1559="","Poste manquant",IF(ISNA(MATCH(D1559,po_code,0)),"Poste inconnu",IF(INDEX(po_check,MATCH(D1559,po_code,0))&lt;&gt;"OK","Poste à corriger",IF(AND(E1559&lt;&gt;"",OR(NOT(ISNUMBER(E1559)),N(E1559)&lt;0)),"Réglage invalide",IF(AND(F1559&lt;&gt;"",OR(NOT(ISNUMBER(F1559)),N(F1559)&lt;0)),"Temps par pièce invalide",IF(N(E1559)+N(F1559)=0,"Temps manquant",IF(AND(G1559&lt;&gt;"",OR(NOT(ISNUMBER(G1559)),N(G1559)&lt;=0)),"Opérateurs invalide","OK"))))))))))</f>
        <v/>
      </c>
      <c r="N1559" s="71" t="str">
        <f>IF(AND(fiche_sel&lt;&gt;"",A1559=fiche_sel),COUNTIF(A$6:A1559,fiche_sel),"")</f>
        <v/>
      </c>
    </row>
    <row r="1560">
      <c r="A1560" s="60" t="n"/>
      <c r="B1560" s="73" t="n"/>
      <c r="C1560" s="60" t="n"/>
      <c r="D1560" s="61" t="n"/>
      <c r="E1560" s="74" t="n"/>
      <c r="F1560" s="74" t="n"/>
      <c r="G1560" s="73" t="n"/>
      <c r="H1560" s="66" t="str">
        <f>IF(M1560&lt;&gt;"OK","",INDEX(po_mo,MATCH(D1560,po_code,0)))</f>
        <v/>
      </c>
      <c r="I1560" s="66" t="str">
        <f>IF(M1560&lt;&gt;"OK","",INDEX(po_mac,MATCH(D1560,po_code,0)))</f>
        <v/>
      </c>
      <c r="J1560" s="66" t="str">
        <f>IF(M1560&lt;&gt;"OK","",N(E1560)*(H1560*IF(G1560="",1,G1560)+I1560))</f>
        <v/>
      </c>
      <c r="K1560" s="66" t="str">
        <f>IF(M1560&lt;&gt;"OK","",N(F1560)/60*H1560*IF(G1560="",1,G1560))</f>
        <v/>
      </c>
      <c r="L1560" s="66" t="str">
        <f>IF(M1560&lt;&gt;"OK","",N(F1560)/60*I1560)</f>
        <v/>
      </c>
      <c r="M1560" s="69" t="str">
        <f>IF(AND(A1560="",D1560=""),"",IF(A1560="","Produit manquant",IF(COUNTIF(prod_ref,A1560)=0,"Produit inconnu",IF(D1560="","Poste manquant",IF(ISNA(MATCH(D1560,po_code,0)),"Poste inconnu",IF(INDEX(po_check,MATCH(D1560,po_code,0))&lt;&gt;"OK","Poste à corriger",IF(AND(E1560&lt;&gt;"",OR(NOT(ISNUMBER(E1560)),N(E1560)&lt;0)),"Réglage invalide",IF(AND(F1560&lt;&gt;"",OR(NOT(ISNUMBER(F1560)),N(F1560)&lt;0)),"Temps par pièce invalide",IF(N(E1560)+N(F1560)=0,"Temps manquant",IF(AND(G1560&lt;&gt;"",OR(NOT(ISNUMBER(G1560)),N(G1560)&lt;=0)),"Opérateurs invalide","OK"))))))))))</f>
        <v/>
      </c>
      <c r="N1560" s="71" t="str">
        <f>IF(AND(fiche_sel&lt;&gt;"",A1560=fiche_sel),COUNTIF(A$6:A1560,fiche_sel),"")</f>
        <v/>
      </c>
    </row>
    <row r="1561">
      <c r="A1561" s="60" t="n"/>
      <c r="B1561" s="73" t="n"/>
      <c r="C1561" s="60" t="n"/>
      <c r="D1561" s="61" t="n"/>
      <c r="E1561" s="74" t="n"/>
      <c r="F1561" s="74" t="n"/>
      <c r="G1561" s="73" t="n"/>
      <c r="H1561" s="66" t="str">
        <f>IF(M1561&lt;&gt;"OK","",INDEX(po_mo,MATCH(D1561,po_code,0)))</f>
        <v/>
      </c>
      <c r="I1561" s="66" t="str">
        <f>IF(M1561&lt;&gt;"OK","",INDEX(po_mac,MATCH(D1561,po_code,0)))</f>
        <v/>
      </c>
      <c r="J1561" s="66" t="str">
        <f>IF(M1561&lt;&gt;"OK","",N(E1561)*(H1561*IF(G1561="",1,G1561)+I1561))</f>
        <v/>
      </c>
      <c r="K1561" s="66" t="str">
        <f>IF(M1561&lt;&gt;"OK","",N(F1561)/60*H1561*IF(G1561="",1,G1561))</f>
        <v/>
      </c>
      <c r="L1561" s="66" t="str">
        <f>IF(M1561&lt;&gt;"OK","",N(F1561)/60*I1561)</f>
        <v/>
      </c>
      <c r="M1561" s="69" t="str">
        <f>IF(AND(A1561="",D1561=""),"",IF(A1561="","Produit manquant",IF(COUNTIF(prod_ref,A1561)=0,"Produit inconnu",IF(D1561="","Poste manquant",IF(ISNA(MATCH(D1561,po_code,0)),"Poste inconnu",IF(INDEX(po_check,MATCH(D1561,po_code,0))&lt;&gt;"OK","Poste à corriger",IF(AND(E1561&lt;&gt;"",OR(NOT(ISNUMBER(E1561)),N(E1561)&lt;0)),"Réglage invalide",IF(AND(F1561&lt;&gt;"",OR(NOT(ISNUMBER(F1561)),N(F1561)&lt;0)),"Temps par pièce invalide",IF(N(E1561)+N(F1561)=0,"Temps manquant",IF(AND(G1561&lt;&gt;"",OR(NOT(ISNUMBER(G1561)),N(G1561)&lt;=0)),"Opérateurs invalide","OK"))))))))))</f>
        <v/>
      </c>
      <c r="N1561" s="71" t="str">
        <f>IF(AND(fiche_sel&lt;&gt;"",A1561=fiche_sel),COUNTIF(A$6:A1561,fiche_sel),"")</f>
        <v/>
      </c>
    </row>
    <row r="1562">
      <c r="A1562" s="60" t="n"/>
      <c r="B1562" s="73" t="n"/>
      <c r="C1562" s="60" t="n"/>
      <c r="D1562" s="61" t="n"/>
      <c r="E1562" s="74" t="n"/>
      <c r="F1562" s="74" t="n"/>
      <c r="G1562" s="73" t="n"/>
      <c r="H1562" s="66" t="str">
        <f>IF(M1562&lt;&gt;"OK","",INDEX(po_mo,MATCH(D1562,po_code,0)))</f>
        <v/>
      </c>
      <c r="I1562" s="66" t="str">
        <f>IF(M1562&lt;&gt;"OK","",INDEX(po_mac,MATCH(D1562,po_code,0)))</f>
        <v/>
      </c>
      <c r="J1562" s="66" t="str">
        <f>IF(M1562&lt;&gt;"OK","",N(E1562)*(H1562*IF(G1562="",1,G1562)+I1562))</f>
        <v/>
      </c>
      <c r="K1562" s="66" t="str">
        <f>IF(M1562&lt;&gt;"OK","",N(F1562)/60*H1562*IF(G1562="",1,G1562))</f>
        <v/>
      </c>
      <c r="L1562" s="66" t="str">
        <f>IF(M1562&lt;&gt;"OK","",N(F1562)/60*I1562)</f>
        <v/>
      </c>
      <c r="M1562" s="69" t="str">
        <f>IF(AND(A1562="",D1562=""),"",IF(A1562="","Produit manquant",IF(COUNTIF(prod_ref,A1562)=0,"Produit inconnu",IF(D1562="","Poste manquant",IF(ISNA(MATCH(D1562,po_code,0)),"Poste inconnu",IF(INDEX(po_check,MATCH(D1562,po_code,0))&lt;&gt;"OK","Poste à corriger",IF(AND(E1562&lt;&gt;"",OR(NOT(ISNUMBER(E1562)),N(E1562)&lt;0)),"Réglage invalide",IF(AND(F1562&lt;&gt;"",OR(NOT(ISNUMBER(F1562)),N(F1562)&lt;0)),"Temps par pièce invalide",IF(N(E1562)+N(F1562)=0,"Temps manquant",IF(AND(G1562&lt;&gt;"",OR(NOT(ISNUMBER(G1562)),N(G1562)&lt;=0)),"Opérateurs invalide","OK"))))))))))</f>
        <v/>
      </c>
      <c r="N1562" s="71" t="str">
        <f>IF(AND(fiche_sel&lt;&gt;"",A1562=fiche_sel),COUNTIF(A$6:A1562,fiche_sel),"")</f>
        <v/>
      </c>
    </row>
    <row r="1563">
      <c r="A1563" s="60" t="n"/>
      <c r="B1563" s="73" t="n"/>
      <c r="C1563" s="60" t="n"/>
      <c r="D1563" s="61" t="n"/>
      <c r="E1563" s="74" t="n"/>
      <c r="F1563" s="74" t="n"/>
      <c r="G1563" s="73" t="n"/>
      <c r="H1563" s="66" t="str">
        <f>IF(M1563&lt;&gt;"OK","",INDEX(po_mo,MATCH(D1563,po_code,0)))</f>
        <v/>
      </c>
      <c r="I1563" s="66" t="str">
        <f>IF(M1563&lt;&gt;"OK","",INDEX(po_mac,MATCH(D1563,po_code,0)))</f>
        <v/>
      </c>
      <c r="J1563" s="66" t="str">
        <f>IF(M1563&lt;&gt;"OK","",N(E1563)*(H1563*IF(G1563="",1,G1563)+I1563))</f>
        <v/>
      </c>
      <c r="K1563" s="66" t="str">
        <f>IF(M1563&lt;&gt;"OK","",N(F1563)/60*H1563*IF(G1563="",1,G1563))</f>
        <v/>
      </c>
      <c r="L1563" s="66" t="str">
        <f>IF(M1563&lt;&gt;"OK","",N(F1563)/60*I1563)</f>
        <v/>
      </c>
      <c r="M1563" s="69" t="str">
        <f>IF(AND(A1563="",D1563=""),"",IF(A1563="","Produit manquant",IF(COUNTIF(prod_ref,A1563)=0,"Produit inconnu",IF(D1563="","Poste manquant",IF(ISNA(MATCH(D1563,po_code,0)),"Poste inconnu",IF(INDEX(po_check,MATCH(D1563,po_code,0))&lt;&gt;"OK","Poste à corriger",IF(AND(E1563&lt;&gt;"",OR(NOT(ISNUMBER(E1563)),N(E1563)&lt;0)),"Réglage invalide",IF(AND(F1563&lt;&gt;"",OR(NOT(ISNUMBER(F1563)),N(F1563)&lt;0)),"Temps par pièce invalide",IF(N(E1563)+N(F1563)=0,"Temps manquant",IF(AND(G1563&lt;&gt;"",OR(NOT(ISNUMBER(G1563)),N(G1563)&lt;=0)),"Opérateurs invalide","OK"))))))))))</f>
        <v/>
      </c>
      <c r="N1563" s="71" t="str">
        <f>IF(AND(fiche_sel&lt;&gt;"",A1563=fiche_sel),COUNTIF(A$6:A1563,fiche_sel),"")</f>
        <v/>
      </c>
    </row>
    <row r="1564">
      <c r="A1564" s="60" t="n"/>
      <c r="B1564" s="73" t="n"/>
      <c r="C1564" s="60" t="n"/>
      <c r="D1564" s="61" t="n"/>
      <c r="E1564" s="74" t="n"/>
      <c r="F1564" s="74" t="n"/>
      <c r="G1564" s="73" t="n"/>
      <c r="H1564" s="66" t="str">
        <f>IF(M1564&lt;&gt;"OK","",INDEX(po_mo,MATCH(D1564,po_code,0)))</f>
        <v/>
      </c>
      <c r="I1564" s="66" t="str">
        <f>IF(M1564&lt;&gt;"OK","",INDEX(po_mac,MATCH(D1564,po_code,0)))</f>
        <v/>
      </c>
      <c r="J1564" s="66" t="str">
        <f>IF(M1564&lt;&gt;"OK","",N(E1564)*(H1564*IF(G1564="",1,G1564)+I1564))</f>
        <v/>
      </c>
      <c r="K1564" s="66" t="str">
        <f>IF(M1564&lt;&gt;"OK","",N(F1564)/60*H1564*IF(G1564="",1,G1564))</f>
        <v/>
      </c>
      <c r="L1564" s="66" t="str">
        <f>IF(M1564&lt;&gt;"OK","",N(F1564)/60*I1564)</f>
        <v/>
      </c>
      <c r="M1564" s="69" t="str">
        <f>IF(AND(A1564="",D1564=""),"",IF(A1564="","Produit manquant",IF(COUNTIF(prod_ref,A1564)=0,"Produit inconnu",IF(D1564="","Poste manquant",IF(ISNA(MATCH(D1564,po_code,0)),"Poste inconnu",IF(INDEX(po_check,MATCH(D1564,po_code,0))&lt;&gt;"OK","Poste à corriger",IF(AND(E1564&lt;&gt;"",OR(NOT(ISNUMBER(E1564)),N(E1564)&lt;0)),"Réglage invalide",IF(AND(F1564&lt;&gt;"",OR(NOT(ISNUMBER(F1564)),N(F1564)&lt;0)),"Temps par pièce invalide",IF(N(E1564)+N(F1564)=0,"Temps manquant",IF(AND(G1564&lt;&gt;"",OR(NOT(ISNUMBER(G1564)),N(G1564)&lt;=0)),"Opérateurs invalide","OK"))))))))))</f>
        <v/>
      </c>
      <c r="N1564" s="71" t="str">
        <f>IF(AND(fiche_sel&lt;&gt;"",A1564=fiche_sel),COUNTIF(A$6:A1564,fiche_sel),"")</f>
        <v/>
      </c>
    </row>
    <row r="1565">
      <c r="A1565" s="60" t="n"/>
      <c r="B1565" s="73" t="n"/>
      <c r="C1565" s="60" t="n"/>
      <c r="D1565" s="61" t="n"/>
      <c r="E1565" s="74" t="n"/>
      <c r="F1565" s="74" t="n"/>
      <c r="G1565" s="73" t="n"/>
      <c r="H1565" s="66" t="str">
        <f>IF(M1565&lt;&gt;"OK","",INDEX(po_mo,MATCH(D1565,po_code,0)))</f>
        <v/>
      </c>
      <c r="I1565" s="66" t="str">
        <f>IF(M1565&lt;&gt;"OK","",INDEX(po_mac,MATCH(D1565,po_code,0)))</f>
        <v/>
      </c>
      <c r="J1565" s="66" t="str">
        <f>IF(M1565&lt;&gt;"OK","",N(E1565)*(H1565*IF(G1565="",1,G1565)+I1565))</f>
        <v/>
      </c>
      <c r="K1565" s="66" t="str">
        <f>IF(M1565&lt;&gt;"OK","",N(F1565)/60*H1565*IF(G1565="",1,G1565))</f>
        <v/>
      </c>
      <c r="L1565" s="66" t="str">
        <f>IF(M1565&lt;&gt;"OK","",N(F1565)/60*I1565)</f>
        <v/>
      </c>
      <c r="M1565" s="69" t="str">
        <f>IF(AND(A1565="",D1565=""),"",IF(A1565="","Produit manquant",IF(COUNTIF(prod_ref,A1565)=0,"Produit inconnu",IF(D1565="","Poste manquant",IF(ISNA(MATCH(D1565,po_code,0)),"Poste inconnu",IF(INDEX(po_check,MATCH(D1565,po_code,0))&lt;&gt;"OK","Poste à corriger",IF(AND(E1565&lt;&gt;"",OR(NOT(ISNUMBER(E1565)),N(E1565)&lt;0)),"Réglage invalide",IF(AND(F1565&lt;&gt;"",OR(NOT(ISNUMBER(F1565)),N(F1565)&lt;0)),"Temps par pièce invalide",IF(N(E1565)+N(F1565)=0,"Temps manquant",IF(AND(G1565&lt;&gt;"",OR(NOT(ISNUMBER(G1565)),N(G1565)&lt;=0)),"Opérateurs invalide","OK"))))))))))</f>
        <v/>
      </c>
      <c r="N1565" s="71" t="str">
        <f>IF(AND(fiche_sel&lt;&gt;"",A1565=fiche_sel),COUNTIF(A$6:A1565,fiche_sel),"")</f>
        <v/>
      </c>
    </row>
    <row r="1566">
      <c r="A1566" s="60" t="n"/>
      <c r="B1566" s="73" t="n"/>
      <c r="C1566" s="60" t="n"/>
      <c r="D1566" s="61" t="n"/>
      <c r="E1566" s="74" t="n"/>
      <c r="F1566" s="74" t="n"/>
      <c r="G1566" s="73" t="n"/>
      <c r="H1566" s="66" t="str">
        <f>IF(M1566&lt;&gt;"OK","",INDEX(po_mo,MATCH(D1566,po_code,0)))</f>
        <v/>
      </c>
      <c r="I1566" s="66" t="str">
        <f>IF(M1566&lt;&gt;"OK","",INDEX(po_mac,MATCH(D1566,po_code,0)))</f>
        <v/>
      </c>
      <c r="J1566" s="66" t="str">
        <f>IF(M1566&lt;&gt;"OK","",N(E1566)*(H1566*IF(G1566="",1,G1566)+I1566))</f>
        <v/>
      </c>
      <c r="K1566" s="66" t="str">
        <f>IF(M1566&lt;&gt;"OK","",N(F1566)/60*H1566*IF(G1566="",1,G1566))</f>
        <v/>
      </c>
      <c r="L1566" s="66" t="str">
        <f>IF(M1566&lt;&gt;"OK","",N(F1566)/60*I1566)</f>
        <v/>
      </c>
      <c r="M1566" s="69" t="str">
        <f>IF(AND(A1566="",D1566=""),"",IF(A1566="","Produit manquant",IF(COUNTIF(prod_ref,A1566)=0,"Produit inconnu",IF(D1566="","Poste manquant",IF(ISNA(MATCH(D1566,po_code,0)),"Poste inconnu",IF(INDEX(po_check,MATCH(D1566,po_code,0))&lt;&gt;"OK","Poste à corriger",IF(AND(E1566&lt;&gt;"",OR(NOT(ISNUMBER(E1566)),N(E1566)&lt;0)),"Réglage invalide",IF(AND(F1566&lt;&gt;"",OR(NOT(ISNUMBER(F1566)),N(F1566)&lt;0)),"Temps par pièce invalide",IF(N(E1566)+N(F1566)=0,"Temps manquant",IF(AND(G1566&lt;&gt;"",OR(NOT(ISNUMBER(G1566)),N(G1566)&lt;=0)),"Opérateurs invalide","OK"))))))))))</f>
        <v/>
      </c>
      <c r="N1566" s="71" t="str">
        <f>IF(AND(fiche_sel&lt;&gt;"",A1566=fiche_sel),COUNTIF(A$6:A1566,fiche_sel),"")</f>
        <v/>
      </c>
    </row>
    <row r="1567">
      <c r="A1567" s="60" t="n"/>
      <c r="B1567" s="73" t="n"/>
      <c r="C1567" s="60" t="n"/>
      <c r="D1567" s="61" t="n"/>
      <c r="E1567" s="74" t="n"/>
      <c r="F1567" s="74" t="n"/>
      <c r="G1567" s="73" t="n"/>
      <c r="H1567" s="66" t="str">
        <f>IF(M1567&lt;&gt;"OK","",INDEX(po_mo,MATCH(D1567,po_code,0)))</f>
        <v/>
      </c>
      <c r="I1567" s="66" t="str">
        <f>IF(M1567&lt;&gt;"OK","",INDEX(po_mac,MATCH(D1567,po_code,0)))</f>
        <v/>
      </c>
      <c r="J1567" s="66" t="str">
        <f>IF(M1567&lt;&gt;"OK","",N(E1567)*(H1567*IF(G1567="",1,G1567)+I1567))</f>
        <v/>
      </c>
      <c r="K1567" s="66" t="str">
        <f>IF(M1567&lt;&gt;"OK","",N(F1567)/60*H1567*IF(G1567="",1,G1567))</f>
        <v/>
      </c>
      <c r="L1567" s="66" t="str">
        <f>IF(M1567&lt;&gt;"OK","",N(F1567)/60*I1567)</f>
        <v/>
      </c>
      <c r="M1567" s="69" t="str">
        <f>IF(AND(A1567="",D1567=""),"",IF(A1567="","Produit manquant",IF(COUNTIF(prod_ref,A1567)=0,"Produit inconnu",IF(D1567="","Poste manquant",IF(ISNA(MATCH(D1567,po_code,0)),"Poste inconnu",IF(INDEX(po_check,MATCH(D1567,po_code,0))&lt;&gt;"OK","Poste à corriger",IF(AND(E1567&lt;&gt;"",OR(NOT(ISNUMBER(E1567)),N(E1567)&lt;0)),"Réglage invalide",IF(AND(F1567&lt;&gt;"",OR(NOT(ISNUMBER(F1567)),N(F1567)&lt;0)),"Temps par pièce invalide",IF(N(E1567)+N(F1567)=0,"Temps manquant",IF(AND(G1567&lt;&gt;"",OR(NOT(ISNUMBER(G1567)),N(G1567)&lt;=0)),"Opérateurs invalide","OK"))))))))))</f>
        <v/>
      </c>
      <c r="N1567" s="71" t="str">
        <f>IF(AND(fiche_sel&lt;&gt;"",A1567=fiche_sel),COUNTIF(A$6:A1567,fiche_sel),"")</f>
        <v/>
      </c>
    </row>
    <row r="1568">
      <c r="A1568" s="60" t="n"/>
      <c r="B1568" s="73" t="n"/>
      <c r="C1568" s="60" t="n"/>
      <c r="D1568" s="61" t="n"/>
      <c r="E1568" s="74" t="n"/>
      <c r="F1568" s="74" t="n"/>
      <c r="G1568" s="73" t="n"/>
      <c r="H1568" s="66" t="str">
        <f>IF(M1568&lt;&gt;"OK","",INDEX(po_mo,MATCH(D1568,po_code,0)))</f>
        <v/>
      </c>
      <c r="I1568" s="66" t="str">
        <f>IF(M1568&lt;&gt;"OK","",INDEX(po_mac,MATCH(D1568,po_code,0)))</f>
        <v/>
      </c>
      <c r="J1568" s="66" t="str">
        <f>IF(M1568&lt;&gt;"OK","",N(E1568)*(H1568*IF(G1568="",1,G1568)+I1568))</f>
        <v/>
      </c>
      <c r="K1568" s="66" t="str">
        <f>IF(M1568&lt;&gt;"OK","",N(F1568)/60*H1568*IF(G1568="",1,G1568))</f>
        <v/>
      </c>
      <c r="L1568" s="66" t="str">
        <f>IF(M1568&lt;&gt;"OK","",N(F1568)/60*I1568)</f>
        <v/>
      </c>
      <c r="M1568" s="69" t="str">
        <f>IF(AND(A1568="",D1568=""),"",IF(A1568="","Produit manquant",IF(COUNTIF(prod_ref,A1568)=0,"Produit inconnu",IF(D1568="","Poste manquant",IF(ISNA(MATCH(D1568,po_code,0)),"Poste inconnu",IF(INDEX(po_check,MATCH(D1568,po_code,0))&lt;&gt;"OK","Poste à corriger",IF(AND(E1568&lt;&gt;"",OR(NOT(ISNUMBER(E1568)),N(E1568)&lt;0)),"Réglage invalide",IF(AND(F1568&lt;&gt;"",OR(NOT(ISNUMBER(F1568)),N(F1568)&lt;0)),"Temps par pièce invalide",IF(N(E1568)+N(F1568)=0,"Temps manquant",IF(AND(G1568&lt;&gt;"",OR(NOT(ISNUMBER(G1568)),N(G1568)&lt;=0)),"Opérateurs invalide","OK"))))))))))</f>
        <v/>
      </c>
      <c r="N1568" s="71" t="str">
        <f>IF(AND(fiche_sel&lt;&gt;"",A1568=fiche_sel),COUNTIF(A$6:A1568,fiche_sel),"")</f>
        <v/>
      </c>
    </row>
    <row r="1569">
      <c r="A1569" s="60" t="n"/>
      <c r="B1569" s="73" t="n"/>
      <c r="C1569" s="60" t="n"/>
      <c r="D1569" s="61" t="n"/>
      <c r="E1569" s="74" t="n"/>
      <c r="F1569" s="74" t="n"/>
      <c r="G1569" s="73" t="n"/>
      <c r="H1569" s="66" t="str">
        <f>IF(M1569&lt;&gt;"OK","",INDEX(po_mo,MATCH(D1569,po_code,0)))</f>
        <v/>
      </c>
      <c r="I1569" s="66" t="str">
        <f>IF(M1569&lt;&gt;"OK","",INDEX(po_mac,MATCH(D1569,po_code,0)))</f>
        <v/>
      </c>
      <c r="J1569" s="66" t="str">
        <f>IF(M1569&lt;&gt;"OK","",N(E1569)*(H1569*IF(G1569="",1,G1569)+I1569))</f>
        <v/>
      </c>
      <c r="K1569" s="66" t="str">
        <f>IF(M1569&lt;&gt;"OK","",N(F1569)/60*H1569*IF(G1569="",1,G1569))</f>
        <v/>
      </c>
      <c r="L1569" s="66" t="str">
        <f>IF(M1569&lt;&gt;"OK","",N(F1569)/60*I1569)</f>
        <v/>
      </c>
      <c r="M1569" s="69" t="str">
        <f>IF(AND(A1569="",D1569=""),"",IF(A1569="","Produit manquant",IF(COUNTIF(prod_ref,A1569)=0,"Produit inconnu",IF(D1569="","Poste manquant",IF(ISNA(MATCH(D1569,po_code,0)),"Poste inconnu",IF(INDEX(po_check,MATCH(D1569,po_code,0))&lt;&gt;"OK","Poste à corriger",IF(AND(E1569&lt;&gt;"",OR(NOT(ISNUMBER(E1569)),N(E1569)&lt;0)),"Réglage invalide",IF(AND(F1569&lt;&gt;"",OR(NOT(ISNUMBER(F1569)),N(F1569)&lt;0)),"Temps par pièce invalide",IF(N(E1569)+N(F1569)=0,"Temps manquant",IF(AND(G1569&lt;&gt;"",OR(NOT(ISNUMBER(G1569)),N(G1569)&lt;=0)),"Opérateurs invalide","OK"))))))))))</f>
        <v/>
      </c>
      <c r="N1569" s="71" t="str">
        <f>IF(AND(fiche_sel&lt;&gt;"",A1569=fiche_sel),COUNTIF(A$6:A1569,fiche_sel),"")</f>
        <v/>
      </c>
    </row>
    <row r="1570">
      <c r="A1570" s="60" t="n"/>
      <c r="B1570" s="73" t="n"/>
      <c r="C1570" s="60" t="n"/>
      <c r="D1570" s="61" t="n"/>
      <c r="E1570" s="74" t="n"/>
      <c r="F1570" s="74" t="n"/>
      <c r="G1570" s="73" t="n"/>
      <c r="H1570" s="66" t="str">
        <f>IF(M1570&lt;&gt;"OK","",INDEX(po_mo,MATCH(D1570,po_code,0)))</f>
        <v/>
      </c>
      <c r="I1570" s="66" t="str">
        <f>IF(M1570&lt;&gt;"OK","",INDEX(po_mac,MATCH(D1570,po_code,0)))</f>
        <v/>
      </c>
      <c r="J1570" s="66" t="str">
        <f>IF(M1570&lt;&gt;"OK","",N(E1570)*(H1570*IF(G1570="",1,G1570)+I1570))</f>
        <v/>
      </c>
      <c r="K1570" s="66" t="str">
        <f>IF(M1570&lt;&gt;"OK","",N(F1570)/60*H1570*IF(G1570="",1,G1570))</f>
        <v/>
      </c>
      <c r="L1570" s="66" t="str">
        <f>IF(M1570&lt;&gt;"OK","",N(F1570)/60*I1570)</f>
        <v/>
      </c>
      <c r="M1570" s="69" t="str">
        <f>IF(AND(A1570="",D1570=""),"",IF(A1570="","Produit manquant",IF(COUNTIF(prod_ref,A1570)=0,"Produit inconnu",IF(D1570="","Poste manquant",IF(ISNA(MATCH(D1570,po_code,0)),"Poste inconnu",IF(INDEX(po_check,MATCH(D1570,po_code,0))&lt;&gt;"OK","Poste à corriger",IF(AND(E1570&lt;&gt;"",OR(NOT(ISNUMBER(E1570)),N(E1570)&lt;0)),"Réglage invalide",IF(AND(F1570&lt;&gt;"",OR(NOT(ISNUMBER(F1570)),N(F1570)&lt;0)),"Temps par pièce invalide",IF(N(E1570)+N(F1570)=0,"Temps manquant",IF(AND(G1570&lt;&gt;"",OR(NOT(ISNUMBER(G1570)),N(G1570)&lt;=0)),"Opérateurs invalide","OK"))))))))))</f>
        <v/>
      </c>
      <c r="N1570" s="71" t="str">
        <f>IF(AND(fiche_sel&lt;&gt;"",A1570=fiche_sel),COUNTIF(A$6:A1570,fiche_sel),"")</f>
        <v/>
      </c>
    </row>
    <row r="1571">
      <c r="A1571" s="60" t="n"/>
      <c r="B1571" s="73" t="n"/>
      <c r="C1571" s="60" t="n"/>
      <c r="D1571" s="61" t="n"/>
      <c r="E1571" s="74" t="n"/>
      <c r="F1571" s="74" t="n"/>
      <c r="G1571" s="73" t="n"/>
      <c r="H1571" s="66" t="str">
        <f>IF(M1571&lt;&gt;"OK","",INDEX(po_mo,MATCH(D1571,po_code,0)))</f>
        <v/>
      </c>
      <c r="I1571" s="66" t="str">
        <f>IF(M1571&lt;&gt;"OK","",INDEX(po_mac,MATCH(D1571,po_code,0)))</f>
        <v/>
      </c>
      <c r="J1571" s="66" t="str">
        <f>IF(M1571&lt;&gt;"OK","",N(E1571)*(H1571*IF(G1571="",1,G1571)+I1571))</f>
        <v/>
      </c>
      <c r="K1571" s="66" t="str">
        <f>IF(M1571&lt;&gt;"OK","",N(F1571)/60*H1571*IF(G1571="",1,G1571))</f>
        <v/>
      </c>
      <c r="L1571" s="66" t="str">
        <f>IF(M1571&lt;&gt;"OK","",N(F1571)/60*I1571)</f>
        <v/>
      </c>
      <c r="M1571" s="69" t="str">
        <f>IF(AND(A1571="",D1571=""),"",IF(A1571="","Produit manquant",IF(COUNTIF(prod_ref,A1571)=0,"Produit inconnu",IF(D1571="","Poste manquant",IF(ISNA(MATCH(D1571,po_code,0)),"Poste inconnu",IF(INDEX(po_check,MATCH(D1571,po_code,0))&lt;&gt;"OK","Poste à corriger",IF(AND(E1571&lt;&gt;"",OR(NOT(ISNUMBER(E1571)),N(E1571)&lt;0)),"Réglage invalide",IF(AND(F1571&lt;&gt;"",OR(NOT(ISNUMBER(F1571)),N(F1571)&lt;0)),"Temps par pièce invalide",IF(N(E1571)+N(F1571)=0,"Temps manquant",IF(AND(G1571&lt;&gt;"",OR(NOT(ISNUMBER(G1571)),N(G1571)&lt;=0)),"Opérateurs invalide","OK"))))))))))</f>
        <v/>
      </c>
      <c r="N1571" s="71" t="str">
        <f>IF(AND(fiche_sel&lt;&gt;"",A1571=fiche_sel),COUNTIF(A$6:A1571,fiche_sel),"")</f>
        <v/>
      </c>
    </row>
    <row r="1572">
      <c r="A1572" s="60" t="n"/>
      <c r="B1572" s="73" t="n"/>
      <c r="C1572" s="60" t="n"/>
      <c r="D1572" s="61" t="n"/>
      <c r="E1572" s="74" t="n"/>
      <c r="F1572" s="74" t="n"/>
      <c r="G1572" s="73" t="n"/>
      <c r="H1572" s="66" t="str">
        <f>IF(M1572&lt;&gt;"OK","",INDEX(po_mo,MATCH(D1572,po_code,0)))</f>
        <v/>
      </c>
      <c r="I1572" s="66" t="str">
        <f>IF(M1572&lt;&gt;"OK","",INDEX(po_mac,MATCH(D1572,po_code,0)))</f>
        <v/>
      </c>
      <c r="J1572" s="66" t="str">
        <f>IF(M1572&lt;&gt;"OK","",N(E1572)*(H1572*IF(G1572="",1,G1572)+I1572))</f>
        <v/>
      </c>
      <c r="K1572" s="66" t="str">
        <f>IF(M1572&lt;&gt;"OK","",N(F1572)/60*H1572*IF(G1572="",1,G1572))</f>
        <v/>
      </c>
      <c r="L1572" s="66" t="str">
        <f>IF(M1572&lt;&gt;"OK","",N(F1572)/60*I1572)</f>
        <v/>
      </c>
      <c r="M1572" s="69" t="str">
        <f>IF(AND(A1572="",D1572=""),"",IF(A1572="","Produit manquant",IF(COUNTIF(prod_ref,A1572)=0,"Produit inconnu",IF(D1572="","Poste manquant",IF(ISNA(MATCH(D1572,po_code,0)),"Poste inconnu",IF(INDEX(po_check,MATCH(D1572,po_code,0))&lt;&gt;"OK","Poste à corriger",IF(AND(E1572&lt;&gt;"",OR(NOT(ISNUMBER(E1572)),N(E1572)&lt;0)),"Réglage invalide",IF(AND(F1572&lt;&gt;"",OR(NOT(ISNUMBER(F1572)),N(F1572)&lt;0)),"Temps par pièce invalide",IF(N(E1572)+N(F1572)=0,"Temps manquant",IF(AND(G1572&lt;&gt;"",OR(NOT(ISNUMBER(G1572)),N(G1572)&lt;=0)),"Opérateurs invalide","OK"))))))))))</f>
        <v/>
      </c>
      <c r="N1572" s="71" t="str">
        <f>IF(AND(fiche_sel&lt;&gt;"",A1572=fiche_sel),COUNTIF(A$6:A1572,fiche_sel),"")</f>
        <v/>
      </c>
    </row>
    <row r="1573">
      <c r="A1573" s="60" t="n"/>
      <c r="B1573" s="73" t="n"/>
      <c r="C1573" s="60" t="n"/>
      <c r="D1573" s="61" t="n"/>
      <c r="E1573" s="74" t="n"/>
      <c r="F1573" s="74" t="n"/>
      <c r="G1573" s="73" t="n"/>
      <c r="H1573" s="66" t="str">
        <f>IF(M1573&lt;&gt;"OK","",INDEX(po_mo,MATCH(D1573,po_code,0)))</f>
        <v/>
      </c>
      <c r="I1573" s="66" t="str">
        <f>IF(M1573&lt;&gt;"OK","",INDEX(po_mac,MATCH(D1573,po_code,0)))</f>
        <v/>
      </c>
      <c r="J1573" s="66" t="str">
        <f>IF(M1573&lt;&gt;"OK","",N(E1573)*(H1573*IF(G1573="",1,G1573)+I1573))</f>
        <v/>
      </c>
      <c r="K1573" s="66" t="str">
        <f>IF(M1573&lt;&gt;"OK","",N(F1573)/60*H1573*IF(G1573="",1,G1573))</f>
        <v/>
      </c>
      <c r="L1573" s="66" t="str">
        <f>IF(M1573&lt;&gt;"OK","",N(F1573)/60*I1573)</f>
        <v/>
      </c>
      <c r="M1573" s="69" t="str">
        <f>IF(AND(A1573="",D1573=""),"",IF(A1573="","Produit manquant",IF(COUNTIF(prod_ref,A1573)=0,"Produit inconnu",IF(D1573="","Poste manquant",IF(ISNA(MATCH(D1573,po_code,0)),"Poste inconnu",IF(INDEX(po_check,MATCH(D1573,po_code,0))&lt;&gt;"OK","Poste à corriger",IF(AND(E1573&lt;&gt;"",OR(NOT(ISNUMBER(E1573)),N(E1573)&lt;0)),"Réglage invalide",IF(AND(F1573&lt;&gt;"",OR(NOT(ISNUMBER(F1573)),N(F1573)&lt;0)),"Temps par pièce invalide",IF(N(E1573)+N(F1573)=0,"Temps manquant",IF(AND(G1573&lt;&gt;"",OR(NOT(ISNUMBER(G1573)),N(G1573)&lt;=0)),"Opérateurs invalide","OK"))))))))))</f>
        <v/>
      </c>
      <c r="N1573" s="71" t="str">
        <f>IF(AND(fiche_sel&lt;&gt;"",A1573=fiche_sel),COUNTIF(A$6:A1573,fiche_sel),"")</f>
        <v/>
      </c>
    </row>
    <row r="1574">
      <c r="A1574" s="60" t="n"/>
      <c r="B1574" s="73" t="n"/>
      <c r="C1574" s="60" t="n"/>
      <c r="D1574" s="61" t="n"/>
      <c r="E1574" s="74" t="n"/>
      <c r="F1574" s="74" t="n"/>
      <c r="G1574" s="73" t="n"/>
      <c r="H1574" s="66" t="str">
        <f>IF(M1574&lt;&gt;"OK","",INDEX(po_mo,MATCH(D1574,po_code,0)))</f>
        <v/>
      </c>
      <c r="I1574" s="66" t="str">
        <f>IF(M1574&lt;&gt;"OK","",INDEX(po_mac,MATCH(D1574,po_code,0)))</f>
        <v/>
      </c>
      <c r="J1574" s="66" t="str">
        <f>IF(M1574&lt;&gt;"OK","",N(E1574)*(H1574*IF(G1574="",1,G1574)+I1574))</f>
        <v/>
      </c>
      <c r="K1574" s="66" t="str">
        <f>IF(M1574&lt;&gt;"OK","",N(F1574)/60*H1574*IF(G1574="",1,G1574))</f>
        <v/>
      </c>
      <c r="L1574" s="66" t="str">
        <f>IF(M1574&lt;&gt;"OK","",N(F1574)/60*I1574)</f>
        <v/>
      </c>
      <c r="M1574" s="69" t="str">
        <f>IF(AND(A1574="",D1574=""),"",IF(A1574="","Produit manquant",IF(COUNTIF(prod_ref,A1574)=0,"Produit inconnu",IF(D1574="","Poste manquant",IF(ISNA(MATCH(D1574,po_code,0)),"Poste inconnu",IF(INDEX(po_check,MATCH(D1574,po_code,0))&lt;&gt;"OK","Poste à corriger",IF(AND(E1574&lt;&gt;"",OR(NOT(ISNUMBER(E1574)),N(E1574)&lt;0)),"Réglage invalide",IF(AND(F1574&lt;&gt;"",OR(NOT(ISNUMBER(F1574)),N(F1574)&lt;0)),"Temps par pièce invalide",IF(N(E1574)+N(F1574)=0,"Temps manquant",IF(AND(G1574&lt;&gt;"",OR(NOT(ISNUMBER(G1574)),N(G1574)&lt;=0)),"Opérateurs invalide","OK"))))))))))</f>
        <v/>
      </c>
      <c r="N1574" s="71" t="str">
        <f>IF(AND(fiche_sel&lt;&gt;"",A1574=fiche_sel),COUNTIF(A$6:A1574,fiche_sel),"")</f>
        <v/>
      </c>
    </row>
    <row r="1575">
      <c r="A1575" s="60" t="n"/>
      <c r="B1575" s="73" t="n"/>
      <c r="C1575" s="60" t="n"/>
      <c r="D1575" s="61" t="n"/>
      <c r="E1575" s="74" t="n"/>
      <c r="F1575" s="74" t="n"/>
      <c r="G1575" s="73" t="n"/>
      <c r="H1575" s="66" t="str">
        <f>IF(M1575&lt;&gt;"OK","",INDEX(po_mo,MATCH(D1575,po_code,0)))</f>
        <v/>
      </c>
      <c r="I1575" s="66" t="str">
        <f>IF(M1575&lt;&gt;"OK","",INDEX(po_mac,MATCH(D1575,po_code,0)))</f>
        <v/>
      </c>
      <c r="J1575" s="66" t="str">
        <f>IF(M1575&lt;&gt;"OK","",N(E1575)*(H1575*IF(G1575="",1,G1575)+I1575))</f>
        <v/>
      </c>
      <c r="K1575" s="66" t="str">
        <f>IF(M1575&lt;&gt;"OK","",N(F1575)/60*H1575*IF(G1575="",1,G1575))</f>
        <v/>
      </c>
      <c r="L1575" s="66" t="str">
        <f>IF(M1575&lt;&gt;"OK","",N(F1575)/60*I1575)</f>
        <v/>
      </c>
      <c r="M1575" s="69" t="str">
        <f>IF(AND(A1575="",D1575=""),"",IF(A1575="","Produit manquant",IF(COUNTIF(prod_ref,A1575)=0,"Produit inconnu",IF(D1575="","Poste manquant",IF(ISNA(MATCH(D1575,po_code,0)),"Poste inconnu",IF(INDEX(po_check,MATCH(D1575,po_code,0))&lt;&gt;"OK","Poste à corriger",IF(AND(E1575&lt;&gt;"",OR(NOT(ISNUMBER(E1575)),N(E1575)&lt;0)),"Réglage invalide",IF(AND(F1575&lt;&gt;"",OR(NOT(ISNUMBER(F1575)),N(F1575)&lt;0)),"Temps par pièce invalide",IF(N(E1575)+N(F1575)=0,"Temps manquant",IF(AND(G1575&lt;&gt;"",OR(NOT(ISNUMBER(G1575)),N(G1575)&lt;=0)),"Opérateurs invalide","OK"))))))))))</f>
        <v/>
      </c>
      <c r="N1575" s="71" t="str">
        <f>IF(AND(fiche_sel&lt;&gt;"",A1575=fiche_sel),COUNTIF(A$6:A1575,fiche_sel),"")</f>
        <v/>
      </c>
    </row>
    <row r="1576">
      <c r="A1576" s="60" t="n"/>
      <c r="B1576" s="73" t="n"/>
      <c r="C1576" s="60" t="n"/>
      <c r="D1576" s="61" t="n"/>
      <c r="E1576" s="74" t="n"/>
      <c r="F1576" s="74" t="n"/>
      <c r="G1576" s="73" t="n"/>
      <c r="H1576" s="66" t="str">
        <f>IF(M1576&lt;&gt;"OK","",INDEX(po_mo,MATCH(D1576,po_code,0)))</f>
        <v/>
      </c>
      <c r="I1576" s="66" t="str">
        <f>IF(M1576&lt;&gt;"OK","",INDEX(po_mac,MATCH(D1576,po_code,0)))</f>
        <v/>
      </c>
      <c r="J1576" s="66" t="str">
        <f>IF(M1576&lt;&gt;"OK","",N(E1576)*(H1576*IF(G1576="",1,G1576)+I1576))</f>
        <v/>
      </c>
      <c r="K1576" s="66" t="str">
        <f>IF(M1576&lt;&gt;"OK","",N(F1576)/60*H1576*IF(G1576="",1,G1576))</f>
        <v/>
      </c>
      <c r="L1576" s="66" t="str">
        <f>IF(M1576&lt;&gt;"OK","",N(F1576)/60*I1576)</f>
        <v/>
      </c>
      <c r="M1576" s="69" t="str">
        <f>IF(AND(A1576="",D1576=""),"",IF(A1576="","Produit manquant",IF(COUNTIF(prod_ref,A1576)=0,"Produit inconnu",IF(D1576="","Poste manquant",IF(ISNA(MATCH(D1576,po_code,0)),"Poste inconnu",IF(INDEX(po_check,MATCH(D1576,po_code,0))&lt;&gt;"OK","Poste à corriger",IF(AND(E1576&lt;&gt;"",OR(NOT(ISNUMBER(E1576)),N(E1576)&lt;0)),"Réglage invalide",IF(AND(F1576&lt;&gt;"",OR(NOT(ISNUMBER(F1576)),N(F1576)&lt;0)),"Temps par pièce invalide",IF(N(E1576)+N(F1576)=0,"Temps manquant",IF(AND(G1576&lt;&gt;"",OR(NOT(ISNUMBER(G1576)),N(G1576)&lt;=0)),"Opérateurs invalide","OK"))))))))))</f>
        <v/>
      </c>
      <c r="N1576" s="71" t="str">
        <f>IF(AND(fiche_sel&lt;&gt;"",A1576=fiche_sel),COUNTIF(A$6:A1576,fiche_sel),"")</f>
        <v/>
      </c>
    </row>
    <row r="1577">
      <c r="A1577" s="60" t="n"/>
      <c r="B1577" s="73" t="n"/>
      <c r="C1577" s="60" t="n"/>
      <c r="D1577" s="61" t="n"/>
      <c r="E1577" s="74" t="n"/>
      <c r="F1577" s="74" t="n"/>
      <c r="G1577" s="73" t="n"/>
      <c r="H1577" s="66" t="str">
        <f>IF(M1577&lt;&gt;"OK","",INDEX(po_mo,MATCH(D1577,po_code,0)))</f>
        <v/>
      </c>
      <c r="I1577" s="66" t="str">
        <f>IF(M1577&lt;&gt;"OK","",INDEX(po_mac,MATCH(D1577,po_code,0)))</f>
        <v/>
      </c>
      <c r="J1577" s="66" t="str">
        <f>IF(M1577&lt;&gt;"OK","",N(E1577)*(H1577*IF(G1577="",1,G1577)+I1577))</f>
        <v/>
      </c>
      <c r="K1577" s="66" t="str">
        <f>IF(M1577&lt;&gt;"OK","",N(F1577)/60*H1577*IF(G1577="",1,G1577))</f>
        <v/>
      </c>
      <c r="L1577" s="66" t="str">
        <f>IF(M1577&lt;&gt;"OK","",N(F1577)/60*I1577)</f>
        <v/>
      </c>
      <c r="M1577" s="69" t="str">
        <f>IF(AND(A1577="",D1577=""),"",IF(A1577="","Produit manquant",IF(COUNTIF(prod_ref,A1577)=0,"Produit inconnu",IF(D1577="","Poste manquant",IF(ISNA(MATCH(D1577,po_code,0)),"Poste inconnu",IF(INDEX(po_check,MATCH(D1577,po_code,0))&lt;&gt;"OK","Poste à corriger",IF(AND(E1577&lt;&gt;"",OR(NOT(ISNUMBER(E1577)),N(E1577)&lt;0)),"Réglage invalide",IF(AND(F1577&lt;&gt;"",OR(NOT(ISNUMBER(F1577)),N(F1577)&lt;0)),"Temps par pièce invalide",IF(N(E1577)+N(F1577)=0,"Temps manquant",IF(AND(G1577&lt;&gt;"",OR(NOT(ISNUMBER(G1577)),N(G1577)&lt;=0)),"Opérateurs invalide","OK"))))))))))</f>
        <v/>
      </c>
      <c r="N1577" s="71" t="str">
        <f>IF(AND(fiche_sel&lt;&gt;"",A1577=fiche_sel),COUNTIF(A$6:A1577,fiche_sel),"")</f>
        <v/>
      </c>
    </row>
    <row r="1578">
      <c r="A1578" s="60" t="n"/>
      <c r="B1578" s="73" t="n"/>
      <c r="C1578" s="60" t="n"/>
      <c r="D1578" s="61" t="n"/>
      <c r="E1578" s="74" t="n"/>
      <c r="F1578" s="74" t="n"/>
      <c r="G1578" s="73" t="n"/>
      <c r="H1578" s="66" t="str">
        <f>IF(M1578&lt;&gt;"OK","",INDEX(po_mo,MATCH(D1578,po_code,0)))</f>
        <v/>
      </c>
      <c r="I1578" s="66" t="str">
        <f>IF(M1578&lt;&gt;"OK","",INDEX(po_mac,MATCH(D1578,po_code,0)))</f>
        <v/>
      </c>
      <c r="J1578" s="66" t="str">
        <f>IF(M1578&lt;&gt;"OK","",N(E1578)*(H1578*IF(G1578="",1,G1578)+I1578))</f>
        <v/>
      </c>
      <c r="K1578" s="66" t="str">
        <f>IF(M1578&lt;&gt;"OK","",N(F1578)/60*H1578*IF(G1578="",1,G1578))</f>
        <v/>
      </c>
      <c r="L1578" s="66" t="str">
        <f>IF(M1578&lt;&gt;"OK","",N(F1578)/60*I1578)</f>
        <v/>
      </c>
      <c r="M1578" s="69" t="str">
        <f>IF(AND(A1578="",D1578=""),"",IF(A1578="","Produit manquant",IF(COUNTIF(prod_ref,A1578)=0,"Produit inconnu",IF(D1578="","Poste manquant",IF(ISNA(MATCH(D1578,po_code,0)),"Poste inconnu",IF(INDEX(po_check,MATCH(D1578,po_code,0))&lt;&gt;"OK","Poste à corriger",IF(AND(E1578&lt;&gt;"",OR(NOT(ISNUMBER(E1578)),N(E1578)&lt;0)),"Réglage invalide",IF(AND(F1578&lt;&gt;"",OR(NOT(ISNUMBER(F1578)),N(F1578)&lt;0)),"Temps par pièce invalide",IF(N(E1578)+N(F1578)=0,"Temps manquant",IF(AND(G1578&lt;&gt;"",OR(NOT(ISNUMBER(G1578)),N(G1578)&lt;=0)),"Opérateurs invalide","OK"))))))))))</f>
        <v/>
      </c>
      <c r="N1578" s="71" t="str">
        <f>IF(AND(fiche_sel&lt;&gt;"",A1578=fiche_sel),COUNTIF(A$6:A1578,fiche_sel),"")</f>
        <v/>
      </c>
    </row>
    <row r="1579">
      <c r="A1579" s="60" t="n"/>
      <c r="B1579" s="73" t="n"/>
      <c r="C1579" s="60" t="n"/>
      <c r="D1579" s="61" t="n"/>
      <c r="E1579" s="74" t="n"/>
      <c r="F1579" s="74" t="n"/>
      <c r="G1579" s="73" t="n"/>
      <c r="H1579" s="66" t="str">
        <f>IF(M1579&lt;&gt;"OK","",INDEX(po_mo,MATCH(D1579,po_code,0)))</f>
        <v/>
      </c>
      <c r="I1579" s="66" t="str">
        <f>IF(M1579&lt;&gt;"OK","",INDEX(po_mac,MATCH(D1579,po_code,0)))</f>
        <v/>
      </c>
      <c r="J1579" s="66" t="str">
        <f>IF(M1579&lt;&gt;"OK","",N(E1579)*(H1579*IF(G1579="",1,G1579)+I1579))</f>
        <v/>
      </c>
      <c r="K1579" s="66" t="str">
        <f>IF(M1579&lt;&gt;"OK","",N(F1579)/60*H1579*IF(G1579="",1,G1579))</f>
        <v/>
      </c>
      <c r="L1579" s="66" t="str">
        <f>IF(M1579&lt;&gt;"OK","",N(F1579)/60*I1579)</f>
        <v/>
      </c>
      <c r="M1579" s="69" t="str">
        <f>IF(AND(A1579="",D1579=""),"",IF(A1579="","Produit manquant",IF(COUNTIF(prod_ref,A1579)=0,"Produit inconnu",IF(D1579="","Poste manquant",IF(ISNA(MATCH(D1579,po_code,0)),"Poste inconnu",IF(INDEX(po_check,MATCH(D1579,po_code,0))&lt;&gt;"OK","Poste à corriger",IF(AND(E1579&lt;&gt;"",OR(NOT(ISNUMBER(E1579)),N(E1579)&lt;0)),"Réglage invalide",IF(AND(F1579&lt;&gt;"",OR(NOT(ISNUMBER(F1579)),N(F1579)&lt;0)),"Temps par pièce invalide",IF(N(E1579)+N(F1579)=0,"Temps manquant",IF(AND(G1579&lt;&gt;"",OR(NOT(ISNUMBER(G1579)),N(G1579)&lt;=0)),"Opérateurs invalide","OK"))))))))))</f>
        <v/>
      </c>
      <c r="N1579" s="71" t="str">
        <f>IF(AND(fiche_sel&lt;&gt;"",A1579=fiche_sel),COUNTIF(A$6:A1579,fiche_sel),"")</f>
        <v/>
      </c>
    </row>
    <row r="1580">
      <c r="A1580" s="60" t="n"/>
      <c r="B1580" s="73" t="n"/>
      <c r="C1580" s="60" t="n"/>
      <c r="D1580" s="61" t="n"/>
      <c r="E1580" s="74" t="n"/>
      <c r="F1580" s="74" t="n"/>
      <c r="G1580" s="73" t="n"/>
      <c r="H1580" s="66" t="str">
        <f>IF(M1580&lt;&gt;"OK","",INDEX(po_mo,MATCH(D1580,po_code,0)))</f>
        <v/>
      </c>
      <c r="I1580" s="66" t="str">
        <f>IF(M1580&lt;&gt;"OK","",INDEX(po_mac,MATCH(D1580,po_code,0)))</f>
        <v/>
      </c>
      <c r="J1580" s="66" t="str">
        <f>IF(M1580&lt;&gt;"OK","",N(E1580)*(H1580*IF(G1580="",1,G1580)+I1580))</f>
        <v/>
      </c>
      <c r="K1580" s="66" t="str">
        <f>IF(M1580&lt;&gt;"OK","",N(F1580)/60*H1580*IF(G1580="",1,G1580))</f>
        <v/>
      </c>
      <c r="L1580" s="66" t="str">
        <f>IF(M1580&lt;&gt;"OK","",N(F1580)/60*I1580)</f>
        <v/>
      </c>
      <c r="M1580" s="69" t="str">
        <f>IF(AND(A1580="",D1580=""),"",IF(A1580="","Produit manquant",IF(COUNTIF(prod_ref,A1580)=0,"Produit inconnu",IF(D1580="","Poste manquant",IF(ISNA(MATCH(D1580,po_code,0)),"Poste inconnu",IF(INDEX(po_check,MATCH(D1580,po_code,0))&lt;&gt;"OK","Poste à corriger",IF(AND(E1580&lt;&gt;"",OR(NOT(ISNUMBER(E1580)),N(E1580)&lt;0)),"Réglage invalide",IF(AND(F1580&lt;&gt;"",OR(NOT(ISNUMBER(F1580)),N(F1580)&lt;0)),"Temps par pièce invalide",IF(N(E1580)+N(F1580)=0,"Temps manquant",IF(AND(G1580&lt;&gt;"",OR(NOT(ISNUMBER(G1580)),N(G1580)&lt;=0)),"Opérateurs invalide","OK"))))))))))</f>
        <v/>
      </c>
      <c r="N1580" s="71" t="str">
        <f>IF(AND(fiche_sel&lt;&gt;"",A1580=fiche_sel),COUNTIF(A$6:A1580,fiche_sel),"")</f>
        <v/>
      </c>
    </row>
    <row r="1581">
      <c r="A1581" s="60" t="n"/>
      <c r="B1581" s="73" t="n"/>
      <c r="C1581" s="60" t="n"/>
      <c r="D1581" s="61" t="n"/>
      <c r="E1581" s="74" t="n"/>
      <c r="F1581" s="74" t="n"/>
      <c r="G1581" s="73" t="n"/>
      <c r="H1581" s="66" t="str">
        <f>IF(M1581&lt;&gt;"OK","",INDEX(po_mo,MATCH(D1581,po_code,0)))</f>
        <v/>
      </c>
      <c r="I1581" s="66" t="str">
        <f>IF(M1581&lt;&gt;"OK","",INDEX(po_mac,MATCH(D1581,po_code,0)))</f>
        <v/>
      </c>
      <c r="J1581" s="66" t="str">
        <f>IF(M1581&lt;&gt;"OK","",N(E1581)*(H1581*IF(G1581="",1,G1581)+I1581))</f>
        <v/>
      </c>
      <c r="K1581" s="66" t="str">
        <f>IF(M1581&lt;&gt;"OK","",N(F1581)/60*H1581*IF(G1581="",1,G1581))</f>
        <v/>
      </c>
      <c r="L1581" s="66" t="str">
        <f>IF(M1581&lt;&gt;"OK","",N(F1581)/60*I1581)</f>
        <v/>
      </c>
      <c r="M1581" s="69" t="str">
        <f>IF(AND(A1581="",D1581=""),"",IF(A1581="","Produit manquant",IF(COUNTIF(prod_ref,A1581)=0,"Produit inconnu",IF(D1581="","Poste manquant",IF(ISNA(MATCH(D1581,po_code,0)),"Poste inconnu",IF(INDEX(po_check,MATCH(D1581,po_code,0))&lt;&gt;"OK","Poste à corriger",IF(AND(E1581&lt;&gt;"",OR(NOT(ISNUMBER(E1581)),N(E1581)&lt;0)),"Réglage invalide",IF(AND(F1581&lt;&gt;"",OR(NOT(ISNUMBER(F1581)),N(F1581)&lt;0)),"Temps par pièce invalide",IF(N(E1581)+N(F1581)=0,"Temps manquant",IF(AND(G1581&lt;&gt;"",OR(NOT(ISNUMBER(G1581)),N(G1581)&lt;=0)),"Opérateurs invalide","OK"))))))))))</f>
        <v/>
      </c>
      <c r="N1581" s="71" t="str">
        <f>IF(AND(fiche_sel&lt;&gt;"",A1581=fiche_sel),COUNTIF(A$6:A1581,fiche_sel),"")</f>
        <v/>
      </c>
    </row>
    <row r="1582">
      <c r="A1582" s="60" t="n"/>
      <c r="B1582" s="73" t="n"/>
      <c r="C1582" s="60" t="n"/>
      <c r="D1582" s="61" t="n"/>
      <c r="E1582" s="74" t="n"/>
      <c r="F1582" s="74" t="n"/>
      <c r="G1582" s="73" t="n"/>
      <c r="H1582" s="66" t="str">
        <f>IF(M1582&lt;&gt;"OK","",INDEX(po_mo,MATCH(D1582,po_code,0)))</f>
        <v/>
      </c>
      <c r="I1582" s="66" t="str">
        <f>IF(M1582&lt;&gt;"OK","",INDEX(po_mac,MATCH(D1582,po_code,0)))</f>
        <v/>
      </c>
      <c r="J1582" s="66" t="str">
        <f>IF(M1582&lt;&gt;"OK","",N(E1582)*(H1582*IF(G1582="",1,G1582)+I1582))</f>
        <v/>
      </c>
      <c r="K1582" s="66" t="str">
        <f>IF(M1582&lt;&gt;"OK","",N(F1582)/60*H1582*IF(G1582="",1,G1582))</f>
        <v/>
      </c>
      <c r="L1582" s="66" t="str">
        <f>IF(M1582&lt;&gt;"OK","",N(F1582)/60*I1582)</f>
        <v/>
      </c>
      <c r="M1582" s="69" t="str">
        <f>IF(AND(A1582="",D1582=""),"",IF(A1582="","Produit manquant",IF(COUNTIF(prod_ref,A1582)=0,"Produit inconnu",IF(D1582="","Poste manquant",IF(ISNA(MATCH(D1582,po_code,0)),"Poste inconnu",IF(INDEX(po_check,MATCH(D1582,po_code,0))&lt;&gt;"OK","Poste à corriger",IF(AND(E1582&lt;&gt;"",OR(NOT(ISNUMBER(E1582)),N(E1582)&lt;0)),"Réglage invalide",IF(AND(F1582&lt;&gt;"",OR(NOT(ISNUMBER(F1582)),N(F1582)&lt;0)),"Temps par pièce invalide",IF(N(E1582)+N(F1582)=0,"Temps manquant",IF(AND(G1582&lt;&gt;"",OR(NOT(ISNUMBER(G1582)),N(G1582)&lt;=0)),"Opérateurs invalide","OK"))))))))))</f>
        <v/>
      </c>
      <c r="N1582" s="71" t="str">
        <f>IF(AND(fiche_sel&lt;&gt;"",A1582=fiche_sel),COUNTIF(A$6:A1582,fiche_sel),"")</f>
        <v/>
      </c>
    </row>
    <row r="1583">
      <c r="A1583" s="60" t="n"/>
      <c r="B1583" s="73" t="n"/>
      <c r="C1583" s="60" t="n"/>
      <c r="D1583" s="61" t="n"/>
      <c r="E1583" s="74" t="n"/>
      <c r="F1583" s="74" t="n"/>
      <c r="G1583" s="73" t="n"/>
      <c r="H1583" s="66" t="str">
        <f>IF(M1583&lt;&gt;"OK","",INDEX(po_mo,MATCH(D1583,po_code,0)))</f>
        <v/>
      </c>
      <c r="I1583" s="66" t="str">
        <f>IF(M1583&lt;&gt;"OK","",INDEX(po_mac,MATCH(D1583,po_code,0)))</f>
        <v/>
      </c>
      <c r="J1583" s="66" t="str">
        <f>IF(M1583&lt;&gt;"OK","",N(E1583)*(H1583*IF(G1583="",1,G1583)+I1583))</f>
        <v/>
      </c>
      <c r="K1583" s="66" t="str">
        <f>IF(M1583&lt;&gt;"OK","",N(F1583)/60*H1583*IF(G1583="",1,G1583))</f>
        <v/>
      </c>
      <c r="L1583" s="66" t="str">
        <f>IF(M1583&lt;&gt;"OK","",N(F1583)/60*I1583)</f>
        <v/>
      </c>
      <c r="M1583" s="69" t="str">
        <f>IF(AND(A1583="",D1583=""),"",IF(A1583="","Produit manquant",IF(COUNTIF(prod_ref,A1583)=0,"Produit inconnu",IF(D1583="","Poste manquant",IF(ISNA(MATCH(D1583,po_code,0)),"Poste inconnu",IF(INDEX(po_check,MATCH(D1583,po_code,0))&lt;&gt;"OK","Poste à corriger",IF(AND(E1583&lt;&gt;"",OR(NOT(ISNUMBER(E1583)),N(E1583)&lt;0)),"Réglage invalide",IF(AND(F1583&lt;&gt;"",OR(NOT(ISNUMBER(F1583)),N(F1583)&lt;0)),"Temps par pièce invalide",IF(N(E1583)+N(F1583)=0,"Temps manquant",IF(AND(G1583&lt;&gt;"",OR(NOT(ISNUMBER(G1583)),N(G1583)&lt;=0)),"Opérateurs invalide","OK"))))))))))</f>
        <v/>
      </c>
      <c r="N1583" s="71" t="str">
        <f>IF(AND(fiche_sel&lt;&gt;"",A1583=fiche_sel),COUNTIF(A$6:A1583,fiche_sel),"")</f>
        <v/>
      </c>
    </row>
    <row r="1584">
      <c r="A1584" s="60" t="n"/>
      <c r="B1584" s="73" t="n"/>
      <c r="C1584" s="60" t="n"/>
      <c r="D1584" s="61" t="n"/>
      <c r="E1584" s="74" t="n"/>
      <c r="F1584" s="74" t="n"/>
      <c r="G1584" s="73" t="n"/>
      <c r="H1584" s="66" t="str">
        <f>IF(M1584&lt;&gt;"OK","",INDEX(po_mo,MATCH(D1584,po_code,0)))</f>
        <v/>
      </c>
      <c r="I1584" s="66" t="str">
        <f>IF(M1584&lt;&gt;"OK","",INDEX(po_mac,MATCH(D1584,po_code,0)))</f>
        <v/>
      </c>
      <c r="J1584" s="66" t="str">
        <f>IF(M1584&lt;&gt;"OK","",N(E1584)*(H1584*IF(G1584="",1,G1584)+I1584))</f>
        <v/>
      </c>
      <c r="K1584" s="66" t="str">
        <f>IF(M1584&lt;&gt;"OK","",N(F1584)/60*H1584*IF(G1584="",1,G1584))</f>
        <v/>
      </c>
      <c r="L1584" s="66" t="str">
        <f>IF(M1584&lt;&gt;"OK","",N(F1584)/60*I1584)</f>
        <v/>
      </c>
      <c r="M1584" s="69" t="str">
        <f>IF(AND(A1584="",D1584=""),"",IF(A1584="","Produit manquant",IF(COUNTIF(prod_ref,A1584)=0,"Produit inconnu",IF(D1584="","Poste manquant",IF(ISNA(MATCH(D1584,po_code,0)),"Poste inconnu",IF(INDEX(po_check,MATCH(D1584,po_code,0))&lt;&gt;"OK","Poste à corriger",IF(AND(E1584&lt;&gt;"",OR(NOT(ISNUMBER(E1584)),N(E1584)&lt;0)),"Réglage invalide",IF(AND(F1584&lt;&gt;"",OR(NOT(ISNUMBER(F1584)),N(F1584)&lt;0)),"Temps par pièce invalide",IF(N(E1584)+N(F1584)=0,"Temps manquant",IF(AND(G1584&lt;&gt;"",OR(NOT(ISNUMBER(G1584)),N(G1584)&lt;=0)),"Opérateurs invalide","OK"))))))))))</f>
        <v/>
      </c>
      <c r="N1584" s="71" t="str">
        <f>IF(AND(fiche_sel&lt;&gt;"",A1584=fiche_sel),COUNTIF(A$6:A1584,fiche_sel),"")</f>
        <v/>
      </c>
    </row>
    <row r="1585">
      <c r="A1585" s="60" t="n"/>
      <c r="B1585" s="73" t="n"/>
      <c r="C1585" s="60" t="n"/>
      <c r="D1585" s="61" t="n"/>
      <c r="E1585" s="74" t="n"/>
      <c r="F1585" s="74" t="n"/>
      <c r="G1585" s="73" t="n"/>
      <c r="H1585" s="66" t="str">
        <f>IF(M1585&lt;&gt;"OK","",INDEX(po_mo,MATCH(D1585,po_code,0)))</f>
        <v/>
      </c>
      <c r="I1585" s="66" t="str">
        <f>IF(M1585&lt;&gt;"OK","",INDEX(po_mac,MATCH(D1585,po_code,0)))</f>
        <v/>
      </c>
      <c r="J1585" s="66" t="str">
        <f>IF(M1585&lt;&gt;"OK","",N(E1585)*(H1585*IF(G1585="",1,G1585)+I1585))</f>
        <v/>
      </c>
      <c r="K1585" s="66" t="str">
        <f>IF(M1585&lt;&gt;"OK","",N(F1585)/60*H1585*IF(G1585="",1,G1585))</f>
        <v/>
      </c>
      <c r="L1585" s="66" t="str">
        <f>IF(M1585&lt;&gt;"OK","",N(F1585)/60*I1585)</f>
        <v/>
      </c>
      <c r="M1585" s="69" t="str">
        <f>IF(AND(A1585="",D1585=""),"",IF(A1585="","Produit manquant",IF(COUNTIF(prod_ref,A1585)=0,"Produit inconnu",IF(D1585="","Poste manquant",IF(ISNA(MATCH(D1585,po_code,0)),"Poste inconnu",IF(INDEX(po_check,MATCH(D1585,po_code,0))&lt;&gt;"OK","Poste à corriger",IF(AND(E1585&lt;&gt;"",OR(NOT(ISNUMBER(E1585)),N(E1585)&lt;0)),"Réglage invalide",IF(AND(F1585&lt;&gt;"",OR(NOT(ISNUMBER(F1585)),N(F1585)&lt;0)),"Temps par pièce invalide",IF(N(E1585)+N(F1585)=0,"Temps manquant",IF(AND(G1585&lt;&gt;"",OR(NOT(ISNUMBER(G1585)),N(G1585)&lt;=0)),"Opérateurs invalide","OK"))))))))))</f>
        <v/>
      </c>
      <c r="N1585" s="71" t="str">
        <f>IF(AND(fiche_sel&lt;&gt;"",A1585=fiche_sel),COUNTIF(A$6:A1585,fiche_sel),"")</f>
        <v/>
      </c>
    </row>
    <row r="1586">
      <c r="A1586" s="60" t="n"/>
      <c r="B1586" s="73" t="n"/>
      <c r="C1586" s="60" t="n"/>
      <c r="D1586" s="61" t="n"/>
      <c r="E1586" s="74" t="n"/>
      <c r="F1586" s="74" t="n"/>
      <c r="G1586" s="73" t="n"/>
      <c r="H1586" s="66" t="str">
        <f>IF(M1586&lt;&gt;"OK","",INDEX(po_mo,MATCH(D1586,po_code,0)))</f>
        <v/>
      </c>
      <c r="I1586" s="66" t="str">
        <f>IF(M1586&lt;&gt;"OK","",INDEX(po_mac,MATCH(D1586,po_code,0)))</f>
        <v/>
      </c>
      <c r="J1586" s="66" t="str">
        <f>IF(M1586&lt;&gt;"OK","",N(E1586)*(H1586*IF(G1586="",1,G1586)+I1586))</f>
        <v/>
      </c>
      <c r="K1586" s="66" t="str">
        <f>IF(M1586&lt;&gt;"OK","",N(F1586)/60*H1586*IF(G1586="",1,G1586))</f>
        <v/>
      </c>
      <c r="L1586" s="66" t="str">
        <f>IF(M1586&lt;&gt;"OK","",N(F1586)/60*I1586)</f>
        <v/>
      </c>
      <c r="M1586" s="69" t="str">
        <f>IF(AND(A1586="",D1586=""),"",IF(A1586="","Produit manquant",IF(COUNTIF(prod_ref,A1586)=0,"Produit inconnu",IF(D1586="","Poste manquant",IF(ISNA(MATCH(D1586,po_code,0)),"Poste inconnu",IF(INDEX(po_check,MATCH(D1586,po_code,0))&lt;&gt;"OK","Poste à corriger",IF(AND(E1586&lt;&gt;"",OR(NOT(ISNUMBER(E1586)),N(E1586)&lt;0)),"Réglage invalide",IF(AND(F1586&lt;&gt;"",OR(NOT(ISNUMBER(F1586)),N(F1586)&lt;0)),"Temps par pièce invalide",IF(N(E1586)+N(F1586)=0,"Temps manquant",IF(AND(G1586&lt;&gt;"",OR(NOT(ISNUMBER(G1586)),N(G1586)&lt;=0)),"Opérateurs invalide","OK"))))))))))</f>
        <v/>
      </c>
      <c r="N1586" s="71" t="str">
        <f>IF(AND(fiche_sel&lt;&gt;"",A1586=fiche_sel),COUNTIF(A$6:A1586,fiche_sel),"")</f>
        <v/>
      </c>
    </row>
    <row r="1587">
      <c r="A1587" s="60" t="n"/>
      <c r="B1587" s="73" t="n"/>
      <c r="C1587" s="60" t="n"/>
      <c r="D1587" s="61" t="n"/>
      <c r="E1587" s="74" t="n"/>
      <c r="F1587" s="74" t="n"/>
      <c r="G1587" s="73" t="n"/>
      <c r="H1587" s="66" t="str">
        <f>IF(M1587&lt;&gt;"OK","",INDEX(po_mo,MATCH(D1587,po_code,0)))</f>
        <v/>
      </c>
      <c r="I1587" s="66" t="str">
        <f>IF(M1587&lt;&gt;"OK","",INDEX(po_mac,MATCH(D1587,po_code,0)))</f>
        <v/>
      </c>
      <c r="J1587" s="66" t="str">
        <f>IF(M1587&lt;&gt;"OK","",N(E1587)*(H1587*IF(G1587="",1,G1587)+I1587))</f>
        <v/>
      </c>
      <c r="K1587" s="66" t="str">
        <f>IF(M1587&lt;&gt;"OK","",N(F1587)/60*H1587*IF(G1587="",1,G1587))</f>
        <v/>
      </c>
      <c r="L1587" s="66" t="str">
        <f>IF(M1587&lt;&gt;"OK","",N(F1587)/60*I1587)</f>
        <v/>
      </c>
      <c r="M1587" s="69" t="str">
        <f>IF(AND(A1587="",D1587=""),"",IF(A1587="","Produit manquant",IF(COUNTIF(prod_ref,A1587)=0,"Produit inconnu",IF(D1587="","Poste manquant",IF(ISNA(MATCH(D1587,po_code,0)),"Poste inconnu",IF(INDEX(po_check,MATCH(D1587,po_code,0))&lt;&gt;"OK","Poste à corriger",IF(AND(E1587&lt;&gt;"",OR(NOT(ISNUMBER(E1587)),N(E1587)&lt;0)),"Réglage invalide",IF(AND(F1587&lt;&gt;"",OR(NOT(ISNUMBER(F1587)),N(F1587)&lt;0)),"Temps par pièce invalide",IF(N(E1587)+N(F1587)=0,"Temps manquant",IF(AND(G1587&lt;&gt;"",OR(NOT(ISNUMBER(G1587)),N(G1587)&lt;=0)),"Opérateurs invalide","OK"))))))))))</f>
        <v/>
      </c>
      <c r="N1587" s="71" t="str">
        <f>IF(AND(fiche_sel&lt;&gt;"",A1587=fiche_sel),COUNTIF(A$6:A1587,fiche_sel),"")</f>
        <v/>
      </c>
    </row>
    <row r="1588">
      <c r="A1588" s="60" t="n"/>
      <c r="B1588" s="73" t="n"/>
      <c r="C1588" s="60" t="n"/>
      <c r="D1588" s="61" t="n"/>
      <c r="E1588" s="74" t="n"/>
      <c r="F1588" s="74" t="n"/>
      <c r="G1588" s="73" t="n"/>
      <c r="H1588" s="66" t="str">
        <f>IF(M1588&lt;&gt;"OK","",INDEX(po_mo,MATCH(D1588,po_code,0)))</f>
        <v/>
      </c>
      <c r="I1588" s="66" t="str">
        <f>IF(M1588&lt;&gt;"OK","",INDEX(po_mac,MATCH(D1588,po_code,0)))</f>
        <v/>
      </c>
      <c r="J1588" s="66" t="str">
        <f>IF(M1588&lt;&gt;"OK","",N(E1588)*(H1588*IF(G1588="",1,G1588)+I1588))</f>
        <v/>
      </c>
      <c r="K1588" s="66" t="str">
        <f>IF(M1588&lt;&gt;"OK","",N(F1588)/60*H1588*IF(G1588="",1,G1588))</f>
        <v/>
      </c>
      <c r="L1588" s="66" t="str">
        <f>IF(M1588&lt;&gt;"OK","",N(F1588)/60*I1588)</f>
        <v/>
      </c>
      <c r="M1588" s="69" t="str">
        <f>IF(AND(A1588="",D1588=""),"",IF(A1588="","Produit manquant",IF(COUNTIF(prod_ref,A1588)=0,"Produit inconnu",IF(D1588="","Poste manquant",IF(ISNA(MATCH(D1588,po_code,0)),"Poste inconnu",IF(INDEX(po_check,MATCH(D1588,po_code,0))&lt;&gt;"OK","Poste à corriger",IF(AND(E1588&lt;&gt;"",OR(NOT(ISNUMBER(E1588)),N(E1588)&lt;0)),"Réglage invalide",IF(AND(F1588&lt;&gt;"",OR(NOT(ISNUMBER(F1588)),N(F1588)&lt;0)),"Temps par pièce invalide",IF(N(E1588)+N(F1588)=0,"Temps manquant",IF(AND(G1588&lt;&gt;"",OR(NOT(ISNUMBER(G1588)),N(G1588)&lt;=0)),"Opérateurs invalide","OK"))))))))))</f>
        <v/>
      </c>
      <c r="N1588" s="71" t="str">
        <f>IF(AND(fiche_sel&lt;&gt;"",A1588=fiche_sel),COUNTIF(A$6:A1588,fiche_sel),"")</f>
        <v/>
      </c>
    </row>
    <row r="1589">
      <c r="A1589" s="60" t="n"/>
      <c r="B1589" s="73" t="n"/>
      <c r="C1589" s="60" t="n"/>
      <c r="D1589" s="61" t="n"/>
      <c r="E1589" s="74" t="n"/>
      <c r="F1589" s="74" t="n"/>
      <c r="G1589" s="73" t="n"/>
      <c r="H1589" s="66" t="str">
        <f>IF(M1589&lt;&gt;"OK","",INDEX(po_mo,MATCH(D1589,po_code,0)))</f>
        <v/>
      </c>
      <c r="I1589" s="66" t="str">
        <f>IF(M1589&lt;&gt;"OK","",INDEX(po_mac,MATCH(D1589,po_code,0)))</f>
        <v/>
      </c>
      <c r="J1589" s="66" t="str">
        <f>IF(M1589&lt;&gt;"OK","",N(E1589)*(H1589*IF(G1589="",1,G1589)+I1589))</f>
        <v/>
      </c>
      <c r="K1589" s="66" t="str">
        <f>IF(M1589&lt;&gt;"OK","",N(F1589)/60*H1589*IF(G1589="",1,G1589))</f>
        <v/>
      </c>
      <c r="L1589" s="66" t="str">
        <f>IF(M1589&lt;&gt;"OK","",N(F1589)/60*I1589)</f>
        <v/>
      </c>
      <c r="M1589" s="69" t="str">
        <f>IF(AND(A1589="",D1589=""),"",IF(A1589="","Produit manquant",IF(COUNTIF(prod_ref,A1589)=0,"Produit inconnu",IF(D1589="","Poste manquant",IF(ISNA(MATCH(D1589,po_code,0)),"Poste inconnu",IF(INDEX(po_check,MATCH(D1589,po_code,0))&lt;&gt;"OK","Poste à corriger",IF(AND(E1589&lt;&gt;"",OR(NOT(ISNUMBER(E1589)),N(E1589)&lt;0)),"Réglage invalide",IF(AND(F1589&lt;&gt;"",OR(NOT(ISNUMBER(F1589)),N(F1589)&lt;0)),"Temps par pièce invalide",IF(N(E1589)+N(F1589)=0,"Temps manquant",IF(AND(G1589&lt;&gt;"",OR(NOT(ISNUMBER(G1589)),N(G1589)&lt;=0)),"Opérateurs invalide","OK"))))))))))</f>
        <v/>
      </c>
      <c r="N1589" s="71" t="str">
        <f>IF(AND(fiche_sel&lt;&gt;"",A1589=fiche_sel),COUNTIF(A$6:A1589,fiche_sel),"")</f>
        <v/>
      </c>
    </row>
    <row r="1590">
      <c r="A1590" s="60" t="n"/>
      <c r="B1590" s="73" t="n"/>
      <c r="C1590" s="60" t="n"/>
      <c r="D1590" s="61" t="n"/>
      <c r="E1590" s="74" t="n"/>
      <c r="F1590" s="74" t="n"/>
      <c r="G1590" s="73" t="n"/>
      <c r="H1590" s="66" t="str">
        <f>IF(M1590&lt;&gt;"OK","",INDEX(po_mo,MATCH(D1590,po_code,0)))</f>
        <v/>
      </c>
      <c r="I1590" s="66" t="str">
        <f>IF(M1590&lt;&gt;"OK","",INDEX(po_mac,MATCH(D1590,po_code,0)))</f>
        <v/>
      </c>
      <c r="J1590" s="66" t="str">
        <f>IF(M1590&lt;&gt;"OK","",N(E1590)*(H1590*IF(G1590="",1,G1590)+I1590))</f>
        <v/>
      </c>
      <c r="K1590" s="66" t="str">
        <f>IF(M1590&lt;&gt;"OK","",N(F1590)/60*H1590*IF(G1590="",1,G1590))</f>
        <v/>
      </c>
      <c r="L1590" s="66" t="str">
        <f>IF(M1590&lt;&gt;"OK","",N(F1590)/60*I1590)</f>
        <v/>
      </c>
      <c r="M1590" s="69" t="str">
        <f>IF(AND(A1590="",D1590=""),"",IF(A1590="","Produit manquant",IF(COUNTIF(prod_ref,A1590)=0,"Produit inconnu",IF(D1590="","Poste manquant",IF(ISNA(MATCH(D1590,po_code,0)),"Poste inconnu",IF(INDEX(po_check,MATCH(D1590,po_code,0))&lt;&gt;"OK","Poste à corriger",IF(AND(E1590&lt;&gt;"",OR(NOT(ISNUMBER(E1590)),N(E1590)&lt;0)),"Réglage invalide",IF(AND(F1590&lt;&gt;"",OR(NOT(ISNUMBER(F1590)),N(F1590)&lt;0)),"Temps par pièce invalide",IF(N(E1590)+N(F1590)=0,"Temps manquant",IF(AND(G1590&lt;&gt;"",OR(NOT(ISNUMBER(G1590)),N(G1590)&lt;=0)),"Opérateurs invalide","OK"))))))))))</f>
        <v/>
      </c>
      <c r="N1590" s="71" t="str">
        <f>IF(AND(fiche_sel&lt;&gt;"",A1590=fiche_sel),COUNTIF(A$6:A1590,fiche_sel),"")</f>
        <v/>
      </c>
    </row>
    <row r="1591">
      <c r="A1591" s="60" t="n"/>
      <c r="B1591" s="73" t="n"/>
      <c r="C1591" s="60" t="n"/>
      <c r="D1591" s="61" t="n"/>
      <c r="E1591" s="74" t="n"/>
      <c r="F1591" s="74" t="n"/>
      <c r="G1591" s="73" t="n"/>
      <c r="H1591" s="66" t="str">
        <f>IF(M1591&lt;&gt;"OK","",INDEX(po_mo,MATCH(D1591,po_code,0)))</f>
        <v/>
      </c>
      <c r="I1591" s="66" t="str">
        <f>IF(M1591&lt;&gt;"OK","",INDEX(po_mac,MATCH(D1591,po_code,0)))</f>
        <v/>
      </c>
      <c r="J1591" s="66" t="str">
        <f>IF(M1591&lt;&gt;"OK","",N(E1591)*(H1591*IF(G1591="",1,G1591)+I1591))</f>
        <v/>
      </c>
      <c r="K1591" s="66" t="str">
        <f>IF(M1591&lt;&gt;"OK","",N(F1591)/60*H1591*IF(G1591="",1,G1591))</f>
        <v/>
      </c>
      <c r="L1591" s="66" t="str">
        <f>IF(M1591&lt;&gt;"OK","",N(F1591)/60*I1591)</f>
        <v/>
      </c>
      <c r="M1591" s="69" t="str">
        <f>IF(AND(A1591="",D1591=""),"",IF(A1591="","Produit manquant",IF(COUNTIF(prod_ref,A1591)=0,"Produit inconnu",IF(D1591="","Poste manquant",IF(ISNA(MATCH(D1591,po_code,0)),"Poste inconnu",IF(INDEX(po_check,MATCH(D1591,po_code,0))&lt;&gt;"OK","Poste à corriger",IF(AND(E1591&lt;&gt;"",OR(NOT(ISNUMBER(E1591)),N(E1591)&lt;0)),"Réglage invalide",IF(AND(F1591&lt;&gt;"",OR(NOT(ISNUMBER(F1591)),N(F1591)&lt;0)),"Temps par pièce invalide",IF(N(E1591)+N(F1591)=0,"Temps manquant",IF(AND(G1591&lt;&gt;"",OR(NOT(ISNUMBER(G1591)),N(G1591)&lt;=0)),"Opérateurs invalide","OK"))))))))))</f>
        <v/>
      </c>
      <c r="N1591" s="71" t="str">
        <f>IF(AND(fiche_sel&lt;&gt;"",A1591=fiche_sel),COUNTIF(A$6:A1591,fiche_sel),"")</f>
        <v/>
      </c>
    </row>
    <row r="1592">
      <c r="A1592" s="60" t="n"/>
      <c r="B1592" s="73" t="n"/>
      <c r="C1592" s="60" t="n"/>
      <c r="D1592" s="61" t="n"/>
      <c r="E1592" s="74" t="n"/>
      <c r="F1592" s="74" t="n"/>
      <c r="G1592" s="73" t="n"/>
      <c r="H1592" s="66" t="str">
        <f>IF(M1592&lt;&gt;"OK","",INDEX(po_mo,MATCH(D1592,po_code,0)))</f>
        <v/>
      </c>
      <c r="I1592" s="66" t="str">
        <f>IF(M1592&lt;&gt;"OK","",INDEX(po_mac,MATCH(D1592,po_code,0)))</f>
        <v/>
      </c>
      <c r="J1592" s="66" t="str">
        <f>IF(M1592&lt;&gt;"OK","",N(E1592)*(H1592*IF(G1592="",1,G1592)+I1592))</f>
        <v/>
      </c>
      <c r="K1592" s="66" t="str">
        <f>IF(M1592&lt;&gt;"OK","",N(F1592)/60*H1592*IF(G1592="",1,G1592))</f>
        <v/>
      </c>
      <c r="L1592" s="66" t="str">
        <f>IF(M1592&lt;&gt;"OK","",N(F1592)/60*I1592)</f>
        <v/>
      </c>
      <c r="M1592" s="69" t="str">
        <f>IF(AND(A1592="",D1592=""),"",IF(A1592="","Produit manquant",IF(COUNTIF(prod_ref,A1592)=0,"Produit inconnu",IF(D1592="","Poste manquant",IF(ISNA(MATCH(D1592,po_code,0)),"Poste inconnu",IF(INDEX(po_check,MATCH(D1592,po_code,0))&lt;&gt;"OK","Poste à corriger",IF(AND(E1592&lt;&gt;"",OR(NOT(ISNUMBER(E1592)),N(E1592)&lt;0)),"Réglage invalide",IF(AND(F1592&lt;&gt;"",OR(NOT(ISNUMBER(F1592)),N(F1592)&lt;0)),"Temps par pièce invalide",IF(N(E1592)+N(F1592)=0,"Temps manquant",IF(AND(G1592&lt;&gt;"",OR(NOT(ISNUMBER(G1592)),N(G1592)&lt;=0)),"Opérateurs invalide","OK"))))))))))</f>
        <v/>
      </c>
      <c r="N1592" s="71" t="str">
        <f>IF(AND(fiche_sel&lt;&gt;"",A1592=fiche_sel),COUNTIF(A$6:A1592,fiche_sel),"")</f>
        <v/>
      </c>
    </row>
    <row r="1593">
      <c r="A1593" s="60" t="n"/>
      <c r="B1593" s="73" t="n"/>
      <c r="C1593" s="60" t="n"/>
      <c r="D1593" s="61" t="n"/>
      <c r="E1593" s="74" t="n"/>
      <c r="F1593" s="74" t="n"/>
      <c r="G1593" s="73" t="n"/>
      <c r="H1593" s="66" t="str">
        <f>IF(M1593&lt;&gt;"OK","",INDEX(po_mo,MATCH(D1593,po_code,0)))</f>
        <v/>
      </c>
      <c r="I1593" s="66" t="str">
        <f>IF(M1593&lt;&gt;"OK","",INDEX(po_mac,MATCH(D1593,po_code,0)))</f>
        <v/>
      </c>
      <c r="J1593" s="66" t="str">
        <f>IF(M1593&lt;&gt;"OK","",N(E1593)*(H1593*IF(G1593="",1,G1593)+I1593))</f>
        <v/>
      </c>
      <c r="K1593" s="66" t="str">
        <f>IF(M1593&lt;&gt;"OK","",N(F1593)/60*H1593*IF(G1593="",1,G1593))</f>
        <v/>
      </c>
      <c r="L1593" s="66" t="str">
        <f>IF(M1593&lt;&gt;"OK","",N(F1593)/60*I1593)</f>
        <v/>
      </c>
      <c r="M1593" s="69" t="str">
        <f>IF(AND(A1593="",D1593=""),"",IF(A1593="","Produit manquant",IF(COUNTIF(prod_ref,A1593)=0,"Produit inconnu",IF(D1593="","Poste manquant",IF(ISNA(MATCH(D1593,po_code,0)),"Poste inconnu",IF(INDEX(po_check,MATCH(D1593,po_code,0))&lt;&gt;"OK","Poste à corriger",IF(AND(E1593&lt;&gt;"",OR(NOT(ISNUMBER(E1593)),N(E1593)&lt;0)),"Réglage invalide",IF(AND(F1593&lt;&gt;"",OR(NOT(ISNUMBER(F1593)),N(F1593)&lt;0)),"Temps par pièce invalide",IF(N(E1593)+N(F1593)=0,"Temps manquant",IF(AND(G1593&lt;&gt;"",OR(NOT(ISNUMBER(G1593)),N(G1593)&lt;=0)),"Opérateurs invalide","OK"))))))))))</f>
        <v/>
      </c>
      <c r="N1593" s="71" t="str">
        <f>IF(AND(fiche_sel&lt;&gt;"",A1593=fiche_sel),COUNTIF(A$6:A1593,fiche_sel),"")</f>
        <v/>
      </c>
    </row>
    <row r="1594">
      <c r="A1594" s="60" t="n"/>
      <c r="B1594" s="73" t="n"/>
      <c r="C1594" s="60" t="n"/>
      <c r="D1594" s="61" t="n"/>
      <c r="E1594" s="74" t="n"/>
      <c r="F1594" s="74" t="n"/>
      <c r="G1594" s="73" t="n"/>
      <c r="H1594" s="66" t="str">
        <f>IF(M1594&lt;&gt;"OK","",INDEX(po_mo,MATCH(D1594,po_code,0)))</f>
        <v/>
      </c>
      <c r="I1594" s="66" t="str">
        <f>IF(M1594&lt;&gt;"OK","",INDEX(po_mac,MATCH(D1594,po_code,0)))</f>
        <v/>
      </c>
      <c r="J1594" s="66" t="str">
        <f>IF(M1594&lt;&gt;"OK","",N(E1594)*(H1594*IF(G1594="",1,G1594)+I1594))</f>
        <v/>
      </c>
      <c r="K1594" s="66" t="str">
        <f>IF(M1594&lt;&gt;"OK","",N(F1594)/60*H1594*IF(G1594="",1,G1594))</f>
        <v/>
      </c>
      <c r="L1594" s="66" t="str">
        <f>IF(M1594&lt;&gt;"OK","",N(F1594)/60*I1594)</f>
        <v/>
      </c>
      <c r="M1594" s="69" t="str">
        <f>IF(AND(A1594="",D1594=""),"",IF(A1594="","Produit manquant",IF(COUNTIF(prod_ref,A1594)=0,"Produit inconnu",IF(D1594="","Poste manquant",IF(ISNA(MATCH(D1594,po_code,0)),"Poste inconnu",IF(INDEX(po_check,MATCH(D1594,po_code,0))&lt;&gt;"OK","Poste à corriger",IF(AND(E1594&lt;&gt;"",OR(NOT(ISNUMBER(E1594)),N(E1594)&lt;0)),"Réglage invalide",IF(AND(F1594&lt;&gt;"",OR(NOT(ISNUMBER(F1594)),N(F1594)&lt;0)),"Temps par pièce invalide",IF(N(E1594)+N(F1594)=0,"Temps manquant",IF(AND(G1594&lt;&gt;"",OR(NOT(ISNUMBER(G1594)),N(G1594)&lt;=0)),"Opérateurs invalide","OK"))))))))))</f>
        <v/>
      </c>
      <c r="N1594" s="71" t="str">
        <f>IF(AND(fiche_sel&lt;&gt;"",A1594=fiche_sel),COUNTIF(A$6:A1594,fiche_sel),"")</f>
        <v/>
      </c>
    </row>
    <row r="1595">
      <c r="A1595" s="60" t="n"/>
      <c r="B1595" s="73" t="n"/>
      <c r="C1595" s="60" t="n"/>
      <c r="D1595" s="61" t="n"/>
      <c r="E1595" s="74" t="n"/>
      <c r="F1595" s="74" t="n"/>
      <c r="G1595" s="73" t="n"/>
      <c r="H1595" s="66" t="str">
        <f>IF(M1595&lt;&gt;"OK","",INDEX(po_mo,MATCH(D1595,po_code,0)))</f>
        <v/>
      </c>
      <c r="I1595" s="66" t="str">
        <f>IF(M1595&lt;&gt;"OK","",INDEX(po_mac,MATCH(D1595,po_code,0)))</f>
        <v/>
      </c>
      <c r="J1595" s="66" t="str">
        <f>IF(M1595&lt;&gt;"OK","",N(E1595)*(H1595*IF(G1595="",1,G1595)+I1595))</f>
        <v/>
      </c>
      <c r="K1595" s="66" t="str">
        <f>IF(M1595&lt;&gt;"OK","",N(F1595)/60*H1595*IF(G1595="",1,G1595))</f>
        <v/>
      </c>
      <c r="L1595" s="66" t="str">
        <f>IF(M1595&lt;&gt;"OK","",N(F1595)/60*I1595)</f>
        <v/>
      </c>
      <c r="M1595" s="69" t="str">
        <f>IF(AND(A1595="",D1595=""),"",IF(A1595="","Produit manquant",IF(COUNTIF(prod_ref,A1595)=0,"Produit inconnu",IF(D1595="","Poste manquant",IF(ISNA(MATCH(D1595,po_code,0)),"Poste inconnu",IF(INDEX(po_check,MATCH(D1595,po_code,0))&lt;&gt;"OK","Poste à corriger",IF(AND(E1595&lt;&gt;"",OR(NOT(ISNUMBER(E1595)),N(E1595)&lt;0)),"Réglage invalide",IF(AND(F1595&lt;&gt;"",OR(NOT(ISNUMBER(F1595)),N(F1595)&lt;0)),"Temps par pièce invalide",IF(N(E1595)+N(F1595)=0,"Temps manquant",IF(AND(G1595&lt;&gt;"",OR(NOT(ISNUMBER(G1595)),N(G1595)&lt;=0)),"Opérateurs invalide","OK"))))))))))</f>
        <v/>
      </c>
      <c r="N1595" s="71" t="str">
        <f>IF(AND(fiche_sel&lt;&gt;"",A1595=fiche_sel),COUNTIF(A$6:A1595,fiche_sel),"")</f>
        <v/>
      </c>
    </row>
    <row r="1596">
      <c r="A1596" s="60" t="n"/>
      <c r="B1596" s="73" t="n"/>
      <c r="C1596" s="60" t="n"/>
      <c r="D1596" s="61" t="n"/>
      <c r="E1596" s="74" t="n"/>
      <c r="F1596" s="74" t="n"/>
      <c r="G1596" s="73" t="n"/>
      <c r="H1596" s="66" t="str">
        <f>IF(M1596&lt;&gt;"OK","",INDEX(po_mo,MATCH(D1596,po_code,0)))</f>
        <v/>
      </c>
      <c r="I1596" s="66" t="str">
        <f>IF(M1596&lt;&gt;"OK","",INDEX(po_mac,MATCH(D1596,po_code,0)))</f>
        <v/>
      </c>
      <c r="J1596" s="66" t="str">
        <f>IF(M1596&lt;&gt;"OK","",N(E1596)*(H1596*IF(G1596="",1,G1596)+I1596))</f>
        <v/>
      </c>
      <c r="K1596" s="66" t="str">
        <f>IF(M1596&lt;&gt;"OK","",N(F1596)/60*H1596*IF(G1596="",1,G1596))</f>
        <v/>
      </c>
      <c r="L1596" s="66" t="str">
        <f>IF(M1596&lt;&gt;"OK","",N(F1596)/60*I1596)</f>
        <v/>
      </c>
      <c r="M1596" s="69" t="str">
        <f>IF(AND(A1596="",D1596=""),"",IF(A1596="","Produit manquant",IF(COUNTIF(prod_ref,A1596)=0,"Produit inconnu",IF(D1596="","Poste manquant",IF(ISNA(MATCH(D1596,po_code,0)),"Poste inconnu",IF(INDEX(po_check,MATCH(D1596,po_code,0))&lt;&gt;"OK","Poste à corriger",IF(AND(E1596&lt;&gt;"",OR(NOT(ISNUMBER(E1596)),N(E1596)&lt;0)),"Réglage invalide",IF(AND(F1596&lt;&gt;"",OR(NOT(ISNUMBER(F1596)),N(F1596)&lt;0)),"Temps par pièce invalide",IF(N(E1596)+N(F1596)=0,"Temps manquant",IF(AND(G1596&lt;&gt;"",OR(NOT(ISNUMBER(G1596)),N(G1596)&lt;=0)),"Opérateurs invalide","OK"))))))))))</f>
        <v/>
      </c>
      <c r="N1596" s="71" t="str">
        <f>IF(AND(fiche_sel&lt;&gt;"",A1596=fiche_sel),COUNTIF(A$6:A1596,fiche_sel),"")</f>
        <v/>
      </c>
    </row>
    <row r="1597">
      <c r="A1597" s="60" t="n"/>
      <c r="B1597" s="73" t="n"/>
      <c r="C1597" s="60" t="n"/>
      <c r="D1597" s="61" t="n"/>
      <c r="E1597" s="74" t="n"/>
      <c r="F1597" s="74" t="n"/>
      <c r="G1597" s="73" t="n"/>
      <c r="H1597" s="66" t="str">
        <f>IF(M1597&lt;&gt;"OK","",INDEX(po_mo,MATCH(D1597,po_code,0)))</f>
        <v/>
      </c>
      <c r="I1597" s="66" t="str">
        <f>IF(M1597&lt;&gt;"OK","",INDEX(po_mac,MATCH(D1597,po_code,0)))</f>
        <v/>
      </c>
      <c r="J1597" s="66" t="str">
        <f>IF(M1597&lt;&gt;"OK","",N(E1597)*(H1597*IF(G1597="",1,G1597)+I1597))</f>
        <v/>
      </c>
      <c r="K1597" s="66" t="str">
        <f>IF(M1597&lt;&gt;"OK","",N(F1597)/60*H1597*IF(G1597="",1,G1597))</f>
        <v/>
      </c>
      <c r="L1597" s="66" t="str">
        <f>IF(M1597&lt;&gt;"OK","",N(F1597)/60*I1597)</f>
        <v/>
      </c>
      <c r="M1597" s="69" t="str">
        <f>IF(AND(A1597="",D1597=""),"",IF(A1597="","Produit manquant",IF(COUNTIF(prod_ref,A1597)=0,"Produit inconnu",IF(D1597="","Poste manquant",IF(ISNA(MATCH(D1597,po_code,0)),"Poste inconnu",IF(INDEX(po_check,MATCH(D1597,po_code,0))&lt;&gt;"OK","Poste à corriger",IF(AND(E1597&lt;&gt;"",OR(NOT(ISNUMBER(E1597)),N(E1597)&lt;0)),"Réglage invalide",IF(AND(F1597&lt;&gt;"",OR(NOT(ISNUMBER(F1597)),N(F1597)&lt;0)),"Temps par pièce invalide",IF(N(E1597)+N(F1597)=0,"Temps manquant",IF(AND(G1597&lt;&gt;"",OR(NOT(ISNUMBER(G1597)),N(G1597)&lt;=0)),"Opérateurs invalide","OK"))))))))))</f>
        <v/>
      </c>
      <c r="N1597" s="71" t="str">
        <f>IF(AND(fiche_sel&lt;&gt;"",A1597=fiche_sel),COUNTIF(A$6:A1597,fiche_sel),"")</f>
        <v/>
      </c>
    </row>
    <row r="1598">
      <c r="A1598" s="60" t="n"/>
      <c r="B1598" s="73" t="n"/>
      <c r="C1598" s="60" t="n"/>
      <c r="D1598" s="61" t="n"/>
      <c r="E1598" s="74" t="n"/>
      <c r="F1598" s="74" t="n"/>
      <c r="G1598" s="73" t="n"/>
      <c r="H1598" s="66" t="str">
        <f>IF(M1598&lt;&gt;"OK","",INDEX(po_mo,MATCH(D1598,po_code,0)))</f>
        <v/>
      </c>
      <c r="I1598" s="66" t="str">
        <f>IF(M1598&lt;&gt;"OK","",INDEX(po_mac,MATCH(D1598,po_code,0)))</f>
        <v/>
      </c>
      <c r="J1598" s="66" t="str">
        <f>IF(M1598&lt;&gt;"OK","",N(E1598)*(H1598*IF(G1598="",1,G1598)+I1598))</f>
        <v/>
      </c>
      <c r="K1598" s="66" t="str">
        <f>IF(M1598&lt;&gt;"OK","",N(F1598)/60*H1598*IF(G1598="",1,G1598))</f>
        <v/>
      </c>
      <c r="L1598" s="66" t="str">
        <f>IF(M1598&lt;&gt;"OK","",N(F1598)/60*I1598)</f>
        <v/>
      </c>
      <c r="M1598" s="69" t="str">
        <f>IF(AND(A1598="",D1598=""),"",IF(A1598="","Produit manquant",IF(COUNTIF(prod_ref,A1598)=0,"Produit inconnu",IF(D1598="","Poste manquant",IF(ISNA(MATCH(D1598,po_code,0)),"Poste inconnu",IF(INDEX(po_check,MATCH(D1598,po_code,0))&lt;&gt;"OK","Poste à corriger",IF(AND(E1598&lt;&gt;"",OR(NOT(ISNUMBER(E1598)),N(E1598)&lt;0)),"Réglage invalide",IF(AND(F1598&lt;&gt;"",OR(NOT(ISNUMBER(F1598)),N(F1598)&lt;0)),"Temps par pièce invalide",IF(N(E1598)+N(F1598)=0,"Temps manquant",IF(AND(G1598&lt;&gt;"",OR(NOT(ISNUMBER(G1598)),N(G1598)&lt;=0)),"Opérateurs invalide","OK"))))))))))</f>
        <v/>
      </c>
      <c r="N1598" s="71" t="str">
        <f>IF(AND(fiche_sel&lt;&gt;"",A1598=fiche_sel),COUNTIF(A$6:A1598,fiche_sel),"")</f>
        <v/>
      </c>
    </row>
    <row r="1599">
      <c r="A1599" s="60" t="n"/>
      <c r="B1599" s="73" t="n"/>
      <c r="C1599" s="60" t="n"/>
      <c r="D1599" s="61" t="n"/>
      <c r="E1599" s="74" t="n"/>
      <c r="F1599" s="74" t="n"/>
      <c r="G1599" s="73" t="n"/>
      <c r="H1599" s="66" t="str">
        <f>IF(M1599&lt;&gt;"OK","",INDEX(po_mo,MATCH(D1599,po_code,0)))</f>
        <v/>
      </c>
      <c r="I1599" s="66" t="str">
        <f>IF(M1599&lt;&gt;"OK","",INDEX(po_mac,MATCH(D1599,po_code,0)))</f>
        <v/>
      </c>
      <c r="J1599" s="66" t="str">
        <f>IF(M1599&lt;&gt;"OK","",N(E1599)*(H1599*IF(G1599="",1,G1599)+I1599))</f>
        <v/>
      </c>
      <c r="K1599" s="66" t="str">
        <f>IF(M1599&lt;&gt;"OK","",N(F1599)/60*H1599*IF(G1599="",1,G1599))</f>
        <v/>
      </c>
      <c r="L1599" s="66" t="str">
        <f>IF(M1599&lt;&gt;"OK","",N(F1599)/60*I1599)</f>
        <v/>
      </c>
      <c r="M1599" s="69" t="str">
        <f>IF(AND(A1599="",D1599=""),"",IF(A1599="","Produit manquant",IF(COUNTIF(prod_ref,A1599)=0,"Produit inconnu",IF(D1599="","Poste manquant",IF(ISNA(MATCH(D1599,po_code,0)),"Poste inconnu",IF(INDEX(po_check,MATCH(D1599,po_code,0))&lt;&gt;"OK","Poste à corriger",IF(AND(E1599&lt;&gt;"",OR(NOT(ISNUMBER(E1599)),N(E1599)&lt;0)),"Réglage invalide",IF(AND(F1599&lt;&gt;"",OR(NOT(ISNUMBER(F1599)),N(F1599)&lt;0)),"Temps par pièce invalide",IF(N(E1599)+N(F1599)=0,"Temps manquant",IF(AND(G1599&lt;&gt;"",OR(NOT(ISNUMBER(G1599)),N(G1599)&lt;=0)),"Opérateurs invalide","OK"))))))))))</f>
        <v/>
      </c>
      <c r="N1599" s="71" t="str">
        <f>IF(AND(fiche_sel&lt;&gt;"",A1599=fiche_sel),COUNTIF(A$6:A1599,fiche_sel),"")</f>
        <v/>
      </c>
    </row>
    <row r="1600">
      <c r="A1600" s="60" t="n"/>
      <c r="B1600" s="73" t="n"/>
      <c r="C1600" s="60" t="n"/>
      <c r="D1600" s="61" t="n"/>
      <c r="E1600" s="74" t="n"/>
      <c r="F1600" s="74" t="n"/>
      <c r="G1600" s="73" t="n"/>
      <c r="H1600" s="66" t="str">
        <f>IF(M1600&lt;&gt;"OK","",INDEX(po_mo,MATCH(D1600,po_code,0)))</f>
        <v/>
      </c>
      <c r="I1600" s="66" t="str">
        <f>IF(M1600&lt;&gt;"OK","",INDEX(po_mac,MATCH(D1600,po_code,0)))</f>
        <v/>
      </c>
      <c r="J1600" s="66" t="str">
        <f>IF(M1600&lt;&gt;"OK","",N(E1600)*(H1600*IF(G1600="",1,G1600)+I1600))</f>
        <v/>
      </c>
      <c r="K1600" s="66" t="str">
        <f>IF(M1600&lt;&gt;"OK","",N(F1600)/60*H1600*IF(G1600="",1,G1600))</f>
        <v/>
      </c>
      <c r="L1600" s="66" t="str">
        <f>IF(M1600&lt;&gt;"OK","",N(F1600)/60*I1600)</f>
        <v/>
      </c>
      <c r="M1600" s="69" t="str">
        <f>IF(AND(A1600="",D1600=""),"",IF(A1600="","Produit manquant",IF(COUNTIF(prod_ref,A1600)=0,"Produit inconnu",IF(D1600="","Poste manquant",IF(ISNA(MATCH(D1600,po_code,0)),"Poste inconnu",IF(INDEX(po_check,MATCH(D1600,po_code,0))&lt;&gt;"OK","Poste à corriger",IF(AND(E1600&lt;&gt;"",OR(NOT(ISNUMBER(E1600)),N(E1600)&lt;0)),"Réglage invalide",IF(AND(F1600&lt;&gt;"",OR(NOT(ISNUMBER(F1600)),N(F1600)&lt;0)),"Temps par pièce invalide",IF(N(E1600)+N(F1600)=0,"Temps manquant",IF(AND(G1600&lt;&gt;"",OR(NOT(ISNUMBER(G1600)),N(G1600)&lt;=0)),"Opérateurs invalide","OK"))))))))))</f>
        <v/>
      </c>
      <c r="N1600" s="71" t="str">
        <f>IF(AND(fiche_sel&lt;&gt;"",A1600=fiche_sel),COUNTIF(A$6:A1600,fiche_sel),"")</f>
        <v/>
      </c>
    </row>
    <row r="1601">
      <c r="A1601" s="60" t="n"/>
      <c r="B1601" s="73" t="n"/>
      <c r="C1601" s="60" t="n"/>
      <c r="D1601" s="61" t="n"/>
      <c r="E1601" s="74" t="n"/>
      <c r="F1601" s="74" t="n"/>
      <c r="G1601" s="73" t="n"/>
      <c r="H1601" s="66" t="str">
        <f>IF(M1601&lt;&gt;"OK","",INDEX(po_mo,MATCH(D1601,po_code,0)))</f>
        <v/>
      </c>
      <c r="I1601" s="66" t="str">
        <f>IF(M1601&lt;&gt;"OK","",INDEX(po_mac,MATCH(D1601,po_code,0)))</f>
        <v/>
      </c>
      <c r="J1601" s="66" t="str">
        <f>IF(M1601&lt;&gt;"OK","",N(E1601)*(H1601*IF(G1601="",1,G1601)+I1601))</f>
        <v/>
      </c>
      <c r="K1601" s="66" t="str">
        <f>IF(M1601&lt;&gt;"OK","",N(F1601)/60*H1601*IF(G1601="",1,G1601))</f>
        <v/>
      </c>
      <c r="L1601" s="66" t="str">
        <f>IF(M1601&lt;&gt;"OK","",N(F1601)/60*I1601)</f>
        <v/>
      </c>
      <c r="M1601" s="69" t="str">
        <f>IF(AND(A1601="",D1601=""),"",IF(A1601="","Produit manquant",IF(COUNTIF(prod_ref,A1601)=0,"Produit inconnu",IF(D1601="","Poste manquant",IF(ISNA(MATCH(D1601,po_code,0)),"Poste inconnu",IF(INDEX(po_check,MATCH(D1601,po_code,0))&lt;&gt;"OK","Poste à corriger",IF(AND(E1601&lt;&gt;"",OR(NOT(ISNUMBER(E1601)),N(E1601)&lt;0)),"Réglage invalide",IF(AND(F1601&lt;&gt;"",OR(NOT(ISNUMBER(F1601)),N(F1601)&lt;0)),"Temps par pièce invalide",IF(N(E1601)+N(F1601)=0,"Temps manquant",IF(AND(G1601&lt;&gt;"",OR(NOT(ISNUMBER(G1601)),N(G1601)&lt;=0)),"Opérateurs invalide","OK"))))))))))</f>
        <v/>
      </c>
      <c r="N1601" s="71" t="str">
        <f>IF(AND(fiche_sel&lt;&gt;"",A1601=fiche_sel),COUNTIF(A$6:A1601,fiche_sel),"")</f>
        <v/>
      </c>
    </row>
    <row r="1602">
      <c r="A1602" s="60" t="n"/>
      <c r="B1602" s="73" t="n"/>
      <c r="C1602" s="60" t="n"/>
      <c r="D1602" s="61" t="n"/>
      <c r="E1602" s="74" t="n"/>
      <c r="F1602" s="74" t="n"/>
      <c r="G1602" s="73" t="n"/>
      <c r="H1602" s="66" t="str">
        <f>IF(M1602&lt;&gt;"OK","",INDEX(po_mo,MATCH(D1602,po_code,0)))</f>
        <v/>
      </c>
      <c r="I1602" s="66" t="str">
        <f>IF(M1602&lt;&gt;"OK","",INDEX(po_mac,MATCH(D1602,po_code,0)))</f>
        <v/>
      </c>
      <c r="J1602" s="66" t="str">
        <f>IF(M1602&lt;&gt;"OK","",N(E1602)*(H1602*IF(G1602="",1,G1602)+I1602))</f>
        <v/>
      </c>
      <c r="K1602" s="66" t="str">
        <f>IF(M1602&lt;&gt;"OK","",N(F1602)/60*H1602*IF(G1602="",1,G1602))</f>
        <v/>
      </c>
      <c r="L1602" s="66" t="str">
        <f>IF(M1602&lt;&gt;"OK","",N(F1602)/60*I1602)</f>
        <v/>
      </c>
      <c r="M1602" s="69" t="str">
        <f>IF(AND(A1602="",D1602=""),"",IF(A1602="","Produit manquant",IF(COUNTIF(prod_ref,A1602)=0,"Produit inconnu",IF(D1602="","Poste manquant",IF(ISNA(MATCH(D1602,po_code,0)),"Poste inconnu",IF(INDEX(po_check,MATCH(D1602,po_code,0))&lt;&gt;"OK","Poste à corriger",IF(AND(E1602&lt;&gt;"",OR(NOT(ISNUMBER(E1602)),N(E1602)&lt;0)),"Réglage invalide",IF(AND(F1602&lt;&gt;"",OR(NOT(ISNUMBER(F1602)),N(F1602)&lt;0)),"Temps par pièce invalide",IF(N(E1602)+N(F1602)=0,"Temps manquant",IF(AND(G1602&lt;&gt;"",OR(NOT(ISNUMBER(G1602)),N(G1602)&lt;=0)),"Opérateurs invalide","OK"))))))))))</f>
        <v/>
      </c>
      <c r="N1602" s="71" t="str">
        <f>IF(AND(fiche_sel&lt;&gt;"",A1602=fiche_sel),COUNTIF(A$6:A1602,fiche_sel),"")</f>
        <v/>
      </c>
    </row>
    <row r="1603">
      <c r="A1603" s="60" t="n"/>
      <c r="B1603" s="73" t="n"/>
      <c r="C1603" s="60" t="n"/>
      <c r="D1603" s="61" t="n"/>
      <c r="E1603" s="74" t="n"/>
      <c r="F1603" s="74" t="n"/>
      <c r="G1603" s="73" t="n"/>
      <c r="H1603" s="66" t="str">
        <f>IF(M1603&lt;&gt;"OK","",INDEX(po_mo,MATCH(D1603,po_code,0)))</f>
        <v/>
      </c>
      <c r="I1603" s="66" t="str">
        <f>IF(M1603&lt;&gt;"OK","",INDEX(po_mac,MATCH(D1603,po_code,0)))</f>
        <v/>
      </c>
      <c r="J1603" s="66" t="str">
        <f>IF(M1603&lt;&gt;"OK","",N(E1603)*(H1603*IF(G1603="",1,G1603)+I1603))</f>
        <v/>
      </c>
      <c r="K1603" s="66" t="str">
        <f>IF(M1603&lt;&gt;"OK","",N(F1603)/60*H1603*IF(G1603="",1,G1603))</f>
        <v/>
      </c>
      <c r="L1603" s="66" t="str">
        <f>IF(M1603&lt;&gt;"OK","",N(F1603)/60*I1603)</f>
        <v/>
      </c>
      <c r="M1603" s="69" t="str">
        <f>IF(AND(A1603="",D1603=""),"",IF(A1603="","Produit manquant",IF(COUNTIF(prod_ref,A1603)=0,"Produit inconnu",IF(D1603="","Poste manquant",IF(ISNA(MATCH(D1603,po_code,0)),"Poste inconnu",IF(INDEX(po_check,MATCH(D1603,po_code,0))&lt;&gt;"OK","Poste à corriger",IF(AND(E1603&lt;&gt;"",OR(NOT(ISNUMBER(E1603)),N(E1603)&lt;0)),"Réglage invalide",IF(AND(F1603&lt;&gt;"",OR(NOT(ISNUMBER(F1603)),N(F1603)&lt;0)),"Temps par pièce invalide",IF(N(E1603)+N(F1603)=0,"Temps manquant",IF(AND(G1603&lt;&gt;"",OR(NOT(ISNUMBER(G1603)),N(G1603)&lt;=0)),"Opérateurs invalide","OK"))))))))))</f>
        <v/>
      </c>
      <c r="N1603" s="71" t="str">
        <f>IF(AND(fiche_sel&lt;&gt;"",A1603=fiche_sel),COUNTIF(A$6:A1603,fiche_sel),"")</f>
        <v/>
      </c>
    </row>
    <row r="1604">
      <c r="A1604" s="60" t="n"/>
      <c r="B1604" s="73" t="n"/>
      <c r="C1604" s="60" t="n"/>
      <c r="D1604" s="61" t="n"/>
      <c r="E1604" s="74" t="n"/>
      <c r="F1604" s="74" t="n"/>
      <c r="G1604" s="73" t="n"/>
      <c r="H1604" s="66" t="str">
        <f>IF(M1604&lt;&gt;"OK","",INDEX(po_mo,MATCH(D1604,po_code,0)))</f>
        <v/>
      </c>
      <c r="I1604" s="66" t="str">
        <f>IF(M1604&lt;&gt;"OK","",INDEX(po_mac,MATCH(D1604,po_code,0)))</f>
        <v/>
      </c>
      <c r="J1604" s="66" t="str">
        <f>IF(M1604&lt;&gt;"OK","",N(E1604)*(H1604*IF(G1604="",1,G1604)+I1604))</f>
        <v/>
      </c>
      <c r="K1604" s="66" t="str">
        <f>IF(M1604&lt;&gt;"OK","",N(F1604)/60*H1604*IF(G1604="",1,G1604))</f>
        <v/>
      </c>
      <c r="L1604" s="66" t="str">
        <f>IF(M1604&lt;&gt;"OK","",N(F1604)/60*I1604)</f>
        <v/>
      </c>
      <c r="M1604" s="69" t="str">
        <f>IF(AND(A1604="",D1604=""),"",IF(A1604="","Produit manquant",IF(COUNTIF(prod_ref,A1604)=0,"Produit inconnu",IF(D1604="","Poste manquant",IF(ISNA(MATCH(D1604,po_code,0)),"Poste inconnu",IF(INDEX(po_check,MATCH(D1604,po_code,0))&lt;&gt;"OK","Poste à corriger",IF(AND(E1604&lt;&gt;"",OR(NOT(ISNUMBER(E1604)),N(E1604)&lt;0)),"Réglage invalide",IF(AND(F1604&lt;&gt;"",OR(NOT(ISNUMBER(F1604)),N(F1604)&lt;0)),"Temps par pièce invalide",IF(N(E1604)+N(F1604)=0,"Temps manquant",IF(AND(G1604&lt;&gt;"",OR(NOT(ISNUMBER(G1604)),N(G1604)&lt;=0)),"Opérateurs invalide","OK"))))))))))</f>
        <v/>
      </c>
      <c r="N1604" s="71" t="str">
        <f>IF(AND(fiche_sel&lt;&gt;"",A1604=fiche_sel),COUNTIF(A$6:A1604,fiche_sel),"")</f>
        <v/>
      </c>
    </row>
    <row r="1605">
      <c r="A1605" s="60" t="n"/>
      <c r="B1605" s="73" t="n"/>
      <c r="C1605" s="60" t="n"/>
      <c r="D1605" s="61" t="n"/>
      <c r="E1605" s="74" t="n"/>
      <c r="F1605" s="74" t="n"/>
      <c r="G1605" s="73" t="n"/>
      <c r="H1605" s="66" t="str">
        <f>IF(M1605&lt;&gt;"OK","",INDEX(po_mo,MATCH(D1605,po_code,0)))</f>
        <v/>
      </c>
      <c r="I1605" s="66" t="str">
        <f>IF(M1605&lt;&gt;"OK","",INDEX(po_mac,MATCH(D1605,po_code,0)))</f>
        <v/>
      </c>
      <c r="J1605" s="66" t="str">
        <f>IF(M1605&lt;&gt;"OK","",N(E1605)*(H1605*IF(G1605="",1,G1605)+I1605))</f>
        <v/>
      </c>
      <c r="K1605" s="66" t="str">
        <f>IF(M1605&lt;&gt;"OK","",N(F1605)/60*H1605*IF(G1605="",1,G1605))</f>
        <v/>
      </c>
      <c r="L1605" s="66" t="str">
        <f>IF(M1605&lt;&gt;"OK","",N(F1605)/60*I1605)</f>
        <v/>
      </c>
      <c r="M1605" s="69" t="str">
        <f>IF(AND(A1605="",D1605=""),"",IF(A1605="","Produit manquant",IF(COUNTIF(prod_ref,A1605)=0,"Produit inconnu",IF(D1605="","Poste manquant",IF(ISNA(MATCH(D1605,po_code,0)),"Poste inconnu",IF(INDEX(po_check,MATCH(D1605,po_code,0))&lt;&gt;"OK","Poste à corriger",IF(AND(E1605&lt;&gt;"",OR(NOT(ISNUMBER(E1605)),N(E1605)&lt;0)),"Réglage invalide",IF(AND(F1605&lt;&gt;"",OR(NOT(ISNUMBER(F1605)),N(F1605)&lt;0)),"Temps par pièce invalide",IF(N(E1605)+N(F1605)=0,"Temps manquant",IF(AND(G1605&lt;&gt;"",OR(NOT(ISNUMBER(G1605)),N(G1605)&lt;=0)),"Opérateurs invalide","OK"))))))))))</f>
        <v/>
      </c>
      <c r="N1605" s="71" t="str">
        <f>IF(AND(fiche_sel&lt;&gt;"",A1605=fiche_sel),COUNTIF(A$6:A1605,fiche_sel),"")</f>
        <v/>
      </c>
    </row>
    <row r="1606">
      <c r="A1606" s="60" t="n"/>
      <c r="B1606" s="73" t="n"/>
      <c r="C1606" s="60" t="n"/>
      <c r="D1606" s="61" t="n"/>
      <c r="E1606" s="74" t="n"/>
      <c r="F1606" s="74" t="n"/>
      <c r="G1606" s="73" t="n"/>
      <c r="H1606" s="66" t="str">
        <f>IF(M1606&lt;&gt;"OK","",INDEX(po_mo,MATCH(D1606,po_code,0)))</f>
        <v/>
      </c>
      <c r="I1606" s="66" t="str">
        <f>IF(M1606&lt;&gt;"OK","",INDEX(po_mac,MATCH(D1606,po_code,0)))</f>
        <v/>
      </c>
      <c r="J1606" s="66" t="str">
        <f>IF(M1606&lt;&gt;"OK","",N(E1606)*(H1606*IF(G1606="",1,G1606)+I1606))</f>
        <v/>
      </c>
      <c r="K1606" s="66" t="str">
        <f>IF(M1606&lt;&gt;"OK","",N(F1606)/60*H1606*IF(G1606="",1,G1606))</f>
        <v/>
      </c>
      <c r="L1606" s="66" t="str">
        <f>IF(M1606&lt;&gt;"OK","",N(F1606)/60*I1606)</f>
        <v/>
      </c>
      <c r="M1606" s="69" t="str">
        <f>IF(AND(A1606="",D1606=""),"",IF(A1606="","Produit manquant",IF(COUNTIF(prod_ref,A1606)=0,"Produit inconnu",IF(D1606="","Poste manquant",IF(ISNA(MATCH(D1606,po_code,0)),"Poste inconnu",IF(INDEX(po_check,MATCH(D1606,po_code,0))&lt;&gt;"OK","Poste à corriger",IF(AND(E1606&lt;&gt;"",OR(NOT(ISNUMBER(E1606)),N(E1606)&lt;0)),"Réglage invalide",IF(AND(F1606&lt;&gt;"",OR(NOT(ISNUMBER(F1606)),N(F1606)&lt;0)),"Temps par pièce invalide",IF(N(E1606)+N(F1606)=0,"Temps manquant",IF(AND(G1606&lt;&gt;"",OR(NOT(ISNUMBER(G1606)),N(G1606)&lt;=0)),"Opérateurs invalide","OK"))))))))))</f>
        <v/>
      </c>
      <c r="N1606" s="71" t="str">
        <f>IF(AND(fiche_sel&lt;&gt;"",A1606=fiche_sel),COUNTIF(A$6:A1606,fiche_sel),"")</f>
        <v/>
      </c>
    </row>
    <row r="1607">
      <c r="A1607" s="60" t="n"/>
      <c r="B1607" s="73" t="n"/>
      <c r="C1607" s="60" t="n"/>
      <c r="D1607" s="61" t="n"/>
      <c r="E1607" s="74" t="n"/>
      <c r="F1607" s="74" t="n"/>
      <c r="G1607" s="73" t="n"/>
      <c r="H1607" s="66" t="str">
        <f>IF(M1607&lt;&gt;"OK","",INDEX(po_mo,MATCH(D1607,po_code,0)))</f>
        <v/>
      </c>
      <c r="I1607" s="66" t="str">
        <f>IF(M1607&lt;&gt;"OK","",INDEX(po_mac,MATCH(D1607,po_code,0)))</f>
        <v/>
      </c>
      <c r="J1607" s="66" t="str">
        <f>IF(M1607&lt;&gt;"OK","",N(E1607)*(H1607*IF(G1607="",1,G1607)+I1607))</f>
        <v/>
      </c>
      <c r="K1607" s="66" t="str">
        <f>IF(M1607&lt;&gt;"OK","",N(F1607)/60*H1607*IF(G1607="",1,G1607))</f>
        <v/>
      </c>
      <c r="L1607" s="66" t="str">
        <f>IF(M1607&lt;&gt;"OK","",N(F1607)/60*I1607)</f>
        <v/>
      </c>
      <c r="M1607" s="69" t="str">
        <f>IF(AND(A1607="",D1607=""),"",IF(A1607="","Produit manquant",IF(COUNTIF(prod_ref,A1607)=0,"Produit inconnu",IF(D1607="","Poste manquant",IF(ISNA(MATCH(D1607,po_code,0)),"Poste inconnu",IF(INDEX(po_check,MATCH(D1607,po_code,0))&lt;&gt;"OK","Poste à corriger",IF(AND(E1607&lt;&gt;"",OR(NOT(ISNUMBER(E1607)),N(E1607)&lt;0)),"Réglage invalide",IF(AND(F1607&lt;&gt;"",OR(NOT(ISNUMBER(F1607)),N(F1607)&lt;0)),"Temps par pièce invalide",IF(N(E1607)+N(F1607)=0,"Temps manquant",IF(AND(G1607&lt;&gt;"",OR(NOT(ISNUMBER(G1607)),N(G1607)&lt;=0)),"Opérateurs invalide","OK"))))))))))</f>
        <v/>
      </c>
      <c r="N1607" s="71" t="str">
        <f>IF(AND(fiche_sel&lt;&gt;"",A1607=fiche_sel),COUNTIF(A$6:A1607,fiche_sel),"")</f>
        <v/>
      </c>
    </row>
    <row r="1608">
      <c r="A1608" s="60" t="n"/>
      <c r="B1608" s="73" t="n"/>
      <c r="C1608" s="60" t="n"/>
      <c r="D1608" s="61" t="n"/>
      <c r="E1608" s="74" t="n"/>
      <c r="F1608" s="74" t="n"/>
      <c r="G1608" s="73" t="n"/>
      <c r="H1608" s="66" t="str">
        <f>IF(M1608&lt;&gt;"OK","",INDEX(po_mo,MATCH(D1608,po_code,0)))</f>
        <v/>
      </c>
      <c r="I1608" s="66" t="str">
        <f>IF(M1608&lt;&gt;"OK","",INDEX(po_mac,MATCH(D1608,po_code,0)))</f>
        <v/>
      </c>
      <c r="J1608" s="66" t="str">
        <f>IF(M1608&lt;&gt;"OK","",N(E1608)*(H1608*IF(G1608="",1,G1608)+I1608))</f>
        <v/>
      </c>
      <c r="K1608" s="66" t="str">
        <f>IF(M1608&lt;&gt;"OK","",N(F1608)/60*H1608*IF(G1608="",1,G1608))</f>
        <v/>
      </c>
      <c r="L1608" s="66" t="str">
        <f>IF(M1608&lt;&gt;"OK","",N(F1608)/60*I1608)</f>
        <v/>
      </c>
      <c r="M1608" s="69" t="str">
        <f>IF(AND(A1608="",D1608=""),"",IF(A1608="","Produit manquant",IF(COUNTIF(prod_ref,A1608)=0,"Produit inconnu",IF(D1608="","Poste manquant",IF(ISNA(MATCH(D1608,po_code,0)),"Poste inconnu",IF(INDEX(po_check,MATCH(D1608,po_code,0))&lt;&gt;"OK","Poste à corriger",IF(AND(E1608&lt;&gt;"",OR(NOT(ISNUMBER(E1608)),N(E1608)&lt;0)),"Réglage invalide",IF(AND(F1608&lt;&gt;"",OR(NOT(ISNUMBER(F1608)),N(F1608)&lt;0)),"Temps par pièce invalide",IF(N(E1608)+N(F1608)=0,"Temps manquant",IF(AND(G1608&lt;&gt;"",OR(NOT(ISNUMBER(G1608)),N(G1608)&lt;=0)),"Opérateurs invalide","OK"))))))))))</f>
        <v/>
      </c>
      <c r="N1608" s="71" t="str">
        <f>IF(AND(fiche_sel&lt;&gt;"",A1608=fiche_sel),COUNTIF(A$6:A1608,fiche_sel),"")</f>
        <v/>
      </c>
    </row>
    <row r="1609">
      <c r="A1609" s="60" t="n"/>
      <c r="B1609" s="73" t="n"/>
      <c r="C1609" s="60" t="n"/>
      <c r="D1609" s="61" t="n"/>
      <c r="E1609" s="74" t="n"/>
      <c r="F1609" s="74" t="n"/>
      <c r="G1609" s="73" t="n"/>
      <c r="H1609" s="66" t="str">
        <f>IF(M1609&lt;&gt;"OK","",INDEX(po_mo,MATCH(D1609,po_code,0)))</f>
        <v/>
      </c>
      <c r="I1609" s="66" t="str">
        <f>IF(M1609&lt;&gt;"OK","",INDEX(po_mac,MATCH(D1609,po_code,0)))</f>
        <v/>
      </c>
      <c r="J1609" s="66" t="str">
        <f>IF(M1609&lt;&gt;"OK","",N(E1609)*(H1609*IF(G1609="",1,G1609)+I1609))</f>
        <v/>
      </c>
      <c r="K1609" s="66" t="str">
        <f>IF(M1609&lt;&gt;"OK","",N(F1609)/60*H1609*IF(G1609="",1,G1609))</f>
        <v/>
      </c>
      <c r="L1609" s="66" t="str">
        <f>IF(M1609&lt;&gt;"OK","",N(F1609)/60*I1609)</f>
        <v/>
      </c>
      <c r="M1609" s="69" t="str">
        <f>IF(AND(A1609="",D1609=""),"",IF(A1609="","Produit manquant",IF(COUNTIF(prod_ref,A1609)=0,"Produit inconnu",IF(D1609="","Poste manquant",IF(ISNA(MATCH(D1609,po_code,0)),"Poste inconnu",IF(INDEX(po_check,MATCH(D1609,po_code,0))&lt;&gt;"OK","Poste à corriger",IF(AND(E1609&lt;&gt;"",OR(NOT(ISNUMBER(E1609)),N(E1609)&lt;0)),"Réglage invalide",IF(AND(F1609&lt;&gt;"",OR(NOT(ISNUMBER(F1609)),N(F1609)&lt;0)),"Temps par pièce invalide",IF(N(E1609)+N(F1609)=0,"Temps manquant",IF(AND(G1609&lt;&gt;"",OR(NOT(ISNUMBER(G1609)),N(G1609)&lt;=0)),"Opérateurs invalide","OK"))))))))))</f>
        <v/>
      </c>
      <c r="N1609" s="71" t="str">
        <f>IF(AND(fiche_sel&lt;&gt;"",A1609=fiche_sel),COUNTIF(A$6:A1609,fiche_sel),"")</f>
        <v/>
      </c>
    </row>
    <row r="1610">
      <c r="A1610" s="60" t="n"/>
      <c r="B1610" s="73" t="n"/>
      <c r="C1610" s="60" t="n"/>
      <c r="D1610" s="61" t="n"/>
      <c r="E1610" s="74" t="n"/>
      <c r="F1610" s="74" t="n"/>
      <c r="G1610" s="73" t="n"/>
      <c r="H1610" s="66" t="str">
        <f>IF(M1610&lt;&gt;"OK","",INDEX(po_mo,MATCH(D1610,po_code,0)))</f>
        <v/>
      </c>
      <c r="I1610" s="66" t="str">
        <f>IF(M1610&lt;&gt;"OK","",INDEX(po_mac,MATCH(D1610,po_code,0)))</f>
        <v/>
      </c>
      <c r="J1610" s="66" t="str">
        <f>IF(M1610&lt;&gt;"OK","",N(E1610)*(H1610*IF(G1610="",1,G1610)+I1610))</f>
        <v/>
      </c>
      <c r="K1610" s="66" t="str">
        <f>IF(M1610&lt;&gt;"OK","",N(F1610)/60*H1610*IF(G1610="",1,G1610))</f>
        <v/>
      </c>
      <c r="L1610" s="66" t="str">
        <f>IF(M1610&lt;&gt;"OK","",N(F1610)/60*I1610)</f>
        <v/>
      </c>
      <c r="M1610" s="69" t="str">
        <f>IF(AND(A1610="",D1610=""),"",IF(A1610="","Produit manquant",IF(COUNTIF(prod_ref,A1610)=0,"Produit inconnu",IF(D1610="","Poste manquant",IF(ISNA(MATCH(D1610,po_code,0)),"Poste inconnu",IF(INDEX(po_check,MATCH(D1610,po_code,0))&lt;&gt;"OK","Poste à corriger",IF(AND(E1610&lt;&gt;"",OR(NOT(ISNUMBER(E1610)),N(E1610)&lt;0)),"Réglage invalide",IF(AND(F1610&lt;&gt;"",OR(NOT(ISNUMBER(F1610)),N(F1610)&lt;0)),"Temps par pièce invalide",IF(N(E1610)+N(F1610)=0,"Temps manquant",IF(AND(G1610&lt;&gt;"",OR(NOT(ISNUMBER(G1610)),N(G1610)&lt;=0)),"Opérateurs invalide","OK"))))))))))</f>
        <v/>
      </c>
      <c r="N1610" s="71" t="str">
        <f>IF(AND(fiche_sel&lt;&gt;"",A1610=fiche_sel),COUNTIF(A$6:A1610,fiche_sel),"")</f>
        <v/>
      </c>
    </row>
    <row r="1611">
      <c r="A1611" s="60" t="n"/>
      <c r="B1611" s="73" t="n"/>
      <c r="C1611" s="60" t="n"/>
      <c r="D1611" s="61" t="n"/>
      <c r="E1611" s="74" t="n"/>
      <c r="F1611" s="74" t="n"/>
      <c r="G1611" s="73" t="n"/>
      <c r="H1611" s="66" t="str">
        <f>IF(M1611&lt;&gt;"OK","",INDEX(po_mo,MATCH(D1611,po_code,0)))</f>
        <v/>
      </c>
      <c r="I1611" s="66" t="str">
        <f>IF(M1611&lt;&gt;"OK","",INDEX(po_mac,MATCH(D1611,po_code,0)))</f>
        <v/>
      </c>
      <c r="J1611" s="66" t="str">
        <f>IF(M1611&lt;&gt;"OK","",N(E1611)*(H1611*IF(G1611="",1,G1611)+I1611))</f>
        <v/>
      </c>
      <c r="K1611" s="66" t="str">
        <f>IF(M1611&lt;&gt;"OK","",N(F1611)/60*H1611*IF(G1611="",1,G1611))</f>
        <v/>
      </c>
      <c r="L1611" s="66" t="str">
        <f>IF(M1611&lt;&gt;"OK","",N(F1611)/60*I1611)</f>
        <v/>
      </c>
      <c r="M1611" s="69" t="str">
        <f>IF(AND(A1611="",D1611=""),"",IF(A1611="","Produit manquant",IF(COUNTIF(prod_ref,A1611)=0,"Produit inconnu",IF(D1611="","Poste manquant",IF(ISNA(MATCH(D1611,po_code,0)),"Poste inconnu",IF(INDEX(po_check,MATCH(D1611,po_code,0))&lt;&gt;"OK","Poste à corriger",IF(AND(E1611&lt;&gt;"",OR(NOT(ISNUMBER(E1611)),N(E1611)&lt;0)),"Réglage invalide",IF(AND(F1611&lt;&gt;"",OR(NOT(ISNUMBER(F1611)),N(F1611)&lt;0)),"Temps par pièce invalide",IF(N(E1611)+N(F1611)=0,"Temps manquant",IF(AND(G1611&lt;&gt;"",OR(NOT(ISNUMBER(G1611)),N(G1611)&lt;=0)),"Opérateurs invalide","OK"))))))))))</f>
        <v/>
      </c>
      <c r="N1611" s="71" t="str">
        <f>IF(AND(fiche_sel&lt;&gt;"",A1611=fiche_sel),COUNTIF(A$6:A1611,fiche_sel),"")</f>
        <v/>
      </c>
    </row>
    <row r="1612">
      <c r="A1612" s="60" t="n"/>
      <c r="B1612" s="73" t="n"/>
      <c r="C1612" s="60" t="n"/>
      <c r="D1612" s="61" t="n"/>
      <c r="E1612" s="74" t="n"/>
      <c r="F1612" s="74" t="n"/>
      <c r="G1612" s="73" t="n"/>
      <c r="H1612" s="66" t="str">
        <f>IF(M1612&lt;&gt;"OK","",INDEX(po_mo,MATCH(D1612,po_code,0)))</f>
        <v/>
      </c>
      <c r="I1612" s="66" t="str">
        <f>IF(M1612&lt;&gt;"OK","",INDEX(po_mac,MATCH(D1612,po_code,0)))</f>
        <v/>
      </c>
      <c r="J1612" s="66" t="str">
        <f>IF(M1612&lt;&gt;"OK","",N(E1612)*(H1612*IF(G1612="",1,G1612)+I1612))</f>
        <v/>
      </c>
      <c r="K1612" s="66" t="str">
        <f>IF(M1612&lt;&gt;"OK","",N(F1612)/60*H1612*IF(G1612="",1,G1612))</f>
        <v/>
      </c>
      <c r="L1612" s="66" t="str">
        <f>IF(M1612&lt;&gt;"OK","",N(F1612)/60*I1612)</f>
        <v/>
      </c>
      <c r="M1612" s="69" t="str">
        <f>IF(AND(A1612="",D1612=""),"",IF(A1612="","Produit manquant",IF(COUNTIF(prod_ref,A1612)=0,"Produit inconnu",IF(D1612="","Poste manquant",IF(ISNA(MATCH(D1612,po_code,0)),"Poste inconnu",IF(INDEX(po_check,MATCH(D1612,po_code,0))&lt;&gt;"OK","Poste à corriger",IF(AND(E1612&lt;&gt;"",OR(NOT(ISNUMBER(E1612)),N(E1612)&lt;0)),"Réglage invalide",IF(AND(F1612&lt;&gt;"",OR(NOT(ISNUMBER(F1612)),N(F1612)&lt;0)),"Temps par pièce invalide",IF(N(E1612)+N(F1612)=0,"Temps manquant",IF(AND(G1612&lt;&gt;"",OR(NOT(ISNUMBER(G1612)),N(G1612)&lt;=0)),"Opérateurs invalide","OK"))))))))))</f>
        <v/>
      </c>
      <c r="N1612" s="71" t="str">
        <f>IF(AND(fiche_sel&lt;&gt;"",A1612=fiche_sel),COUNTIF(A$6:A1612,fiche_sel),"")</f>
        <v/>
      </c>
    </row>
    <row r="1613">
      <c r="A1613" s="60" t="n"/>
      <c r="B1613" s="73" t="n"/>
      <c r="C1613" s="60" t="n"/>
      <c r="D1613" s="61" t="n"/>
      <c r="E1613" s="74" t="n"/>
      <c r="F1613" s="74" t="n"/>
      <c r="G1613" s="73" t="n"/>
      <c r="H1613" s="66" t="str">
        <f>IF(M1613&lt;&gt;"OK","",INDEX(po_mo,MATCH(D1613,po_code,0)))</f>
        <v/>
      </c>
      <c r="I1613" s="66" t="str">
        <f>IF(M1613&lt;&gt;"OK","",INDEX(po_mac,MATCH(D1613,po_code,0)))</f>
        <v/>
      </c>
      <c r="J1613" s="66" t="str">
        <f>IF(M1613&lt;&gt;"OK","",N(E1613)*(H1613*IF(G1613="",1,G1613)+I1613))</f>
        <v/>
      </c>
      <c r="K1613" s="66" t="str">
        <f>IF(M1613&lt;&gt;"OK","",N(F1613)/60*H1613*IF(G1613="",1,G1613))</f>
        <v/>
      </c>
      <c r="L1613" s="66" t="str">
        <f>IF(M1613&lt;&gt;"OK","",N(F1613)/60*I1613)</f>
        <v/>
      </c>
      <c r="M1613" s="69" t="str">
        <f>IF(AND(A1613="",D1613=""),"",IF(A1613="","Produit manquant",IF(COUNTIF(prod_ref,A1613)=0,"Produit inconnu",IF(D1613="","Poste manquant",IF(ISNA(MATCH(D1613,po_code,0)),"Poste inconnu",IF(INDEX(po_check,MATCH(D1613,po_code,0))&lt;&gt;"OK","Poste à corriger",IF(AND(E1613&lt;&gt;"",OR(NOT(ISNUMBER(E1613)),N(E1613)&lt;0)),"Réglage invalide",IF(AND(F1613&lt;&gt;"",OR(NOT(ISNUMBER(F1613)),N(F1613)&lt;0)),"Temps par pièce invalide",IF(N(E1613)+N(F1613)=0,"Temps manquant",IF(AND(G1613&lt;&gt;"",OR(NOT(ISNUMBER(G1613)),N(G1613)&lt;=0)),"Opérateurs invalide","OK"))))))))))</f>
        <v/>
      </c>
      <c r="N1613" s="71" t="str">
        <f>IF(AND(fiche_sel&lt;&gt;"",A1613=fiche_sel),COUNTIF(A$6:A1613,fiche_sel),"")</f>
        <v/>
      </c>
    </row>
    <row r="1614">
      <c r="A1614" s="60" t="n"/>
      <c r="B1614" s="73" t="n"/>
      <c r="C1614" s="60" t="n"/>
      <c r="D1614" s="61" t="n"/>
      <c r="E1614" s="74" t="n"/>
      <c r="F1614" s="74" t="n"/>
      <c r="G1614" s="73" t="n"/>
      <c r="H1614" s="66" t="str">
        <f>IF(M1614&lt;&gt;"OK","",INDEX(po_mo,MATCH(D1614,po_code,0)))</f>
        <v/>
      </c>
      <c r="I1614" s="66" t="str">
        <f>IF(M1614&lt;&gt;"OK","",INDEX(po_mac,MATCH(D1614,po_code,0)))</f>
        <v/>
      </c>
      <c r="J1614" s="66" t="str">
        <f>IF(M1614&lt;&gt;"OK","",N(E1614)*(H1614*IF(G1614="",1,G1614)+I1614))</f>
        <v/>
      </c>
      <c r="K1614" s="66" t="str">
        <f>IF(M1614&lt;&gt;"OK","",N(F1614)/60*H1614*IF(G1614="",1,G1614))</f>
        <v/>
      </c>
      <c r="L1614" s="66" t="str">
        <f>IF(M1614&lt;&gt;"OK","",N(F1614)/60*I1614)</f>
        <v/>
      </c>
      <c r="M1614" s="69" t="str">
        <f>IF(AND(A1614="",D1614=""),"",IF(A1614="","Produit manquant",IF(COUNTIF(prod_ref,A1614)=0,"Produit inconnu",IF(D1614="","Poste manquant",IF(ISNA(MATCH(D1614,po_code,0)),"Poste inconnu",IF(INDEX(po_check,MATCH(D1614,po_code,0))&lt;&gt;"OK","Poste à corriger",IF(AND(E1614&lt;&gt;"",OR(NOT(ISNUMBER(E1614)),N(E1614)&lt;0)),"Réglage invalide",IF(AND(F1614&lt;&gt;"",OR(NOT(ISNUMBER(F1614)),N(F1614)&lt;0)),"Temps par pièce invalide",IF(N(E1614)+N(F1614)=0,"Temps manquant",IF(AND(G1614&lt;&gt;"",OR(NOT(ISNUMBER(G1614)),N(G1614)&lt;=0)),"Opérateurs invalide","OK"))))))))))</f>
        <v/>
      </c>
      <c r="N1614" s="71" t="str">
        <f>IF(AND(fiche_sel&lt;&gt;"",A1614=fiche_sel),COUNTIF(A$6:A1614,fiche_sel),"")</f>
        <v/>
      </c>
    </row>
    <row r="1615">
      <c r="A1615" s="60" t="n"/>
      <c r="B1615" s="73" t="n"/>
      <c r="C1615" s="60" t="n"/>
      <c r="D1615" s="61" t="n"/>
      <c r="E1615" s="74" t="n"/>
      <c r="F1615" s="74" t="n"/>
      <c r="G1615" s="73" t="n"/>
      <c r="H1615" s="66" t="str">
        <f>IF(M1615&lt;&gt;"OK","",INDEX(po_mo,MATCH(D1615,po_code,0)))</f>
        <v/>
      </c>
      <c r="I1615" s="66" t="str">
        <f>IF(M1615&lt;&gt;"OK","",INDEX(po_mac,MATCH(D1615,po_code,0)))</f>
        <v/>
      </c>
      <c r="J1615" s="66" t="str">
        <f>IF(M1615&lt;&gt;"OK","",N(E1615)*(H1615*IF(G1615="",1,G1615)+I1615))</f>
        <v/>
      </c>
      <c r="K1615" s="66" t="str">
        <f>IF(M1615&lt;&gt;"OK","",N(F1615)/60*H1615*IF(G1615="",1,G1615))</f>
        <v/>
      </c>
      <c r="L1615" s="66" t="str">
        <f>IF(M1615&lt;&gt;"OK","",N(F1615)/60*I1615)</f>
        <v/>
      </c>
      <c r="M1615" s="69" t="str">
        <f>IF(AND(A1615="",D1615=""),"",IF(A1615="","Produit manquant",IF(COUNTIF(prod_ref,A1615)=0,"Produit inconnu",IF(D1615="","Poste manquant",IF(ISNA(MATCH(D1615,po_code,0)),"Poste inconnu",IF(INDEX(po_check,MATCH(D1615,po_code,0))&lt;&gt;"OK","Poste à corriger",IF(AND(E1615&lt;&gt;"",OR(NOT(ISNUMBER(E1615)),N(E1615)&lt;0)),"Réglage invalide",IF(AND(F1615&lt;&gt;"",OR(NOT(ISNUMBER(F1615)),N(F1615)&lt;0)),"Temps par pièce invalide",IF(N(E1615)+N(F1615)=0,"Temps manquant",IF(AND(G1615&lt;&gt;"",OR(NOT(ISNUMBER(G1615)),N(G1615)&lt;=0)),"Opérateurs invalide","OK"))))))))))</f>
        <v/>
      </c>
      <c r="N1615" s="71" t="str">
        <f>IF(AND(fiche_sel&lt;&gt;"",A1615=fiche_sel),COUNTIF(A$6:A1615,fiche_sel),"")</f>
        <v/>
      </c>
    </row>
    <row r="1616">
      <c r="A1616" s="60" t="n"/>
      <c r="B1616" s="73" t="n"/>
      <c r="C1616" s="60" t="n"/>
      <c r="D1616" s="61" t="n"/>
      <c r="E1616" s="74" t="n"/>
      <c r="F1616" s="74" t="n"/>
      <c r="G1616" s="73" t="n"/>
      <c r="H1616" s="66" t="str">
        <f>IF(M1616&lt;&gt;"OK","",INDEX(po_mo,MATCH(D1616,po_code,0)))</f>
        <v/>
      </c>
      <c r="I1616" s="66" t="str">
        <f>IF(M1616&lt;&gt;"OK","",INDEX(po_mac,MATCH(D1616,po_code,0)))</f>
        <v/>
      </c>
      <c r="J1616" s="66" t="str">
        <f>IF(M1616&lt;&gt;"OK","",N(E1616)*(H1616*IF(G1616="",1,G1616)+I1616))</f>
        <v/>
      </c>
      <c r="K1616" s="66" t="str">
        <f>IF(M1616&lt;&gt;"OK","",N(F1616)/60*H1616*IF(G1616="",1,G1616))</f>
        <v/>
      </c>
      <c r="L1616" s="66" t="str">
        <f>IF(M1616&lt;&gt;"OK","",N(F1616)/60*I1616)</f>
        <v/>
      </c>
      <c r="M1616" s="69" t="str">
        <f>IF(AND(A1616="",D1616=""),"",IF(A1616="","Produit manquant",IF(COUNTIF(prod_ref,A1616)=0,"Produit inconnu",IF(D1616="","Poste manquant",IF(ISNA(MATCH(D1616,po_code,0)),"Poste inconnu",IF(INDEX(po_check,MATCH(D1616,po_code,0))&lt;&gt;"OK","Poste à corriger",IF(AND(E1616&lt;&gt;"",OR(NOT(ISNUMBER(E1616)),N(E1616)&lt;0)),"Réglage invalide",IF(AND(F1616&lt;&gt;"",OR(NOT(ISNUMBER(F1616)),N(F1616)&lt;0)),"Temps par pièce invalide",IF(N(E1616)+N(F1616)=0,"Temps manquant",IF(AND(G1616&lt;&gt;"",OR(NOT(ISNUMBER(G1616)),N(G1616)&lt;=0)),"Opérateurs invalide","OK"))))))))))</f>
        <v/>
      </c>
      <c r="N1616" s="71" t="str">
        <f>IF(AND(fiche_sel&lt;&gt;"",A1616=fiche_sel),COUNTIF(A$6:A1616,fiche_sel),"")</f>
        <v/>
      </c>
    </row>
    <row r="1617">
      <c r="A1617" s="60" t="n"/>
      <c r="B1617" s="73" t="n"/>
      <c r="C1617" s="60" t="n"/>
      <c r="D1617" s="61" t="n"/>
      <c r="E1617" s="74" t="n"/>
      <c r="F1617" s="74" t="n"/>
      <c r="G1617" s="73" t="n"/>
      <c r="H1617" s="66" t="str">
        <f>IF(M1617&lt;&gt;"OK","",INDEX(po_mo,MATCH(D1617,po_code,0)))</f>
        <v/>
      </c>
      <c r="I1617" s="66" t="str">
        <f>IF(M1617&lt;&gt;"OK","",INDEX(po_mac,MATCH(D1617,po_code,0)))</f>
        <v/>
      </c>
      <c r="J1617" s="66" t="str">
        <f>IF(M1617&lt;&gt;"OK","",N(E1617)*(H1617*IF(G1617="",1,G1617)+I1617))</f>
        <v/>
      </c>
      <c r="K1617" s="66" t="str">
        <f>IF(M1617&lt;&gt;"OK","",N(F1617)/60*H1617*IF(G1617="",1,G1617))</f>
        <v/>
      </c>
      <c r="L1617" s="66" t="str">
        <f>IF(M1617&lt;&gt;"OK","",N(F1617)/60*I1617)</f>
        <v/>
      </c>
      <c r="M1617" s="69" t="str">
        <f>IF(AND(A1617="",D1617=""),"",IF(A1617="","Produit manquant",IF(COUNTIF(prod_ref,A1617)=0,"Produit inconnu",IF(D1617="","Poste manquant",IF(ISNA(MATCH(D1617,po_code,0)),"Poste inconnu",IF(INDEX(po_check,MATCH(D1617,po_code,0))&lt;&gt;"OK","Poste à corriger",IF(AND(E1617&lt;&gt;"",OR(NOT(ISNUMBER(E1617)),N(E1617)&lt;0)),"Réglage invalide",IF(AND(F1617&lt;&gt;"",OR(NOT(ISNUMBER(F1617)),N(F1617)&lt;0)),"Temps par pièce invalide",IF(N(E1617)+N(F1617)=0,"Temps manquant",IF(AND(G1617&lt;&gt;"",OR(NOT(ISNUMBER(G1617)),N(G1617)&lt;=0)),"Opérateurs invalide","OK"))))))))))</f>
        <v/>
      </c>
      <c r="N1617" s="71" t="str">
        <f>IF(AND(fiche_sel&lt;&gt;"",A1617=fiche_sel),COUNTIF(A$6:A1617,fiche_sel),"")</f>
        <v/>
      </c>
    </row>
    <row r="1618">
      <c r="A1618" s="60" t="n"/>
      <c r="B1618" s="73" t="n"/>
      <c r="C1618" s="60" t="n"/>
      <c r="D1618" s="61" t="n"/>
      <c r="E1618" s="74" t="n"/>
      <c r="F1618" s="74" t="n"/>
      <c r="G1618" s="73" t="n"/>
      <c r="H1618" s="66" t="str">
        <f>IF(M1618&lt;&gt;"OK","",INDEX(po_mo,MATCH(D1618,po_code,0)))</f>
        <v/>
      </c>
      <c r="I1618" s="66" t="str">
        <f>IF(M1618&lt;&gt;"OK","",INDEX(po_mac,MATCH(D1618,po_code,0)))</f>
        <v/>
      </c>
      <c r="J1618" s="66" t="str">
        <f>IF(M1618&lt;&gt;"OK","",N(E1618)*(H1618*IF(G1618="",1,G1618)+I1618))</f>
        <v/>
      </c>
      <c r="K1618" s="66" t="str">
        <f>IF(M1618&lt;&gt;"OK","",N(F1618)/60*H1618*IF(G1618="",1,G1618))</f>
        <v/>
      </c>
      <c r="L1618" s="66" t="str">
        <f>IF(M1618&lt;&gt;"OK","",N(F1618)/60*I1618)</f>
        <v/>
      </c>
      <c r="M1618" s="69" t="str">
        <f>IF(AND(A1618="",D1618=""),"",IF(A1618="","Produit manquant",IF(COUNTIF(prod_ref,A1618)=0,"Produit inconnu",IF(D1618="","Poste manquant",IF(ISNA(MATCH(D1618,po_code,0)),"Poste inconnu",IF(INDEX(po_check,MATCH(D1618,po_code,0))&lt;&gt;"OK","Poste à corriger",IF(AND(E1618&lt;&gt;"",OR(NOT(ISNUMBER(E1618)),N(E1618)&lt;0)),"Réglage invalide",IF(AND(F1618&lt;&gt;"",OR(NOT(ISNUMBER(F1618)),N(F1618)&lt;0)),"Temps par pièce invalide",IF(N(E1618)+N(F1618)=0,"Temps manquant",IF(AND(G1618&lt;&gt;"",OR(NOT(ISNUMBER(G1618)),N(G1618)&lt;=0)),"Opérateurs invalide","OK"))))))))))</f>
        <v/>
      </c>
      <c r="N1618" s="71" t="str">
        <f>IF(AND(fiche_sel&lt;&gt;"",A1618=fiche_sel),COUNTIF(A$6:A1618,fiche_sel),"")</f>
        <v/>
      </c>
    </row>
    <row r="1619">
      <c r="A1619" s="60" t="n"/>
      <c r="B1619" s="73" t="n"/>
      <c r="C1619" s="60" t="n"/>
      <c r="D1619" s="61" t="n"/>
      <c r="E1619" s="74" t="n"/>
      <c r="F1619" s="74" t="n"/>
      <c r="G1619" s="73" t="n"/>
      <c r="H1619" s="66" t="str">
        <f>IF(M1619&lt;&gt;"OK","",INDEX(po_mo,MATCH(D1619,po_code,0)))</f>
        <v/>
      </c>
      <c r="I1619" s="66" t="str">
        <f>IF(M1619&lt;&gt;"OK","",INDEX(po_mac,MATCH(D1619,po_code,0)))</f>
        <v/>
      </c>
      <c r="J1619" s="66" t="str">
        <f>IF(M1619&lt;&gt;"OK","",N(E1619)*(H1619*IF(G1619="",1,G1619)+I1619))</f>
        <v/>
      </c>
      <c r="K1619" s="66" t="str">
        <f>IF(M1619&lt;&gt;"OK","",N(F1619)/60*H1619*IF(G1619="",1,G1619))</f>
        <v/>
      </c>
      <c r="L1619" s="66" t="str">
        <f>IF(M1619&lt;&gt;"OK","",N(F1619)/60*I1619)</f>
        <v/>
      </c>
      <c r="M1619" s="69" t="str">
        <f>IF(AND(A1619="",D1619=""),"",IF(A1619="","Produit manquant",IF(COUNTIF(prod_ref,A1619)=0,"Produit inconnu",IF(D1619="","Poste manquant",IF(ISNA(MATCH(D1619,po_code,0)),"Poste inconnu",IF(INDEX(po_check,MATCH(D1619,po_code,0))&lt;&gt;"OK","Poste à corriger",IF(AND(E1619&lt;&gt;"",OR(NOT(ISNUMBER(E1619)),N(E1619)&lt;0)),"Réglage invalide",IF(AND(F1619&lt;&gt;"",OR(NOT(ISNUMBER(F1619)),N(F1619)&lt;0)),"Temps par pièce invalide",IF(N(E1619)+N(F1619)=0,"Temps manquant",IF(AND(G1619&lt;&gt;"",OR(NOT(ISNUMBER(G1619)),N(G1619)&lt;=0)),"Opérateurs invalide","OK"))))))))))</f>
        <v/>
      </c>
      <c r="N1619" s="71" t="str">
        <f>IF(AND(fiche_sel&lt;&gt;"",A1619=fiche_sel),COUNTIF(A$6:A1619,fiche_sel),"")</f>
        <v/>
      </c>
    </row>
    <row r="1620">
      <c r="A1620" s="60" t="n"/>
      <c r="B1620" s="73" t="n"/>
      <c r="C1620" s="60" t="n"/>
      <c r="D1620" s="61" t="n"/>
      <c r="E1620" s="74" t="n"/>
      <c r="F1620" s="74" t="n"/>
      <c r="G1620" s="73" t="n"/>
      <c r="H1620" s="66" t="str">
        <f>IF(M1620&lt;&gt;"OK","",INDEX(po_mo,MATCH(D1620,po_code,0)))</f>
        <v/>
      </c>
      <c r="I1620" s="66" t="str">
        <f>IF(M1620&lt;&gt;"OK","",INDEX(po_mac,MATCH(D1620,po_code,0)))</f>
        <v/>
      </c>
      <c r="J1620" s="66" t="str">
        <f>IF(M1620&lt;&gt;"OK","",N(E1620)*(H1620*IF(G1620="",1,G1620)+I1620))</f>
        <v/>
      </c>
      <c r="K1620" s="66" t="str">
        <f>IF(M1620&lt;&gt;"OK","",N(F1620)/60*H1620*IF(G1620="",1,G1620))</f>
        <v/>
      </c>
      <c r="L1620" s="66" t="str">
        <f>IF(M1620&lt;&gt;"OK","",N(F1620)/60*I1620)</f>
        <v/>
      </c>
      <c r="M1620" s="69" t="str">
        <f>IF(AND(A1620="",D1620=""),"",IF(A1620="","Produit manquant",IF(COUNTIF(prod_ref,A1620)=0,"Produit inconnu",IF(D1620="","Poste manquant",IF(ISNA(MATCH(D1620,po_code,0)),"Poste inconnu",IF(INDEX(po_check,MATCH(D1620,po_code,0))&lt;&gt;"OK","Poste à corriger",IF(AND(E1620&lt;&gt;"",OR(NOT(ISNUMBER(E1620)),N(E1620)&lt;0)),"Réglage invalide",IF(AND(F1620&lt;&gt;"",OR(NOT(ISNUMBER(F1620)),N(F1620)&lt;0)),"Temps par pièce invalide",IF(N(E1620)+N(F1620)=0,"Temps manquant",IF(AND(G1620&lt;&gt;"",OR(NOT(ISNUMBER(G1620)),N(G1620)&lt;=0)),"Opérateurs invalide","OK"))))))))))</f>
        <v/>
      </c>
      <c r="N1620" s="71" t="str">
        <f>IF(AND(fiche_sel&lt;&gt;"",A1620=fiche_sel),COUNTIF(A$6:A1620,fiche_sel),"")</f>
        <v/>
      </c>
    </row>
    <row r="1621">
      <c r="A1621" s="60" t="n"/>
      <c r="B1621" s="73" t="n"/>
      <c r="C1621" s="60" t="n"/>
      <c r="D1621" s="61" t="n"/>
      <c r="E1621" s="74" t="n"/>
      <c r="F1621" s="74" t="n"/>
      <c r="G1621" s="73" t="n"/>
      <c r="H1621" s="66" t="str">
        <f>IF(M1621&lt;&gt;"OK","",INDEX(po_mo,MATCH(D1621,po_code,0)))</f>
        <v/>
      </c>
      <c r="I1621" s="66" t="str">
        <f>IF(M1621&lt;&gt;"OK","",INDEX(po_mac,MATCH(D1621,po_code,0)))</f>
        <v/>
      </c>
      <c r="J1621" s="66" t="str">
        <f>IF(M1621&lt;&gt;"OK","",N(E1621)*(H1621*IF(G1621="",1,G1621)+I1621))</f>
        <v/>
      </c>
      <c r="K1621" s="66" t="str">
        <f>IF(M1621&lt;&gt;"OK","",N(F1621)/60*H1621*IF(G1621="",1,G1621))</f>
        <v/>
      </c>
      <c r="L1621" s="66" t="str">
        <f>IF(M1621&lt;&gt;"OK","",N(F1621)/60*I1621)</f>
        <v/>
      </c>
      <c r="M1621" s="69" t="str">
        <f>IF(AND(A1621="",D1621=""),"",IF(A1621="","Produit manquant",IF(COUNTIF(prod_ref,A1621)=0,"Produit inconnu",IF(D1621="","Poste manquant",IF(ISNA(MATCH(D1621,po_code,0)),"Poste inconnu",IF(INDEX(po_check,MATCH(D1621,po_code,0))&lt;&gt;"OK","Poste à corriger",IF(AND(E1621&lt;&gt;"",OR(NOT(ISNUMBER(E1621)),N(E1621)&lt;0)),"Réglage invalide",IF(AND(F1621&lt;&gt;"",OR(NOT(ISNUMBER(F1621)),N(F1621)&lt;0)),"Temps par pièce invalide",IF(N(E1621)+N(F1621)=0,"Temps manquant",IF(AND(G1621&lt;&gt;"",OR(NOT(ISNUMBER(G1621)),N(G1621)&lt;=0)),"Opérateurs invalide","OK"))))))))))</f>
        <v/>
      </c>
      <c r="N1621" s="71" t="str">
        <f>IF(AND(fiche_sel&lt;&gt;"",A1621=fiche_sel),COUNTIF(A$6:A1621,fiche_sel),"")</f>
        <v/>
      </c>
    </row>
    <row r="1622">
      <c r="A1622" s="60" t="n"/>
      <c r="B1622" s="73" t="n"/>
      <c r="C1622" s="60" t="n"/>
      <c r="D1622" s="61" t="n"/>
      <c r="E1622" s="74" t="n"/>
      <c r="F1622" s="74" t="n"/>
      <c r="G1622" s="73" t="n"/>
      <c r="H1622" s="66" t="str">
        <f>IF(M1622&lt;&gt;"OK","",INDEX(po_mo,MATCH(D1622,po_code,0)))</f>
        <v/>
      </c>
      <c r="I1622" s="66" t="str">
        <f>IF(M1622&lt;&gt;"OK","",INDEX(po_mac,MATCH(D1622,po_code,0)))</f>
        <v/>
      </c>
      <c r="J1622" s="66" t="str">
        <f>IF(M1622&lt;&gt;"OK","",N(E1622)*(H1622*IF(G1622="",1,G1622)+I1622))</f>
        <v/>
      </c>
      <c r="K1622" s="66" t="str">
        <f>IF(M1622&lt;&gt;"OK","",N(F1622)/60*H1622*IF(G1622="",1,G1622))</f>
        <v/>
      </c>
      <c r="L1622" s="66" t="str">
        <f>IF(M1622&lt;&gt;"OK","",N(F1622)/60*I1622)</f>
        <v/>
      </c>
      <c r="M1622" s="69" t="str">
        <f>IF(AND(A1622="",D1622=""),"",IF(A1622="","Produit manquant",IF(COUNTIF(prod_ref,A1622)=0,"Produit inconnu",IF(D1622="","Poste manquant",IF(ISNA(MATCH(D1622,po_code,0)),"Poste inconnu",IF(INDEX(po_check,MATCH(D1622,po_code,0))&lt;&gt;"OK","Poste à corriger",IF(AND(E1622&lt;&gt;"",OR(NOT(ISNUMBER(E1622)),N(E1622)&lt;0)),"Réglage invalide",IF(AND(F1622&lt;&gt;"",OR(NOT(ISNUMBER(F1622)),N(F1622)&lt;0)),"Temps par pièce invalide",IF(N(E1622)+N(F1622)=0,"Temps manquant",IF(AND(G1622&lt;&gt;"",OR(NOT(ISNUMBER(G1622)),N(G1622)&lt;=0)),"Opérateurs invalide","OK"))))))))))</f>
        <v/>
      </c>
      <c r="N1622" s="71" t="str">
        <f>IF(AND(fiche_sel&lt;&gt;"",A1622=fiche_sel),COUNTIF(A$6:A1622,fiche_sel),"")</f>
        <v/>
      </c>
    </row>
    <row r="1623">
      <c r="A1623" s="60" t="n"/>
      <c r="B1623" s="73" t="n"/>
      <c r="C1623" s="60" t="n"/>
      <c r="D1623" s="61" t="n"/>
      <c r="E1623" s="74" t="n"/>
      <c r="F1623" s="74" t="n"/>
      <c r="G1623" s="73" t="n"/>
      <c r="H1623" s="66" t="str">
        <f>IF(M1623&lt;&gt;"OK","",INDEX(po_mo,MATCH(D1623,po_code,0)))</f>
        <v/>
      </c>
      <c r="I1623" s="66" t="str">
        <f>IF(M1623&lt;&gt;"OK","",INDEX(po_mac,MATCH(D1623,po_code,0)))</f>
        <v/>
      </c>
      <c r="J1623" s="66" t="str">
        <f>IF(M1623&lt;&gt;"OK","",N(E1623)*(H1623*IF(G1623="",1,G1623)+I1623))</f>
        <v/>
      </c>
      <c r="K1623" s="66" t="str">
        <f>IF(M1623&lt;&gt;"OK","",N(F1623)/60*H1623*IF(G1623="",1,G1623))</f>
        <v/>
      </c>
      <c r="L1623" s="66" t="str">
        <f>IF(M1623&lt;&gt;"OK","",N(F1623)/60*I1623)</f>
        <v/>
      </c>
      <c r="M1623" s="69" t="str">
        <f>IF(AND(A1623="",D1623=""),"",IF(A1623="","Produit manquant",IF(COUNTIF(prod_ref,A1623)=0,"Produit inconnu",IF(D1623="","Poste manquant",IF(ISNA(MATCH(D1623,po_code,0)),"Poste inconnu",IF(INDEX(po_check,MATCH(D1623,po_code,0))&lt;&gt;"OK","Poste à corriger",IF(AND(E1623&lt;&gt;"",OR(NOT(ISNUMBER(E1623)),N(E1623)&lt;0)),"Réglage invalide",IF(AND(F1623&lt;&gt;"",OR(NOT(ISNUMBER(F1623)),N(F1623)&lt;0)),"Temps par pièce invalide",IF(N(E1623)+N(F1623)=0,"Temps manquant",IF(AND(G1623&lt;&gt;"",OR(NOT(ISNUMBER(G1623)),N(G1623)&lt;=0)),"Opérateurs invalide","OK"))))))))))</f>
        <v/>
      </c>
      <c r="N1623" s="71" t="str">
        <f>IF(AND(fiche_sel&lt;&gt;"",A1623=fiche_sel),COUNTIF(A$6:A1623,fiche_sel),"")</f>
        <v/>
      </c>
    </row>
    <row r="1624">
      <c r="A1624" s="60" t="n"/>
      <c r="B1624" s="73" t="n"/>
      <c r="C1624" s="60" t="n"/>
      <c r="D1624" s="61" t="n"/>
      <c r="E1624" s="74" t="n"/>
      <c r="F1624" s="74" t="n"/>
      <c r="G1624" s="73" t="n"/>
      <c r="H1624" s="66" t="str">
        <f>IF(M1624&lt;&gt;"OK","",INDEX(po_mo,MATCH(D1624,po_code,0)))</f>
        <v/>
      </c>
      <c r="I1624" s="66" t="str">
        <f>IF(M1624&lt;&gt;"OK","",INDEX(po_mac,MATCH(D1624,po_code,0)))</f>
        <v/>
      </c>
      <c r="J1624" s="66" t="str">
        <f>IF(M1624&lt;&gt;"OK","",N(E1624)*(H1624*IF(G1624="",1,G1624)+I1624))</f>
        <v/>
      </c>
      <c r="K1624" s="66" t="str">
        <f>IF(M1624&lt;&gt;"OK","",N(F1624)/60*H1624*IF(G1624="",1,G1624))</f>
        <v/>
      </c>
      <c r="L1624" s="66" t="str">
        <f>IF(M1624&lt;&gt;"OK","",N(F1624)/60*I1624)</f>
        <v/>
      </c>
      <c r="M1624" s="69" t="str">
        <f>IF(AND(A1624="",D1624=""),"",IF(A1624="","Produit manquant",IF(COUNTIF(prod_ref,A1624)=0,"Produit inconnu",IF(D1624="","Poste manquant",IF(ISNA(MATCH(D1624,po_code,0)),"Poste inconnu",IF(INDEX(po_check,MATCH(D1624,po_code,0))&lt;&gt;"OK","Poste à corriger",IF(AND(E1624&lt;&gt;"",OR(NOT(ISNUMBER(E1624)),N(E1624)&lt;0)),"Réglage invalide",IF(AND(F1624&lt;&gt;"",OR(NOT(ISNUMBER(F1624)),N(F1624)&lt;0)),"Temps par pièce invalide",IF(N(E1624)+N(F1624)=0,"Temps manquant",IF(AND(G1624&lt;&gt;"",OR(NOT(ISNUMBER(G1624)),N(G1624)&lt;=0)),"Opérateurs invalide","OK"))))))))))</f>
        <v/>
      </c>
      <c r="N1624" s="71" t="str">
        <f>IF(AND(fiche_sel&lt;&gt;"",A1624=fiche_sel),COUNTIF(A$6:A1624,fiche_sel),"")</f>
        <v/>
      </c>
    </row>
    <row r="1625">
      <c r="A1625" s="60" t="n"/>
      <c r="B1625" s="73" t="n"/>
      <c r="C1625" s="60" t="n"/>
      <c r="D1625" s="61" t="n"/>
      <c r="E1625" s="74" t="n"/>
      <c r="F1625" s="74" t="n"/>
      <c r="G1625" s="73" t="n"/>
      <c r="H1625" s="66" t="str">
        <f>IF(M1625&lt;&gt;"OK","",INDEX(po_mo,MATCH(D1625,po_code,0)))</f>
        <v/>
      </c>
      <c r="I1625" s="66" t="str">
        <f>IF(M1625&lt;&gt;"OK","",INDEX(po_mac,MATCH(D1625,po_code,0)))</f>
        <v/>
      </c>
      <c r="J1625" s="66" t="str">
        <f>IF(M1625&lt;&gt;"OK","",N(E1625)*(H1625*IF(G1625="",1,G1625)+I1625))</f>
        <v/>
      </c>
      <c r="K1625" s="66" t="str">
        <f>IF(M1625&lt;&gt;"OK","",N(F1625)/60*H1625*IF(G1625="",1,G1625))</f>
        <v/>
      </c>
      <c r="L1625" s="66" t="str">
        <f>IF(M1625&lt;&gt;"OK","",N(F1625)/60*I1625)</f>
        <v/>
      </c>
      <c r="M1625" s="69" t="str">
        <f>IF(AND(A1625="",D1625=""),"",IF(A1625="","Produit manquant",IF(COUNTIF(prod_ref,A1625)=0,"Produit inconnu",IF(D1625="","Poste manquant",IF(ISNA(MATCH(D1625,po_code,0)),"Poste inconnu",IF(INDEX(po_check,MATCH(D1625,po_code,0))&lt;&gt;"OK","Poste à corriger",IF(AND(E1625&lt;&gt;"",OR(NOT(ISNUMBER(E1625)),N(E1625)&lt;0)),"Réglage invalide",IF(AND(F1625&lt;&gt;"",OR(NOT(ISNUMBER(F1625)),N(F1625)&lt;0)),"Temps par pièce invalide",IF(N(E1625)+N(F1625)=0,"Temps manquant",IF(AND(G1625&lt;&gt;"",OR(NOT(ISNUMBER(G1625)),N(G1625)&lt;=0)),"Opérateurs invalide","OK"))))))))))</f>
        <v/>
      </c>
      <c r="N1625" s="71" t="str">
        <f>IF(AND(fiche_sel&lt;&gt;"",A1625=fiche_sel),COUNTIF(A$6:A1625,fiche_sel),"")</f>
        <v/>
      </c>
    </row>
    <row r="1626">
      <c r="A1626" s="60" t="n"/>
      <c r="B1626" s="73" t="n"/>
      <c r="C1626" s="60" t="n"/>
      <c r="D1626" s="61" t="n"/>
      <c r="E1626" s="74" t="n"/>
      <c r="F1626" s="74" t="n"/>
      <c r="G1626" s="73" t="n"/>
      <c r="H1626" s="66" t="str">
        <f>IF(M1626&lt;&gt;"OK","",INDEX(po_mo,MATCH(D1626,po_code,0)))</f>
        <v/>
      </c>
      <c r="I1626" s="66" t="str">
        <f>IF(M1626&lt;&gt;"OK","",INDEX(po_mac,MATCH(D1626,po_code,0)))</f>
        <v/>
      </c>
      <c r="J1626" s="66" t="str">
        <f>IF(M1626&lt;&gt;"OK","",N(E1626)*(H1626*IF(G1626="",1,G1626)+I1626))</f>
        <v/>
      </c>
      <c r="K1626" s="66" t="str">
        <f>IF(M1626&lt;&gt;"OK","",N(F1626)/60*H1626*IF(G1626="",1,G1626))</f>
        <v/>
      </c>
      <c r="L1626" s="66" t="str">
        <f>IF(M1626&lt;&gt;"OK","",N(F1626)/60*I1626)</f>
        <v/>
      </c>
      <c r="M1626" s="69" t="str">
        <f>IF(AND(A1626="",D1626=""),"",IF(A1626="","Produit manquant",IF(COUNTIF(prod_ref,A1626)=0,"Produit inconnu",IF(D1626="","Poste manquant",IF(ISNA(MATCH(D1626,po_code,0)),"Poste inconnu",IF(INDEX(po_check,MATCH(D1626,po_code,0))&lt;&gt;"OK","Poste à corriger",IF(AND(E1626&lt;&gt;"",OR(NOT(ISNUMBER(E1626)),N(E1626)&lt;0)),"Réglage invalide",IF(AND(F1626&lt;&gt;"",OR(NOT(ISNUMBER(F1626)),N(F1626)&lt;0)),"Temps par pièce invalide",IF(N(E1626)+N(F1626)=0,"Temps manquant",IF(AND(G1626&lt;&gt;"",OR(NOT(ISNUMBER(G1626)),N(G1626)&lt;=0)),"Opérateurs invalide","OK"))))))))))</f>
        <v/>
      </c>
      <c r="N1626" s="71" t="str">
        <f>IF(AND(fiche_sel&lt;&gt;"",A1626=fiche_sel),COUNTIF(A$6:A1626,fiche_sel),"")</f>
        <v/>
      </c>
    </row>
    <row r="1627">
      <c r="A1627" s="60" t="n"/>
      <c r="B1627" s="73" t="n"/>
      <c r="C1627" s="60" t="n"/>
      <c r="D1627" s="61" t="n"/>
      <c r="E1627" s="74" t="n"/>
      <c r="F1627" s="74" t="n"/>
      <c r="G1627" s="73" t="n"/>
      <c r="H1627" s="66" t="str">
        <f>IF(M1627&lt;&gt;"OK","",INDEX(po_mo,MATCH(D1627,po_code,0)))</f>
        <v/>
      </c>
      <c r="I1627" s="66" t="str">
        <f>IF(M1627&lt;&gt;"OK","",INDEX(po_mac,MATCH(D1627,po_code,0)))</f>
        <v/>
      </c>
      <c r="J1627" s="66" t="str">
        <f>IF(M1627&lt;&gt;"OK","",N(E1627)*(H1627*IF(G1627="",1,G1627)+I1627))</f>
        <v/>
      </c>
      <c r="K1627" s="66" t="str">
        <f>IF(M1627&lt;&gt;"OK","",N(F1627)/60*H1627*IF(G1627="",1,G1627))</f>
        <v/>
      </c>
      <c r="L1627" s="66" t="str">
        <f>IF(M1627&lt;&gt;"OK","",N(F1627)/60*I1627)</f>
        <v/>
      </c>
      <c r="M1627" s="69" t="str">
        <f>IF(AND(A1627="",D1627=""),"",IF(A1627="","Produit manquant",IF(COUNTIF(prod_ref,A1627)=0,"Produit inconnu",IF(D1627="","Poste manquant",IF(ISNA(MATCH(D1627,po_code,0)),"Poste inconnu",IF(INDEX(po_check,MATCH(D1627,po_code,0))&lt;&gt;"OK","Poste à corriger",IF(AND(E1627&lt;&gt;"",OR(NOT(ISNUMBER(E1627)),N(E1627)&lt;0)),"Réglage invalide",IF(AND(F1627&lt;&gt;"",OR(NOT(ISNUMBER(F1627)),N(F1627)&lt;0)),"Temps par pièce invalide",IF(N(E1627)+N(F1627)=0,"Temps manquant",IF(AND(G1627&lt;&gt;"",OR(NOT(ISNUMBER(G1627)),N(G1627)&lt;=0)),"Opérateurs invalide","OK"))))))))))</f>
        <v/>
      </c>
      <c r="N1627" s="71" t="str">
        <f>IF(AND(fiche_sel&lt;&gt;"",A1627=fiche_sel),COUNTIF(A$6:A1627,fiche_sel),"")</f>
        <v/>
      </c>
    </row>
    <row r="1628">
      <c r="A1628" s="60" t="n"/>
      <c r="B1628" s="73" t="n"/>
      <c r="C1628" s="60" t="n"/>
      <c r="D1628" s="61" t="n"/>
      <c r="E1628" s="74" t="n"/>
      <c r="F1628" s="74" t="n"/>
      <c r="G1628" s="73" t="n"/>
      <c r="H1628" s="66" t="str">
        <f>IF(M1628&lt;&gt;"OK","",INDEX(po_mo,MATCH(D1628,po_code,0)))</f>
        <v/>
      </c>
      <c r="I1628" s="66" t="str">
        <f>IF(M1628&lt;&gt;"OK","",INDEX(po_mac,MATCH(D1628,po_code,0)))</f>
        <v/>
      </c>
      <c r="J1628" s="66" t="str">
        <f>IF(M1628&lt;&gt;"OK","",N(E1628)*(H1628*IF(G1628="",1,G1628)+I1628))</f>
        <v/>
      </c>
      <c r="K1628" s="66" t="str">
        <f>IF(M1628&lt;&gt;"OK","",N(F1628)/60*H1628*IF(G1628="",1,G1628))</f>
        <v/>
      </c>
      <c r="L1628" s="66" t="str">
        <f>IF(M1628&lt;&gt;"OK","",N(F1628)/60*I1628)</f>
        <v/>
      </c>
      <c r="M1628" s="69" t="str">
        <f>IF(AND(A1628="",D1628=""),"",IF(A1628="","Produit manquant",IF(COUNTIF(prod_ref,A1628)=0,"Produit inconnu",IF(D1628="","Poste manquant",IF(ISNA(MATCH(D1628,po_code,0)),"Poste inconnu",IF(INDEX(po_check,MATCH(D1628,po_code,0))&lt;&gt;"OK","Poste à corriger",IF(AND(E1628&lt;&gt;"",OR(NOT(ISNUMBER(E1628)),N(E1628)&lt;0)),"Réglage invalide",IF(AND(F1628&lt;&gt;"",OR(NOT(ISNUMBER(F1628)),N(F1628)&lt;0)),"Temps par pièce invalide",IF(N(E1628)+N(F1628)=0,"Temps manquant",IF(AND(G1628&lt;&gt;"",OR(NOT(ISNUMBER(G1628)),N(G1628)&lt;=0)),"Opérateurs invalide","OK"))))))))))</f>
        <v/>
      </c>
      <c r="N1628" s="71" t="str">
        <f>IF(AND(fiche_sel&lt;&gt;"",A1628=fiche_sel),COUNTIF(A$6:A1628,fiche_sel),"")</f>
        <v/>
      </c>
    </row>
    <row r="1629">
      <c r="A1629" s="60" t="n"/>
      <c r="B1629" s="73" t="n"/>
      <c r="C1629" s="60" t="n"/>
      <c r="D1629" s="61" t="n"/>
      <c r="E1629" s="74" t="n"/>
      <c r="F1629" s="74" t="n"/>
      <c r="G1629" s="73" t="n"/>
      <c r="H1629" s="66" t="str">
        <f>IF(M1629&lt;&gt;"OK","",INDEX(po_mo,MATCH(D1629,po_code,0)))</f>
        <v/>
      </c>
      <c r="I1629" s="66" t="str">
        <f>IF(M1629&lt;&gt;"OK","",INDEX(po_mac,MATCH(D1629,po_code,0)))</f>
        <v/>
      </c>
      <c r="J1629" s="66" t="str">
        <f>IF(M1629&lt;&gt;"OK","",N(E1629)*(H1629*IF(G1629="",1,G1629)+I1629))</f>
        <v/>
      </c>
      <c r="K1629" s="66" t="str">
        <f>IF(M1629&lt;&gt;"OK","",N(F1629)/60*H1629*IF(G1629="",1,G1629))</f>
        <v/>
      </c>
      <c r="L1629" s="66" t="str">
        <f>IF(M1629&lt;&gt;"OK","",N(F1629)/60*I1629)</f>
        <v/>
      </c>
      <c r="M1629" s="69" t="str">
        <f>IF(AND(A1629="",D1629=""),"",IF(A1629="","Produit manquant",IF(COUNTIF(prod_ref,A1629)=0,"Produit inconnu",IF(D1629="","Poste manquant",IF(ISNA(MATCH(D1629,po_code,0)),"Poste inconnu",IF(INDEX(po_check,MATCH(D1629,po_code,0))&lt;&gt;"OK","Poste à corriger",IF(AND(E1629&lt;&gt;"",OR(NOT(ISNUMBER(E1629)),N(E1629)&lt;0)),"Réglage invalide",IF(AND(F1629&lt;&gt;"",OR(NOT(ISNUMBER(F1629)),N(F1629)&lt;0)),"Temps par pièce invalide",IF(N(E1629)+N(F1629)=0,"Temps manquant",IF(AND(G1629&lt;&gt;"",OR(NOT(ISNUMBER(G1629)),N(G1629)&lt;=0)),"Opérateurs invalide","OK"))))))))))</f>
        <v/>
      </c>
      <c r="N1629" s="71" t="str">
        <f>IF(AND(fiche_sel&lt;&gt;"",A1629=fiche_sel),COUNTIF(A$6:A1629,fiche_sel),"")</f>
        <v/>
      </c>
    </row>
    <row r="1630">
      <c r="A1630" s="60" t="n"/>
      <c r="B1630" s="73" t="n"/>
      <c r="C1630" s="60" t="n"/>
      <c r="D1630" s="61" t="n"/>
      <c r="E1630" s="74" t="n"/>
      <c r="F1630" s="74" t="n"/>
      <c r="G1630" s="73" t="n"/>
      <c r="H1630" s="66" t="str">
        <f>IF(M1630&lt;&gt;"OK","",INDEX(po_mo,MATCH(D1630,po_code,0)))</f>
        <v/>
      </c>
      <c r="I1630" s="66" t="str">
        <f>IF(M1630&lt;&gt;"OK","",INDEX(po_mac,MATCH(D1630,po_code,0)))</f>
        <v/>
      </c>
      <c r="J1630" s="66" t="str">
        <f>IF(M1630&lt;&gt;"OK","",N(E1630)*(H1630*IF(G1630="",1,G1630)+I1630))</f>
        <v/>
      </c>
      <c r="K1630" s="66" t="str">
        <f>IF(M1630&lt;&gt;"OK","",N(F1630)/60*H1630*IF(G1630="",1,G1630))</f>
        <v/>
      </c>
      <c r="L1630" s="66" t="str">
        <f>IF(M1630&lt;&gt;"OK","",N(F1630)/60*I1630)</f>
        <v/>
      </c>
      <c r="M1630" s="69" t="str">
        <f>IF(AND(A1630="",D1630=""),"",IF(A1630="","Produit manquant",IF(COUNTIF(prod_ref,A1630)=0,"Produit inconnu",IF(D1630="","Poste manquant",IF(ISNA(MATCH(D1630,po_code,0)),"Poste inconnu",IF(INDEX(po_check,MATCH(D1630,po_code,0))&lt;&gt;"OK","Poste à corriger",IF(AND(E1630&lt;&gt;"",OR(NOT(ISNUMBER(E1630)),N(E1630)&lt;0)),"Réglage invalide",IF(AND(F1630&lt;&gt;"",OR(NOT(ISNUMBER(F1630)),N(F1630)&lt;0)),"Temps par pièce invalide",IF(N(E1630)+N(F1630)=0,"Temps manquant",IF(AND(G1630&lt;&gt;"",OR(NOT(ISNUMBER(G1630)),N(G1630)&lt;=0)),"Opérateurs invalide","OK"))))))))))</f>
        <v/>
      </c>
      <c r="N1630" s="71" t="str">
        <f>IF(AND(fiche_sel&lt;&gt;"",A1630=fiche_sel),COUNTIF(A$6:A1630,fiche_sel),"")</f>
        <v/>
      </c>
    </row>
    <row r="1631">
      <c r="A1631" s="60" t="n"/>
      <c r="B1631" s="73" t="n"/>
      <c r="C1631" s="60" t="n"/>
      <c r="D1631" s="61" t="n"/>
      <c r="E1631" s="74" t="n"/>
      <c r="F1631" s="74" t="n"/>
      <c r="G1631" s="73" t="n"/>
      <c r="H1631" s="66" t="str">
        <f>IF(M1631&lt;&gt;"OK","",INDEX(po_mo,MATCH(D1631,po_code,0)))</f>
        <v/>
      </c>
      <c r="I1631" s="66" t="str">
        <f>IF(M1631&lt;&gt;"OK","",INDEX(po_mac,MATCH(D1631,po_code,0)))</f>
        <v/>
      </c>
      <c r="J1631" s="66" t="str">
        <f>IF(M1631&lt;&gt;"OK","",N(E1631)*(H1631*IF(G1631="",1,G1631)+I1631))</f>
        <v/>
      </c>
      <c r="K1631" s="66" t="str">
        <f>IF(M1631&lt;&gt;"OK","",N(F1631)/60*H1631*IF(G1631="",1,G1631))</f>
        <v/>
      </c>
      <c r="L1631" s="66" t="str">
        <f>IF(M1631&lt;&gt;"OK","",N(F1631)/60*I1631)</f>
        <v/>
      </c>
      <c r="M1631" s="69" t="str">
        <f>IF(AND(A1631="",D1631=""),"",IF(A1631="","Produit manquant",IF(COUNTIF(prod_ref,A1631)=0,"Produit inconnu",IF(D1631="","Poste manquant",IF(ISNA(MATCH(D1631,po_code,0)),"Poste inconnu",IF(INDEX(po_check,MATCH(D1631,po_code,0))&lt;&gt;"OK","Poste à corriger",IF(AND(E1631&lt;&gt;"",OR(NOT(ISNUMBER(E1631)),N(E1631)&lt;0)),"Réglage invalide",IF(AND(F1631&lt;&gt;"",OR(NOT(ISNUMBER(F1631)),N(F1631)&lt;0)),"Temps par pièce invalide",IF(N(E1631)+N(F1631)=0,"Temps manquant",IF(AND(G1631&lt;&gt;"",OR(NOT(ISNUMBER(G1631)),N(G1631)&lt;=0)),"Opérateurs invalide","OK"))))))))))</f>
        <v/>
      </c>
      <c r="N1631" s="71" t="str">
        <f>IF(AND(fiche_sel&lt;&gt;"",A1631=fiche_sel),COUNTIF(A$6:A1631,fiche_sel),"")</f>
        <v/>
      </c>
    </row>
    <row r="1632">
      <c r="A1632" s="60" t="n"/>
      <c r="B1632" s="73" t="n"/>
      <c r="C1632" s="60" t="n"/>
      <c r="D1632" s="61" t="n"/>
      <c r="E1632" s="74" t="n"/>
      <c r="F1632" s="74" t="n"/>
      <c r="G1632" s="73" t="n"/>
      <c r="H1632" s="66" t="str">
        <f>IF(M1632&lt;&gt;"OK","",INDEX(po_mo,MATCH(D1632,po_code,0)))</f>
        <v/>
      </c>
      <c r="I1632" s="66" t="str">
        <f>IF(M1632&lt;&gt;"OK","",INDEX(po_mac,MATCH(D1632,po_code,0)))</f>
        <v/>
      </c>
      <c r="J1632" s="66" t="str">
        <f>IF(M1632&lt;&gt;"OK","",N(E1632)*(H1632*IF(G1632="",1,G1632)+I1632))</f>
        <v/>
      </c>
      <c r="K1632" s="66" t="str">
        <f>IF(M1632&lt;&gt;"OK","",N(F1632)/60*H1632*IF(G1632="",1,G1632))</f>
        <v/>
      </c>
      <c r="L1632" s="66" t="str">
        <f>IF(M1632&lt;&gt;"OK","",N(F1632)/60*I1632)</f>
        <v/>
      </c>
      <c r="M1632" s="69" t="str">
        <f>IF(AND(A1632="",D1632=""),"",IF(A1632="","Produit manquant",IF(COUNTIF(prod_ref,A1632)=0,"Produit inconnu",IF(D1632="","Poste manquant",IF(ISNA(MATCH(D1632,po_code,0)),"Poste inconnu",IF(INDEX(po_check,MATCH(D1632,po_code,0))&lt;&gt;"OK","Poste à corriger",IF(AND(E1632&lt;&gt;"",OR(NOT(ISNUMBER(E1632)),N(E1632)&lt;0)),"Réglage invalide",IF(AND(F1632&lt;&gt;"",OR(NOT(ISNUMBER(F1632)),N(F1632)&lt;0)),"Temps par pièce invalide",IF(N(E1632)+N(F1632)=0,"Temps manquant",IF(AND(G1632&lt;&gt;"",OR(NOT(ISNUMBER(G1632)),N(G1632)&lt;=0)),"Opérateurs invalide","OK"))))))))))</f>
        <v/>
      </c>
      <c r="N1632" s="71" t="str">
        <f>IF(AND(fiche_sel&lt;&gt;"",A1632=fiche_sel),COUNTIF(A$6:A1632,fiche_sel),"")</f>
        <v/>
      </c>
    </row>
    <row r="1633">
      <c r="A1633" s="60" t="n"/>
      <c r="B1633" s="73" t="n"/>
      <c r="C1633" s="60" t="n"/>
      <c r="D1633" s="61" t="n"/>
      <c r="E1633" s="74" t="n"/>
      <c r="F1633" s="74" t="n"/>
      <c r="G1633" s="73" t="n"/>
      <c r="H1633" s="66" t="str">
        <f>IF(M1633&lt;&gt;"OK","",INDEX(po_mo,MATCH(D1633,po_code,0)))</f>
        <v/>
      </c>
      <c r="I1633" s="66" t="str">
        <f>IF(M1633&lt;&gt;"OK","",INDEX(po_mac,MATCH(D1633,po_code,0)))</f>
        <v/>
      </c>
      <c r="J1633" s="66" t="str">
        <f>IF(M1633&lt;&gt;"OK","",N(E1633)*(H1633*IF(G1633="",1,G1633)+I1633))</f>
        <v/>
      </c>
      <c r="K1633" s="66" t="str">
        <f>IF(M1633&lt;&gt;"OK","",N(F1633)/60*H1633*IF(G1633="",1,G1633))</f>
        <v/>
      </c>
      <c r="L1633" s="66" t="str">
        <f>IF(M1633&lt;&gt;"OK","",N(F1633)/60*I1633)</f>
        <v/>
      </c>
      <c r="M1633" s="69" t="str">
        <f>IF(AND(A1633="",D1633=""),"",IF(A1633="","Produit manquant",IF(COUNTIF(prod_ref,A1633)=0,"Produit inconnu",IF(D1633="","Poste manquant",IF(ISNA(MATCH(D1633,po_code,0)),"Poste inconnu",IF(INDEX(po_check,MATCH(D1633,po_code,0))&lt;&gt;"OK","Poste à corriger",IF(AND(E1633&lt;&gt;"",OR(NOT(ISNUMBER(E1633)),N(E1633)&lt;0)),"Réglage invalide",IF(AND(F1633&lt;&gt;"",OR(NOT(ISNUMBER(F1633)),N(F1633)&lt;0)),"Temps par pièce invalide",IF(N(E1633)+N(F1633)=0,"Temps manquant",IF(AND(G1633&lt;&gt;"",OR(NOT(ISNUMBER(G1633)),N(G1633)&lt;=0)),"Opérateurs invalide","OK"))))))))))</f>
        <v/>
      </c>
      <c r="N1633" s="71" t="str">
        <f>IF(AND(fiche_sel&lt;&gt;"",A1633=fiche_sel),COUNTIF(A$6:A1633,fiche_sel),"")</f>
        <v/>
      </c>
    </row>
    <row r="1634">
      <c r="A1634" s="60" t="n"/>
      <c r="B1634" s="73" t="n"/>
      <c r="C1634" s="60" t="n"/>
      <c r="D1634" s="61" t="n"/>
      <c r="E1634" s="74" t="n"/>
      <c r="F1634" s="74" t="n"/>
      <c r="G1634" s="73" t="n"/>
      <c r="H1634" s="66" t="str">
        <f>IF(M1634&lt;&gt;"OK","",INDEX(po_mo,MATCH(D1634,po_code,0)))</f>
        <v/>
      </c>
      <c r="I1634" s="66" t="str">
        <f>IF(M1634&lt;&gt;"OK","",INDEX(po_mac,MATCH(D1634,po_code,0)))</f>
        <v/>
      </c>
      <c r="J1634" s="66" t="str">
        <f>IF(M1634&lt;&gt;"OK","",N(E1634)*(H1634*IF(G1634="",1,G1634)+I1634))</f>
        <v/>
      </c>
      <c r="K1634" s="66" t="str">
        <f>IF(M1634&lt;&gt;"OK","",N(F1634)/60*H1634*IF(G1634="",1,G1634))</f>
        <v/>
      </c>
      <c r="L1634" s="66" t="str">
        <f>IF(M1634&lt;&gt;"OK","",N(F1634)/60*I1634)</f>
        <v/>
      </c>
      <c r="M1634" s="69" t="str">
        <f>IF(AND(A1634="",D1634=""),"",IF(A1634="","Produit manquant",IF(COUNTIF(prod_ref,A1634)=0,"Produit inconnu",IF(D1634="","Poste manquant",IF(ISNA(MATCH(D1634,po_code,0)),"Poste inconnu",IF(INDEX(po_check,MATCH(D1634,po_code,0))&lt;&gt;"OK","Poste à corriger",IF(AND(E1634&lt;&gt;"",OR(NOT(ISNUMBER(E1634)),N(E1634)&lt;0)),"Réglage invalide",IF(AND(F1634&lt;&gt;"",OR(NOT(ISNUMBER(F1634)),N(F1634)&lt;0)),"Temps par pièce invalide",IF(N(E1634)+N(F1634)=0,"Temps manquant",IF(AND(G1634&lt;&gt;"",OR(NOT(ISNUMBER(G1634)),N(G1634)&lt;=0)),"Opérateurs invalide","OK"))))))))))</f>
        <v/>
      </c>
      <c r="N1634" s="71" t="str">
        <f>IF(AND(fiche_sel&lt;&gt;"",A1634=fiche_sel),COUNTIF(A$6:A1634,fiche_sel),"")</f>
        <v/>
      </c>
    </row>
    <row r="1635">
      <c r="A1635" s="60" t="n"/>
      <c r="B1635" s="73" t="n"/>
      <c r="C1635" s="60" t="n"/>
      <c r="D1635" s="61" t="n"/>
      <c r="E1635" s="74" t="n"/>
      <c r="F1635" s="74" t="n"/>
      <c r="G1635" s="73" t="n"/>
      <c r="H1635" s="66" t="str">
        <f>IF(M1635&lt;&gt;"OK","",INDEX(po_mo,MATCH(D1635,po_code,0)))</f>
        <v/>
      </c>
      <c r="I1635" s="66" t="str">
        <f>IF(M1635&lt;&gt;"OK","",INDEX(po_mac,MATCH(D1635,po_code,0)))</f>
        <v/>
      </c>
      <c r="J1635" s="66" t="str">
        <f>IF(M1635&lt;&gt;"OK","",N(E1635)*(H1635*IF(G1635="",1,G1635)+I1635))</f>
        <v/>
      </c>
      <c r="K1635" s="66" t="str">
        <f>IF(M1635&lt;&gt;"OK","",N(F1635)/60*H1635*IF(G1635="",1,G1635))</f>
        <v/>
      </c>
      <c r="L1635" s="66" t="str">
        <f>IF(M1635&lt;&gt;"OK","",N(F1635)/60*I1635)</f>
        <v/>
      </c>
      <c r="M1635" s="69" t="str">
        <f>IF(AND(A1635="",D1635=""),"",IF(A1635="","Produit manquant",IF(COUNTIF(prod_ref,A1635)=0,"Produit inconnu",IF(D1635="","Poste manquant",IF(ISNA(MATCH(D1635,po_code,0)),"Poste inconnu",IF(INDEX(po_check,MATCH(D1635,po_code,0))&lt;&gt;"OK","Poste à corriger",IF(AND(E1635&lt;&gt;"",OR(NOT(ISNUMBER(E1635)),N(E1635)&lt;0)),"Réglage invalide",IF(AND(F1635&lt;&gt;"",OR(NOT(ISNUMBER(F1635)),N(F1635)&lt;0)),"Temps par pièce invalide",IF(N(E1635)+N(F1635)=0,"Temps manquant",IF(AND(G1635&lt;&gt;"",OR(NOT(ISNUMBER(G1635)),N(G1635)&lt;=0)),"Opérateurs invalide","OK"))))))))))</f>
        <v/>
      </c>
      <c r="N1635" s="71" t="str">
        <f>IF(AND(fiche_sel&lt;&gt;"",A1635=fiche_sel),COUNTIF(A$6:A1635,fiche_sel),"")</f>
        <v/>
      </c>
    </row>
    <row r="1636">
      <c r="A1636" s="60" t="n"/>
      <c r="B1636" s="73" t="n"/>
      <c r="C1636" s="60" t="n"/>
      <c r="D1636" s="61" t="n"/>
      <c r="E1636" s="74" t="n"/>
      <c r="F1636" s="74" t="n"/>
      <c r="G1636" s="73" t="n"/>
      <c r="H1636" s="66" t="str">
        <f>IF(M1636&lt;&gt;"OK","",INDEX(po_mo,MATCH(D1636,po_code,0)))</f>
        <v/>
      </c>
      <c r="I1636" s="66" t="str">
        <f>IF(M1636&lt;&gt;"OK","",INDEX(po_mac,MATCH(D1636,po_code,0)))</f>
        <v/>
      </c>
      <c r="J1636" s="66" t="str">
        <f>IF(M1636&lt;&gt;"OK","",N(E1636)*(H1636*IF(G1636="",1,G1636)+I1636))</f>
        <v/>
      </c>
      <c r="K1636" s="66" t="str">
        <f>IF(M1636&lt;&gt;"OK","",N(F1636)/60*H1636*IF(G1636="",1,G1636))</f>
        <v/>
      </c>
      <c r="L1636" s="66" t="str">
        <f>IF(M1636&lt;&gt;"OK","",N(F1636)/60*I1636)</f>
        <v/>
      </c>
      <c r="M1636" s="69" t="str">
        <f>IF(AND(A1636="",D1636=""),"",IF(A1636="","Produit manquant",IF(COUNTIF(prod_ref,A1636)=0,"Produit inconnu",IF(D1636="","Poste manquant",IF(ISNA(MATCH(D1636,po_code,0)),"Poste inconnu",IF(INDEX(po_check,MATCH(D1636,po_code,0))&lt;&gt;"OK","Poste à corriger",IF(AND(E1636&lt;&gt;"",OR(NOT(ISNUMBER(E1636)),N(E1636)&lt;0)),"Réglage invalide",IF(AND(F1636&lt;&gt;"",OR(NOT(ISNUMBER(F1636)),N(F1636)&lt;0)),"Temps par pièce invalide",IF(N(E1636)+N(F1636)=0,"Temps manquant",IF(AND(G1636&lt;&gt;"",OR(NOT(ISNUMBER(G1636)),N(G1636)&lt;=0)),"Opérateurs invalide","OK"))))))))))</f>
        <v/>
      </c>
      <c r="N1636" s="71" t="str">
        <f>IF(AND(fiche_sel&lt;&gt;"",A1636=fiche_sel),COUNTIF(A$6:A1636,fiche_sel),"")</f>
        <v/>
      </c>
    </row>
    <row r="1637">
      <c r="A1637" s="60" t="n"/>
      <c r="B1637" s="73" t="n"/>
      <c r="C1637" s="60" t="n"/>
      <c r="D1637" s="61" t="n"/>
      <c r="E1637" s="74" t="n"/>
      <c r="F1637" s="74" t="n"/>
      <c r="G1637" s="73" t="n"/>
      <c r="H1637" s="66" t="str">
        <f>IF(M1637&lt;&gt;"OK","",INDEX(po_mo,MATCH(D1637,po_code,0)))</f>
        <v/>
      </c>
      <c r="I1637" s="66" t="str">
        <f>IF(M1637&lt;&gt;"OK","",INDEX(po_mac,MATCH(D1637,po_code,0)))</f>
        <v/>
      </c>
      <c r="J1637" s="66" t="str">
        <f>IF(M1637&lt;&gt;"OK","",N(E1637)*(H1637*IF(G1637="",1,G1637)+I1637))</f>
        <v/>
      </c>
      <c r="K1637" s="66" t="str">
        <f>IF(M1637&lt;&gt;"OK","",N(F1637)/60*H1637*IF(G1637="",1,G1637))</f>
        <v/>
      </c>
      <c r="L1637" s="66" t="str">
        <f>IF(M1637&lt;&gt;"OK","",N(F1637)/60*I1637)</f>
        <v/>
      </c>
      <c r="M1637" s="69" t="str">
        <f>IF(AND(A1637="",D1637=""),"",IF(A1637="","Produit manquant",IF(COUNTIF(prod_ref,A1637)=0,"Produit inconnu",IF(D1637="","Poste manquant",IF(ISNA(MATCH(D1637,po_code,0)),"Poste inconnu",IF(INDEX(po_check,MATCH(D1637,po_code,0))&lt;&gt;"OK","Poste à corriger",IF(AND(E1637&lt;&gt;"",OR(NOT(ISNUMBER(E1637)),N(E1637)&lt;0)),"Réglage invalide",IF(AND(F1637&lt;&gt;"",OR(NOT(ISNUMBER(F1637)),N(F1637)&lt;0)),"Temps par pièce invalide",IF(N(E1637)+N(F1637)=0,"Temps manquant",IF(AND(G1637&lt;&gt;"",OR(NOT(ISNUMBER(G1637)),N(G1637)&lt;=0)),"Opérateurs invalide","OK"))))))))))</f>
        <v/>
      </c>
      <c r="N1637" s="71" t="str">
        <f>IF(AND(fiche_sel&lt;&gt;"",A1637=fiche_sel),COUNTIF(A$6:A1637,fiche_sel),"")</f>
        <v/>
      </c>
    </row>
    <row r="1638">
      <c r="A1638" s="60" t="n"/>
      <c r="B1638" s="73" t="n"/>
      <c r="C1638" s="60" t="n"/>
      <c r="D1638" s="61" t="n"/>
      <c r="E1638" s="74" t="n"/>
      <c r="F1638" s="74" t="n"/>
      <c r="G1638" s="73" t="n"/>
      <c r="H1638" s="66" t="str">
        <f>IF(M1638&lt;&gt;"OK","",INDEX(po_mo,MATCH(D1638,po_code,0)))</f>
        <v/>
      </c>
      <c r="I1638" s="66" t="str">
        <f>IF(M1638&lt;&gt;"OK","",INDEX(po_mac,MATCH(D1638,po_code,0)))</f>
        <v/>
      </c>
      <c r="J1638" s="66" t="str">
        <f>IF(M1638&lt;&gt;"OK","",N(E1638)*(H1638*IF(G1638="",1,G1638)+I1638))</f>
        <v/>
      </c>
      <c r="K1638" s="66" t="str">
        <f>IF(M1638&lt;&gt;"OK","",N(F1638)/60*H1638*IF(G1638="",1,G1638))</f>
        <v/>
      </c>
      <c r="L1638" s="66" t="str">
        <f>IF(M1638&lt;&gt;"OK","",N(F1638)/60*I1638)</f>
        <v/>
      </c>
      <c r="M1638" s="69" t="str">
        <f>IF(AND(A1638="",D1638=""),"",IF(A1638="","Produit manquant",IF(COUNTIF(prod_ref,A1638)=0,"Produit inconnu",IF(D1638="","Poste manquant",IF(ISNA(MATCH(D1638,po_code,0)),"Poste inconnu",IF(INDEX(po_check,MATCH(D1638,po_code,0))&lt;&gt;"OK","Poste à corriger",IF(AND(E1638&lt;&gt;"",OR(NOT(ISNUMBER(E1638)),N(E1638)&lt;0)),"Réglage invalide",IF(AND(F1638&lt;&gt;"",OR(NOT(ISNUMBER(F1638)),N(F1638)&lt;0)),"Temps par pièce invalide",IF(N(E1638)+N(F1638)=0,"Temps manquant",IF(AND(G1638&lt;&gt;"",OR(NOT(ISNUMBER(G1638)),N(G1638)&lt;=0)),"Opérateurs invalide","OK"))))))))))</f>
        <v/>
      </c>
      <c r="N1638" s="71" t="str">
        <f>IF(AND(fiche_sel&lt;&gt;"",A1638=fiche_sel),COUNTIF(A$6:A1638,fiche_sel),"")</f>
        <v/>
      </c>
    </row>
    <row r="1639">
      <c r="A1639" s="60" t="n"/>
      <c r="B1639" s="73" t="n"/>
      <c r="C1639" s="60" t="n"/>
      <c r="D1639" s="61" t="n"/>
      <c r="E1639" s="74" t="n"/>
      <c r="F1639" s="74" t="n"/>
      <c r="G1639" s="73" t="n"/>
      <c r="H1639" s="66" t="str">
        <f>IF(M1639&lt;&gt;"OK","",INDEX(po_mo,MATCH(D1639,po_code,0)))</f>
        <v/>
      </c>
      <c r="I1639" s="66" t="str">
        <f>IF(M1639&lt;&gt;"OK","",INDEX(po_mac,MATCH(D1639,po_code,0)))</f>
        <v/>
      </c>
      <c r="J1639" s="66" t="str">
        <f>IF(M1639&lt;&gt;"OK","",N(E1639)*(H1639*IF(G1639="",1,G1639)+I1639))</f>
        <v/>
      </c>
      <c r="K1639" s="66" t="str">
        <f>IF(M1639&lt;&gt;"OK","",N(F1639)/60*H1639*IF(G1639="",1,G1639))</f>
        <v/>
      </c>
      <c r="L1639" s="66" t="str">
        <f>IF(M1639&lt;&gt;"OK","",N(F1639)/60*I1639)</f>
        <v/>
      </c>
      <c r="M1639" s="69" t="str">
        <f>IF(AND(A1639="",D1639=""),"",IF(A1639="","Produit manquant",IF(COUNTIF(prod_ref,A1639)=0,"Produit inconnu",IF(D1639="","Poste manquant",IF(ISNA(MATCH(D1639,po_code,0)),"Poste inconnu",IF(INDEX(po_check,MATCH(D1639,po_code,0))&lt;&gt;"OK","Poste à corriger",IF(AND(E1639&lt;&gt;"",OR(NOT(ISNUMBER(E1639)),N(E1639)&lt;0)),"Réglage invalide",IF(AND(F1639&lt;&gt;"",OR(NOT(ISNUMBER(F1639)),N(F1639)&lt;0)),"Temps par pièce invalide",IF(N(E1639)+N(F1639)=0,"Temps manquant",IF(AND(G1639&lt;&gt;"",OR(NOT(ISNUMBER(G1639)),N(G1639)&lt;=0)),"Opérateurs invalide","OK"))))))))))</f>
        <v/>
      </c>
      <c r="N1639" s="71" t="str">
        <f>IF(AND(fiche_sel&lt;&gt;"",A1639=fiche_sel),COUNTIF(A$6:A1639,fiche_sel),"")</f>
        <v/>
      </c>
    </row>
    <row r="1640">
      <c r="A1640" s="60" t="n"/>
      <c r="B1640" s="73" t="n"/>
      <c r="C1640" s="60" t="n"/>
      <c r="D1640" s="61" t="n"/>
      <c r="E1640" s="74" t="n"/>
      <c r="F1640" s="74" t="n"/>
      <c r="G1640" s="73" t="n"/>
      <c r="H1640" s="66" t="str">
        <f>IF(M1640&lt;&gt;"OK","",INDEX(po_mo,MATCH(D1640,po_code,0)))</f>
        <v/>
      </c>
      <c r="I1640" s="66" t="str">
        <f>IF(M1640&lt;&gt;"OK","",INDEX(po_mac,MATCH(D1640,po_code,0)))</f>
        <v/>
      </c>
      <c r="J1640" s="66" t="str">
        <f>IF(M1640&lt;&gt;"OK","",N(E1640)*(H1640*IF(G1640="",1,G1640)+I1640))</f>
        <v/>
      </c>
      <c r="K1640" s="66" t="str">
        <f>IF(M1640&lt;&gt;"OK","",N(F1640)/60*H1640*IF(G1640="",1,G1640))</f>
        <v/>
      </c>
      <c r="L1640" s="66" t="str">
        <f>IF(M1640&lt;&gt;"OK","",N(F1640)/60*I1640)</f>
        <v/>
      </c>
      <c r="M1640" s="69" t="str">
        <f>IF(AND(A1640="",D1640=""),"",IF(A1640="","Produit manquant",IF(COUNTIF(prod_ref,A1640)=0,"Produit inconnu",IF(D1640="","Poste manquant",IF(ISNA(MATCH(D1640,po_code,0)),"Poste inconnu",IF(INDEX(po_check,MATCH(D1640,po_code,0))&lt;&gt;"OK","Poste à corriger",IF(AND(E1640&lt;&gt;"",OR(NOT(ISNUMBER(E1640)),N(E1640)&lt;0)),"Réglage invalide",IF(AND(F1640&lt;&gt;"",OR(NOT(ISNUMBER(F1640)),N(F1640)&lt;0)),"Temps par pièce invalide",IF(N(E1640)+N(F1640)=0,"Temps manquant",IF(AND(G1640&lt;&gt;"",OR(NOT(ISNUMBER(G1640)),N(G1640)&lt;=0)),"Opérateurs invalide","OK"))))))))))</f>
        <v/>
      </c>
      <c r="N1640" s="71" t="str">
        <f>IF(AND(fiche_sel&lt;&gt;"",A1640=fiche_sel),COUNTIF(A$6:A1640,fiche_sel),"")</f>
        <v/>
      </c>
    </row>
    <row r="1641">
      <c r="A1641" s="60" t="n"/>
      <c r="B1641" s="73" t="n"/>
      <c r="C1641" s="60" t="n"/>
      <c r="D1641" s="61" t="n"/>
      <c r="E1641" s="74" t="n"/>
      <c r="F1641" s="74" t="n"/>
      <c r="G1641" s="73" t="n"/>
      <c r="H1641" s="66" t="str">
        <f>IF(M1641&lt;&gt;"OK","",INDEX(po_mo,MATCH(D1641,po_code,0)))</f>
        <v/>
      </c>
      <c r="I1641" s="66" t="str">
        <f>IF(M1641&lt;&gt;"OK","",INDEX(po_mac,MATCH(D1641,po_code,0)))</f>
        <v/>
      </c>
      <c r="J1641" s="66" t="str">
        <f>IF(M1641&lt;&gt;"OK","",N(E1641)*(H1641*IF(G1641="",1,G1641)+I1641))</f>
        <v/>
      </c>
      <c r="K1641" s="66" t="str">
        <f>IF(M1641&lt;&gt;"OK","",N(F1641)/60*H1641*IF(G1641="",1,G1641))</f>
        <v/>
      </c>
      <c r="L1641" s="66" t="str">
        <f>IF(M1641&lt;&gt;"OK","",N(F1641)/60*I1641)</f>
        <v/>
      </c>
      <c r="M1641" s="69" t="str">
        <f>IF(AND(A1641="",D1641=""),"",IF(A1641="","Produit manquant",IF(COUNTIF(prod_ref,A1641)=0,"Produit inconnu",IF(D1641="","Poste manquant",IF(ISNA(MATCH(D1641,po_code,0)),"Poste inconnu",IF(INDEX(po_check,MATCH(D1641,po_code,0))&lt;&gt;"OK","Poste à corriger",IF(AND(E1641&lt;&gt;"",OR(NOT(ISNUMBER(E1641)),N(E1641)&lt;0)),"Réglage invalide",IF(AND(F1641&lt;&gt;"",OR(NOT(ISNUMBER(F1641)),N(F1641)&lt;0)),"Temps par pièce invalide",IF(N(E1641)+N(F1641)=0,"Temps manquant",IF(AND(G1641&lt;&gt;"",OR(NOT(ISNUMBER(G1641)),N(G1641)&lt;=0)),"Opérateurs invalide","OK"))))))))))</f>
        <v/>
      </c>
      <c r="N1641" s="71" t="str">
        <f>IF(AND(fiche_sel&lt;&gt;"",A1641=fiche_sel),COUNTIF(A$6:A1641,fiche_sel),"")</f>
        <v/>
      </c>
    </row>
    <row r="1642">
      <c r="A1642" s="60" t="n"/>
      <c r="B1642" s="73" t="n"/>
      <c r="C1642" s="60" t="n"/>
      <c r="D1642" s="61" t="n"/>
      <c r="E1642" s="74" t="n"/>
      <c r="F1642" s="74" t="n"/>
      <c r="G1642" s="73" t="n"/>
      <c r="H1642" s="66" t="str">
        <f>IF(M1642&lt;&gt;"OK","",INDEX(po_mo,MATCH(D1642,po_code,0)))</f>
        <v/>
      </c>
      <c r="I1642" s="66" t="str">
        <f>IF(M1642&lt;&gt;"OK","",INDEX(po_mac,MATCH(D1642,po_code,0)))</f>
        <v/>
      </c>
      <c r="J1642" s="66" t="str">
        <f>IF(M1642&lt;&gt;"OK","",N(E1642)*(H1642*IF(G1642="",1,G1642)+I1642))</f>
        <v/>
      </c>
      <c r="K1642" s="66" t="str">
        <f>IF(M1642&lt;&gt;"OK","",N(F1642)/60*H1642*IF(G1642="",1,G1642))</f>
        <v/>
      </c>
      <c r="L1642" s="66" t="str">
        <f>IF(M1642&lt;&gt;"OK","",N(F1642)/60*I1642)</f>
        <v/>
      </c>
      <c r="M1642" s="69" t="str">
        <f>IF(AND(A1642="",D1642=""),"",IF(A1642="","Produit manquant",IF(COUNTIF(prod_ref,A1642)=0,"Produit inconnu",IF(D1642="","Poste manquant",IF(ISNA(MATCH(D1642,po_code,0)),"Poste inconnu",IF(INDEX(po_check,MATCH(D1642,po_code,0))&lt;&gt;"OK","Poste à corriger",IF(AND(E1642&lt;&gt;"",OR(NOT(ISNUMBER(E1642)),N(E1642)&lt;0)),"Réglage invalide",IF(AND(F1642&lt;&gt;"",OR(NOT(ISNUMBER(F1642)),N(F1642)&lt;0)),"Temps par pièce invalide",IF(N(E1642)+N(F1642)=0,"Temps manquant",IF(AND(G1642&lt;&gt;"",OR(NOT(ISNUMBER(G1642)),N(G1642)&lt;=0)),"Opérateurs invalide","OK"))))))))))</f>
        <v/>
      </c>
      <c r="N1642" s="71" t="str">
        <f>IF(AND(fiche_sel&lt;&gt;"",A1642=fiche_sel),COUNTIF(A$6:A1642,fiche_sel),"")</f>
        <v/>
      </c>
    </row>
    <row r="1643">
      <c r="A1643" s="60" t="n"/>
      <c r="B1643" s="73" t="n"/>
      <c r="C1643" s="60" t="n"/>
      <c r="D1643" s="61" t="n"/>
      <c r="E1643" s="74" t="n"/>
      <c r="F1643" s="74" t="n"/>
      <c r="G1643" s="73" t="n"/>
      <c r="H1643" s="66" t="str">
        <f>IF(M1643&lt;&gt;"OK","",INDEX(po_mo,MATCH(D1643,po_code,0)))</f>
        <v/>
      </c>
      <c r="I1643" s="66" t="str">
        <f>IF(M1643&lt;&gt;"OK","",INDEX(po_mac,MATCH(D1643,po_code,0)))</f>
        <v/>
      </c>
      <c r="J1643" s="66" t="str">
        <f>IF(M1643&lt;&gt;"OK","",N(E1643)*(H1643*IF(G1643="",1,G1643)+I1643))</f>
        <v/>
      </c>
      <c r="K1643" s="66" t="str">
        <f>IF(M1643&lt;&gt;"OK","",N(F1643)/60*H1643*IF(G1643="",1,G1643))</f>
        <v/>
      </c>
      <c r="L1643" s="66" t="str">
        <f>IF(M1643&lt;&gt;"OK","",N(F1643)/60*I1643)</f>
        <v/>
      </c>
      <c r="M1643" s="69" t="str">
        <f>IF(AND(A1643="",D1643=""),"",IF(A1643="","Produit manquant",IF(COUNTIF(prod_ref,A1643)=0,"Produit inconnu",IF(D1643="","Poste manquant",IF(ISNA(MATCH(D1643,po_code,0)),"Poste inconnu",IF(INDEX(po_check,MATCH(D1643,po_code,0))&lt;&gt;"OK","Poste à corriger",IF(AND(E1643&lt;&gt;"",OR(NOT(ISNUMBER(E1643)),N(E1643)&lt;0)),"Réglage invalide",IF(AND(F1643&lt;&gt;"",OR(NOT(ISNUMBER(F1643)),N(F1643)&lt;0)),"Temps par pièce invalide",IF(N(E1643)+N(F1643)=0,"Temps manquant",IF(AND(G1643&lt;&gt;"",OR(NOT(ISNUMBER(G1643)),N(G1643)&lt;=0)),"Opérateurs invalide","OK"))))))))))</f>
        <v/>
      </c>
      <c r="N1643" s="71" t="str">
        <f>IF(AND(fiche_sel&lt;&gt;"",A1643=fiche_sel),COUNTIF(A$6:A1643,fiche_sel),"")</f>
        <v/>
      </c>
    </row>
    <row r="1644">
      <c r="A1644" s="60" t="n"/>
      <c r="B1644" s="73" t="n"/>
      <c r="C1644" s="60" t="n"/>
      <c r="D1644" s="61" t="n"/>
      <c r="E1644" s="74" t="n"/>
      <c r="F1644" s="74" t="n"/>
      <c r="G1644" s="73" t="n"/>
      <c r="H1644" s="66" t="str">
        <f>IF(M1644&lt;&gt;"OK","",INDEX(po_mo,MATCH(D1644,po_code,0)))</f>
        <v/>
      </c>
      <c r="I1644" s="66" t="str">
        <f>IF(M1644&lt;&gt;"OK","",INDEX(po_mac,MATCH(D1644,po_code,0)))</f>
        <v/>
      </c>
      <c r="J1644" s="66" t="str">
        <f>IF(M1644&lt;&gt;"OK","",N(E1644)*(H1644*IF(G1644="",1,G1644)+I1644))</f>
        <v/>
      </c>
      <c r="K1644" s="66" t="str">
        <f>IF(M1644&lt;&gt;"OK","",N(F1644)/60*H1644*IF(G1644="",1,G1644))</f>
        <v/>
      </c>
      <c r="L1644" s="66" t="str">
        <f>IF(M1644&lt;&gt;"OK","",N(F1644)/60*I1644)</f>
        <v/>
      </c>
      <c r="M1644" s="69" t="str">
        <f>IF(AND(A1644="",D1644=""),"",IF(A1644="","Produit manquant",IF(COUNTIF(prod_ref,A1644)=0,"Produit inconnu",IF(D1644="","Poste manquant",IF(ISNA(MATCH(D1644,po_code,0)),"Poste inconnu",IF(INDEX(po_check,MATCH(D1644,po_code,0))&lt;&gt;"OK","Poste à corriger",IF(AND(E1644&lt;&gt;"",OR(NOT(ISNUMBER(E1644)),N(E1644)&lt;0)),"Réglage invalide",IF(AND(F1644&lt;&gt;"",OR(NOT(ISNUMBER(F1644)),N(F1644)&lt;0)),"Temps par pièce invalide",IF(N(E1644)+N(F1644)=0,"Temps manquant",IF(AND(G1644&lt;&gt;"",OR(NOT(ISNUMBER(G1644)),N(G1644)&lt;=0)),"Opérateurs invalide","OK"))))))))))</f>
        <v/>
      </c>
      <c r="N1644" s="71" t="str">
        <f>IF(AND(fiche_sel&lt;&gt;"",A1644=fiche_sel),COUNTIF(A$6:A1644,fiche_sel),"")</f>
        <v/>
      </c>
    </row>
    <row r="1645">
      <c r="A1645" s="60" t="n"/>
      <c r="B1645" s="73" t="n"/>
      <c r="C1645" s="60" t="n"/>
      <c r="D1645" s="61" t="n"/>
      <c r="E1645" s="74" t="n"/>
      <c r="F1645" s="74" t="n"/>
      <c r="G1645" s="73" t="n"/>
      <c r="H1645" s="66" t="str">
        <f>IF(M1645&lt;&gt;"OK","",INDEX(po_mo,MATCH(D1645,po_code,0)))</f>
        <v/>
      </c>
      <c r="I1645" s="66" t="str">
        <f>IF(M1645&lt;&gt;"OK","",INDEX(po_mac,MATCH(D1645,po_code,0)))</f>
        <v/>
      </c>
      <c r="J1645" s="66" t="str">
        <f>IF(M1645&lt;&gt;"OK","",N(E1645)*(H1645*IF(G1645="",1,G1645)+I1645))</f>
        <v/>
      </c>
      <c r="K1645" s="66" t="str">
        <f>IF(M1645&lt;&gt;"OK","",N(F1645)/60*H1645*IF(G1645="",1,G1645))</f>
        <v/>
      </c>
      <c r="L1645" s="66" t="str">
        <f>IF(M1645&lt;&gt;"OK","",N(F1645)/60*I1645)</f>
        <v/>
      </c>
      <c r="M1645" s="69" t="str">
        <f>IF(AND(A1645="",D1645=""),"",IF(A1645="","Produit manquant",IF(COUNTIF(prod_ref,A1645)=0,"Produit inconnu",IF(D1645="","Poste manquant",IF(ISNA(MATCH(D1645,po_code,0)),"Poste inconnu",IF(INDEX(po_check,MATCH(D1645,po_code,0))&lt;&gt;"OK","Poste à corriger",IF(AND(E1645&lt;&gt;"",OR(NOT(ISNUMBER(E1645)),N(E1645)&lt;0)),"Réglage invalide",IF(AND(F1645&lt;&gt;"",OR(NOT(ISNUMBER(F1645)),N(F1645)&lt;0)),"Temps par pièce invalide",IF(N(E1645)+N(F1645)=0,"Temps manquant",IF(AND(G1645&lt;&gt;"",OR(NOT(ISNUMBER(G1645)),N(G1645)&lt;=0)),"Opérateurs invalide","OK"))))))))))</f>
        <v/>
      </c>
      <c r="N1645" s="71" t="str">
        <f>IF(AND(fiche_sel&lt;&gt;"",A1645=fiche_sel),COUNTIF(A$6:A1645,fiche_sel),"")</f>
        <v/>
      </c>
    </row>
    <row r="1646">
      <c r="A1646" s="60" t="n"/>
      <c r="B1646" s="73" t="n"/>
      <c r="C1646" s="60" t="n"/>
      <c r="D1646" s="61" t="n"/>
      <c r="E1646" s="74" t="n"/>
      <c r="F1646" s="74" t="n"/>
      <c r="G1646" s="73" t="n"/>
      <c r="H1646" s="66" t="str">
        <f>IF(M1646&lt;&gt;"OK","",INDEX(po_mo,MATCH(D1646,po_code,0)))</f>
        <v/>
      </c>
      <c r="I1646" s="66" t="str">
        <f>IF(M1646&lt;&gt;"OK","",INDEX(po_mac,MATCH(D1646,po_code,0)))</f>
        <v/>
      </c>
      <c r="J1646" s="66" t="str">
        <f>IF(M1646&lt;&gt;"OK","",N(E1646)*(H1646*IF(G1646="",1,G1646)+I1646))</f>
        <v/>
      </c>
      <c r="K1646" s="66" t="str">
        <f>IF(M1646&lt;&gt;"OK","",N(F1646)/60*H1646*IF(G1646="",1,G1646))</f>
        <v/>
      </c>
      <c r="L1646" s="66" t="str">
        <f>IF(M1646&lt;&gt;"OK","",N(F1646)/60*I1646)</f>
        <v/>
      </c>
      <c r="M1646" s="69" t="str">
        <f>IF(AND(A1646="",D1646=""),"",IF(A1646="","Produit manquant",IF(COUNTIF(prod_ref,A1646)=0,"Produit inconnu",IF(D1646="","Poste manquant",IF(ISNA(MATCH(D1646,po_code,0)),"Poste inconnu",IF(INDEX(po_check,MATCH(D1646,po_code,0))&lt;&gt;"OK","Poste à corriger",IF(AND(E1646&lt;&gt;"",OR(NOT(ISNUMBER(E1646)),N(E1646)&lt;0)),"Réglage invalide",IF(AND(F1646&lt;&gt;"",OR(NOT(ISNUMBER(F1646)),N(F1646)&lt;0)),"Temps par pièce invalide",IF(N(E1646)+N(F1646)=0,"Temps manquant",IF(AND(G1646&lt;&gt;"",OR(NOT(ISNUMBER(G1646)),N(G1646)&lt;=0)),"Opérateurs invalide","OK"))))))))))</f>
        <v/>
      </c>
      <c r="N1646" s="71" t="str">
        <f>IF(AND(fiche_sel&lt;&gt;"",A1646=fiche_sel),COUNTIF(A$6:A1646,fiche_sel),"")</f>
        <v/>
      </c>
    </row>
    <row r="1647">
      <c r="A1647" s="60" t="n"/>
      <c r="B1647" s="73" t="n"/>
      <c r="C1647" s="60" t="n"/>
      <c r="D1647" s="61" t="n"/>
      <c r="E1647" s="74" t="n"/>
      <c r="F1647" s="74" t="n"/>
      <c r="G1647" s="73" t="n"/>
      <c r="H1647" s="66" t="str">
        <f>IF(M1647&lt;&gt;"OK","",INDEX(po_mo,MATCH(D1647,po_code,0)))</f>
        <v/>
      </c>
      <c r="I1647" s="66" t="str">
        <f>IF(M1647&lt;&gt;"OK","",INDEX(po_mac,MATCH(D1647,po_code,0)))</f>
        <v/>
      </c>
      <c r="J1647" s="66" t="str">
        <f>IF(M1647&lt;&gt;"OK","",N(E1647)*(H1647*IF(G1647="",1,G1647)+I1647))</f>
        <v/>
      </c>
      <c r="K1647" s="66" t="str">
        <f>IF(M1647&lt;&gt;"OK","",N(F1647)/60*H1647*IF(G1647="",1,G1647))</f>
        <v/>
      </c>
      <c r="L1647" s="66" t="str">
        <f>IF(M1647&lt;&gt;"OK","",N(F1647)/60*I1647)</f>
        <v/>
      </c>
      <c r="M1647" s="69" t="str">
        <f>IF(AND(A1647="",D1647=""),"",IF(A1647="","Produit manquant",IF(COUNTIF(prod_ref,A1647)=0,"Produit inconnu",IF(D1647="","Poste manquant",IF(ISNA(MATCH(D1647,po_code,0)),"Poste inconnu",IF(INDEX(po_check,MATCH(D1647,po_code,0))&lt;&gt;"OK","Poste à corriger",IF(AND(E1647&lt;&gt;"",OR(NOT(ISNUMBER(E1647)),N(E1647)&lt;0)),"Réglage invalide",IF(AND(F1647&lt;&gt;"",OR(NOT(ISNUMBER(F1647)),N(F1647)&lt;0)),"Temps par pièce invalide",IF(N(E1647)+N(F1647)=0,"Temps manquant",IF(AND(G1647&lt;&gt;"",OR(NOT(ISNUMBER(G1647)),N(G1647)&lt;=0)),"Opérateurs invalide","OK"))))))))))</f>
        <v/>
      </c>
      <c r="N1647" s="71" t="str">
        <f>IF(AND(fiche_sel&lt;&gt;"",A1647=fiche_sel),COUNTIF(A$6:A1647,fiche_sel),"")</f>
        <v/>
      </c>
    </row>
    <row r="1648">
      <c r="A1648" s="60" t="n"/>
      <c r="B1648" s="73" t="n"/>
      <c r="C1648" s="60" t="n"/>
      <c r="D1648" s="61" t="n"/>
      <c r="E1648" s="74" t="n"/>
      <c r="F1648" s="74" t="n"/>
      <c r="G1648" s="73" t="n"/>
      <c r="H1648" s="66" t="str">
        <f>IF(M1648&lt;&gt;"OK","",INDEX(po_mo,MATCH(D1648,po_code,0)))</f>
        <v/>
      </c>
      <c r="I1648" s="66" t="str">
        <f>IF(M1648&lt;&gt;"OK","",INDEX(po_mac,MATCH(D1648,po_code,0)))</f>
        <v/>
      </c>
      <c r="J1648" s="66" t="str">
        <f>IF(M1648&lt;&gt;"OK","",N(E1648)*(H1648*IF(G1648="",1,G1648)+I1648))</f>
        <v/>
      </c>
      <c r="K1648" s="66" t="str">
        <f>IF(M1648&lt;&gt;"OK","",N(F1648)/60*H1648*IF(G1648="",1,G1648))</f>
        <v/>
      </c>
      <c r="L1648" s="66" t="str">
        <f>IF(M1648&lt;&gt;"OK","",N(F1648)/60*I1648)</f>
        <v/>
      </c>
      <c r="M1648" s="69" t="str">
        <f>IF(AND(A1648="",D1648=""),"",IF(A1648="","Produit manquant",IF(COUNTIF(prod_ref,A1648)=0,"Produit inconnu",IF(D1648="","Poste manquant",IF(ISNA(MATCH(D1648,po_code,0)),"Poste inconnu",IF(INDEX(po_check,MATCH(D1648,po_code,0))&lt;&gt;"OK","Poste à corriger",IF(AND(E1648&lt;&gt;"",OR(NOT(ISNUMBER(E1648)),N(E1648)&lt;0)),"Réglage invalide",IF(AND(F1648&lt;&gt;"",OR(NOT(ISNUMBER(F1648)),N(F1648)&lt;0)),"Temps par pièce invalide",IF(N(E1648)+N(F1648)=0,"Temps manquant",IF(AND(G1648&lt;&gt;"",OR(NOT(ISNUMBER(G1648)),N(G1648)&lt;=0)),"Opérateurs invalide","OK"))))))))))</f>
        <v/>
      </c>
      <c r="N1648" s="71" t="str">
        <f>IF(AND(fiche_sel&lt;&gt;"",A1648=fiche_sel),COUNTIF(A$6:A1648,fiche_sel),"")</f>
        <v/>
      </c>
    </row>
    <row r="1649">
      <c r="A1649" s="60" t="n"/>
      <c r="B1649" s="73" t="n"/>
      <c r="C1649" s="60" t="n"/>
      <c r="D1649" s="61" t="n"/>
      <c r="E1649" s="74" t="n"/>
      <c r="F1649" s="74" t="n"/>
      <c r="G1649" s="73" t="n"/>
      <c r="H1649" s="66" t="str">
        <f>IF(M1649&lt;&gt;"OK","",INDEX(po_mo,MATCH(D1649,po_code,0)))</f>
        <v/>
      </c>
      <c r="I1649" s="66" t="str">
        <f>IF(M1649&lt;&gt;"OK","",INDEX(po_mac,MATCH(D1649,po_code,0)))</f>
        <v/>
      </c>
      <c r="J1649" s="66" t="str">
        <f>IF(M1649&lt;&gt;"OK","",N(E1649)*(H1649*IF(G1649="",1,G1649)+I1649))</f>
        <v/>
      </c>
      <c r="K1649" s="66" t="str">
        <f>IF(M1649&lt;&gt;"OK","",N(F1649)/60*H1649*IF(G1649="",1,G1649))</f>
        <v/>
      </c>
      <c r="L1649" s="66" t="str">
        <f>IF(M1649&lt;&gt;"OK","",N(F1649)/60*I1649)</f>
        <v/>
      </c>
      <c r="M1649" s="69" t="str">
        <f>IF(AND(A1649="",D1649=""),"",IF(A1649="","Produit manquant",IF(COUNTIF(prod_ref,A1649)=0,"Produit inconnu",IF(D1649="","Poste manquant",IF(ISNA(MATCH(D1649,po_code,0)),"Poste inconnu",IF(INDEX(po_check,MATCH(D1649,po_code,0))&lt;&gt;"OK","Poste à corriger",IF(AND(E1649&lt;&gt;"",OR(NOT(ISNUMBER(E1649)),N(E1649)&lt;0)),"Réglage invalide",IF(AND(F1649&lt;&gt;"",OR(NOT(ISNUMBER(F1649)),N(F1649)&lt;0)),"Temps par pièce invalide",IF(N(E1649)+N(F1649)=0,"Temps manquant",IF(AND(G1649&lt;&gt;"",OR(NOT(ISNUMBER(G1649)),N(G1649)&lt;=0)),"Opérateurs invalide","OK"))))))))))</f>
        <v/>
      </c>
      <c r="N1649" s="71" t="str">
        <f>IF(AND(fiche_sel&lt;&gt;"",A1649=fiche_sel),COUNTIF(A$6:A1649,fiche_sel),"")</f>
        <v/>
      </c>
    </row>
    <row r="1650">
      <c r="A1650" s="60" t="n"/>
      <c r="B1650" s="73" t="n"/>
      <c r="C1650" s="60" t="n"/>
      <c r="D1650" s="61" t="n"/>
      <c r="E1650" s="74" t="n"/>
      <c r="F1650" s="74" t="n"/>
      <c r="G1650" s="73" t="n"/>
      <c r="H1650" s="66" t="str">
        <f>IF(M1650&lt;&gt;"OK","",INDEX(po_mo,MATCH(D1650,po_code,0)))</f>
        <v/>
      </c>
      <c r="I1650" s="66" t="str">
        <f>IF(M1650&lt;&gt;"OK","",INDEX(po_mac,MATCH(D1650,po_code,0)))</f>
        <v/>
      </c>
      <c r="J1650" s="66" t="str">
        <f>IF(M1650&lt;&gt;"OK","",N(E1650)*(H1650*IF(G1650="",1,G1650)+I1650))</f>
        <v/>
      </c>
      <c r="K1650" s="66" t="str">
        <f>IF(M1650&lt;&gt;"OK","",N(F1650)/60*H1650*IF(G1650="",1,G1650))</f>
        <v/>
      </c>
      <c r="L1650" s="66" t="str">
        <f>IF(M1650&lt;&gt;"OK","",N(F1650)/60*I1650)</f>
        <v/>
      </c>
      <c r="M1650" s="69" t="str">
        <f>IF(AND(A1650="",D1650=""),"",IF(A1650="","Produit manquant",IF(COUNTIF(prod_ref,A1650)=0,"Produit inconnu",IF(D1650="","Poste manquant",IF(ISNA(MATCH(D1650,po_code,0)),"Poste inconnu",IF(INDEX(po_check,MATCH(D1650,po_code,0))&lt;&gt;"OK","Poste à corriger",IF(AND(E1650&lt;&gt;"",OR(NOT(ISNUMBER(E1650)),N(E1650)&lt;0)),"Réglage invalide",IF(AND(F1650&lt;&gt;"",OR(NOT(ISNUMBER(F1650)),N(F1650)&lt;0)),"Temps par pièce invalide",IF(N(E1650)+N(F1650)=0,"Temps manquant",IF(AND(G1650&lt;&gt;"",OR(NOT(ISNUMBER(G1650)),N(G1650)&lt;=0)),"Opérateurs invalide","OK"))))))))))</f>
        <v/>
      </c>
      <c r="N1650" s="71" t="str">
        <f>IF(AND(fiche_sel&lt;&gt;"",A1650=fiche_sel),COUNTIF(A$6:A1650,fiche_sel),"")</f>
        <v/>
      </c>
    </row>
    <row r="1651">
      <c r="A1651" s="60" t="n"/>
      <c r="B1651" s="73" t="n"/>
      <c r="C1651" s="60" t="n"/>
      <c r="D1651" s="61" t="n"/>
      <c r="E1651" s="74" t="n"/>
      <c r="F1651" s="74" t="n"/>
      <c r="G1651" s="73" t="n"/>
      <c r="H1651" s="66" t="str">
        <f>IF(M1651&lt;&gt;"OK","",INDEX(po_mo,MATCH(D1651,po_code,0)))</f>
        <v/>
      </c>
      <c r="I1651" s="66" t="str">
        <f>IF(M1651&lt;&gt;"OK","",INDEX(po_mac,MATCH(D1651,po_code,0)))</f>
        <v/>
      </c>
      <c r="J1651" s="66" t="str">
        <f>IF(M1651&lt;&gt;"OK","",N(E1651)*(H1651*IF(G1651="",1,G1651)+I1651))</f>
        <v/>
      </c>
      <c r="K1651" s="66" t="str">
        <f>IF(M1651&lt;&gt;"OK","",N(F1651)/60*H1651*IF(G1651="",1,G1651))</f>
        <v/>
      </c>
      <c r="L1651" s="66" t="str">
        <f>IF(M1651&lt;&gt;"OK","",N(F1651)/60*I1651)</f>
        <v/>
      </c>
      <c r="M1651" s="69" t="str">
        <f>IF(AND(A1651="",D1651=""),"",IF(A1651="","Produit manquant",IF(COUNTIF(prod_ref,A1651)=0,"Produit inconnu",IF(D1651="","Poste manquant",IF(ISNA(MATCH(D1651,po_code,0)),"Poste inconnu",IF(INDEX(po_check,MATCH(D1651,po_code,0))&lt;&gt;"OK","Poste à corriger",IF(AND(E1651&lt;&gt;"",OR(NOT(ISNUMBER(E1651)),N(E1651)&lt;0)),"Réglage invalide",IF(AND(F1651&lt;&gt;"",OR(NOT(ISNUMBER(F1651)),N(F1651)&lt;0)),"Temps par pièce invalide",IF(N(E1651)+N(F1651)=0,"Temps manquant",IF(AND(G1651&lt;&gt;"",OR(NOT(ISNUMBER(G1651)),N(G1651)&lt;=0)),"Opérateurs invalide","OK"))))))))))</f>
        <v/>
      </c>
      <c r="N1651" s="71" t="str">
        <f>IF(AND(fiche_sel&lt;&gt;"",A1651=fiche_sel),COUNTIF(A$6:A1651,fiche_sel),"")</f>
        <v/>
      </c>
    </row>
    <row r="1652">
      <c r="A1652" s="60" t="n"/>
      <c r="B1652" s="73" t="n"/>
      <c r="C1652" s="60" t="n"/>
      <c r="D1652" s="61" t="n"/>
      <c r="E1652" s="74" t="n"/>
      <c r="F1652" s="74" t="n"/>
      <c r="G1652" s="73" t="n"/>
      <c r="H1652" s="66" t="str">
        <f>IF(M1652&lt;&gt;"OK","",INDEX(po_mo,MATCH(D1652,po_code,0)))</f>
        <v/>
      </c>
      <c r="I1652" s="66" t="str">
        <f>IF(M1652&lt;&gt;"OK","",INDEX(po_mac,MATCH(D1652,po_code,0)))</f>
        <v/>
      </c>
      <c r="J1652" s="66" t="str">
        <f>IF(M1652&lt;&gt;"OK","",N(E1652)*(H1652*IF(G1652="",1,G1652)+I1652))</f>
        <v/>
      </c>
      <c r="K1652" s="66" t="str">
        <f>IF(M1652&lt;&gt;"OK","",N(F1652)/60*H1652*IF(G1652="",1,G1652))</f>
        <v/>
      </c>
      <c r="L1652" s="66" t="str">
        <f>IF(M1652&lt;&gt;"OK","",N(F1652)/60*I1652)</f>
        <v/>
      </c>
      <c r="M1652" s="69" t="str">
        <f>IF(AND(A1652="",D1652=""),"",IF(A1652="","Produit manquant",IF(COUNTIF(prod_ref,A1652)=0,"Produit inconnu",IF(D1652="","Poste manquant",IF(ISNA(MATCH(D1652,po_code,0)),"Poste inconnu",IF(INDEX(po_check,MATCH(D1652,po_code,0))&lt;&gt;"OK","Poste à corriger",IF(AND(E1652&lt;&gt;"",OR(NOT(ISNUMBER(E1652)),N(E1652)&lt;0)),"Réglage invalide",IF(AND(F1652&lt;&gt;"",OR(NOT(ISNUMBER(F1652)),N(F1652)&lt;0)),"Temps par pièce invalide",IF(N(E1652)+N(F1652)=0,"Temps manquant",IF(AND(G1652&lt;&gt;"",OR(NOT(ISNUMBER(G1652)),N(G1652)&lt;=0)),"Opérateurs invalide","OK"))))))))))</f>
        <v/>
      </c>
      <c r="N1652" s="71" t="str">
        <f>IF(AND(fiche_sel&lt;&gt;"",A1652=fiche_sel),COUNTIF(A$6:A1652,fiche_sel),"")</f>
        <v/>
      </c>
    </row>
    <row r="1653">
      <c r="A1653" s="60" t="n"/>
      <c r="B1653" s="73" t="n"/>
      <c r="C1653" s="60" t="n"/>
      <c r="D1653" s="61" t="n"/>
      <c r="E1653" s="74" t="n"/>
      <c r="F1653" s="74" t="n"/>
      <c r="G1653" s="73" t="n"/>
      <c r="H1653" s="66" t="str">
        <f>IF(M1653&lt;&gt;"OK","",INDEX(po_mo,MATCH(D1653,po_code,0)))</f>
        <v/>
      </c>
      <c r="I1653" s="66" t="str">
        <f>IF(M1653&lt;&gt;"OK","",INDEX(po_mac,MATCH(D1653,po_code,0)))</f>
        <v/>
      </c>
      <c r="J1653" s="66" t="str">
        <f>IF(M1653&lt;&gt;"OK","",N(E1653)*(H1653*IF(G1653="",1,G1653)+I1653))</f>
        <v/>
      </c>
      <c r="K1653" s="66" t="str">
        <f>IF(M1653&lt;&gt;"OK","",N(F1653)/60*H1653*IF(G1653="",1,G1653))</f>
        <v/>
      </c>
      <c r="L1653" s="66" t="str">
        <f>IF(M1653&lt;&gt;"OK","",N(F1653)/60*I1653)</f>
        <v/>
      </c>
      <c r="M1653" s="69" t="str">
        <f>IF(AND(A1653="",D1653=""),"",IF(A1653="","Produit manquant",IF(COUNTIF(prod_ref,A1653)=0,"Produit inconnu",IF(D1653="","Poste manquant",IF(ISNA(MATCH(D1653,po_code,0)),"Poste inconnu",IF(INDEX(po_check,MATCH(D1653,po_code,0))&lt;&gt;"OK","Poste à corriger",IF(AND(E1653&lt;&gt;"",OR(NOT(ISNUMBER(E1653)),N(E1653)&lt;0)),"Réglage invalide",IF(AND(F1653&lt;&gt;"",OR(NOT(ISNUMBER(F1653)),N(F1653)&lt;0)),"Temps par pièce invalide",IF(N(E1653)+N(F1653)=0,"Temps manquant",IF(AND(G1653&lt;&gt;"",OR(NOT(ISNUMBER(G1653)),N(G1653)&lt;=0)),"Opérateurs invalide","OK"))))))))))</f>
        <v/>
      </c>
      <c r="N1653" s="71" t="str">
        <f>IF(AND(fiche_sel&lt;&gt;"",A1653=fiche_sel),COUNTIF(A$6:A1653,fiche_sel),"")</f>
        <v/>
      </c>
    </row>
    <row r="1654">
      <c r="A1654" s="60" t="n"/>
      <c r="B1654" s="73" t="n"/>
      <c r="C1654" s="60" t="n"/>
      <c r="D1654" s="61" t="n"/>
      <c r="E1654" s="74" t="n"/>
      <c r="F1654" s="74" t="n"/>
      <c r="G1654" s="73" t="n"/>
      <c r="H1654" s="66" t="str">
        <f>IF(M1654&lt;&gt;"OK","",INDEX(po_mo,MATCH(D1654,po_code,0)))</f>
        <v/>
      </c>
      <c r="I1654" s="66" t="str">
        <f>IF(M1654&lt;&gt;"OK","",INDEX(po_mac,MATCH(D1654,po_code,0)))</f>
        <v/>
      </c>
      <c r="J1654" s="66" t="str">
        <f>IF(M1654&lt;&gt;"OK","",N(E1654)*(H1654*IF(G1654="",1,G1654)+I1654))</f>
        <v/>
      </c>
      <c r="K1654" s="66" t="str">
        <f>IF(M1654&lt;&gt;"OK","",N(F1654)/60*H1654*IF(G1654="",1,G1654))</f>
        <v/>
      </c>
      <c r="L1654" s="66" t="str">
        <f>IF(M1654&lt;&gt;"OK","",N(F1654)/60*I1654)</f>
        <v/>
      </c>
      <c r="M1654" s="69" t="str">
        <f>IF(AND(A1654="",D1654=""),"",IF(A1654="","Produit manquant",IF(COUNTIF(prod_ref,A1654)=0,"Produit inconnu",IF(D1654="","Poste manquant",IF(ISNA(MATCH(D1654,po_code,0)),"Poste inconnu",IF(INDEX(po_check,MATCH(D1654,po_code,0))&lt;&gt;"OK","Poste à corriger",IF(AND(E1654&lt;&gt;"",OR(NOT(ISNUMBER(E1654)),N(E1654)&lt;0)),"Réglage invalide",IF(AND(F1654&lt;&gt;"",OR(NOT(ISNUMBER(F1654)),N(F1654)&lt;0)),"Temps par pièce invalide",IF(N(E1654)+N(F1654)=0,"Temps manquant",IF(AND(G1654&lt;&gt;"",OR(NOT(ISNUMBER(G1654)),N(G1654)&lt;=0)),"Opérateurs invalide","OK"))))))))))</f>
        <v/>
      </c>
      <c r="N1654" s="71" t="str">
        <f>IF(AND(fiche_sel&lt;&gt;"",A1654=fiche_sel),COUNTIF(A$6:A1654,fiche_sel),"")</f>
        <v/>
      </c>
    </row>
    <row r="1655">
      <c r="A1655" s="60" t="n"/>
      <c r="B1655" s="73" t="n"/>
      <c r="C1655" s="60" t="n"/>
      <c r="D1655" s="61" t="n"/>
      <c r="E1655" s="74" t="n"/>
      <c r="F1655" s="74" t="n"/>
      <c r="G1655" s="73" t="n"/>
      <c r="H1655" s="66" t="str">
        <f>IF(M1655&lt;&gt;"OK","",INDEX(po_mo,MATCH(D1655,po_code,0)))</f>
        <v/>
      </c>
      <c r="I1655" s="66" t="str">
        <f>IF(M1655&lt;&gt;"OK","",INDEX(po_mac,MATCH(D1655,po_code,0)))</f>
        <v/>
      </c>
      <c r="J1655" s="66" t="str">
        <f>IF(M1655&lt;&gt;"OK","",N(E1655)*(H1655*IF(G1655="",1,G1655)+I1655))</f>
        <v/>
      </c>
      <c r="K1655" s="66" t="str">
        <f>IF(M1655&lt;&gt;"OK","",N(F1655)/60*H1655*IF(G1655="",1,G1655))</f>
        <v/>
      </c>
      <c r="L1655" s="66" t="str">
        <f>IF(M1655&lt;&gt;"OK","",N(F1655)/60*I1655)</f>
        <v/>
      </c>
      <c r="M1655" s="69" t="str">
        <f>IF(AND(A1655="",D1655=""),"",IF(A1655="","Produit manquant",IF(COUNTIF(prod_ref,A1655)=0,"Produit inconnu",IF(D1655="","Poste manquant",IF(ISNA(MATCH(D1655,po_code,0)),"Poste inconnu",IF(INDEX(po_check,MATCH(D1655,po_code,0))&lt;&gt;"OK","Poste à corriger",IF(AND(E1655&lt;&gt;"",OR(NOT(ISNUMBER(E1655)),N(E1655)&lt;0)),"Réglage invalide",IF(AND(F1655&lt;&gt;"",OR(NOT(ISNUMBER(F1655)),N(F1655)&lt;0)),"Temps par pièce invalide",IF(N(E1655)+N(F1655)=0,"Temps manquant",IF(AND(G1655&lt;&gt;"",OR(NOT(ISNUMBER(G1655)),N(G1655)&lt;=0)),"Opérateurs invalide","OK"))))))))))</f>
        <v/>
      </c>
      <c r="N1655" s="71" t="str">
        <f>IF(AND(fiche_sel&lt;&gt;"",A1655=fiche_sel),COUNTIF(A$6:A1655,fiche_sel),"")</f>
        <v/>
      </c>
    </row>
    <row r="1656">
      <c r="A1656" s="60" t="n"/>
      <c r="B1656" s="73" t="n"/>
      <c r="C1656" s="60" t="n"/>
      <c r="D1656" s="61" t="n"/>
      <c r="E1656" s="74" t="n"/>
      <c r="F1656" s="74" t="n"/>
      <c r="G1656" s="73" t="n"/>
      <c r="H1656" s="66" t="str">
        <f>IF(M1656&lt;&gt;"OK","",INDEX(po_mo,MATCH(D1656,po_code,0)))</f>
        <v/>
      </c>
      <c r="I1656" s="66" t="str">
        <f>IF(M1656&lt;&gt;"OK","",INDEX(po_mac,MATCH(D1656,po_code,0)))</f>
        <v/>
      </c>
      <c r="J1656" s="66" t="str">
        <f>IF(M1656&lt;&gt;"OK","",N(E1656)*(H1656*IF(G1656="",1,G1656)+I1656))</f>
        <v/>
      </c>
      <c r="K1656" s="66" t="str">
        <f>IF(M1656&lt;&gt;"OK","",N(F1656)/60*H1656*IF(G1656="",1,G1656))</f>
        <v/>
      </c>
      <c r="L1656" s="66" t="str">
        <f>IF(M1656&lt;&gt;"OK","",N(F1656)/60*I1656)</f>
        <v/>
      </c>
      <c r="M1656" s="69" t="str">
        <f>IF(AND(A1656="",D1656=""),"",IF(A1656="","Produit manquant",IF(COUNTIF(prod_ref,A1656)=0,"Produit inconnu",IF(D1656="","Poste manquant",IF(ISNA(MATCH(D1656,po_code,0)),"Poste inconnu",IF(INDEX(po_check,MATCH(D1656,po_code,0))&lt;&gt;"OK","Poste à corriger",IF(AND(E1656&lt;&gt;"",OR(NOT(ISNUMBER(E1656)),N(E1656)&lt;0)),"Réglage invalide",IF(AND(F1656&lt;&gt;"",OR(NOT(ISNUMBER(F1656)),N(F1656)&lt;0)),"Temps par pièce invalide",IF(N(E1656)+N(F1656)=0,"Temps manquant",IF(AND(G1656&lt;&gt;"",OR(NOT(ISNUMBER(G1656)),N(G1656)&lt;=0)),"Opérateurs invalide","OK"))))))))))</f>
        <v/>
      </c>
      <c r="N1656" s="71" t="str">
        <f>IF(AND(fiche_sel&lt;&gt;"",A1656=fiche_sel),COUNTIF(A$6:A1656,fiche_sel),"")</f>
        <v/>
      </c>
    </row>
    <row r="1657">
      <c r="A1657" s="60" t="n"/>
      <c r="B1657" s="73" t="n"/>
      <c r="C1657" s="60" t="n"/>
      <c r="D1657" s="61" t="n"/>
      <c r="E1657" s="74" t="n"/>
      <c r="F1657" s="74" t="n"/>
      <c r="G1657" s="73" t="n"/>
      <c r="H1657" s="66" t="str">
        <f>IF(M1657&lt;&gt;"OK","",INDEX(po_mo,MATCH(D1657,po_code,0)))</f>
        <v/>
      </c>
      <c r="I1657" s="66" t="str">
        <f>IF(M1657&lt;&gt;"OK","",INDEX(po_mac,MATCH(D1657,po_code,0)))</f>
        <v/>
      </c>
      <c r="J1657" s="66" t="str">
        <f>IF(M1657&lt;&gt;"OK","",N(E1657)*(H1657*IF(G1657="",1,G1657)+I1657))</f>
        <v/>
      </c>
      <c r="K1657" s="66" t="str">
        <f>IF(M1657&lt;&gt;"OK","",N(F1657)/60*H1657*IF(G1657="",1,G1657))</f>
        <v/>
      </c>
      <c r="L1657" s="66" t="str">
        <f>IF(M1657&lt;&gt;"OK","",N(F1657)/60*I1657)</f>
        <v/>
      </c>
      <c r="M1657" s="69" t="str">
        <f>IF(AND(A1657="",D1657=""),"",IF(A1657="","Produit manquant",IF(COUNTIF(prod_ref,A1657)=0,"Produit inconnu",IF(D1657="","Poste manquant",IF(ISNA(MATCH(D1657,po_code,0)),"Poste inconnu",IF(INDEX(po_check,MATCH(D1657,po_code,0))&lt;&gt;"OK","Poste à corriger",IF(AND(E1657&lt;&gt;"",OR(NOT(ISNUMBER(E1657)),N(E1657)&lt;0)),"Réglage invalide",IF(AND(F1657&lt;&gt;"",OR(NOT(ISNUMBER(F1657)),N(F1657)&lt;0)),"Temps par pièce invalide",IF(N(E1657)+N(F1657)=0,"Temps manquant",IF(AND(G1657&lt;&gt;"",OR(NOT(ISNUMBER(G1657)),N(G1657)&lt;=0)),"Opérateurs invalide","OK"))))))))))</f>
        <v/>
      </c>
      <c r="N1657" s="71" t="str">
        <f>IF(AND(fiche_sel&lt;&gt;"",A1657=fiche_sel),COUNTIF(A$6:A1657,fiche_sel),"")</f>
        <v/>
      </c>
    </row>
    <row r="1658">
      <c r="A1658" s="60" t="n"/>
      <c r="B1658" s="73" t="n"/>
      <c r="C1658" s="60" t="n"/>
      <c r="D1658" s="61" t="n"/>
      <c r="E1658" s="74" t="n"/>
      <c r="F1658" s="74" t="n"/>
      <c r="G1658" s="73" t="n"/>
      <c r="H1658" s="66" t="str">
        <f>IF(M1658&lt;&gt;"OK","",INDEX(po_mo,MATCH(D1658,po_code,0)))</f>
        <v/>
      </c>
      <c r="I1658" s="66" t="str">
        <f>IF(M1658&lt;&gt;"OK","",INDEX(po_mac,MATCH(D1658,po_code,0)))</f>
        <v/>
      </c>
      <c r="J1658" s="66" t="str">
        <f>IF(M1658&lt;&gt;"OK","",N(E1658)*(H1658*IF(G1658="",1,G1658)+I1658))</f>
        <v/>
      </c>
      <c r="K1658" s="66" t="str">
        <f>IF(M1658&lt;&gt;"OK","",N(F1658)/60*H1658*IF(G1658="",1,G1658))</f>
        <v/>
      </c>
      <c r="L1658" s="66" t="str">
        <f>IF(M1658&lt;&gt;"OK","",N(F1658)/60*I1658)</f>
        <v/>
      </c>
      <c r="M1658" s="69" t="str">
        <f>IF(AND(A1658="",D1658=""),"",IF(A1658="","Produit manquant",IF(COUNTIF(prod_ref,A1658)=0,"Produit inconnu",IF(D1658="","Poste manquant",IF(ISNA(MATCH(D1658,po_code,0)),"Poste inconnu",IF(INDEX(po_check,MATCH(D1658,po_code,0))&lt;&gt;"OK","Poste à corriger",IF(AND(E1658&lt;&gt;"",OR(NOT(ISNUMBER(E1658)),N(E1658)&lt;0)),"Réglage invalide",IF(AND(F1658&lt;&gt;"",OR(NOT(ISNUMBER(F1658)),N(F1658)&lt;0)),"Temps par pièce invalide",IF(N(E1658)+N(F1658)=0,"Temps manquant",IF(AND(G1658&lt;&gt;"",OR(NOT(ISNUMBER(G1658)),N(G1658)&lt;=0)),"Opérateurs invalide","OK"))))))))))</f>
        <v/>
      </c>
      <c r="N1658" s="71" t="str">
        <f>IF(AND(fiche_sel&lt;&gt;"",A1658=fiche_sel),COUNTIF(A$6:A1658,fiche_sel),"")</f>
        <v/>
      </c>
    </row>
    <row r="1659">
      <c r="A1659" s="60" t="n"/>
      <c r="B1659" s="73" t="n"/>
      <c r="C1659" s="60" t="n"/>
      <c r="D1659" s="61" t="n"/>
      <c r="E1659" s="74" t="n"/>
      <c r="F1659" s="74" t="n"/>
      <c r="G1659" s="73" t="n"/>
      <c r="H1659" s="66" t="str">
        <f>IF(M1659&lt;&gt;"OK","",INDEX(po_mo,MATCH(D1659,po_code,0)))</f>
        <v/>
      </c>
      <c r="I1659" s="66" t="str">
        <f>IF(M1659&lt;&gt;"OK","",INDEX(po_mac,MATCH(D1659,po_code,0)))</f>
        <v/>
      </c>
      <c r="J1659" s="66" t="str">
        <f>IF(M1659&lt;&gt;"OK","",N(E1659)*(H1659*IF(G1659="",1,G1659)+I1659))</f>
        <v/>
      </c>
      <c r="K1659" s="66" t="str">
        <f>IF(M1659&lt;&gt;"OK","",N(F1659)/60*H1659*IF(G1659="",1,G1659))</f>
        <v/>
      </c>
      <c r="L1659" s="66" t="str">
        <f>IF(M1659&lt;&gt;"OK","",N(F1659)/60*I1659)</f>
        <v/>
      </c>
      <c r="M1659" s="69" t="str">
        <f>IF(AND(A1659="",D1659=""),"",IF(A1659="","Produit manquant",IF(COUNTIF(prod_ref,A1659)=0,"Produit inconnu",IF(D1659="","Poste manquant",IF(ISNA(MATCH(D1659,po_code,0)),"Poste inconnu",IF(INDEX(po_check,MATCH(D1659,po_code,0))&lt;&gt;"OK","Poste à corriger",IF(AND(E1659&lt;&gt;"",OR(NOT(ISNUMBER(E1659)),N(E1659)&lt;0)),"Réglage invalide",IF(AND(F1659&lt;&gt;"",OR(NOT(ISNUMBER(F1659)),N(F1659)&lt;0)),"Temps par pièce invalide",IF(N(E1659)+N(F1659)=0,"Temps manquant",IF(AND(G1659&lt;&gt;"",OR(NOT(ISNUMBER(G1659)),N(G1659)&lt;=0)),"Opérateurs invalide","OK"))))))))))</f>
        <v/>
      </c>
      <c r="N1659" s="71" t="str">
        <f>IF(AND(fiche_sel&lt;&gt;"",A1659=fiche_sel),COUNTIF(A$6:A1659,fiche_sel),"")</f>
        <v/>
      </c>
    </row>
    <row r="1660">
      <c r="A1660" s="60" t="n"/>
      <c r="B1660" s="73" t="n"/>
      <c r="C1660" s="60" t="n"/>
      <c r="D1660" s="61" t="n"/>
      <c r="E1660" s="74" t="n"/>
      <c r="F1660" s="74" t="n"/>
      <c r="G1660" s="73" t="n"/>
      <c r="H1660" s="66" t="str">
        <f>IF(M1660&lt;&gt;"OK","",INDEX(po_mo,MATCH(D1660,po_code,0)))</f>
        <v/>
      </c>
      <c r="I1660" s="66" t="str">
        <f>IF(M1660&lt;&gt;"OK","",INDEX(po_mac,MATCH(D1660,po_code,0)))</f>
        <v/>
      </c>
      <c r="J1660" s="66" t="str">
        <f>IF(M1660&lt;&gt;"OK","",N(E1660)*(H1660*IF(G1660="",1,G1660)+I1660))</f>
        <v/>
      </c>
      <c r="K1660" s="66" t="str">
        <f>IF(M1660&lt;&gt;"OK","",N(F1660)/60*H1660*IF(G1660="",1,G1660))</f>
        <v/>
      </c>
      <c r="L1660" s="66" t="str">
        <f>IF(M1660&lt;&gt;"OK","",N(F1660)/60*I1660)</f>
        <v/>
      </c>
      <c r="M1660" s="69" t="str">
        <f>IF(AND(A1660="",D1660=""),"",IF(A1660="","Produit manquant",IF(COUNTIF(prod_ref,A1660)=0,"Produit inconnu",IF(D1660="","Poste manquant",IF(ISNA(MATCH(D1660,po_code,0)),"Poste inconnu",IF(INDEX(po_check,MATCH(D1660,po_code,0))&lt;&gt;"OK","Poste à corriger",IF(AND(E1660&lt;&gt;"",OR(NOT(ISNUMBER(E1660)),N(E1660)&lt;0)),"Réglage invalide",IF(AND(F1660&lt;&gt;"",OR(NOT(ISNUMBER(F1660)),N(F1660)&lt;0)),"Temps par pièce invalide",IF(N(E1660)+N(F1660)=0,"Temps manquant",IF(AND(G1660&lt;&gt;"",OR(NOT(ISNUMBER(G1660)),N(G1660)&lt;=0)),"Opérateurs invalide","OK"))))))))))</f>
        <v/>
      </c>
      <c r="N1660" s="71" t="str">
        <f>IF(AND(fiche_sel&lt;&gt;"",A1660=fiche_sel),COUNTIF(A$6:A1660,fiche_sel),"")</f>
        <v/>
      </c>
    </row>
    <row r="1661">
      <c r="A1661" s="60" t="n"/>
      <c r="B1661" s="73" t="n"/>
      <c r="C1661" s="60" t="n"/>
      <c r="D1661" s="61" t="n"/>
      <c r="E1661" s="74" t="n"/>
      <c r="F1661" s="74" t="n"/>
      <c r="G1661" s="73" t="n"/>
      <c r="H1661" s="66" t="str">
        <f>IF(M1661&lt;&gt;"OK","",INDEX(po_mo,MATCH(D1661,po_code,0)))</f>
        <v/>
      </c>
      <c r="I1661" s="66" t="str">
        <f>IF(M1661&lt;&gt;"OK","",INDEX(po_mac,MATCH(D1661,po_code,0)))</f>
        <v/>
      </c>
      <c r="J1661" s="66" t="str">
        <f>IF(M1661&lt;&gt;"OK","",N(E1661)*(H1661*IF(G1661="",1,G1661)+I1661))</f>
        <v/>
      </c>
      <c r="K1661" s="66" t="str">
        <f>IF(M1661&lt;&gt;"OK","",N(F1661)/60*H1661*IF(G1661="",1,G1661))</f>
        <v/>
      </c>
      <c r="L1661" s="66" t="str">
        <f>IF(M1661&lt;&gt;"OK","",N(F1661)/60*I1661)</f>
        <v/>
      </c>
      <c r="M1661" s="69" t="str">
        <f>IF(AND(A1661="",D1661=""),"",IF(A1661="","Produit manquant",IF(COUNTIF(prod_ref,A1661)=0,"Produit inconnu",IF(D1661="","Poste manquant",IF(ISNA(MATCH(D1661,po_code,0)),"Poste inconnu",IF(INDEX(po_check,MATCH(D1661,po_code,0))&lt;&gt;"OK","Poste à corriger",IF(AND(E1661&lt;&gt;"",OR(NOT(ISNUMBER(E1661)),N(E1661)&lt;0)),"Réglage invalide",IF(AND(F1661&lt;&gt;"",OR(NOT(ISNUMBER(F1661)),N(F1661)&lt;0)),"Temps par pièce invalide",IF(N(E1661)+N(F1661)=0,"Temps manquant",IF(AND(G1661&lt;&gt;"",OR(NOT(ISNUMBER(G1661)),N(G1661)&lt;=0)),"Opérateurs invalide","OK"))))))))))</f>
        <v/>
      </c>
      <c r="N1661" s="71" t="str">
        <f>IF(AND(fiche_sel&lt;&gt;"",A1661=fiche_sel),COUNTIF(A$6:A1661,fiche_sel),"")</f>
        <v/>
      </c>
    </row>
    <row r="1662">
      <c r="A1662" s="60" t="n"/>
      <c r="B1662" s="73" t="n"/>
      <c r="C1662" s="60" t="n"/>
      <c r="D1662" s="61" t="n"/>
      <c r="E1662" s="74" t="n"/>
      <c r="F1662" s="74" t="n"/>
      <c r="G1662" s="73" t="n"/>
      <c r="H1662" s="66" t="str">
        <f>IF(M1662&lt;&gt;"OK","",INDEX(po_mo,MATCH(D1662,po_code,0)))</f>
        <v/>
      </c>
      <c r="I1662" s="66" t="str">
        <f>IF(M1662&lt;&gt;"OK","",INDEX(po_mac,MATCH(D1662,po_code,0)))</f>
        <v/>
      </c>
      <c r="J1662" s="66" t="str">
        <f>IF(M1662&lt;&gt;"OK","",N(E1662)*(H1662*IF(G1662="",1,G1662)+I1662))</f>
        <v/>
      </c>
      <c r="K1662" s="66" t="str">
        <f>IF(M1662&lt;&gt;"OK","",N(F1662)/60*H1662*IF(G1662="",1,G1662))</f>
        <v/>
      </c>
      <c r="L1662" s="66" t="str">
        <f>IF(M1662&lt;&gt;"OK","",N(F1662)/60*I1662)</f>
        <v/>
      </c>
      <c r="M1662" s="69" t="str">
        <f>IF(AND(A1662="",D1662=""),"",IF(A1662="","Produit manquant",IF(COUNTIF(prod_ref,A1662)=0,"Produit inconnu",IF(D1662="","Poste manquant",IF(ISNA(MATCH(D1662,po_code,0)),"Poste inconnu",IF(INDEX(po_check,MATCH(D1662,po_code,0))&lt;&gt;"OK","Poste à corriger",IF(AND(E1662&lt;&gt;"",OR(NOT(ISNUMBER(E1662)),N(E1662)&lt;0)),"Réglage invalide",IF(AND(F1662&lt;&gt;"",OR(NOT(ISNUMBER(F1662)),N(F1662)&lt;0)),"Temps par pièce invalide",IF(N(E1662)+N(F1662)=0,"Temps manquant",IF(AND(G1662&lt;&gt;"",OR(NOT(ISNUMBER(G1662)),N(G1662)&lt;=0)),"Opérateurs invalide","OK"))))))))))</f>
        <v/>
      </c>
      <c r="N1662" s="71" t="str">
        <f>IF(AND(fiche_sel&lt;&gt;"",A1662=fiche_sel),COUNTIF(A$6:A1662,fiche_sel),"")</f>
        <v/>
      </c>
    </row>
    <row r="1663">
      <c r="A1663" s="60" t="n"/>
      <c r="B1663" s="73" t="n"/>
      <c r="C1663" s="60" t="n"/>
      <c r="D1663" s="61" t="n"/>
      <c r="E1663" s="74" t="n"/>
      <c r="F1663" s="74" t="n"/>
      <c r="G1663" s="73" t="n"/>
      <c r="H1663" s="66" t="str">
        <f>IF(M1663&lt;&gt;"OK","",INDEX(po_mo,MATCH(D1663,po_code,0)))</f>
        <v/>
      </c>
      <c r="I1663" s="66" t="str">
        <f>IF(M1663&lt;&gt;"OK","",INDEX(po_mac,MATCH(D1663,po_code,0)))</f>
        <v/>
      </c>
      <c r="J1663" s="66" t="str">
        <f>IF(M1663&lt;&gt;"OK","",N(E1663)*(H1663*IF(G1663="",1,G1663)+I1663))</f>
        <v/>
      </c>
      <c r="K1663" s="66" t="str">
        <f>IF(M1663&lt;&gt;"OK","",N(F1663)/60*H1663*IF(G1663="",1,G1663))</f>
        <v/>
      </c>
      <c r="L1663" s="66" t="str">
        <f>IF(M1663&lt;&gt;"OK","",N(F1663)/60*I1663)</f>
        <v/>
      </c>
      <c r="M1663" s="69" t="str">
        <f>IF(AND(A1663="",D1663=""),"",IF(A1663="","Produit manquant",IF(COUNTIF(prod_ref,A1663)=0,"Produit inconnu",IF(D1663="","Poste manquant",IF(ISNA(MATCH(D1663,po_code,0)),"Poste inconnu",IF(INDEX(po_check,MATCH(D1663,po_code,0))&lt;&gt;"OK","Poste à corriger",IF(AND(E1663&lt;&gt;"",OR(NOT(ISNUMBER(E1663)),N(E1663)&lt;0)),"Réglage invalide",IF(AND(F1663&lt;&gt;"",OR(NOT(ISNUMBER(F1663)),N(F1663)&lt;0)),"Temps par pièce invalide",IF(N(E1663)+N(F1663)=0,"Temps manquant",IF(AND(G1663&lt;&gt;"",OR(NOT(ISNUMBER(G1663)),N(G1663)&lt;=0)),"Opérateurs invalide","OK"))))))))))</f>
        <v/>
      </c>
      <c r="N1663" s="71" t="str">
        <f>IF(AND(fiche_sel&lt;&gt;"",A1663=fiche_sel),COUNTIF(A$6:A1663,fiche_sel),"")</f>
        <v/>
      </c>
    </row>
    <row r="1664">
      <c r="A1664" s="60" t="n"/>
      <c r="B1664" s="73" t="n"/>
      <c r="C1664" s="60" t="n"/>
      <c r="D1664" s="61" t="n"/>
      <c r="E1664" s="74" t="n"/>
      <c r="F1664" s="74" t="n"/>
      <c r="G1664" s="73" t="n"/>
      <c r="H1664" s="66" t="str">
        <f>IF(M1664&lt;&gt;"OK","",INDEX(po_mo,MATCH(D1664,po_code,0)))</f>
        <v/>
      </c>
      <c r="I1664" s="66" t="str">
        <f>IF(M1664&lt;&gt;"OK","",INDEX(po_mac,MATCH(D1664,po_code,0)))</f>
        <v/>
      </c>
      <c r="J1664" s="66" t="str">
        <f>IF(M1664&lt;&gt;"OK","",N(E1664)*(H1664*IF(G1664="",1,G1664)+I1664))</f>
        <v/>
      </c>
      <c r="K1664" s="66" t="str">
        <f>IF(M1664&lt;&gt;"OK","",N(F1664)/60*H1664*IF(G1664="",1,G1664))</f>
        <v/>
      </c>
      <c r="L1664" s="66" t="str">
        <f>IF(M1664&lt;&gt;"OK","",N(F1664)/60*I1664)</f>
        <v/>
      </c>
      <c r="M1664" s="69" t="str">
        <f>IF(AND(A1664="",D1664=""),"",IF(A1664="","Produit manquant",IF(COUNTIF(prod_ref,A1664)=0,"Produit inconnu",IF(D1664="","Poste manquant",IF(ISNA(MATCH(D1664,po_code,0)),"Poste inconnu",IF(INDEX(po_check,MATCH(D1664,po_code,0))&lt;&gt;"OK","Poste à corriger",IF(AND(E1664&lt;&gt;"",OR(NOT(ISNUMBER(E1664)),N(E1664)&lt;0)),"Réglage invalide",IF(AND(F1664&lt;&gt;"",OR(NOT(ISNUMBER(F1664)),N(F1664)&lt;0)),"Temps par pièce invalide",IF(N(E1664)+N(F1664)=0,"Temps manquant",IF(AND(G1664&lt;&gt;"",OR(NOT(ISNUMBER(G1664)),N(G1664)&lt;=0)),"Opérateurs invalide","OK"))))))))))</f>
        <v/>
      </c>
      <c r="N1664" s="71" t="str">
        <f>IF(AND(fiche_sel&lt;&gt;"",A1664=fiche_sel),COUNTIF(A$6:A1664,fiche_sel),"")</f>
        <v/>
      </c>
    </row>
    <row r="1665">
      <c r="A1665" s="60" t="n"/>
      <c r="B1665" s="73" t="n"/>
      <c r="C1665" s="60" t="n"/>
      <c r="D1665" s="61" t="n"/>
      <c r="E1665" s="74" t="n"/>
      <c r="F1665" s="74" t="n"/>
      <c r="G1665" s="73" t="n"/>
      <c r="H1665" s="66" t="str">
        <f>IF(M1665&lt;&gt;"OK","",INDEX(po_mo,MATCH(D1665,po_code,0)))</f>
        <v/>
      </c>
      <c r="I1665" s="66" t="str">
        <f>IF(M1665&lt;&gt;"OK","",INDEX(po_mac,MATCH(D1665,po_code,0)))</f>
        <v/>
      </c>
      <c r="J1665" s="66" t="str">
        <f>IF(M1665&lt;&gt;"OK","",N(E1665)*(H1665*IF(G1665="",1,G1665)+I1665))</f>
        <v/>
      </c>
      <c r="K1665" s="66" t="str">
        <f>IF(M1665&lt;&gt;"OK","",N(F1665)/60*H1665*IF(G1665="",1,G1665))</f>
        <v/>
      </c>
      <c r="L1665" s="66" t="str">
        <f>IF(M1665&lt;&gt;"OK","",N(F1665)/60*I1665)</f>
        <v/>
      </c>
      <c r="M1665" s="69" t="str">
        <f>IF(AND(A1665="",D1665=""),"",IF(A1665="","Produit manquant",IF(COUNTIF(prod_ref,A1665)=0,"Produit inconnu",IF(D1665="","Poste manquant",IF(ISNA(MATCH(D1665,po_code,0)),"Poste inconnu",IF(INDEX(po_check,MATCH(D1665,po_code,0))&lt;&gt;"OK","Poste à corriger",IF(AND(E1665&lt;&gt;"",OR(NOT(ISNUMBER(E1665)),N(E1665)&lt;0)),"Réglage invalide",IF(AND(F1665&lt;&gt;"",OR(NOT(ISNUMBER(F1665)),N(F1665)&lt;0)),"Temps par pièce invalide",IF(N(E1665)+N(F1665)=0,"Temps manquant",IF(AND(G1665&lt;&gt;"",OR(NOT(ISNUMBER(G1665)),N(G1665)&lt;=0)),"Opérateurs invalide","OK"))))))))))</f>
        <v/>
      </c>
      <c r="N1665" s="71" t="str">
        <f>IF(AND(fiche_sel&lt;&gt;"",A1665=fiche_sel),COUNTIF(A$6:A1665,fiche_sel),"")</f>
        <v/>
      </c>
    </row>
    <row r="1666">
      <c r="A1666" s="60" t="n"/>
      <c r="B1666" s="73" t="n"/>
      <c r="C1666" s="60" t="n"/>
      <c r="D1666" s="61" t="n"/>
      <c r="E1666" s="74" t="n"/>
      <c r="F1666" s="74" t="n"/>
      <c r="G1666" s="73" t="n"/>
      <c r="H1666" s="66" t="str">
        <f>IF(M1666&lt;&gt;"OK","",INDEX(po_mo,MATCH(D1666,po_code,0)))</f>
        <v/>
      </c>
      <c r="I1666" s="66" t="str">
        <f>IF(M1666&lt;&gt;"OK","",INDEX(po_mac,MATCH(D1666,po_code,0)))</f>
        <v/>
      </c>
      <c r="J1666" s="66" t="str">
        <f>IF(M1666&lt;&gt;"OK","",N(E1666)*(H1666*IF(G1666="",1,G1666)+I1666))</f>
        <v/>
      </c>
      <c r="K1666" s="66" t="str">
        <f>IF(M1666&lt;&gt;"OK","",N(F1666)/60*H1666*IF(G1666="",1,G1666))</f>
        <v/>
      </c>
      <c r="L1666" s="66" t="str">
        <f>IF(M1666&lt;&gt;"OK","",N(F1666)/60*I1666)</f>
        <v/>
      </c>
      <c r="M1666" s="69" t="str">
        <f>IF(AND(A1666="",D1666=""),"",IF(A1666="","Produit manquant",IF(COUNTIF(prod_ref,A1666)=0,"Produit inconnu",IF(D1666="","Poste manquant",IF(ISNA(MATCH(D1666,po_code,0)),"Poste inconnu",IF(INDEX(po_check,MATCH(D1666,po_code,0))&lt;&gt;"OK","Poste à corriger",IF(AND(E1666&lt;&gt;"",OR(NOT(ISNUMBER(E1666)),N(E1666)&lt;0)),"Réglage invalide",IF(AND(F1666&lt;&gt;"",OR(NOT(ISNUMBER(F1666)),N(F1666)&lt;0)),"Temps par pièce invalide",IF(N(E1666)+N(F1666)=0,"Temps manquant",IF(AND(G1666&lt;&gt;"",OR(NOT(ISNUMBER(G1666)),N(G1666)&lt;=0)),"Opérateurs invalide","OK"))))))))))</f>
        <v/>
      </c>
      <c r="N1666" s="71" t="str">
        <f>IF(AND(fiche_sel&lt;&gt;"",A1666=fiche_sel),COUNTIF(A$6:A1666,fiche_sel),"")</f>
        <v/>
      </c>
    </row>
    <row r="1667">
      <c r="A1667" s="60" t="n"/>
      <c r="B1667" s="73" t="n"/>
      <c r="C1667" s="60" t="n"/>
      <c r="D1667" s="61" t="n"/>
      <c r="E1667" s="74" t="n"/>
      <c r="F1667" s="74" t="n"/>
      <c r="G1667" s="73" t="n"/>
      <c r="H1667" s="66" t="str">
        <f>IF(M1667&lt;&gt;"OK","",INDEX(po_mo,MATCH(D1667,po_code,0)))</f>
        <v/>
      </c>
      <c r="I1667" s="66" t="str">
        <f>IF(M1667&lt;&gt;"OK","",INDEX(po_mac,MATCH(D1667,po_code,0)))</f>
        <v/>
      </c>
      <c r="J1667" s="66" t="str">
        <f>IF(M1667&lt;&gt;"OK","",N(E1667)*(H1667*IF(G1667="",1,G1667)+I1667))</f>
        <v/>
      </c>
      <c r="K1667" s="66" t="str">
        <f>IF(M1667&lt;&gt;"OK","",N(F1667)/60*H1667*IF(G1667="",1,G1667))</f>
        <v/>
      </c>
      <c r="L1667" s="66" t="str">
        <f>IF(M1667&lt;&gt;"OK","",N(F1667)/60*I1667)</f>
        <v/>
      </c>
      <c r="M1667" s="69" t="str">
        <f>IF(AND(A1667="",D1667=""),"",IF(A1667="","Produit manquant",IF(COUNTIF(prod_ref,A1667)=0,"Produit inconnu",IF(D1667="","Poste manquant",IF(ISNA(MATCH(D1667,po_code,0)),"Poste inconnu",IF(INDEX(po_check,MATCH(D1667,po_code,0))&lt;&gt;"OK","Poste à corriger",IF(AND(E1667&lt;&gt;"",OR(NOT(ISNUMBER(E1667)),N(E1667)&lt;0)),"Réglage invalide",IF(AND(F1667&lt;&gt;"",OR(NOT(ISNUMBER(F1667)),N(F1667)&lt;0)),"Temps par pièce invalide",IF(N(E1667)+N(F1667)=0,"Temps manquant",IF(AND(G1667&lt;&gt;"",OR(NOT(ISNUMBER(G1667)),N(G1667)&lt;=0)),"Opérateurs invalide","OK"))))))))))</f>
        <v/>
      </c>
      <c r="N1667" s="71" t="str">
        <f>IF(AND(fiche_sel&lt;&gt;"",A1667=fiche_sel),COUNTIF(A$6:A1667,fiche_sel),"")</f>
        <v/>
      </c>
    </row>
    <row r="1668">
      <c r="A1668" s="60" t="n"/>
      <c r="B1668" s="73" t="n"/>
      <c r="C1668" s="60" t="n"/>
      <c r="D1668" s="61" t="n"/>
      <c r="E1668" s="74" t="n"/>
      <c r="F1668" s="74" t="n"/>
      <c r="G1668" s="73" t="n"/>
      <c r="H1668" s="66" t="str">
        <f>IF(M1668&lt;&gt;"OK","",INDEX(po_mo,MATCH(D1668,po_code,0)))</f>
        <v/>
      </c>
      <c r="I1668" s="66" t="str">
        <f>IF(M1668&lt;&gt;"OK","",INDEX(po_mac,MATCH(D1668,po_code,0)))</f>
        <v/>
      </c>
      <c r="J1668" s="66" t="str">
        <f>IF(M1668&lt;&gt;"OK","",N(E1668)*(H1668*IF(G1668="",1,G1668)+I1668))</f>
        <v/>
      </c>
      <c r="K1668" s="66" t="str">
        <f>IF(M1668&lt;&gt;"OK","",N(F1668)/60*H1668*IF(G1668="",1,G1668))</f>
        <v/>
      </c>
      <c r="L1668" s="66" t="str">
        <f>IF(M1668&lt;&gt;"OK","",N(F1668)/60*I1668)</f>
        <v/>
      </c>
      <c r="M1668" s="69" t="str">
        <f>IF(AND(A1668="",D1668=""),"",IF(A1668="","Produit manquant",IF(COUNTIF(prod_ref,A1668)=0,"Produit inconnu",IF(D1668="","Poste manquant",IF(ISNA(MATCH(D1668,po_code,0)),"Poste inconnu",IF(INDEX(po_check,MATCH(D1668,po_code,0))&lt;&gt;"OK","Poste à corriger",IF(AND(E1668&lt;&gt;"",OR(NOT(ISNUMBER(E1668)),N(E1668)&lt;0)),"Réglage invalide",IF(AND(F1668&lt;&gt;"",OR(NOT(ISNUMBER(F1668)),N(F1668)&lt;0)),"Temps par pièce invalide",IF(N(E1668)+N(F1668)=0,"Temps manquant",IF(AND(G1668&lt;&gt;"",OR(NOT(ISNUMBER(G1668)),N(G1668)&lt;=0)),"Opérateurs invalide","OK"))))))))))</f>
        <v/>
      </c>
      <c r="N1668" s="71" t="str">
        <f>IF(AND(fiche_sel&lt;&gt;"",A1668=fiche_sel),COUNTIF(A$6:A1668,fiche_sel),"")</f>
        <v/>
      </c>
    </row>
    <row r="1669">
      <c r="A1669" s="60" t="n"/>
      <c r="B1669" s="73" t="n"/>
      <c r="C1669" s="60" t="n"/>
      <c r="D1669" s="61" t="n"/>
      <c r="E1669" s="74" t="n"/>
      <c r="F1669" s="74" t="n"/>
      <c r="G1669" s="73" t="n"/>
      <c r="H1669" s="66" t="str">
        <f>IF(M1669&lt;&gt;"OK","",INDEX(po_mo,MATCH(D1669,po_code,0)))</f>
        <v/>
      </c>
      <c r="I1669" s="66" t="str">
        <f>IF(M1669&lt;&gt;"OK","",INDEX(po_mac,MATCH(D1669,po_code,0)))</f>
        <v/>
      </c>
      <c r="J1669" s="66" t="str">
        <f>IF(M1669&lt;&gt;"OK","",N(E1669)*(H1669*IF(G1669="",1,G1669)+I1669))</f>
        <v/>
      </c>
      <c r="K1669" s="66" t="str">
        <f>IF(M1669&lt;&gt;"OK","",N(F1669)/60*H1669*IF(G1669="",1,G1669))</f>
        <v/>
      </c>
      <c r="L1669" s="66" t="str">
        <f>IF(M1669&lt;&gt;"OK","",N(F1669)/60*I1669)</f>
        <v/>
      </c>
      <c r="M1669" s="69" t="str">
        <f>IF(AND(A1669="",D1669=""),"",IF(A1669="","Produit manquant",IF(COUNTIF(prod_ref,A1669)=0,"Produit inconnu",IF(D1669="","Poste manquant",IF(ISNA(MATCH(D1669,po_code,0)),"Poste inconnu",IF(INDEX(po_check,MATCH(D1669,po_code,0))&lt;&gt;"OK","Poste à corriger",IF(AND(E1669&lt;&gt;"",OR(NOT(ISNUMBER(E1669)),N(E1669)&lt;0)),"Réglage invalide",IF(AND(F1669&lt;&gt;"",OR(NOT(ISNUMBER(F1669)),N(F1669)&lt;0)),"Temps par pièce invalide",IF(N(E1669)+N(F1669)=0,"Temps manquant",IF(AND(G1669&lt;&gt;"",OR(NOT(ISNUMBER(G1669)),N(G1669)&lt;=0)),"Opérateurs invalide","OK"))))))))))</f>
        <v/>
      </c>
      <c r="N1669" s="71" t="str">
        <f>IF(AND(fiche_sel&lt;&gt;"",A1669=fiche_sel),COUNTIF(A$6:A1669,fiche_sel),"")</f>
        <v/>
      </c>
    </row>
    <row r="1670">
      <c r="A1670" s="60" t="n"/>
      <c r="B1670" s="73" t="n"/>
      <c r="C1670" s="60" t="n"/>
      <c r="D1670" s="61" t="n"/>
      <c r="E1670" s="74" t="n"/>
      <c r="F1670" s="74" t="n"/>
      <c r="G1670" s="73" t="n"/>
      <c r="H1670" s="66" t="str">
        <f>IF(M1670&lt;&gt;"OK","",INDEX(po_mo,MATCH(D1670,po_code,0)))</f>
        <v/>
      </c>
      <c r="I1670" s="66" t="str">
        <f>IF(M1670&lt;&gt;"OK","",INDEX(po_mac,MATCH(D1670,po_code,0)))</f>
        <v/>
      </c>
      <c r="J1670" s="66" t="str">
        <f>IF(M1670&lt;&gt;"OK","",N(E1670)*(H1670*IF(G1670="",1,G1670)+I1670))</f>
        <v/>
      </c>
      <c r="K1670" s="66" t="str">
        <f>IF(M1670&lt;&gt;"OK","",N(F1670)/60*H1670*IF(G1670="",1,G1670))</f>
        <v/>
      </c>
      <c r="L1670" s="66" t="str">
        <f>IF(M1670&lt;&gt;"OK","",N(F1670)/60*I1670)</f>
        <v/>
      </c>
      <c r="M1670" s="69" t="str">
        <f>IF(AND(A1670="",D1670=""),"",IF(A1670="","Produit manquant",IF(COUNTIF(prod_ref,A1670)=0,"Produit inconnu",IF(D1670="","Poste manquant",IF(ISNA(MATCH(D1670,po_code,0)),"Poste inconnu",IF(INDEX(po_check,MATCH(D1670,po_code,0))&lt;&gt;"OK","Poste à corriger",IF(AND(E1670&lt;&gt;"",OR(NOT(ISNUMBER(E1670)),N(E1670)&lt;0)),"Réglage invalide",IF(AND(F1670&lt;&gt;"",OR(NOT(ISNUMBER(F1670)),N(F1670)&lt;0)),"Temps par pièce invalide",IF(N(E1670)+N(F1670)=0,"Temps manquant",IF(AND(G1670&lt;&gt;"",OR(NOT(ISNUMBER(G1670)),N(G1670)&lt;=0)),"Opérateurs invalide","OK"))))))))))</f>
        <v/>
      </c>
      <c r="N1670" s="71" t="str">
        <f>IF(AND(fiche_sel&lt;&gt;"",A1670=fiche_sel),COUNTIF(A$6:A1670,fiche_sel),"")</f>
        <v/>
      </c>
    </row>
    <row r="1671">
      <c r="A1671" s="60" t="n"/>
      <c r="B1671" s="73" t="n"/>
      <c r="C1671" s="60" t="n"/>
      <c r="D1671" s="61" t="n"/>
      <c r="E1671" s="74" t="n"/>
      <c r="F1671" s="74" t="n"/>
      <c r="G1671" s="73" t="n"/>
      <c r="H1671" s="66" t="str">
        <f>IF(M1671&lt;&gt;"OK","",INDEX(po_mo,MATCH(D1671,po_code,0)))</f>
        <v/>
      </c>
      <c r="I1671" s="66" t="str">
        <f>IF(M1671&lt;&gt;"OK","",INDEX(po_mac,MATCH(D1671,po_code,0)))</f>
        <v/>
      </c>
      <c r="J1671" s="66" t="str">
        <f>IF(M1671&lt;&gt;"OK","",N(E1671)*(H1671*IF(G1671="",1,G1671)+I1671))</f>
        <v/>
      </c>
      <c r="K1671" s="66" t="str">
        <f>IF(M1671&lt;&gt;"OK","",N(F1671)/60*H1671*IF(G1671="",1,G1671))</f>
        <v/>
      </c>
      <c r="L1671" s="66" t="str">
        <f>IF(M1671&lt;&gt;"OK","",N(F1671)/60*I1671)</f>
        <v/>
      </c>
      <c r="M1671" s="69" t="str">
        <f>IF(AND(A1671="",D1671=""),"",IF(A1671="","Produit manquant",IF(COUNTIF(prod_ref,A1671)=0,"Produit inconnu",IF(D1671="","Poste manquant",IF(ISNA(MATCH(D1671,po_code,0)),"Poste inconnu",IF(INDEX(po_check,MATCH(D1671,po_code,0))&lt;&gt;"OK","Poste à corriger",IF(AND(E1671&lt;&gt;"",OR(NOT(ISNUMBER(E1671)),N(E1671)&lt;0)),"Réglage invalide",IF(AND(F1671&lt;&gt;"",OR(NOT(ISNUMBER(F1671)),N(F1671)&lt;0)),"Temps par pièce invalide",IF(N(E1671)+N(F1671)=0,"Temps manquant",IF(AND(G1671&lt;&gt;"",OR(NOT(ISNUMBER(G1671)),N(G1671)&lt;=0)),"Opérateurs invalide","OK"))))))))))</f>
        <v/>
      </c>
      <c r="N1671" s="71" t="str">
        <f>IF(AND(fiche_sel&lt;&gt;"",A1671=fiche_sel),COUNTIF(A$6:A1671,fiche_sel),"")</f>
        <v/>
      </c>
    </row>
    <row r="1672">
      <c r="A1672" s="60" t="n"/>
      <c r="B1672" s="73" t="n"/>
      <c r="C1672" s="60" t="n"/>
      <c r="D1672" s="61" t="n"/>
      <c r="E1672" s="74" t="n"/>
      <c r="F1672" s="74" t="n"/>
      <c r="G1672" s="73" t="n"/>
      <c r="H1672" s="66" t="str">
        <f>IF(M1672&lt;&gt;"OK","",INDEX(po_mo,MATCH(D1672,po_code,0)))</f>
        <v/>
      </c>
      <c r="I1672" s="66" t="str">
        <f>IF(M1672&lt;&gt;"OK","",INDEX(po_mac,MATCH(D1672,po_code,0)))</f>
        <v/>
      </c>
      <c r="J1672" s="66" t="str">
        <f>IF(M1672&lt;&gt;"OK","",N(E1672)*(H1672*IF(G1672="",1,G1672)+I1672))</f>
        <v/>
      </c>
      <c r="K1672" s="66" t="str">
        <f>IF(M1672&lt;&gt;"OK","",N(F1672)/60*H1672*IF(G1672="",1,G1672))</f>
        <v/>
      </c>
      <c r="L1672" s="66" t="str">
        <f>IF(M1672&lt;&gt;"OK","",N(F1672)/60*I1672)</f>
        <v/>
      </c>
      <c r="M1672" s="69" t="str">
        <f>IF(AND(A1672="",D1672=""),"",IF(A1672="","Produit manquant",IF(COUNTIF(prod_ref,A1672)=0,"Produit inconnu",IF(D1672="","Poste manquant",IF(ISNA(MATCH(D1672,po_code,0)),"Poste inconnu",IF(INDEX(po_check,MATCH(D1672,po_code,0))&lt;&gt;"OK","Poste à corriger",IF(AND(E1672&lt;&gt;"",OR(NOT(ISNUMBER(E1672)),N(E1672)&lt;0)),"Réglage invalide",IF(AND(F1672&lt;&gt;"",OR(NOT(ISNUMBER(F1672)),N(F1672)&lt;0)),"Temps par pièce invalide",IF(N(E1672)+N(F1672)=0,"Temps manquant",IF(AND(G1672&lt;&gt;"",OR(NOT(ISNUMBER(G1672)),N(G1672)&lt;=0)),"Opérateurs invalide","OK"))))))))))</f>
        <v/>
      </c>
      <c r="N1672" s="71" t="str">
        <f>IF(AND(fiche_sel&lt;&gt;"",A1672=fiche_sel),COUNTIF(A$6:A1672,fiche_sel),"")</f>
        <v/>
      </c>
    </row>
    <row r="1673">
      <c r="A1673" s="60" t="n"/>
      <c r="B1673" s="73" t="n"/>
      <c r="C1673" s="60" t="n"/>
      <c r="D1673" s="61" t="n"/>
      <c r="E1673" s="74" t="n"/>
      <c r="F1673" s="74" t="n"/>
      <c r="G1673" s="73" t="n"/>
      <c r="H1673" s="66" t="str">
        <f>IF(M1673&lt;&gt;"OK","",INDEX(po_mo,MATCH(D1673,po_code,0)))</f>
        <v/>
      </c>
      <c r="I1673" s="66" t="str">
        <f>IF(M1673&lt;&gt;"OK","",INDEX(po_mac,MATCH(D1673,po_code,0)))</f>
        <v/>
      </c>
      <c r="J1673" s="66" t="str">
        <f>IF(M1673&lt;&gt;"OK","",N(E1673)*(H1673*IF(G1673="",1,G1673)+I1673))</f>
        <v/>
      </c>
      <c r="K1673" s="66" t="str">
        <f>IF(M1673&lt;&gt;"OK","",N(F1673)/60*H1673*IF(G1673="",1,G1673))</f>
        <v/>
      </c>
      <c r="L1673" s="66" t="str">
        <f>IF(M1673&lt;&gt;"OK","",N(F1673)/60*I1673)</f>
        <v/>
      </c>
      <c r="M1673" s="69" t="str">
        <f>IF(AND(A1673="",D1673=""),"",IF(A1673="","Produit manquant",IF(COUNTIF(prod_ref,A1673)=0,"Produit inconnu",IF(D1673="","Poste manquant",IF(ISNA(MATCH(D1673,po_code,0)),"Poste inconnu",IF(INDEX(po_check,MATCH(D1673,po_code,0))&lt;&gt;"OK","Poste à corriger",IF(AND(E1673&lt;&gt;"",OR(NOT(ISNUMBER(E1673)),N(E1673)&lt;0)),"Réglage invalide",IF(AND(F1673&lt;&gt;"",OR(NOT(ISNUMBER(F1673)),N(F1673)&lt;0)),"Temps par pièce invalide",IF(N(E1673)+N(F1673)=0,"Temps manquant",IF(AND(G1673&lt;&gt;"",OR(NOT(ISNUMBER(G1673)),N(G1673)&lt;=0)),"Opérateurs invalide","OK"))))))))))</f>
        <v/>
      </c>
      <c r="N1673" s="71" t="str">
        <f>IF(AND(fiche_sel&lt;&gt;"",A1673=fiche_sel),COUNTIF(A$6:A1673,fiche_sel),"")</f>
        <v/>
      </c>
    </row>
    <row r="1674">
      <c r="A1674" s="60" t="n"/>
      <c r="B1674" s="73" t="n"/>
      <c r="C1674" s="60" t="n"/>
      <c r="D1674" s="61" t="n"/>
      <c r="E1674" s="74" t="n"/>
      <c r="F1674" s="74" t="n"/>
      <c r="G1674" s="73" t="n"/>
      <c r="H1674" s="66" t="str">
        <f>IF(M1674&lt;&gt;"OK","",INDEX(po_mo,MATCH(D1674,po_code,0)))</f>
        <v/>
      </c>
      <c r="I1674" s="66" t="str">
        <f>IF(M1674&lt;&gt;"OK","",INDEX(po_mac,MATCH(D1674,po_code,0)))</f>
        <v/>
      </c>
      <c r="J1674" s="66" t="str">
        <f>IF(M1674&lt;&gt;"OK","",N(E1674)*(H1674*IF(G1674="",1,G1674)+I1674))</f>
        <v/>
      </c>
      <c r="K1674" s="66" t="str">
        <f>IF(M1674&lt;&gt;"OK","",N(F1674)/60*H1674*IF(G1674="",1,G1674))</f>
        <v/>
      </c>
      <c r="L1674" s="66" t="str">
        <f>IF(M1674&lt;&gt;"OK","",N(F1674)/60*I1674)</f>
        <v/>
      </c>
      <c r="M1674" s="69" t="str">
        <f>IF(AND(A1674="",D1674=""),"",IF(A1674="","Produit manquant",IF(COUNTIF(prod_ref,A1674)=0,"Produit inconnu",IF(D1674="","Poste manquant",IF(ISNA(MATCH(D1674,po_code,0)),"Poste inconnu",IF(INDEX(po_check,MATCH(D1674,po_code,0))&lt;&gt;"OK","Poste à corriger",IF(AND(E1674&lt;&gt;"",OR(NOT(ISNUMBER(E1674)),N(E1674)&lt;0)),"Réglage invalide",IF(AND(F1674&lt;&gt;"",OR(NOT(ISNUMBER(F1674)),N(F1674)&lt;0)),"Temps par pièce invalide",IF(N(E1674)+N(F1674)=0,"Temps manquant",IF(AND(G1674&lt;&gt;"",OR(NOT(ISNUMBER(G1674)),N(G1674)&lt;=0)),"Opérateurs invalide","OK"))))))))))</f>
        <v/>
      </c>
      <c r="N1674" s="71" t="str">
        <f>IF(AND(fiche_sel&lt;&gt;"",A1674=fiche_sel),COUNTIF(A$6:A1674,fiche_sel),"")</f>
        <v/>
      </c>
    </row>
    <row r="1675">
      <c r="A1675" s="60" t="n"/>
      <c r="B1675" s="73" t="n"/>
      <c r="C1675" s="60" t="n"/>
      <c r="D1675" s="61" t="n"/>
      <c r="E1675" s="74" t="n"/>
      <c r="F1675" s="74" t="n"/>
      <c r="G1675" s="73" t="n"/>
      <c r="H1675" s="66" t="str">
        <f>IF(M1675&lt;&gt;"OK","",INDEX(po_mo,MATCH(D1675,po_code,0)))</f>
        <v/>
      </c>
      <c r="I1675" s="66" t="str">
        <f>IF(M1675&lt;&gt;"OK","",INDEX(po_mac,MATCH(D1675,po_code,0)))</f>
        <v/>
      </c>
      <c r="J1675" s="66" t="str">
        <f>IF(M1675&lt;&gt;"OK","",N(E1675)*(H1675*IF(G1675="",1,G1675)+I1675))</f>
        <v/>
      </c>
      <c r="K1675" s="66" t="str">
        <f>IF(M1675&lt;&gt;"OK","",N(F1675)/60*H1675*IF(G1675="",1,G1675))</f>
        <v/>
      </c>
      <c r="L1675" s="66" t="str">
        <f>IF(M1675&lt;&gt;"OK","",N(F1675)/60*I1675)</f>
        <v/>
      </c>
      <c r="M1675" s="69" t="str">
        <f>IF(AND(A1675="",D1675=""),"",IF(A1675="","Produit manquant",IF(COUNTIF(prod_ref,A1675)=0,"Produit inconnu",IF(D1675="","Poste manquant",IF(ISNA(MATCH(D1675,po_code,0)),"Poste inconnu",IF(INDEX(po_check,MATCH(D1675,po_code,0))&lt;&gt;"OK","Poste à corriger",IF(AND(E1675&lt;&gt;"",OR(NOT(ISNUMBER(E1675)),N(E1675)&lt;0)),"Réglage invalide",IF(AND(F1675&lt;&gt;"",OR(NOT(ISNUMBER(F1675)),N(F1675)&lt;0)),"Temps par pièce invalide",IF(N(E1675)+N(F1675)=0,"Temps manquant",IF(AND(G1675&lt;&gt;"",OR(NOT(ISNUMBER(G1675)),N(G1675)&lt;=0)),"Opérateurs invalide","OK"))))))))))</f>
        <v/>
      </c>
      <c r="N1675" s="71" t="str">
        <f>IF(AND(fiche_sel&lt;&gt;"",A1675=fiche_sel),COUNTIF(A$6:A1675,fiche_sel),"")</f>
        <v/>
      </c>
    </row>
    <row r="1676">
      <c r="A1676" s="60" t="n"/>
      <c r="B1676" s="73" t="n"/>
      <c r="C1676" s="60" t="n"/>
      <c r="D1676" s="61" t="n"/>
      <c r="E1676" s="74" t="n"/>
      <c r="F1676" s="74" t="n"/>
      <c r="G1676" s="73" t="n"/>
      <c r="H1676" s="66" t="str">
        <f>IF(M1676&lt;&gt;"OK","",INDEX(po_mo,MATCH(D1676,po_code,0)))</f>
        <v/>
      </c>
      <c r="I1676" s="66" t="str">
        <f>IF(M1676&lt;&gt;"OK","",INDEX(po_mac,MATCH(D1676,po_code,0)))</f>
        <v/>
      </c>
      <c r="J1676" s="66" t="str">
        <f>IF(M1676&lt;&gt;"OK","",N(E1676)*(H1676*IF(G1676="",1,G1676)+I1676))</f>
        <v/>
      </c>
      <c r="K1676" s="66" t="str">
        <f>IF(M1676&lt;&gt;"OK","",N(F1676)/60*H1676*IF(G1676="",1,G1676))</f>
        <v/>
      </c>
      <c r="L1676" s="66" t="str">
        <f>IF(M1676&lt;&gt;"OK","",N(F1676)/60*I1676)</f>
        <v/>
      </c>
      <c r="M1676" s="69" t="str">
        <f>IF(AND(A1676="",D1676=""),"",IF(A1676="","Produit manquant",IF(COUNTIF(prod_ref,A1676)=0,"Produit inconnu",IF(D1676="","Poste manquant",IF(ISNA(MATCH(D1676,po_code,0)),"Poste inconnu",IF(INDEX(po_check,MATCH(D1676,po_code,0))&lt;&gt;"OK","Poste à corriger",IF(AND(E1676&lt;&gt;"",OR(NOT(ISNUMBER(E1676)),N(E1676)&lt;0)),"Réglage invalide",IF(AND(F1676&lt;&gt;"",OR(NOT(ISNUMBER(F1676)),N(F1676)&lt;0)),"Temps par pièce invalide",IF(N(E1676)+N(F1676)=0,"Temps manquant",IF(AND(G1676&lt;&gt;"",OR(NOT(ISNUMBER(G1676)),N(G1676)&lt;=0)),"Opérateurs invalide","OK"))))))))))</f>
        <v/>
      </c>
      <c r="N1676" s="71" t="str">
        <f>IF(AND(fiche_sel&lt;&gt;"",A1676=fiche_sel),COUNTIF(A$6:A1676,fiche_sel),"")</f>
        <v/>
      </c>
    </row>
    <row r="1677">
      <c r="A1677" s="60" t="n"/>
      <c r="B1677" s="73" t="n"/>
      <c r="C1677" s="60" t="n"/>
      <c r="D1677" s="61" t="n"/>
      <c r="E1677" s="74" t="n"/>
      <c r="F1677" s="74" t="n"/>
      <c r="G1677" s="73" t="n"/>
      <c r="H1677" s="66" t="str">
        <f>IF(M1677&lt;&gt;"OK","",INDEX(po_mo,MATCH(D1677,po_code,0)))</f>
        <v/>
      </c>
      <c r="I1677" s="66" t="str">
        <f>IF(M1677&lt;&gt;"OK","",INDEX(po_mac,MATCH(D1677,po_code,0)))</f>
        <v/>
      </c>
      <c r="J1677" s="66" t="str">
        <f>IF(M1677&lt;&gt;"OK","",N(E1677)*(H1677*IF(G1677="",1,G1677)+I1677))</f>
        <v/>
      </c>
      <c r="K1677" s="66" t="str">
        <f>IF(M1677&lt;&gt;"OK","",N(F1677)/60*H1677*IF(G1677="",1,G1677))</f>
        <v/>
      </c>
      <c r="L1677" s="66" t="str">
        <f>IF(M1677&lt;&gt;"OK","",N(F1677)/60*I1677)</f>
        <v/>
      </c>
      <c r="M1677" s="69" t="str">
        <f>IF(AND(A1677="",D1677=""),"",IF(A1677="","Produit manquant",IF(COUNTIF(prod_ref,A1677)=0,"Produit inconnu",IF(D1677="","Poste manquant",IF(ISNA(MATCH(D1677,po_code,0)),"Poste inconnu",IF(INDEX(po_check,MATCH(D1677,po_code,0))&lt;&gt;"OK","Poste à corriger",IF(AND(E1677&lt;&gt;"",OR(NOT(ISNUMBER(E1677)),N(E1677)&lt;0)),"Réglage invalide",IF(AND(F1677&lt;&gt;"",OR(NOT(ISNUMBER(F1677)),N(F1677)&lt;0)),"Temps par pièce invalide",IF(N(E1677)+N(F1677)=0,"Temps manquant",IF(AND(G1677&lt;&gt;"",OR(NOT(ISNUMBER(G1677)),N(G1677)&lt;=0)),"Opérateurs invalide","OK"))))))))))</f>
        <v/>
      </c>
      <c r="N1677" s="71" t="str">
        <f>IF(AND(fiche_sel&lt;&gt;"",A1677=fiche_sel),COUNTIF(A$6:A1677,fiche_sel),"")</f>
        <v/>
      </c>
    </row>
    <row r="1678">
      <c r="A1678" s="60" t="n"/>
      <c r="B1678" s="73" t="n"/>
      <c r="C1678" s="60" t="n"/>
      <c r="D1678" s="61" t="n"/>
      <c r="E1678" s="74" t="n"/>
      <c r="F1678" s="74" t="n"/>
      <c r="G1678" s="73" t="n"/>
      <c r="H1678" s="66" t="str">
        <f>IF(M1678&lt;&gt;"OK","",INDEX(po_mo,MATCH(D1678,po_code,0)))</f>
        <v/>
      </c>
      <c r="I1678" s="66" t="str">
        <f>IF(M1678&lt;&gt;"OK","",INDEX(po_mac,MATCH(D1678,po_code,0)))</f>
        <v/>
      </c>
      <c r="J1678" s="66" t="str">
        <f>IF(M1678&lt;&gt;"OK","",N(E1678)*(H1678*IF(G1678="",1,G1678)+I1678))</f>
        <v/>
      </c>
      <c r="K1678" s="66" t="str">
        <f>IF(M1678&lt;&gt;"OK","",N(F1678)/60*H1678*IF(G1678="",1,G1678))</f>
        <v/>
      </c>
      <c r="L1678" s="66" t="str">
        <f>IF(M1678&lt;&gt;"OK","",N(F1678)/60*I1678)</f>
        <v/>
      </c>
      <c r="M1678" s="69" t="str">
        <f>IF(AND(A1678="",D1678=""),"",IF(A1678="","Produit manquant",IF(COUNTIF(prod_ref,A1678)=0,"Produit inconnu",IF(D1678="","Poste manquant",IF(ISNA(MATCH(D1678,po_code,0)),"Poste inconnu",IF(INDEX(po_check,MATCH(D1678,po_code,0))&lt;&gt;"OK","Poste à corriger",IF(AND(E1678&lt;&gt;"",OR(NOT(ISNUMBER(E1678)),N(E1678)&lt;0)),"Réglage invalide",IF(AND(F1678&lt;&gt;"",OR(NOT(ISNUMBER(F1678)),N(F1678)&lt;0)),"Temps par pièce invalide",IF(N(E1678)+N(F1678)=0,"Temps manquant",IF(AND(G1678&lt;&gt;"",OR(NOT(ISNUMBER(G1678)),N(G1678)&lt;=0)),"Opérateurs invalide","OK"))))))))))</f>
        <v/>
      </c>
      <c r="N1678" s="71" t="str">
        <f>IF(AND(fiche_sel&lt;&gt;"",A1678=fiche_sel),COUNTIF(A$6:A1678,fiche_sel),"")</f>
        <v/>
      </c>
    </row>
    <row r="1679">
      <c r="A1679" s="60" t="n"/>
      <c r="B1679" s="73" t="n"/>
      <c r="C1679" s="60" t="n"/>
      <c r="D1679" s="61" t="n"/>
      <c r="E1679" s="74" t="n"/>
      <c r="F1679" s="74" t="n"/>
      <c r="G1679" s="73" t="n"/>
      <c r="H1679" s="66" t="str">
        <f>IF(M1679&lt;&gt;"OK","",INDEX(po_mo,MATCH(D1679,po_code,0)))</f>
        <v/>
      </c>
      <c r="I1679" s="66" t="str">
        <f>IF(M1679&lt;&gt;"OK","",INDEX(po_mac,MATCH(D1679,po_code,0)))</f>
        <v/>
      </c>
      <c r="J1679" s="66" t="str">
        <f>IF(M1679&lt;&gt;"OK","",N(E1679)*(H1679*IF(G1679="",1,G1679)+I1679))</f>
        <v/>
      </c>
      <c r="K1679" s="66" t="str">
        <f>IF(M1679&lt;&gt;"OK","",N(F1679)/60*H1679*IF(G1679="",1,G1679))</f>
        <v/>
      </c>
      <c r="L1679" s="66" t="str">
        <f>IF(M1679&lt;&gt;"OK","",N(F1679)/60*I1679)</f>
        <v/>
      </c>
      <c r="M1679" s="69" t="str">
        <f>IF(AND(A1679="",D1679=""),"",IF(A1679="","Produit manquant",IF(COUNTIF(prod_ref,A1679)=0,"Produit inconnu",IF(D1679="","Poste manquant",IF(ISNA(MATCH(D1679,po_code,0)),"Poste inconnu",IF(INDEX(po_check,MATCH(D1679,po_code,0))&lt;&gt;"OK","Poste à corriger",IF(AND(E1679&lt;&gt;"",OR(NOT(ISNUMBER(E1679)),N(E1679)&lt;0)),"Réglage invalide",IF(AND(F1679&lt;&gt;"",OR(NOT(ISNUMBER(F1679)),N(F1679)&lt;0)),"Temps par pièce invalide",IF(N(E1679)+N(F1679)=0,"Temps manquant",IF(AND(G1679&lt;&gt;"",OR(NOT(ISNUMBER(G1679)),N(G1679)&lt;=0)),"Opérateurs invalide","OK"))))))))))</f>
        <v/>
      </c>
      <c r="N1679" s="71" t="str">
        <f>IF(AND(fiche_sel&lt;&gt;"",A1679=fiche_sel),COUNTIF(A$6:A1679,fiche_sel),"")</f>
        <v/>
      </c>
    </row>
    <row r="1680">
      <c r="A1680" s="60" t="n"/>
      <c r="B1680" s="73" t="n"/>
      <c r="C1680" s="60" t="n"/>
      <c r="D1680" s="61" t="n"/>
      <c r="E1680" s="74" t="n"/>
      <c r="F1680" s="74" t="n"/>
      <c r="G1680" s="73" t="n"/>
      <c r="H1680" s="66" t="str">
        <f>IF(M1680&lt;&gt;"OK","",INDEX(po_mo,MATCH(D1680,po_code,0)))</f>
        <v/>
      </c>
      <c r="I1680" s="66" t="str">
        <f>IF(M1680&lt;&gt;"OK","",INDEX(po_mac,MATCH(D1680,po_code,0)))</f>
        <v/>
      </c>
      <c r="J1680" s="66" t="str">
        <f>IF(M1680&lt;&gt;"OK","",N(E1680)*(H1680*IF(G1680="",1,G1680)+I1680))</f>
        <v/>
      </c>
      <c r="K1680" s="66" t="str">
        <f>IF(M1680&lt;&gt;"OK","",N(F1680)/60*H1680*IF(G1680="",1,G1680))</f>
        <v/>
      </c>
      <c r="L1680" s="66" t="str">
        <f>IF(M1680&lt;&gt;"OK","",N(F1680)/60*I1680)</f>
        <v/>
      </c>
      <c r="M1680" s="69" t="str">
        <f>IF(AND(A1680="",D1680=""),"",IF(A1680="","Produit manquant",IF(COUNTIF(prod_ref,A1680)=0,"Produit inconnu",IF(D1680="","Poste manquant",IF(ISNA(MATCH(D1680,po_code,0)),"Poste inconnu",IF(INDEX(po_check,MATCH(D1680,po_code,0))&lt;&gt;"OK","Poste à corriger",IF(AND(E1680&lt;&gt;"",OR(NOT(ISNUMBER(E1680)),N(E1680)&lt;0)),"Réglage invalide",IF(AND(F1680&lt;&gt;"",OR(NOT(ISNUMBER(F1680)),N(F1680)&lt;0)),"Temps par pièce invalide",IF(N(E1680)+N(F1680)=0,"Temps manquant",IF(AND(G1680&lt;&gt;"",OR(NOT(ISNUMBER(G1680)),N(G1680)&lt;=0)),"Opérateurs invalide","OK"))))))))))</f>
        <v/>
      </c>
      <c r="N1680" s="71" t="str">
        <f>IF(AND(fiche_sel&lt;&gt;"",A1680=fiche_sel),COUNTIF(A$6:A1680,fiche_sel),"")</f>
        <v/>
      </c>
    </row>
    <row r="1681">
      <c r="A1681" s="60" t="n"/>
      <c r="B1681" s="73" t="n"/>
      <c r="C1681" s="60" t="n"/>
      <c r="D1681" s="61" t="n"/>
      <c r="E1681" s="74" t="n"/>
      <c r="F1681" s="74" t="n"/>
      <c r="G1681" s="73" t="n"/>
      <c r="H1681" s="66" t="str">
        <f>IF(M1681&lt;&gt;"OK","",INDEX(po_mo,MATCH(D1681,po_code,0)))</f>
        <v/>
      </c>
      <c r="I1681" s="66" t="str">
        <f>IF(M1681&lt;&gt;"OK","",INDEX(po_mac,MATCH(D1681,po_code,0)))</f>
        <v/>
      </c>
      <c r="J1681" s="66" t="str">
        <f>IF(M1681&lt;&gt;"OK","",N(E1681)*(H1681*IF(G1681="",1,G1681)+I1681))</f>
        <v/>
      </c>
      <c r="K1681" s="66" t="str">
        <f>IF(M1681&lt;&gt;"OK","",N(F1681)/60*H1681*IF(G1681="",1,G1681))</f>
        <v/>
      </c>
      <c r="L1681" s="66" t="str">
        <f>IF(M1681&lt;&gt;"OK","",N(F1681)/60*I1681)</f>
        <v/>
      </c>
      <c r="M1681" s="69" t="str">
        <f>IF(AND(A1681="",D1681=""),"",IF(A1681="","Produit manquant",IF(COUNTIF(prod_ref,A1681)=0,"Produit inconnu",IF(D1681="","Poste manquant",IF(ISNA(MATCH(D1681,po_code,0)),"Poste inconnu",IF(INDEX(po_check,MATCH(D1681,po_code,0))&lt;&gt;"OK","Poste à corriger",IF(AND(E1681&lt;&gt;"",OR(NOT(ISNUMBER(E1681)),N(E1681)&lt;0)),"Réglage invalide",IF(AND(F1681&lt;&gt;"",OR(NOT(ISNUMBER(F1681)),N(F1681)&lt;0)),"Temps par pièce invalide",IF(N(E1681)+N(F1681)=0,"Temps manquant",IF(AND(G1681&lt;&gt;"",OR(NOT(ISNUMBER(G1681)),N(G1681)&lt;=0)),"Opérateurs invalide","OK"))))))))))</f>
        <v/>
      </c>
      <c r="N1681" s="71" t="str">
        <f>IF(AND(fiche_sel&lt;&gt;"",A1681=fiche_sel),COUNTIF(A$6:A1681,fiche_sel),"")</f>
        <v/>
      </c>
    </row>
    <row r="1682">
      <c r="A1682" s="60" t="n"/>
      <c r="B1682" s="73" t="n"/>
      <c r="C1682" s="60" t="n"/>
      <c r="D1682" s="61" t="n"/>
      <c r="E1682" s="74" t="n"/>
      <c r="F1682" s="74" t="n"/>
      <c r="G1682" s="73" t="n"/>
      <c r="H1682" s="66" t="str">
        <f>IF(M1682&lt;&gt;"OK","",INDEX(po_mo,MATCH(D1682,po_code,0)))</f>
        <v/>
      </c>
      <c r="I1682" s="66" t="str">
        <f>IF(M1682&lt;&gt;"OK","",INDEX(po_mac,MATCH(D1682,po_code,0)))</f>
        <v/>
      </c>
      <c r="J1682" s="66" t="str">
        <f>IF(M1682&lt;&gt;"OK","",N(E1682)*(H1682*IF(G1682="",1,G1682)+I1682))</f>
        <v/>
      </c>
      <c r="K1682" s="66" t="str">
        <f>IF(M1682&lt;&gt;"OK","",N(F1682)/60*H1682*IF(G1682="",1,G1682))</f>
        <v/>
      </c>
      <c r="L1682" s="66" t="str">
        <f>IF(M1682&lt;&gt;"OK","",N(F1682)/60*I1682)</f>
        <v/>
      </c>
      <c r="M1682" s="69" t="str">
        <f>IF(AND(A1682="",D1682=""),"",IF(A1682="","Produit manquant",IF(COUNTIF(prod_ref,A1682)=0,"Produit inconnu",IF(D1682="","Poste manquant",IF(ISNA(MATCH(D1682,po_code,0)),"Poste inconnu",IF(INDEX(po_check,MATCH(D1682,po_code,0))&lt;&gt;"OK","Poste à corriger",IF(AND(E1682&lt;&gt;"",OR(NOT(ISNUMBER(E1682)),N(E1682)&lt;0)),"Réglage invalide",IF(AND(F1682&lt;&gt;"",OR(NOT(ISNUMBER(F1682)),N(F1682)&lt;0)),"Temps par pièce invalide",IF(N(E1682)+N(F1682)=0,"Temps manquant",IF(AND(G1682&lt;&gt;"",OR(NOT(ISNUMBER(G1682)),N(G1682)&lt;=0)),"Opérateurs invalide","OK"))))))))))</f>
        <v/>
      </c>
      <c r="N1682" s="71" t="str">
        <f>IF(AND(fiche_sel&lt;&gt;"",A1682=fiche_sel),COUNTIF(A$6:A1682,fiche_sel),"")</f>
        <v/>
      </c>
    </row>
    <row r="1683">
      <c r="A1683" s="60" t="n"/>
      <c r="B1683" s="73" t="n"/>
      <c r="C1683" s="60" t="n"/>
      <c r="D1683" s="61" t="n"/>
      <c r="E1683" s="74" t="n"/>
      <c r="F1683" s="74" t="n"/>
      <c r="G1683" s="73" t="n"/>
      <c r="H1683" s="66" t="str">
        <f>IF(M1683&lt;&gt;"OK","",INDEX(po_mo,MATCH(D1683,po_code,0)))</f>
        <v/>
      </c>
      <c r="I1683" s="66" t="str">
        <f>IF(M1683&lt;&gt;"OK","",INDEX(po_mac,MATCH(D1683,po_code,0)))</f>
        <v/>
      </c>
      <c r="J1683" s="66" t="str">
        <f>IF(M1683&lt;&gt;"OK","",N(E1683)*(H1683*IF(G1683="",1,G1683)+I1683))</f>
        <v/>
      </c>
      <c r="K1683" s="66" t="str">
        <f>IF(M1683&lt;&gt;"OK","",N(F1683)/60*H1683*IF(G1683="",1,G1683))</f>
        <v/>
      </c>
      <c r="L1683" s="66" t="str">
        <f>IF(M1683&lt;&gt;"OK","",N(F1683)/60*I1683)</f>
        <v/>
      </c>
      <c r="M1683" s="69" t="str">
        <f>IF(AND(A1683="",D1683=""),"",IF(A1683="","Produit manquant",IF(COUNTIF(prod_ref,A1683)=0,"Produit inconnu",IF(D1683="","Poste manquant",IF(ISNA(MATCH(D1683,po_code,0)),"Poste inconnu",IF(INDEX(po_check,MATCH(D1683,po_code,0))&lt;&gt;"OK","Poste à corriger",IF(AND(E1683&lt;&gt;"",OR(NOT(ISNUMBER(E1683)),N(E1683)&lt;0)),"Réglage invalide",IF(AND(F1683&lt;&gt;"",OR(NOT(ISNUMBER(F1683)),N(F1683)&lt;0)),"Temps par pièce invalide",IF(N(E1683)+N(F1683)=0,"Temps manquant",IF(AND(G1683&lt;&gt;"",OR(NOT(ISNUMBER(G1683)),N(G1683)&lt;=0)),"Opérateurs invalide","OK"))))))))))</f>
        <v/>
      </c>
      <c r="N1683" s="71" t="str">
        <f>IF(AND(fiche_sel&lt;&gt;"",A1683=fiche_sel),COUNTIF(A$6:A1683,fiche_sel),"")</f>
        <v/>
      </c>
    </row>
    <row r="1684">
      <c r="A1684" s="60" t="n"/>
      <c r="B1684" s="73" t="n"/>
      <c r="C1684" s="60" t="n"/>
      <c r="D1684" s="61" t="n"/>
      <c r="E1684" s="74" t="n"/>
      <c r="F1684" s="74" t="n"/>
      <c r="G1684" s="73" t="n"/>
      <c r="H1684" s="66" t="str">
        <f>IF(M1684&lt;&gt;"OK","",INDEX(po_mo,MATCH(D1684,po_code,0)))</f>
        <v/>
      </c>
      <c r="I1684" s="66" t="str">
        <f>IF(M1684&lt;&gt;"OK","",INDEX(po_mac,MATCH(D1684,po_code,0)))</f>
        <v/>
      </c>
      <c r="J1684" s="66" t="str">
        <f>IF(M1684&lt;&gt;"OK","",N(E1684)*(H1684*IF(G1684="",1,G1684)+I1684))</f>
        <v/>
      </c>
      <c r="K1684" s="66" t="str">
        <f>IF(M1684&lt;&gt;"OK","",N(F1684)/60*H1684*IF(G1684="",1,G1684))</f>
        <v/>
      </c>
      <c r="L1684" s="66" t="str">
        <f>IF(M1684&lt;&gt;"OK","",N(F1684)/60*I1684)</f>
        <v/>
      </c>
      <c r="M1684" s="69" t="str">
        <f>IF(AND(A1684="",D1684=""),"",IF(A1684="","Produit manquant",IF(COUNTIF(prod_ref,A1684)=0,"Produit inconnu",IF(D1684="","Poste manquant",IF(ISNA(MATCH(D1684,po_code,0)),"Poste inconnu",IF(INDEX(po_check,MATCH(D1684,po_code,0))&lt;&gt;"OK","Poste à corriger",IF(AND(E1684&lt;&gt;"",OR(NOT(ISNUMBER(E1684)),N(E1684)&lt;0)),"Réglage invalide",IF(AND(F1684&lt;&gt;"",OR(NOT(ISNUMBER(F1684)),N(F1684)&lt;0)),"Temps par pièce invalide",IF(N(E1684)+N(F1684)=0,"Temps manquant",IF(AND(G1684&lt;&gt;"",OR(NOT(ISNUMBER(G1684)),N(G1684)&lt;=0)),"Opérateurs invalide","OK"))))))))))</f>
        <v/>
      </c>
      <c r="N1684" s="71" t="str">
        <f>IF(AND(fiche_sel&lt;&gt;"",A1684=fiche_sel),COUNTIF(A$6:A1684,fiche_sel),"")</f>
        <v/>
      </c>
    </row>
    <row r="1685">
      <c r="A1685" s="60" t="n"/>
      <c r="B1685" s="73" t="n"/>
      <c r="C1685" s="60" t="n"/>
      <c r="D1685" s="61" t="n"/>
      <c r="E1685" s="74" t="n"/>
      <c r="F1685" s="74" t="n"/>
      <c r="G1685" s="73" t="n"/>
      <c r="H1685" s="66" t="str">
        <f>IF(M1685&lt;&gt;"OK","",INDEX(po_mo,MATCH(D1685,po_code,0)))</f>
        <v/>
      </c>
      <c r="I1685" s="66" t="str">
        <f>IF(M1685&lt;&gt;"OK","",INDEX(po_mac,MATCH(D1685,po_code,0)))</f>
        <v/>
      </c>
      <c r="J1685" s="66" t="str">
        <f>IF(M1685&lt;&gt;"OK","",N(E1685)*(H1685*IF(G1685="",1,G1685)+I1685))</f>
        <v/>
      </c>
      <c r="K1685" s="66" t="str">
        <f>IF(M1685&lt;&gt;"OK","",N(F1685)/60*H1685*IF(G1685="",1,G1685))</f>
        <v/>
      </c>
      <c r="L1685" s="66" t="str">
        <f>IF(M1685&lt;&gt;"OK","",N(F1685)/60*I1685)</f>
        <v/>
      </c>
      <c r="M1685" s="69" t="str">
        <f>IF(AND(A1685="",D1685=""),"",IF(A1685="","Produit manquant",IF(COUNTIF(prod_ref,A1685)=0,"Produit inconnu",IF(D1685="","Poste manquant",IF(ISNA(MATCH(D1685,po_code,0)),"Poste inconnu",IF(INDEX(po_check,MATCH(D1685,po_code,0))&lt;&gt;"OK","Poste à corriger",IF(AND(E1685&lt;&gt;"",OR(NOT(ISNUMBER(E1685)),N(E1685)&lt;0)),"Réglage invalide",IF(AND(F1685&lt;&gt;"",OR(NOT(ISNUMBER(F1685)),N(F1685)&lt;0)),"Temps par pièce invalide",IF(N(E1685)+N(F1685)=0,"Temps manquant",IF(AND(G1685&lt;&gt;"",OR(NOT(ISNUMBER(G1685)),N(G1685)&lt;=0)),"Opérateurs invalide","OK"))))))))))</f>
        <v/>
      </c>
      <c r="N1685" s="71" t="str">
        <f>IF(AND(fiche_sel&lt;&gt;"",A1685=fiche_sel),COUNTIF(A$6:A1685,fiche_sel),"")</f>
        <v/>
      </c>
    </row>
    <row r="1686">
      <c r="A1686" s="60" t="n"/>
      <c r="B1686" s="73" t="n"/>
      <c r="C1686" s="60" t="n"/>
      <c r="D1686" s="61" t="n"/>
      <c r="E1686" s="74" t="n"/>
      <c r="F1686" s="74" t="n"/>
      <c r="G1686" s="73" t="n"/>
      <c r="H1686" s="66" t="str">
        <f>IF(M1686&lt;&gt;"OK","",INDEX(po_mo,MATCH(D1686,po_code,0)))</f>
        <v/>
      </c>
      <c r="I1686" s="66" t="str">
        <f>IF(M1686&lt;&gt;"OK","",INDEX(po_mac,MATCH(D1686,po_code,0)))</f>
        <v/>
      </c>
      <c r="J1686" s="66" t="str">
        <f>IF(M1686&lt;&gt;"OK","",N(E1686)*(H1686*IF(G1686="",1,G1686)+I1686))</f>
        <v/>
      </c>
      <c r="K1686" s="66" t="str">
        <f>IF(M1686&lt;&gt;"OK","",N(F1686)/60*H1686*IF(G1686="",1,G1686))</f>
        <v/>
      </c>
      <c r="L1686" s="66" t="str">
        <f>IF(M1686&lt;&gt;"OK","",N(F1686)/60*I1686)</f>
        <v/>
      </c>
      <c r="M1686" s="69" t="str">
        <f>IF(AND(A1686="",D1686=""),"",IF(A1686="","Produit manquant",IF(COUNTIF(prod_ref,A1686)=0,"Produit inconnu",IF(D1686="","Poste manquant",IF(ISNA(MATCH(D1686,po_code,0)),"Poste inconnu",IF(INDEX(po_check,MATCH(D1686,po_code,0))&lt;&gt;"OK","Poste à corriger",IF(AND(E1686&lt;&gt;"",OR(NOT(ISNUMBER(E1686)),N(E1686)&lt;0)),"Réglage invalide",IF(AND(F1686&lt;&gt;"",OR(NOT(ISNUMBER(F1686)),N(F1686)&lt;0)),"Temps par pièce invalide",IF(N(E1686)+N(F1686)=0,"Temps manquant",IF(AND(G1686&lt;&gt;"",OR(NOT(ISNUMBER(G1686)),N(G1686)&lt;=0)),"Opérateurs invalide","OK"))))))))))</f>
        <v/>
      </c>
      <c r="N1686" s="71" t="str">
        <f>IF(AND(fiche_sel&lt;&gt;"",A1686=fiche_sel),COUNTIF(A$6:A1686,fiche_sel),"")</f>
        <v/>
      </c>
    </row>
    <row r="1687">
      <c r="A1687" s="60" t="n"/>
      <c r="B1687" s="73" t="n"/>
      <c r="C1687" s="60" t="n"/>
      <c r="D1687" s="61" t="n"/>
      <c r="E1687" s="74" t="n"/>
      <c r="F1687" s="74" t="n"/>
      <c r="G1687" s="73" t="n"/>
      <c r="H1687" s="66" t="str">
        <f>IF(M1687&lt;&gt;"OK","",INDEX(po_mo,MATCH(D1687,po_code,0)))</f>
        <v/>
      </c>
      <c r="I1687" s="66" t="str">
        <f>IF(M1687&lt;&gt;"OK","",INDEX(po_mac,MATCH(D1687,po_code,0)))</f>
        <v/>
      </c>
      <c r="J1687" s="66" t="str">
        <f>IF(M1687&lt;&gt;"OK","",N(E1687)*(H1687*IF(G1687="",1,G1687)+I1687))</f>
        <v/>
      </c>
      <c r="K1687" s="66" t="str">
        <f>IF(M1687&lt;&gt;"OK","",N(F1687)/60*H1687*IF(G1687="",1,G1687))</f>
        <v/>
      </c>
      <c r="L1687" s="66" t="str">
        <f>IF(M1687&lt;&gt;"OK","",N(F1687)/60*I1687)</f>
        <v/>
      </c>
      <c r="M1687" s="69" t="str">
        <f>IF(AND(A1687="",D1687=""),"",IF(A1687="","Produit manquant",IF(COUNTIF(prod_ref,A1687)=0,"Produit inconnu",IF(D1687="","Poste manquant",IF(ISNA(MATCH(D1687,po_code,0)),"Poste inconnu",IF(INDEX(po_check,MATCH(D1687,po_code,0))&lt;&gt;"OK","Poste à corriger",IF(AND(E1687&lt;&gt;"",OR(NOT(ISNUMBER(E1687)),N(E1687)&lt;0)),"Réglage invalide",IF(AND(F1687&lt;&gt;"",OR(NOT(ISNUMBER(F1687)),N(F1687)&lt;0)),"Temps par pièce invalide",IF(N(E1687)+N(F1687)=0,"Temps manquant",IF(AND(G1687&lt;&gt;"",OR(NOT(ISNUMBER(G1687)),N(G1687)&lt;=0)),"Opérateurs invalide","OK"))))))))))</f>
        <v/>
      </c>
      <c r="N1687" s="71" t="str">
        <f>IF(AND(fiche_sel&lt;&gt;"",A1687=fiche_sel),COUNTIF(A$6:A1687,fiche_sel),"")</f>
        <v/>
      </c>
    </row>
    <row r="1688">
      <c r="A1688" s="60" t="n"/>
      <c r="B1688" s="73" t="n"/>
      <c r="C1688" s="60" t="n"/>
      <c r="D1688" s="61" t="n"/>
      <c r="E1688" s="74" t="n"/>
      <c r="F1688" s="74" t="n"/>
      <c r="G1688" s="73" t="n"/>
      <c r="H1688" s="66" t="str">
        <f>IF(M1688&lt;&gt;"OK","",INDEX(po_mo,MATCH(D1688,po_code,0)))</f>
        <v/>
      </c>
      <c r="I1688" s="66" t="str">
        <f>IF(M1688&lt;&gt;"OK","",INDEX(po_mac,MATCH(D1688,po_code,0)))</f>
        <v/>
      </c>
      <c r="J1688" s="66" t="str">
        <f>IF(M1688&lt;&gt;"OK","",N(E1688)*(H1688*IF(G1688="",1,G1688)+I1688))</f>
        <v/>
      </c>
      <c r="K1688" s="66" t="str">
        <f>IF(M1688&lt;&gt;"OK","",N(F1688)/60*H1688*IF(G1688="",1,G1688))</f>
        <v/>
      </c>
      <c r="L1688" s="66" t="str">
        <f>IF(M1688&lt;&gt;"OK","",N(F1688)/60*I1688)</f>
        <v/>
      </c>
      <c r="M1688" s="69" t="str">
        <f>IF(AND(A1688="",D1688=""),"",IF(A1688="","Produit manquant",IF(COUNTIF(prod_ref,A1688)=0,"Produit inconnu",IF(D1688="","Poste manquant",IF(ISNA(MATCH(D1688,po_code,0)),"Poste inconnu",IF(INDEX(po_check,MATCH(D1688,po_code,0))&lt;&gt;"OK","Poste à corriger",IF(AND(E1688&lt;&gt;"",OR(NOT(ISNUMBER(E1688)),N(E1688)&lt;0)),"Réglage invalide",IF(AND(F1688&lt;&gt;"",OR(NOT(ISNUMBER(F1688)),N(F1688)&lt;0)),"Temps par pièce invalide",IF(N(E1688)+N(F1688)=0,"Temps manquant",IF(AND(G1688&lt;&gt;"",OR(NOT(ISNUMBER(G1688)),N(G1688)&lt;=0)),"Opérateurs invalide","OK"))))))))))</f>
        <v/>
      </c>
      <c r="N1688" s="71" t="str">
        <f>IF(AND(fiche_sel&lt;&gt;"",A1688=fiche_sel),COUNTIF(A$6:A1688,fiche_sel),"")</f>
        <v/>
      </c>
    </row>
    <row r="1689">
      <c r="A1689" s="60" t="n"/>
      <c r="B1689" s="73" t="n"/>
      <c r="C1689" s="60" t="n"/>
      <c r="D1689" s="61" t="n"/>
      <c r="E1689" s="74" t="n"/>
      <c r="F1689" s="74" t="n"/>
      <c r="G1689" s="73" t="n"/>
      <c r="H1689" s="66" t="str">
        <f>IF(M1689&lt;&gt;"OK","",INDEX(po_mo,MATCH(D1689,po_code,0)))</f>
        <v/>
      </c>
      <c r="I1689" s="66" t="str">
        <f>IF(M1689&lt;&gt;"OK","",INDEX(po_mac,MATCH(D1689,po_code,0)))</f>
        <v/>
      </c>
      <c r="J1689" s="66" t="str">
        <f>IF(M1689&lt;&gt;"OK","",N(E1689)*(H1689*IF(G1689="",1,G1689)+I1689))</f>
        <v/>
      </c>
      <c r="K1689" s="66" t="str">
        <f>IF(M1689&lt;&gt;"OK","",N(F1689)/60*H1689*IF(G1689="",1,G1689))</f>
        <v/>
      </c>
      <c r="L1689" s="66" t="str">
        <f>IF(M1689&lt;&gt;"OK","",N(F1689)/60*I1689)</f>
        <v/>
      </c>
      <c r="M1689" s="69" t="str">
        <f>IF(AND(A1689="",D1689=""),"",IF(A1689="","Produit manquant",IF(COUNTIF(prod_ref,A1689)=0,"Produit inconnu",IF(D1689="","Poste manquant",IF(ISNA(MATCH(D1689,po_code,0)),"Poste inconnu",IF(INDEX(po_check,MATCH(D1689,po_code,0))&lt;&gt;"OK","Poste à corriger",IF(AND(E1689&lt;&gt;"",OR(NOT(ISNUMBER(E1689)),N(E1689)&lt;0)),"Réglage invalide",IF(AND(F1689&lt;&gt;"",OR(NOT(ISNUMBER(F1689)),N(F1689)&lt;0)),"Temps par pièce invalide",IF(N(E1689)+N(F1689)=0,"Temps manquant",IF(AND(G1689&lt;&gt;"",OR(NOT(ISNUMBER(G1689)),N(G1689)&lt;=0)),"Opérateurs invalide","OK"))))))))))</f>
        <v/>
      </c>
      <c r="N1689" s="71" t="str">
        <f>IF(AND(fiche_sel&lt;&gt;"",A1689=fiche_sel),COUNTIF(A$6:A1689,fiche_sel),"")</f>
        <v/>
      </c>
    </row>
    <row r="1690">
      <c r="A1690" s="60" t="n"/>
      <c r="B1690" s="73" t="n"/>
      <c r="C1690" s="60" t="n"/>
      <c r="D1690" s="61" t="n"/>
      <c r="E1690" s="74" t="n"/>
      <c r="F1690" s="74" t="n"/>
      <c r="G1690" s="73" t="n"/>
      <c r="H1690" s="66" t="str">
        <f>IF(M1690&lt;&gt;"OK","",INDEX(po_mo,MATCH(D1690,po_code,0)))</f>
        <v/>
      </c>
      <c r="I1690" s="66" t="str">
        <f>IF(M1690&lt;&gt;"OK","",INDEX(po_mac,MATCH(D1690,po_code,0)))</f>
        <v/>
      </c>
      <c r="J1690" s="66" t="str">
        <f>IF(M1690&lt;&gt;"OK","",N(E1690)*(H1690*IF(G1690="",1,G1690)+I1690))</f>
        <v/>
      </c>
      <c r="K1690" s="66" t="str">
        <f>IF(M1690&lt;&gt;"OK","",N(F1690)/60*H1690*IF(G1690="",1,G1690))</f>
        <v/>
      </c>
      <c r="L1690" s="66" t="str">
        <f>IF(M1690&lt;&gt;"OK","",N(F1690)/60*I1690)</f>
        <v/>
      </c>
      <c r="M1690" s="69" t="str">
        <f>IF(AND(A1690="",D1690=""),"",IF(A1690="","Produit manquant",IF(COUNTIF(prod_ref,A1690)=0,"Produit inconnu",IF(D1690="","Poste manquant",IF(ISNA(MATCH(D1690,po_code,0)),"Poste inconnu",IF(INDEX(po_check,MATCH(D1690,po_code,0))&lt;&gt;"OK","Poste à corriger",IF(AND(E1690&lt;&gt;"",OR(NOT(ISNUMBER(E1690)),N(E1690)&lt;0)),"Réglage invalide",IF(AND(F1690&lt;&gt;"",OR(NOT(ISNUMBER(F1690)),N(F1690)&lt;0)),"Temps par pièce invalide",IF(N(E1690)+N(F1690)=0,"Temps manquant",IF(AND(G1690&lt;&gt;"",OR(NOT(ISNUMBER(G1690)),N(G1690)&lt;=0)),"Opérateurs invalide","OK"))))))))))</f>
        <v/>
      </c>
      <c r="N1690" s="71" t="str">
        <f>IF(AND(fiche_sel&lt;&gt;"",A1690=fiche_sel),COUNTIF(A$6:A1690,fiche_sel),"")</f>
        <v/>
      </c>
    </row>
    <row r="1691">
      <c r="A1691" s="60" t="n"/>
      <c r="B1691" s="73" t="n"/>
      <c r="C1691" s="60" t="n"/>
      <c r="D1691" s="61" t="n"/>
      <c r="E1691" s="74" t="n"/>
      <c r="F1691" s="74" t="n"/>
      <c r="G1691" s="73" t="n"/>
      <c r="H1691" s="66" t="str">
        <f>IF(M1691&lt;&gt;"OK","",INDEX(po_mo,MATCH(D1691,po_code,0)))</f>
        <v/>
      </c>
      <c r="I1691" s="66" t="str">
        <f>IF(M1691&lt;&gt;"OK","",INDEX(po_mac,MATCH(D1691,po_code,0)))</f>
        <v/>
      </c>
      <c r="J1691" s="66" t="str">
        <f>IF(M1691&lt;&gt;"OK","",N(E1691)*(H1691*IF(G1691="",1,G1691)+I1691))</f>
        <v/>
      </c>
      <c r="K1691" s="66" t="str">
        <f>IF(M1691&lt;&gt;"OK","",N(F1691)/60*H1691*IF(G1691="",1,G1691))</f>
        <v/>
      </c>
      <c r="L1691" s="66" t="str">
        <f>IF(M1691&lt;&gt;"OK","",N(F1691)/60*I1691)</f>
        <v/>
      </c>
      <c r="M1691" s="69" t="str">
        <f>IF(AND(A1691="",D1691=""),"",IF(A1691="","Produit manquant",IF(COUNTIF(prod_ref,A1691)=0,"Produit inconnu",IF(D1691="","Poste manquant",IF(ISNA(MATCH(D1691,po_code,0)),"Poste inconnu",IF(INDEX(po_check,MATCH(D1691,po_code,0))&lt;&gt;"OK","Poste à corriger",IF(AND(E1691&lt;&gt;"",OR(NOT(ISNUMBER(E1691)),N(E1691)&lt;0)),"Réglage invalide",IF(AND(F1691&lt;&gt;"",OR(NOT(ISNUMBER(F1691)),N(F1691)&lt;0)),"Temps par pièce invalide",IF(N(E1691)+N(F1691)=0,"Temps manquant",IF(AND(G1691&lt;&gt;"",OR(NOT(ISNUMBER(G1691)),N(G1691)&lt;=0)),"Opérateurs invalide","OK"))))))))))</f>
        <v/>
      </c>
      <c r="N1691" s="71" t="str">
        <f>IF(AND(fiche_sel&lt;&gt;"",A1691=fiche_sel),COUNTIF(A$6:A1691,fiche_sel),"")</f>
        <v/>
      </c>
    </row>
    <row r="1692">
      <c r="A1692" s="60" t="n"/>
      <c r="B1692" s="73" t="n"/>
      <c r="C1692" s="60" t="n"/>
      <c r="D1692" s="61" t="n"/>
      <c r="E1692" s="74" t="n"/>
      <c r="F1692" s="74" t="n"/>
      <c r="G1692" s="73" t="n"/>
      <c r="H1692" s="66" t="str">
        <f>IF(M1692&lt;&gt;"OK","",INDEX(po_mo,MATCH(D1692,po_code,0)))</f>
        <v/>
      </c>
      <c r="I1692" s="66" t="str">
        <f>IF(M1692&lt;&gt;"OK","",INDEX(po_mac,MATCH(D1692,po_code,0)))</f>
        <v/>
      </c>
      <c r="J1692" s="66" t="str">
        <f>IF(M1692&lt;&gt;"OK","",N(E1692)*(H1692*IF(G1692="",1,G1692)+I1692))</f>
        <v/>
      </c>
      <c r="K1692" s="66" t="str">
        <f>IF(M1692&lt;&gt;"OK","",N(F1692)/60*H1692*IF(G1692="",1,G1692))</f>
        <v/>
      </c>
      <c r="L1692" s="66" t="str">
        <f>IF(M1692&lt;&gt;"OK","",N(F1692)/60*I1692)</f>
        <v/>
      </c>
      <c r="M1692" s="69" t="str">
        <f>IF(AND(A1692="",D1692=""),"",IF(A1692="","Produit manquant",IF(COUNTIF(prod_ref,A1692)=0,"Produit inconnu",IF(D1692="","Poste manquant",IF(ISNA(MATCH(D1692,po_code,0)),"Poste inconnu",IF(INDEX(po_check,MATCH(D1692,po_code,0))&lt;&gt;"OK","Poste à corriger",IF(AND(E1692&lt;&gt;"",OR(NOT(ISNUMBER(E1692)),N(E1692)&lt;0)),"Réglage invalide",IF(AND(F1692&lt;&gt;"",OR(NOT(ISNUMBER(F1692)),N(F1692)&lt;0)),"Temps par pièce invalide",IF(N(E1692)+N(F1692)=0,"Temps manquant",IF(AND(G1692&lt;&gt;"",OR(NOT(ISNUMBER(G1692)),N(G1692)&lt;=0)),"Opérateurs invalide","OK"))))))))))</f>
        <v/>
      </c>
      <c r="N1692" s="71" t="str">
        <f>IF(AND(fiche_sel&lt;&gt;"",A1692=fiche_sel),COUNTIF(A$6:A1692,fiche_sel),"")</f>
        <v/>
      </c>
    </row>
    <row r="1693">
      <c r="A1693" s="60" t="n"/>
      <c r="B1693" s="73" t="n"/>
      <c r="C1693" s="60" t="n"/>
      <c r="D1693" s="61" t="n"/>
      <c r="E1693" s="74" t="n"/>
      <c r="F1693" s="74" t="n"/>
      <c r="G1693" s="73" t="n"/>
      <c r="H1693" s="66" t="str">
        <f>IF(M1693&lt;&gt;"OK","",INDEX(po_mo,MATCH(D1693,po_code,0)))</f>
        <v/>
      </c>
      <c r="I1693" s="66" t="str">
        <f>IF(M1693&lt;&gt;"OK","",INDEX(po_mac,MATCH(D1693,po_code,0)))</f>
        <v/>
      </c>
      <c r="J1693" s="66" t="str">
        <f>IF(M1693&lt;&gt;"OK","",N(E1693)*(H1693*IF(G1693="",1,G1693)+I1693))</f>
        <v/>
      </c>
      <c r="K1693" s="66" t="str">
        <f>IF(M1693&lt;&gt;"OK","",N(F1693)/60*H1693*IF(G1693="",1,G1693))</f>
        <v/>
      </c>
      <c r="L1693" s="66" t="str">
        <f>IF(M1693&lt;&gt;"OK","",N(F1693)/60*I1693)</f>
        <v/>
      </c>
      <c r="M1693" s="69" t="str">
        <f>IF(AND(A1693="",D1693=""),"",IF(A1693="","Produit manquant",IF(COUNTIF(prod_ref,A1693)=0,"Produit inconnu",IF(D1693="","Poste manquant",IF(ISNA(MATCH(D1693,po_code,0)),"Poste inconnu",IF(INDEX(po_check,MATCH(D1693,po_code,0))&lt;&gt;"OK","Poste à corriger",IF(AND(E1693&lt;&gt;"",OR(NOT(ISNUMBER(E1693)),N(E1693)&lt;0)),"Réglage invalide",IF(AND(F1693&lt;&gt;"",OR(NOT(ISNUMBER(F1693)),N(F1693)&lt;0)),"Temps par pièce invalide",IF(N(E1693)+N(F1693)=0,"Temps manquant",IF(AND(G1693&lt;&gt;"",OR(NOT(ISNUMBER(G1693)),N(G1693)&lt;=0)),"Opérateurs invalide","OK"))))))))))</f>
        <v/>
      </c>
      <c r="N1693" s="71" t="str">
        <f>IF(AND(fiche_sel&lt;&gt;"",A1693=fiche_sel),COUNTIF(A$6:A1693,fiche_sel),"")</f>
        <v/>
      </c>
    </row>
    <row r="1694">
      <c r="A1694" s="60" t="n"/>
      <c r="B1694" s="73" t="n"/>
      <c r="C1694" s="60" t="n"/>
      <c r="D1694" s="61" t="n"/>
      <c r="E1694" s="74" t="n"/>
      <c r="F1694" s="74" t="n"/>
      <c r="G1694" s="73" t="n"/>
      <c r="H1694" s="66" t="str">
        <f>IF(M1694&lt;&gt;"OK","",INDEX(po_mo,MATCH(D1694,po_code,0)))</f>
        <v/>
      </c>
      <c r="I1694" s="66" t="str">
        <f>IF(M1694&lt;&gt;"OK","",INDEX(po_mac,MATCH(D1694,po_code,0)))</f>
        <v/>
      </c>
      <c r="J1694" s="66" t="str">
        <f>IF(M1694&lt;&gt;"OK","",N(E1694)*(H1694*IF(G1694="",1,G1694)+I1694))</f>
        <v/>
      </c>
      <c r="K1694" s="66" t="str">
        <f>IF(M1694&lt;&gt;"OK","",N(F1694)/60*H1694*IF(G1694="",1,G1694))</f>
        <v/>
      </c>
      <c r="L1694" s="66" t="str">
        <f>IF(M1694&lt;&gt;"OK","",N(F1694)/60*I1694)</f>
        <v/>
      </c>
      <c r="M1694" s="69" t="str">
        <f>IF(AND(A1694="",D1694=""),"",IF(A1694="","Produit manquant",IF(COUNTIF(prod_ref,A1694)=0,"Produit inconnu",IF(D1694="","Poste manquant",IF(ISNA(MATCH(D1694,po_code,0)),"Poste inconnu",IF(INDEX(po_check,MATCH(D1694,po_code,0))&lt;&gt;"OK","Poste à corriger",IF(AND(E1694&lt;&gt;"",OR(NOT(ISNUMBER(E1694)),N(E1694)&lt;0)),"Réglage invalide",IF(AND(F1694&lt;&gt;"",OR(NOT(ISNUMBER(F1694)),N(F1694)&lt;0)),"Temps par pièce invalide",IF(N(E1694)+N(F1694)=0,"Temps manquant",IF(AND(G1694&lt;&gt;"",OR(NOT(ISNUMBER(G1694)),N(G1694)&lt;=0)),"Opérateurs invalide","OK"))))))))))</f>
        <v/>
      </c>
      <c r="N1694" s="71" t="str">
        <f>IF(AND(fiche_sel&lt;&gt;"",A1694=fiche_sel),COUNTIF(A$6:A1694,fiche_sel),"")</f>
        <v/>
      </c>
    </row>
    <row r="1695">
      <c r="A1695" s="60" t="n"/>
      <c r="B1695" s="73" t="n"/>
      <c r="C1695" s="60" t="n"/>
      <c r="D1695" s="61" t="n"/>
      <c r="E1695" s="74" t="n"/>
      <c r="F1695" s="74" t="n"/>
      <c r="G1695" s="73" t="n"/>
      <c r="H1695" s="66" t="str">
        <f>IF(M1695&lt;&gt;"OK","",INDEX(po_mo,MATCH(D1695,po_code,0)))</f>
        <v/>
      </c>
      <c r="I1695" s="66" t="str">
        <f>IF(M1695&lt;&gt;"OK","",INDEX(po_mac,MATCH(D1695,po_code,0)))</f>
        <v/>
      </c>
      <c r="J1695" s="66" t="str">
        <f>IF(M1695&lt;&gt;"OK","",N(E1695)*(H1695*IF(G1695="",1,G1695)+I1695))</f>
        <v/>
      </c>
      <c r="K1695" s="66" t="str">
        <f>IF(M1695&lt;&gt;"OK","",N(F1695)/60*H1695*IF(G1695="",1,G1695))</f>
        <v/>
      </c>
      <c r="L1695" s="66" t="str">
        <f>IF(M1695&lt;&gt;"OK","",N(F1695)/60*I1695)</f>
        <v/>
      </c>
      <c r="M1695" s="69" t="str">
        <f>IF(AND(A1695="",D1695=""),"",IF(A1695="","Produit manquant",IF(COUNTIF(prod_ref,A1695)=0,"Produit inconnu",IF(D1695="","Poste manquant",IF(ISNA(MATCH(D1695,po_code,0)),"Poste inconnu",IF(INDEX(po_check,MATCH(D1695,po_code,0))&lt;&gt;"OK","Poste à corriger",IF(AND(E1695&lt;&gt;"",OR(NOT(ISNUMBER(E1695)),N(E1695)&lt;0)),"Réglage invalide",IF(AND(F1695&lt;&gt;"",OR(NOT(ISNUMBER(F1695)),N(F1695)&lt;0)),"Temps par pièce invalide",IF(N(E1695)+N(F1695)=0,"Temps manquant",IF(AND(G1695&lt;&gt;"",OR(NOT(ISNUMBER(G1695)),N(G1695)&lt;=0)),"Opérateurs invalide","OK"))))))))))</f>
        <v/>
      </c>
      <c r="N1695" s="71" t="str">
        <f>IF(AND(fiche_sel&lt;&gt;"",A1695=fiche_sel),COUNTIF(A$6:A1695,fiche_sel),"")</f>
        <v/>
      </c>
    </row>
    <row r="1696">
      <c r="A1696" s="60" t="n"/>
      <c r="B1696" s="73" t="n"/>
      <c r="C1696" s="60" t="n"/>
      <c r="D1696" s="61" t="n"/>
      <c r="E1696" s="74" t="n"/>
      <c r="F1696" s="74" t="n"/>
      <c r="G1696" s="73" t="n"/>
      <c r="H1696" s="66" t="str">
        <f>IF(M1696&lt;&gt;"OK","",INDEX(po_mo,MATCH(D1696,po_code,0)))</f>
        <v/>
      </c>
      <c r="I1696" s="66" t="str">
        <f>IF(M1696&lt;&gt;"OK","",INDEX(po_mac,MATCH(D1696,po_code,0)))</f>
        <v/>
      </c>
      <c r="J1696" s="66" t="str">
        <f>IF(M1696&lt;&gt;"OK","",N(E1696)*(H1696*IF(G1696="",1,G1696)+I1696))</f>
        <v/>
      </c>
      <c r="K1696" s="66" t="str">
        <f>IF(M1696&lt;&gt;"OK","",N(F1696)/60*H1696*IF(G1696="",1,G1696))</f>
        <v/>
      </c>
      <c r="L1696" s="66" t="str">
        <f>IF(M1696&lt;&gt;"OK","",N(F1696)/60*I1696)</f>
        <v/>
      </c>
      <c r="M1696" s="69" t="str">
        <f>IF(AND(A1696="",D1696=""),"",IF(A1696="","Produit manquant",IF(COUNTIF(prod_ref,A1696)=0,"Produit inconnu",IF(D1696="","Poste manquant",IF(ISNA(MATCH(D1696,po_code,0)),"Poste inconnu",IF(INDEX(po_check,MATCH(D1696,po_code,0))&lt;&gt;"OK","Poste à corriger",IF(AND(E1696&lt;&gt;"",OR(NOT(ISNUMBER(E1696)),N(E1696)&lt;0)),"Réglage invalide",IF(AND(F1696&lt;&gt;"",OR(NOT(ISNUMBER(F1696)),N(F1696)&lt;0)),"Temps par pièce invalide",IF(N(E1696)+N(F1696)=0,"Temps manquant",IF(AND(G1696&lt;&gt;"",OR(NOT(ISNUMBER(G1696)),N(G1696)&lt;=0)),"Opérateurs invalide","OK"))))))))))</f>
        <v/>
      </c>
      <c r="N1696" s="71" t="str">
        <f>IF(AND(fiche_sel&lt;&gt;"",A1696=fiche_sel),COUNTIF(A$6:A1696,fiche_sel),"")</f>
        <v/>
      </c>
    </row>
    <row r="1697">
      <c r="A1697" s="60" t="n"/>
      <c r="B1697" s="73" t="n"/>
      <c r="C1697" s="60" t="n"/>
      <c r="D1697" s="61" t="n"/>
      <c r="E1697" s="74" t="n"/>
      <c r="F1697" s="74" t="n"/>
      <c r="G1697" s="73" t="n"/>
      <c r="H1697" s="66" t="str">
        <f>IF(M1697&lt;&gt;"OK","",INDEX(po_mo,MATCH(D1697,po_code,0)))</f>
        <v/>
      </c>
      <c r="I1697" s="66" t="str">
        <f>IF(M1697&lt;&gt;"OK","",INDEX(po_mac,MATCH(D1697,po_code,0)))</f>
        <v/>
      </c>
      <c r="J1697" s="66" t="str">
        <f>IF(M1697&lt;&gt;"OK","",N(E1697)*(H1697*IF(G1697="",1,G1697)+I1697))</f>
        <v/>
      </c>
      <c r="K1697" s="66" t="str">
        <f>IF(M1697&lt;&gt;"OK","",N(F1697)/60*H1697*IF(G1697="",1,G1697))</f>
        <v/>
      </c>
      <c r="L1697" s="66" t="str">
        <f>IF(M1697&lt;&gt;"OK","",N(F1697)/60*I1697)</f>
        <v/>
      </c>
      <c r="M1697" s="69" t="str">
        <f>IF(AND(A1697="",D1697=""),"",IF(A1697="","Produit manquant",IF(COUNTIF(prod_ref,A1697)=0,"Produit inconnu",IF(D1697="","Poste manquant",IF(ISNA(MATCH(D1697,po_code,0)),"Poste inconnu",IF(INDEX(po_check,MATCH(D1697,po_code,0))&lt;&gt;"OK","Poste à corriger",IF(AND(E1697&lt;&gt;"",OR(NOT(ISNUMBER(E1697)),N(E1697)&lt;0)),"Réglage invalide",IF(AND(F1697&lt;&gt;"",OR(NOT(ISNUMBER(F1697)),N(F1697)&lt;0)),"Temps par pièce invalide",IF(N(E1697)+N(F1697)=0,"Temps manquant",IF(AND(G1697&lt;&gt;"",OR(NOT(ISNUMBER(G1697)),N(G1697)&lt;=0)),"Opérateurs invalide","OK"))))))))))</f>
        <v/>
      </c>
      <c r="N1697" s="71" t="str">
        <f>IF(AND(fiche_sel&lt;&gt;"",A1697=fiche_sel),COUNTIF(A$6:A1697,fiche_sel),"")</f>
        <v/>
      </c>
    </row>
    <row r="1698">
      <c r="A1698" s="60" t="n"/>
      <c r="B1698" s="73" t="n"/>
      <c r="C1698" s="60" t="n"/>
      <c r="D1698" s="61" t="n"/>
      <c r="E1698" s="74" t="n"/>
      <c r="F1698" s="74" t="n"/>
      <c r="G1698" s="73" t="n"/>
      <c r="H1698" s="66" t="str">
        <f>IF(M1698&lt;&gt;"OK","",INDEX(po_mo,MATCH(D1698,po_code,0)))</f>
        <v/>
      </c>
      <c r="I1698" s="66" t="str">
        <f>IF(M1698&lt;&gt;"OK","",INDEX(po_mac,MATCH(D1698,po_code,0)))</f>
        <v/>
      </c>
      <c r="J1698" s="66" t="str">
        <f>IF(M1698&lt;&gt;"OK","",N(E1698)*(H1698*IF(G1698="",1,G1698)+I1698))</f>
        <v/>
      </c>
      <c r="K1698" s="66" t="str">
        <f>IF(M1698&lt;&gt;"OK","",N(F1698)/60*H1698*IF(G1698="",1,G1698))</f>
        <v/>
      </c>
      <c r="L1698" s="66" t="str">
        <f>IF(M1698&lt;&gt;"OK","",N(F1698)/60*I1698)</f>
        <v/>
      </c>
      <c r="M1698" s="69" t="str">
        <f>IF(AND(A1698="",D1698=""),"",IF(A1698="","Produit manquant",IF(COUNTIF(prod_ref,A1698)=0,"Produit inconnu",IF(D1698="","Poste manquant",IF(ISNA(MATCH(D1698,po_code,0)),"Poste inconnu",IF(INDEX(po_check,MATCH(D1698,po_code,0))&lt;&gt;"OK","Poste à corriger",IF(AND(E1698&lt;&gt;"",OR(NOT(ISNUMBER(E1698)),N(E1698)&lt;0)),"Réglage invalide",IF(AND(F1698&lt;&gt;"",OR(NOT(ISNUMBER(F1698)),N(F1698)&lt;0)),"Temps par pièce invalide",IF(N(E1698)+N(F1698)=0,"Temps manquant",IF(AND(G1698&lt;&gt;"",OR(NOT(ISNUMBER(G1698)),N(G1698)&lt;=0)),"Opérateurs invalide","OK"))))))))))</f>
        <v/>
      </c>
      <c r="N1698" s="71" t="str">
        <f>IF(AND(fiche_sel&lt;&gt;"",A1698=fiche_sel),COUNTIF(A$6:A1698,fiche_sel),"")</f>
        <v/>
      </c>
    </row>
    <row r="1699">
      <c r="A1699" s="60" t="n"/>
      <c r="B1699" s="73" t="n"/>
      <c r="C1699" s="60" t="n"/>
      <c r="D1699" s="61" t="n"/>
      <c r="E1699" s="74" t="n"/>
      <c r="F1699" s="74" t="n"/>
      <c r="G1699" s="73" t="n"/>
      <c r="H1699" s="66" t="str">
        <f>IF(M1699&lt;&gt;"OK","",INDEX(po_mo,MATCH(D1699,po_code,0)))</f>
        <v/>
      </c>
      <c r="I1699" s="66" t="str">
        <f>IF(M1699&lt;&gt;"OK","",INDEX(po_mac,MATCH(D1699,po_code,0)))</f>
        <v/>
      </c>
      <c r="J1699" s="66" t="str">
        <f>IF(M1699&lt;&gt;"OK","",N(E1699)*(H1699*IF(G1699="",1,G1699)+I1699))</f>
        <v/>
      </c>
      <c r="K1699" s="66" t="str">
        <f>IF(M1699&lt;&gt;"OK","",N(F1699)/60*H1699*IF(G1699="",1,G1699))</f>
        <v/>
      </c>
      <c r="L1699" s="66" t="str">
        <f>IF(M1699&lt;&gt;"OK","",N(F1699)/60*I1699)</f>
        <v/>
      </c>
      <c r="M1699" s="69" t="str">
        <f>IF(AND(A1699="",D1699=""),"",IF(A1699="","Produit manquant",IF(COUNTIF(prod_ref,A1699)=0,"Produit inconnu",IF(D1699="","Poste manquant",IF(ISNA(MATCH(D1699,po_code,0)),"Poste inconnu",IF(INDEX(po_check,MATCH(D1699,po_code,0))&lt;&gt;"OK","Poste à corriger",IF(AND(E1699&lt;&gt;"",OR(NOT(ISNUMBER(E1699)),N(E1699)&lt;0)),"Réglage invalide",IF(AND(F1699&lt;&gt;"",OR(NOT(ISNUMBER(F1699)),N(F1699)&lt;0)),"Temps par pièce invalide",IF(N(E1699)+N(F1699)=0,"Temps manquant",IF(AND(G1699&lt;&gt;"",OR(NOT(ISNUMBER(G1699)),N(G1699)&lt;=0)),"Opérateurs invalide","OK"))))))))))</f>
        <v/>
      </c>
      <c r="N1699" s="71" t="str">
        <f>IF(AND(fiche_sel&lt;&gt;"",A1699=fiche_sel),COUNTIF(A$6:A1699,fiche_sel),"")</f>
        <v/>
      </c>
    </row>
    <row r="1700">
      <c r="A1700" s="60" t="n"/>
      <c r="B1700" s="73" t="n"/>
      <c r="C1700" s="60" t="n"/>
      <c r="D1700" s="61" t="n"/>
      <c r="E1700" s="74" t="n"/>
      <c r="F1700" s="74" t="n"/>
      <c r="G1700" s="73" t="n"/>
      <c r="H1700" s="66" t="str">
        <f>IF(M1700&lt;&gt;"OK","",INDEX(po_mo,MATCH(D1700,po_code,0)))</f>
        <v/>
      </c>
      <c r="I1700" s="66" t="str">
        <f>IF(M1700&lt;&gt;"OK","",INDEX(po_mac,MATCH(D1700,po_code,0)))</f>
        <v/>
      </c>
      <c r="J1700" s="66" t="str">
        <f>IF(M1700&lt;&gt;"OK","",N(E1700)*(H1700*IF(G1700="",1,G1700)+I1700))</f>
        <v/>
      </c>
      <c r="K1700" s="66" t="str">
        <f>IF(M1700&lt;&gt;"OK","",N(F1700)/60*H1700*IF(G1700="",1,G1700))</f>
        <v/>
      </c>
      <c r="L1700" s="66" t="str">
        <f>IF(M1700&lt;&gt;"OK","",N(F1700)/60*I1700)</f>
        <v/>
      </c>
      <c r="M1700" s="69" t="str">
        <f>IF(AND(A1700="",D1700=""),"",IF(A1700="","Produit manquant",IF(COUNTIF(prod_ref,A1700)=0,"Produit inconnu",IF(D1700="","Poste manquant",IF(ISNA(MATCH(D1700,po_code,0)),"Poste inconnu",IF(INDEX(po_check,MATCH(D1700,po_code,0))&lt;&gt;"OK","Poste à corriger",IF(AND(E1700&lt;&gt;"",OR(NOT(ISNUMBER(E1700)),N(E1700)&lt;0)),"Réglage invalide",IF(AND(F1700&lt;&gt;"",OR(NOT(ISNUMBER(F1700)),N(F1700)&lt;0)),"Temps par pièce invalide",IF(N(E1700)+N(F1700)=0,"Temps manquant",IF(AND(G1700&lt;&gt;"",OR(NOT(ISNUMBER(G1700)),N(G1700)&lt;=0)),"Opérateurs invalide","OK"))))))))))</f>
        <v/>
      </c>
      <c r="N1700" s="71" t="str">
        <f>IF(AND(fiche_sel&lt;&gt;"",A1700=fiche_sel),COUNTIF(A$6:A1700,fiche_sel),"")</f>
        <v/>
      </c>
    </row>
    <row r="1701">
      <c r="A1701" s="60" t="n"/>
      <c r="B1701" s="73" t="n"/>
      <c r="C1701" s="60" t="n"/>
      <c r="D1701" s="61" t="n"/>
      <c r="E1701" s="74" t="n"/>
      <c r="F1701" s="74" t="n"/>
      <c r="G1701" s="73" t="n"/>
      <c r="H1701" s="66" t="str">
        <f>IF(M1701&lt;&gt;"OK","",INDEX(po_mo,MATCH(D1701,po_code,0)))</f>
        <v/>
      </c>
      <c r="I1701" s="66" t="str">
        <f>IF(M1701&lt;&gt;"OK","",INDEX(po_mac,MATCH(D1701,po_code,0)))</f>
        <v/>
      </c>
      <c r="J1701" s="66" t="str">
        <f>IF(M1701&lt;&gt;"OK","",N(E1701)*(H1701*IF(G1701="",1,G1701)+I1701))</f>
        <v/>
      </c>
      <c r="K1701" s="66" t="str">
        <f>IF(M1701&lt;&gt;"OK","",N(F1701)/60*H1701*IF(G1701="",1,G1701))</f>
        <v/>
      </c>
      <c r="L1701" s="66" t="str">
        <f>IF(M1701&lt;&gt;"OK","",N(F1701)/60*I1701)</f>
        <v/>
      </c>
      <c r="M1701" s="69" t="str">
        <f>IF(AND(A1701="",D1701=""),"",IF(A1701="","Produit manquant",IF(COUNTIF(prod_ref,A1701)=0,"Produit inconnu",IF(D1701="","Poste manquant",IF(ISNA(MATCH(D1701,po_code,0)),"Poste inconnu",IF(INDEX(po_check,MATCH(D1701,po_code,0))&lt;&gt;"OK","Poste à corriger",IF(AND(E1701&lt;&gt;"",OR(NOT(ISNUMBER(E1701)),N(E1701)&lt;0)),"Réglage invalide",IF(AND(F1701&lt;&gt;"",OR(NOT(ISNUMBER(F1701)),N(F1701)&lt;0)),"Temps par pièce invalide",IF(N(E1701)+N(F1701)=0,"Temps manquant",IF(AND(G1701&lt;&gt;"",OR(NOT(ISNUMBER(G1701)),N(G1701)&lt;=0)),"Opérateurs invalide","OK"))))))))))</f>
        <v/>
      </c>
      <c r="N1701" s="71" t="str">
        <f>IF(AND(fiche_sel&lt;&gt;"",A1701=fiche_sel),COUNTIF(A$6:A1701,fiche_sel),"")</f>
        <v/>
      </c>
    </row>
    <row r="1702">
      <c r="A1702" s="60" t="n"/>
      <c r="B1702" s="73" t="n"/>
      <c r="C1702" s="60" t="n"/>
      <c r="D1702" s="61" t="n"/>
      <c r="E1702" s="74" t="n"/>
      <c r="F1702" s="74" t="n"/>
      <c r="G1702" s="73" t="n"/>
      <c r="H1702" s="66" t="str">
        <f>IF(M1702&lt;&gt;"OK","",INDEX(po_mo,MATCH(D1702,po_code,0)))</f>
        <v/>
      </c>
      <c r="I1702" s="66" t="str">
        <f>IF(M1702&lt;&gt;"OK","",INDEX(po_mac,MATCH(D1702,po_code,0)))</f>
        <v/>
      </c>
      <c r="J1702" s="66" t="str">
        <f>IF(M1702&lt;&gt;"OK","",N(E1702)*(H1702*IF(G1702="",1,G1702)+I1702))</f>
        <v/>
      </c>
      <c r="K1702" s="66" t="str">
        <f>IF(M1702&lt;&gt;"OK","",N(F1702)/60*H1702*IF(G1702="",1,G1702))</f>
        <v/>
      </c>
      <c r="L1702" s="66" t="str">
        <f>IF(M1702&lt;&gt;"OK","",N(F1702)/60*I1702)</f>
        <v/>
      </c>
      <c r="M1702" s="69" t="str">
        <f>IF(AND(A1702="",D1702=""),"",IF(A1702="","Produit manquant",IF(COUNTIF(prod_ref,A1702)=0,"Produit inconnu",IF(D1702="","Poste manquant",IF(ISNA(MATCH(D1702,po_code,0)),"Poste inconnu",IF(INDEX(po_check,MATCH(D1702,po_code,0))&lt;&gt;"OK","Poste à corriger",IF(AND(E1702&lt;&gt;"",OR(NOT(ISNUMBER(E1702)),N(E1702)&lt;0)),"Réglage invalide",IF(AND(F1702&lt;&gt;"",OR(NOT(ISNUMBER(F1702)),N(F1702)&lt;0)),"Temps par pièce invalide",IF(N(E1702)+N(F1702)=0,"Temps manquant",IF(AND(G1702&lt;&gt;"",OR(NOT(ISNUMBER(G1702)),N(G1702)&lt;=0)),"Opérateurs invalide","OK"))))))))))</f>
        <v/>
      </c>
      <c r="N1702" s="71" t="str">
        <f>IF(AND(fiche_sel&lt;&gt;"",A1702=fiche_sel),COUNTIF(A$6:A1702,fiche_sel),"")</f>
        <v/>
      </c>
    </row>
    <row r="1703">
      <c r="A1703" s="60" t="n"/>
      <c r="B1703" s="73" t="n"/>
      <c r="C1703" s="60" t="n"/>
      <c r="D1703" s="61" t="n"/>
      <c r="E1703" s="74" t="n"/>
      <c r="F1703" s="74" t="n"/>
      <c r="G1703" s="73" t="n"/>
      <c r="H1703" s="66" t="str">
        <f>IF(M1703&lt;&gt;"OK","",INDEX(po_mo,MATCH(D1703,po_code,0)))</f>
        <v/>
      </c>
      <c r="I1703" s="66" t="str">
        <f>IF(M1703&lt;&gt;"OK","",INDEX(po_mac,MATCH(D1703,po_code,0)))</f>
        <v/>
      </c>
      <c r="J1703" s="66" t="str">
        <f>IF(M1703&lt;&gt;"OK","",N(E1703)*(H1703*IF(G1703="",1,G1703)+I1703))</f>
        <v/>
      </c>
      <c r="K1703" s="66" t="str">
        <f>IF(M1703&lt;&gt;"OK","",N(F1703)/60*H1703*IF(G1703="",1,G1703))</f>
        <v/>
      </c>
      <c r="L1703" s="66" t="str">
        <f>IF(M1703&lt;&gt;"OK","",N(F1703)/60*I1703)</f>
        <v/>
      </c>
      <c r="M1703" s="69" t="str">
        <f>IF(AND(A1703="",D1703=""),"",IF(A1703="","Produit manquant",IF(COUNTIF(prod_ref,A1703)=0,"Produit inconnu",IF(D1703="","Poste manquant",IF(ISNA(MATCH(D1703,po_code,0)),"Poste inconnu",IF(INDEX(po_check,MATCH(D1703,po_code,0))&lt;&gt;"OK","Poste à corriger",IF(AND(E1703&lt;&gt;"",OR(NOT(ISNUMBER(E1703)),N(E1703)&lt;0)),"Réglage invalide",IF(AND(F1703&lt;&gt;"",OR(NOT(ISNUMBER(F1703)),N(F1703)&lt;0)),"Temps par pièce invalide",IF(N(E1703)+N(F1703)=0,"Temps manquant",IF(AND(G1703&lt;&gt;"",OR(NOT(ISNUMBER(G1703)),N(G1703)&lt;=0)),"Opérateurs invalide","OK"))))))))))</f>
        <v/>
      </c>
      <c r="N1703" s="71" t="str">
        <f>IF(AND(fiche_sel&lt;&gt;"",A1703=fiche_sel),COUNTIF(A$6:A1703,fiche_sel),"")</f>
        <v/>
      </c>
    </row>
    <row r="1704">
      <c r="A1704" s="60" t="n"/>
      <c r="B1704" s="73" t="n"/>
      <c r="C1704" s="60" t="n"/>
      <c r="D1704" s="61" t="n"/>
      <c r="E1704" s="74" t="n"/>
      <c r="F1704" s="74" t="n"/>
      <c r="G1704" s="73" t="n"/>
      <c r="H1704" s="66" t="str">
        <f>IF(M1704&lt;&gt;"OK","",INDEX(po_mo,MATCH(D1704,po_code,0)))</f>
        <v/>
      </c>
      <c r="I1704" s="66" t="str">
        <f>IF(M1704&lt;&gt;"OK","",INDEX(po_mac,MATCH(D1704,po_code,0)))</f>
        <v/>
      </c>
      <c r="J1704" s="66" t="str">
        <f>IF(M1704&lt;&gt;"OK","",N(E1704)*(H1704*IF(G1704="",1,G1704)+I1704))</f>
        <v/>
      </c>
      <c r="K1704" s="66" t="str">
        <f>IF(M1704&lt;&gt;"OK","",N(F1704)/60*H1704*IF(G1704="",1,G1704))</f>
        <v/>
      </c>
      <c r="L1704" s="66" t="str">
        <f>IF(M1704&lt;&gt;"OK","",N(F1704)/60*I1704)</f>
        <v/>
      </c>
      <c r="M1704" s="69" t="str">
        <f>IF(AND(A1704="",D1704=""),"",IF(A1704="","Produit manquant",IF(COUNTIF(prod_ref,A1704)=0,"Produit inconnu",IF(D1704="","Poste manquant",IF(ISNA(MATCH(D1704,po_code,0)),"Poste inconnu",IF(INDEX(po_check,MATCH(D1704,po_code,0))&lt;&gt;"OK","Poste à corriger",IF(AND(E1704&lt;&gt;"",OR(NOT(ISNUMBER(E1704)),N(E1704)&lt;0)),"Réglage invalide",IF(AND(F1704&lt;&gt;"",OR(NOT(ISNUMBER(F1704)),N(F1704)&lt;0)),"Temps par pièce invalide",IF(N(E1704)+N(F1704)=0,"Temps manquant",IF(AND(G1704&lt;&gt;"",OR(NOT(ISNUMBER(G1704)),N(G1704)&lt;=0)),"Opérateurs invalide","OK"))))))))))</f>
        <v/>
      </c>
      <c r="N1704" s="71" t="str">
        <f>IF(AND(fiche_sel&lt;&gt;"",A1704=fiche_sel),COUNTIF(A$6:A1704,fiche_sel),"")</f>
        <v/>
      </c>
    </row>
    <row r="1705">
      <c r="A1705" s="60" t="n"/>
      <c r="B1705" s="73" t="n"/>
      <c r="C1705" s="60" t="n"/>
      <c r="D1705" s="61" t="n"/>
      <c r="E1705" s="74" t="n"/>
      <c r="F1705" s="74" t="n"/>
      <c r="G1705" s="73" t="n"/>
      <c r="H1705" s="66" t="str">
        <f>IF(M1705&lt;&gt;"OK","",INDEX(po_mo,MATCH(D1705,po_code,0)))</f>
        <v/>
      </c>
      <c r="I1705" s="66" t="str">
        <f>IF(M1705&lt;&gt;"OK","",INDEX(po_mac,MATCH(D1705,po_code,0)))</f>
        <v/>
      </c>
      <c r="J1705" s="66" t="str">
        <f>IF(M1705&lt;&gt;"OK","",N(E1705)*(H1705*IF(G1705="",1,G1705)+I1705))</f>
        <v/>
      </c>
      <c r="K1705" s="66" t="str">
        <f>IF(M1705&lt;&gt;"OK","",N(F1705)/60*H1705*IF(G1705="",1,G1705))</f>
        <v/>
      </c>
      <c r="L1705" s="66" t="str">
        <f>IF(M1705&lt;&gt;"OK","",N(F1705)/60*I1705)</f>
        <v/>
      </c>
      <c r="M1705" s="69" t="str">
        <f>IF(AND(A1705="",D1705=""),"",IF(A1705="","Produit manquant",IF(COUNTIF(prod_ref,A1705)=0,"Produit inconnu",IF(D1705="","Poste manquant",IF(ISNA(MATCH(D1705,po_code,0)),"Poste inconnu",IF(INDEX(po_check,MATCH(D1705,po_code,0))&lt;&gt;"OK","Poste à corriger",IF(AND(E1705&lt;&gt;"",OR(NOT(ISNUMBER(E1705)),N(E1705)&lt;0)),"Réglage invalide",IF(AND(F1705&lt;&gt;"",OR(NOT(ISNUMBER(F1705)),N(F1705)&lt;0)),"Temps par pièce invalide",IF(N(E1705)+N(F1705)=0,"Temps manquant",IF(AND(G1705&lt;&gt;"",OR(NOT(ISNUMBER(G1705)),N(G1705)&lt;=0)),"Opérateurs invalide","OK"))))))))))</f>
        <v/>
      </c>
      <c r="N1705" s="71" t="str">
        <f>IF(AND(fiche_sel&lt;&gt;"",A1705=fiche_sel),COUNTIF(A$6:A1705,fiche_sel),"")</f>
        <v/>
      </c>
    </row>
    <row r="1706">
      <c r="A1706" s="60" t="n"/>
      <c r="B1706" s="73" t="n"/>
      <c r="C1706" s="60" t="n"/>
      <c r="D1706" s="61" t="n"/>
      <c r="E1706" s="74" t="n"/>
      <c r="F1706" s="74" t="n"/>
      <c r="G1706" s="73" t="n"/>
      <c r="H1706" s="66" t="str">
        <f>IF(M1706&lt;&gt;"OK","",INDEX(po_mo,MATCH(D1706,po_code,0)))</f>
        <v/>
      </c>
      <c r="I1706" s="66" t="str">
        <f>IF(M1706&lt;&gt;"OK","",INDEX(po_mac,MATCH(D1706,po_code,0)))</f>
        <v/>
      </c>
      <c r="J1706" s="66" t="str">
        <f>IF(M1706&lt;&gt;"OK","",N(E1706)*(H1706*IF(G1706="",1,G1706)+I1706))</f>
        <v/>
      </c>
      <c r="K1706" s="66" t="str">
        <f>IF(M1706&lt;&gt;"OK","",N(F1706)/60*H1706*IF(G1706="",1,G1706))</f>
        <v/>
      </c>
      <c r="L1706" s="66" t="str">
        <f>IF(M1706&lt;&gt;"OK","",N(F1706)/60*I1706)</f>
        <v/>
      </c>
      <c r="M1706" s="69" t="str">
        <f>IF(AND(A1706="",D1706=""),"",IF(A1706="","Produit manquant",IF(COUNTIF(prod_ref,A1706)=0,"Produit inconnu",IF(D1706="","Poste manquant",IF(ISNA(MATCH(D1706,po_code,0)),"Poste inconnu",IF(INDEX(po_check,MATCH(D1706,po_code,0))&lt;&gt;"OK","Poste à corriger",IF(AND(E1706&lt;&gt;"",OR(NOT(ISNUMBER(E1706)),N(E1706)&lt;0)),"Réglage invalide",IF(AND(F1706&lt;&gt;"",OR(NOT(ISNUMBER(F1706)),N(F1706)&lt;0)),"Temps par pièce invalide",IF(N(E1706)+N(F1706)=0,"Temps manquant",IF(AND(G1706&lt;&gt;"",OR(NOT(ISNUMBER(G1706)),N(G1706)&lt;=0)),"Opérateurs invalide","OK"))))))))))</f>
        <v/>
      </c>
      <c r="N1706" s="71" t="str">
        <f>IF(AND(fiche_sel&lt;&gt;"",A1706=fiche_sel),COUNTIF(A$6:A1706,fiche_sel),"")</f>
        <v/>
      </c>
    </row>
    <row r="1707">
      <c r="A1707" s="60" t="n"/>
      <c r="B1707" s="73" t="n"/>
      <c r="C1707" s="60" t="n"/>
      <c r="D1707" s="61" t="n"/>
      <c r="E1707" s="74" t="n"/>
      <c r="F1707" s="74" t="n"/>
      <c r="G1707" s="73" t="n"/>
      <c r="H1707" s="66" t="str">
        <f>IF(M1707&lt;&gt;"OK","",INDEX(po_mo,MATCH(D1707,po_code,0)))</f>
        <v/>
      </c>
      <c r="I1707" s="66" t="str">
        <f>IF(M1707&lt;&gt;"OK","",INDEX(po_mac,MATCH(D1707,po_code,0)))</f>
        <v/>
      </c>
      <c r="J1707" s="66" t="str">
        <f>IF(M1707&lt;&gt;"OK","",N(E1707)*(H1707*IF(G1707="",1,G1707)+I1707))</f>
        <v/>
      </c>
      <c r="K1707" s="66" t="str">
        <f>IF(M1707&lt;&gt;"OK","",N(F1707)/60*H1707*IF(G1707="",1,G1707))</f>
        <v/>
      </c>
      <c r="L1707" s="66" t="str">
        <f>IF(M1707&lt;&gt;"OK","",N(F1707)/60*I1707)</f>
        <v/>
      </c>
      <c r="M1707" s="69" t="str">
        <f>IF(AND(A1707="",D1707=""),"",IF(A1707="","Produit manquant",IF(COUNTIF(prod_ref,A1707)=0,"Produit inconnu",IF(D1707="","Poste manquant",IF(ISNA(MATCH(D1707,po_code,0)),"Poste inconnu",IF(INDEX(po_check,MATCH(D1707,po_code,0))&lt;&gt;"OK","Poste à corriger",IF(AND(E1707&lt;&gt;"",OR(NOT(ISNUMBER(E1707)),N(E1707)&lt;0)),"Réglage invalide",IF(AND(F1707&lt;&gt;"",OR(NOT(ISNUMBER(F1707)),N(F1707)&lt;0)),"Temps par pièce invalide",IF(N(E1707)+N(F1707)=0,"Temps manquant",IF(AND(G1707&lt;&gt;"",OR(NOT(ISNUMBER(G1707)),N(G1707)&lt;=0)),"Opérateurs invalide","OK"))))))))))</f>
        <v/>
      </c>
      <c r="N1707" s="71" t="str">
        <f>IF(AND(fiche_sel&lt;&gt;"",A1707=fiche_sel),COUNTIF(A$6:A1707,fiche_sel),"")</f>
        <v/>
      </c>
    </row>
    <row r="1708">
      <c r="A1708" s="60" t="n"/>
      <c r="B1708" s="73" t="n"/>
      <c r="C1708" s="60" t="n"/>
      <c r="D1708" s="61" t="n"/>
      <c r="E1708" s="74" t="n"/>
      <c r="F1708" s="74" t="n"/>
      <c r="G1708" s="73" t="n"/>
      <c r="H1708" s="66" t="str">
        <f>IF(M1708&lt;&gt;"OK","",INDEX(po_mo,MATCH(D1708,po_code,0)))</f>
        <v/>
      </c>
      <c r="I1708" s="66" t="str">
        <f>IF(M1708&lt;&gt;"OK","",INDEX(po_mac,MATCH(D1708,po_code,0)))</f>
        <v/>
      </c>
      <c r="J1708" s="66" t="str">
        <f>IF(M1708&lt;&gt;"OK","",N(E1708)*(H1708*IF(G1708="",1,G1708)+I1708))</f>
        <v/>
      </c>
      <c r="K1708" s="66" t="str">
        <f>IF(M1708&lt;&gt;"OK","",N(F1708)/60*H1708*IF(G1708="",1,G1708))</f>
        <v/>
      </c>
      <c r="L1708" s="66" t="str">
        <f>IF(M1708&lt;&gt;"OK","",N(F1708)/60*I1708)</f>
        <v/>
      </c>
      <c r="M1708" s="69" t="str">
        <f>IF(AND(A1708="",D1708=""),"",IF(A1708="","Produit manquant",IF(COUNTIF(prod_ref,A1708)=0,"Produit inconnu",IF(D1708="","Poste manquant",IF(ISNA(MATCH(D1708,po_code,0)),"Poste inconnu",IF(INDEX(po_check,MATCH(D1708,po_code,0))&lt;&gt;"OK","Poste à corriger",IF(AND(E1708&lt;&gt;"",OR(NOT(ISNUMBER(E1708)),N(E1708)&lt;0)),"Réglage invalide",IF(AND(F1708&lt;&gt;"",OR(NOT(ISNUMBER(F1708)),N(F1708)&lt;0)),"Temps par pièce invalide",IF(N(E1708)+N(F1708)=0,"Temps manquant",IF(AND(G1708&lt;&gt;"",OR(NOT(ISNUMBER(G1708)),N(G1708)&lt;=0)),"Opérateurs invalide","OK"))))))))))</f>
        <v/>
      </c>
      <c r="N1708" s="71" t="str">
        <f>IF(AND(fiche_sel&lt;&gt;"",A1708=fiche_sel),COUNTIF(A$6:A1708,fiche_sel),"")</f>
        <v/>
      </c>
    </row>
    <row r="1709">
      <c r="A1709" s="60" t="n"/>
      <c r="B1709" s="73" t="n"/>
      <c r="C1709" s="60" t="n"/>
      <c r="D1709" s="61" t="n"/>
      <c r="E1709" s="74" t="n"/>
      <c r="F1709" s="74" t="n"/>
      <c r="G1709" s="73" t="n"/>
      <c r="H1709" s="66" t="str">
        <f>IF(M1709&lt;&gt;"OK","",INDEX(po_mo,MATCH(D1709,po_code,0)))</f>
        <v/>
      </c>
      <c r="I1709" s="66" t="str">
        <f>IF(M1709&lt;&gt;"OK","",INDEX(po_mac,MATCH(D1709,po_code,0)))</f>
        <v/>
      </c>
      <c r="J1709" s="66" t="str">
        <f>IF(M1709&lt;&gt;"OK","",N(E1709)*(H1709*IF(G1709="",1,G1709)+I1709))</f>
        <v/>
      </c>
      <c r="K1709" s="66" t="str">
        <f>IF(M1709&lt;&gt;"OK","",N(F1709)/60*H1709*IF(G1709="",1,G1709))</f>
        <v/>
      </c>
      <c r="L1709" s="66" t="str">
        <f>IF(M1709&lt;&gt;"OK","",N(F1709)/60*I1709)</f>
        <v/>
      </c>
      <c r="M1709" s="69" t="str">
        <f>IF(AND(A1709="",D1709=""),"",IF(A1709="","Produit manquant",IF(COUNTIF(prod_ref,A1709)=0,"Produit inconnu",IF(D1709="","Poste manquant",IF(ISNA(MATCH(D1709,po_code,0)),"Poste inconnu",IF(INDEX(po_check,MATCH(D1709,po_code,0))&lt;&gt;"OK","Poste à corriger",IF(AND(E1709&lt;&gt;"",OR(NOT(ISNUMBER(E1709)),N(E1709)&lt;0)),"Réglage invalide",IF(AND(F1709&lt;&gt;"",OR(NOT(ISNUMBER(F1709)),N(F1709)&lt;0)),"Temps par pièce invalide",IF(N(E1709)+N(F1709)=0,"Temps manquant",IF(AND(G1709&lt;&gt;"",OR(NOT(ISNUMBER(G1709)),N(G1709)&lt;=0)),"Opérateurs invalide","OK"))))))))))</f>
        <v/>
      </c>
      <c r="N1709" s="71" t="str">
        <f>IF(AND(fiche_sel&lt;&gt;"",A1709=fiche_sel),COUNTIF(A$6:A1709,fiche_sel),"")</f>
        <v/>
      </c>
    </row>
    <row r="1710">
      <c r="A1710" s="60" t="n"/>
      <c r="B1710" s="73" t="n"/>
      <c r="C1710" s="60" t="n"/>
      <c r="D1710" s="61" t="n"/>
      <c r="E1710" s="74" t="n"/>
      <c r="F1710" s="74" t="n"/>
      <c r="G1710" s="73" t="n"/>
      <c r="H1710" s="66" t="str">
        <f>IF(M1710&lt;&gt;"OK","",INDEX(po_mo,MATCH(D1710,po_code,0)))</f>
        <v/>
      </c>
      <c r="I1710" s="66" t="str">
        <f>IF(M1710&lt;&gt;"OK","",INDEX(po_mac,MATCH(D1710,po_code,0)))</f>
        <v/>
      </c>
      <c r="J1710" s="66" t="str">
        <f>IF(M1710&lt;&gt;"OK","",N(E1710)*(H1710*IF(G1710="",1,G1710)+I1710))</f>
        <v/>
      </c>
      <c r="K1710" s="66" t="str">
        <f>IF(M1710&lt;&gt;"OK","",N(F1710)/60*H1710*IF(G1710="",1,G1710))</f>
        <v/>
      </c>
      <c r="L1710" s="66" t="str">
        <f>IF(M1710&lt;&gt;"OK","",N(F1710)/60*I1710)</f>
        <v/>
      </c>
      <c r="M1710" s="69" t="str">
        <f>IF(AND(A1710="",D1710=""),"",IF(A1710="","Produit manquant",IF(COUNTIF(prod_ref,A1710)=0,"Produit inconnu",IF(D1710="","Poste manquant",IF(ISNA(MATCH(D1710,po_code,0)),"Poste inconnu",IF(INDEX(po_check,MATCH(D1710,po_code,0))&lt;&gt;"OK","Poste à corriger",IF(AND(E1710&lt;&gt;"",OR(NOT(ISNUMBER(E1710)),N(E1710)&lt;0)),"Réglage invalide",IF(AND(F1710&lt;&gt;"",OR(NOT(ISNUMBER(F1710)),N(F1710)&lt;0)),"Temps par pièce invalide",IF(N(E1710)+N(F1710)=0,"Temps manquant",IF(AND(G1710&lt;&gt;"",OR(NOT(ISNUMBER(G1710)),N(G1710)&lt;=0)),"Opérateurs invalide","OK"))))))))))</f>
        <v/>
      </c>
      <c r="N1710" s="71" t="str">
        <f>IF(AND(fiche_sel&lt;&gt;"",A1710=fiche_sel),COUNTIF(A$6:A1710,fiche_sel),"")</f>
        <v/>
      </c>
    </row>
    <row r="1711">
      <c r="A1711" s="60" t="n"/>
      <c r="B1711" s="73" t="n"/>
      <c r="C1711" s="60" t="n"/>
      <c r="D1711" s="61" t="n"/>
      <c r="E1711" s="74" t="n"/>
      <c r="F1711" s="74" t="n"/>
      <c r="G1711" s="73" t="n"/>
      <c r="H1711" s="66" t="str">
        <f>IF(M1711&lt;&gt;"OK","",INDEX(po_mo,MATCH(D1711,po_code,0)))</f>
        <v/>
      </c>
      <c r="I1711" s="66" t="str">
        <f>IF(M1711&lt;&gt;"OK","",INDEX(po_mac,MATCH(D1711,po_code,0)))</f>
        <v/>
      </c>
      <c r="J1711" s="66" t="str">
        <f>IF(M1711&lt;&gt;"OK","",N(E1711)*(H1711*IF(G1711="",1,G1711)+I1711))</f>
        <v/>
      </c>
      <c r="K1711" s="66" t="str">
        <f>IF(M1711&lt;&gt;"OK","",N(F1711)/60*H1711*IF(G1711="",1,G1711))</f>
        <v/>
      </c>
      <c r="L1711" s="66" t="str">
        <f>IF(M1711&lt;&gt;"OK","",N(F1711)/60*I1711)</f>
        <v/>
      </c>
      <c r="M1711" s="69" t="str">
        <f>IF(AND(A1711="",D1711=""),"",IF(A1711="","Produit manquant",IF(COUNTIF(prod_ref,A1711)=0,"Produit inconnu",IF(D1711="","Poste manquant",IF(ISNA(MATCH(D1711,po_code,0)),"Poste inconnu",IF(INDEX(po_check,MATCH(D1711,po_code,0))&lt;&gt;"OK","Poste à corriger",IF(AND(E1711&lt;&gt;"",OR(NOT(ISNUMBER(E1711)),N(E1711)&lt;0)),"Réglage invalide",IF(AND(F1711&lt;&gt;"",OR(NOT(ISNUMBER(F1711)),N(F1711)&lt;0)),"Temps par pièce invalide",IF(N(E1711)+N(F1711)=0,"Temps manquant",IF(AND(G1711&lt;&gt;"",OR(NOT(ISNUMBER(G1711)),N(G1711)&lt;=0)),"Opérateurs invalide","OK"))))))))))</f>
        <v/>
      </c>
      <c r="N1711" s="71" t="str">
        <f>IF(AND(fiche_sel&lt;&gt;"",A1711=fiche_sel),COUNTIF(A$6:A1711,fiche_sel),"")</f>
        <v/>
      </c>
    </row>
    <row r="1712">
      <c r="A1712" s="60" t="n"/>
      <c r="B1712" s="73" t="n"/>
      <c r="C1712" s="60" t="n"/>
      <c r="D1712" s="61" t="n"/>
      <c r="E1712" s="74" t="n"/>
      <c r="F1712" s="74" t="n"/>
      <c r="G1712" s="73" t="n"/>
      <c r="H1712" s="66" t="str">
        <f>IF(M1712&lt;&gt;"OK","",INDEX(po_mo,MATCH(D1712,po_code,0)))</f>
        <v/>
      </c>
      <c r="I1712" s="66" t="str">
        <f>IF(M1712&lt;&gt;"OK","",INDEX(po_mac,MATCH(D1712,po_code,0)))</f>
        <v/>
      </c>
      <c r="J1712" s="66" t="str">
        <f>IF(M1712&lt;&gt;"OK","",N(E1712)*(H1712*IF(G1712="",1,G1712)+I1712))</f>
        <v/>
      </c>
      <c r="K1712" s="66" t="str">
        <f>IF(M1712&lt;&gt;"OK","",N(F1712)/60*H1712*IF(G1712="",1,G1712))</f>
        <v/>
      </c>
      <c r="L1712" s="66" t="str">
        <f>IF(M1712&lt;&gt;"OK","",N(F1712)/60*I1712)</f>
        <v/>
      </c>
      <c r="M1712" s="69" t="str">
        <f>IF(AND(A1712="",D1712=""),"",IF(A1712="","Produit manquant",IF(COUNTIF(prod_ref,A1712)=0,"Produit inconnu",IF(D1712="","Poste manquant",IF(ISNA(MATCH(D1712,po_code,0)),"Poste inconnu",IF(INDEX(po_check,MATCH(D1712,po_code,0))&lt;&gt;"OK","Poste à corriger",IF(AND(E1712&lt;&gt;"",OR(NOT(ISNUMBER(E1712)),N(E1712)&lt;0)),"Réglage invalide",IF(AND(F1712&lt;&gt;"",OR(NOT(ISNUMBER(F1712)),N(F1712)&lt;0)),"Temps par pièce invalide",IF(N(E1712)+N(F1712)=0,"Temps manquant",IF(AND(G1712&lt;&gt;"",OR(NOT(ISNUMBER(G1712)),N(G1712)&lt;=0)),"Opérateurs invalide","OK"))))))))))</f>
        <v/>
      </c>
      <c r="N1712" s="71" t="str">
        <f>IF(AND(fiche_sel&lt;&gt;"",A1712=fiche_sel),COUNTIF(A$6:A1712,fiche_sel),"")</f>
        <v/>
      </c>
    </row>
    <row r="1713">
      <c r="A1713" s="60" t="n"/>
      <c r="B1713" s="73" t="n"/>
      <c r="C1713" s="60" t="n"/>
      <c r="D1713" s="61" t="n"/>
      <c r="E1713" s="74" t="n"/>
      <c r="F1713" s="74" t="n"/>
      <c r="G1713" s="73" t="n"/>
      <c r="H1713" s="66" t="str">
        <f>IF(M1713&lt;&gt;"OK","",INDEX(po_mo,MATCH(D1713,po_code,0)))</f>
        <v/>
      </c>
      <c r="I1713" s="66" t="str">
        <f>IF(M1713&lt;&gt;"OK","",INDEX(po_mac,MATCH(D1713,po_code,0)))</f>
        <v/>
      </c>
      <c r="J1713" s="66" t="str">
        <f>IF(M1713&lt;&gt;"OK","",N(E1713)*(H1713*IF(G1713="",1,G1713)+I1713))</f>
        <v/>
      </c>
      <c r="K1713" s="66" t="str">
        <f>IF(M1713&lt;&gt;"OK","",N(F1713)/60*H1713*IF(G1713="",1,G1713))</f>
        <v/>
      </c>
      <c r="L1713" s="66" t="str">
        <f>IF(M1713&lt;&gt;"OK","",N(F1713)/60*I1713)</f>
        <v/>
      </c>
      <c r="M1713" s="69" t="str">
        <f>IF(AND(A1713="",D1713=""),"",IF(A1713="","Produit manquant",IF(COUNTIF(prod_ref,A1713)=0,"Produit inconnu",IF(D1713="","Poste manquant",IF(ISNA(MATCH(D1713,po_code,0)),"Poste inconnu",IF(INDEX(po_check,MATCH(D1713,po_code,0))&lt;&gt;"OK","Poste à corriger",IF(AND(E1713&lt;&gt;"",OR(NOT(ISNUMBER(E1713)),N(E1713)&lt;0)),"Réglage invalide",IF(AND(F1713&lt;&gt;"",OR(NOT(ISNUMBER(F1713)),N(F1713)&lt;0)),"Temps par pièce invalide",IF(N(E1713)+N(F1713)=0,"Temps manquant",IF(AND(G1713&lt;&gt;"",OR(NOT(ISNUMBER(G1713)),N(G1713)&lt;=0)),"Opérateurs invalide","OK"))))))))))</f>
        <v/>
      </c>
      <c r="N1713" s="71" t="str">
        <f>IF(AND(fiche_sel&lt;&gt;"",A1713=fiche_sel),COUNTIF(A$6:A1713,fiche_sel),"")</f>
        <v/>
      </c>
    </row>
    <row r="1714">
      <c r="A1714" s="60" t="n"/>
      <c r="B1714" s="73" t="n"/>
      <c r="C1714" s="60" t="n"/>
      <c r="D1714" s="61" t="n"/>
      <c r="E1714" s="74" t="n"/>
      <c r="F1714" s="74" t="n"/>
      <c r="G1714" s="73" t="n"/>
      <c r="H1714" s="66" t="str">
        <f>IF(M1714&lt;&gt;"OK","",INDEX(po_mo,MATCH(D1714,po_code,0)))</f>
        <v/>
      </c>
      <c r="I1714" s="66" t="str">
        <f>IF(M1714&lt;&gt;"OK","",INDEX(po_mac,MATCH(D1714,po_code,0)))</f>
        <v/>
      </c>
      <c r="J1714" s="66" t="str">
        <f>IF(M1714&lt;&gt;"OK","",N(E1714)*(H1714*IF(G1714="",1,G1714)+I1714))</f>
        <v/>
      </c>
      <c r="K1714" s="66" t="str">
        <f>IF(M1714&lt;&gt;"OK","",N(F1714)/60*H1714*IF(G1714="",1,G1714))</f>
        <v/>
      </c>
      <c r="L1714" s="66" t="str">
        <f>IF(M1714&lt;&gt;"OK","",N(F1714)/60*I1714)</f>
        <v/>
      </c>
      <c r="M1714" s="69" t="str">
        <f>IF(AND(A1714="",D1714=""),"",IF(A1714="","Produit manquant",IF(COUNTIF(prod_ref,A1714)=0,"Produit inconnu",IF(D1714="","Poste manquant",IF(ISNA(MATCH(D1714,po_code,0)),"Poste inconnu",IF(INDEX(po_check,MATCH(D1714,po_code,0))&lt;&gt;"OK","Poste à corriger",IF(AND(E1714&lt;&gt;"",OR(NOT(ISNUMBER(E1714)),N(E1714)&lt;0)),"Réglage invalide",IF(AND(F1714&lt;&gt;"",OR(NOT(ISNUMBER(F1714)),N(F1714)&lt;0)),"Temps par pièce invalide",IF(N(E1714)+N(F1714)=0,"Temps manquant",IF(AND(G1714&lt;&gt;"",OR(NOT(ISNUMBER(G1714)),N(G1714)&lt;=0)),"Opérateurs invalide","OK"))))))))))</f>
        <v/>
      </c>
      <c r="N1714" s="71" t="str">
        <f>IF(AND(fiche_sel&lt;&gt;"",A1714=fiche_sel),COUNTIF(A$6:A1714,fiche_sel),"")</f>
        <v/>
      </c>
    </row>
    <row r="1715">
      <c r="A1715" s="60" t="n"/>
      <c r="B1715" s="73" t="n"/>
      <c r="C1715" s="60" t="n"/>
      <c r="D1715" s="61" t="n"/>
      <c r="E1715" s="74" t="n"/>
      <c r="F1715" s="74" t="n"/>
      <c r="G1715" s="73" t="n"/>
      <c r="H1715" s="66" t="str">
        <f>IF(M1715&lt;&gt;"OK","",INDEX(po_mo,MATCH(D1715,po_code,0)))</f>
        <v/>
      </c>
      <c r="I1715" s="66" t="str">
        <f>IF(M1715&lt;&gt;"OK","",INDEX(po_mac,MATCH(D1715,po_code,0)))</f>
        <v/>
      </c>
      <c r="J1715" s="66" t="str">
        <f>IF(M1715&lt;&gt;"OK","",N(E1715)*(H1715*IF(G1715="",1,G1715)+I1715))</f>
        <v/>
      </c>
      <c r="K1715" s="66" t="str">
        <f>IF(M1715&lt;&gt;"OK","",N(F1715)/60*H1715*IF(G1715="",1,G1715))</f>
        <v/>
      </c>
      <c r="L1715" s="66" t="str">
        <f>IF(M1715&lt;&gt;"OK","",N(F1715)/60*I1715)</f>
        <v/>
      </c>
      <c r="M1715" s="69" t="str">
        <f>IF(AND(A1715="",D1715=""),"",IF(A1715="","Produit manquant",IF(COUNTIF(prod_ref,A1715)=0,"Produit inconnu",IF(D1715="","Poste manquant",IF(ISNA(MATCH(D1715,po_code,0)),"Poste inconnu",IF(INDEX(po_check,MATCH(D1715,po_code,0))&lt;&gt;"OK","Poste à corriger",IF(AND(E1715&lt;&gt;"",OR(NOT(ISNUMBER(E1715)),N(E1715)&lt;0)),"Réglage invalide",IF(AND(F1715&lt;&gt;"",OR(NOT(ISNUMBER(F1715)),N(F1715)&lt;0)),"Temps par pièce invalide",IF(N(E1715)+N(F1715)=0,"Temps manquant",IF(AND(G1715&lt;&gt;"",OR(NOT(ISNUMBER(G1715)),N(G1715)&lt;=0)),"Opérateurs invalide","OK"))))))))))</f>
        <v/>
      </c>
      <c r="N1715" s="71" t="str">
        <f>IF(AND(fiche_sel&lt;&gt;"",A1715=fiche_sel),COUNTIF(A$6:A1715,fiche_sel),"")</f>
        <v/>
      </c>
    </row>
    <row r="1716">
      <c r="A1716" s="60" t="n"/>
      <c r="B1716" s="73" t="n"/>
      <c r="C1716" s="60" t="n"/>
      <c r="D1716" s="61" t="n"/>
      <c r="E1716" s="74" t="n"/>
      <c r="F1716" s="74" t="n"/>
      <c r="G1716" s="73" t="n"/>
      <c r="H1716" s="66" t="str">
        <f>IF(M1716&lt;&gt;"OK","",INDEX(po_mo,MATCH(D1716,po_code,0)))</f>
        <v/>
      </c>
      <c r="I1716" s="66" t="str">
        <f>IF(M1716&lt;&gt;"OK","",INDEX(po_mac,MATCH(D1716,po_code,0)))</f>
        <v/>
      </c>
      <c r="J1716" s="66" t="str">
        <f>IF(M1716&lt;&gt;"OK","",N(E1716)*(H1716*IF(G1716="",1,G1716)+I1716))</f>
        <v/>
      </c>
      <c r="K1716" s="66" t="str">
        <f>IF(M1716&lt;&gt;"OK","",N(F1716)/60*H1716*IF(G1716="",1,G1716))</f>
        <v/>
      </c>
      <c r="L1716" s="66" t="str">
        <f>IF(M1716&lt;&gt;"OK","",N(F1716)/60*I1716)</f>
        <v/>
      </c>
      <c r="M1716" s="69" t="str">
        <f>IF(AND(A1716="",D1716=""),"",IF(A1716="","Produit manquant",IF(COUNTIF(prod_ref,A1716)=0,"Produit inconnu",IF(D1716="","Poste manquant",IF(ISNA(MATCH(D1716,po_code,0)),"Poste inconnu",IF(INDEX(po_check,MATCH(D1716,po_code,0))&lt;&gt;"OK","Poste à corriger",IF(AND(E1716&lt;&gt;"",OR(NOT(ISNUMBER(E1716)),N(E1716)&lt;0)),"Réglage invalide",IF(AND(F1716&lt;&gt;"",OR(NOT(ISNUMBER(F1716)),N(F1716)&lt;0)),"Temps par pièce invalide",IF(N(E1716)+N(F1716)=0,"Temps manquant",IF(AND(G1716&lt;&gt;"",OR(NOT(ISNUMBER(G1716)),N(G1716)&lt;=0)),"Opérateurs invalide","OK"))))))))))</f>
        <v/>
      </c>
      <c r="N1716" s="71" t="str">
        <f>IF(AND(fiche_sel&lt;&gt;"",A1716=fiche_sel),COUNTIF(A$6:A1716,fiche_sel),"")</f>
        <v/>
      </c>
    </row>
    <row r="1717">
      <c r="A1717" s="60" t="n"/>
      <c r="B1717" s="73" t="n"/>
      <c r="C1717" s="60" t="n"/>
      <c r="D1717" s="61" t="n"/>
      <c r="E1717" s="74" t="n"/>
      <c r="F1717" s="74" t="n"/>
      <c r="G1717" s="73" t="n"/>
      <c r="H1717" s="66" t="str">
        <f>IF(M1717&lt;&gt;"OK","",INDEX(po_mo,MATCH(D1717,po_code,0)))</f>
        <v/>
      </c>
      <c r="I1717" s="66" t="str">
        <f>IF(M1717&lt;&gt;"OK","",INDEX(po_mac,MATCH(D1717,po_code,0)))</f>
        <v/>
      </c>
      <c r="J1717" s="66" t="str">
        <f>IF(M1717&lt;&gt;"OK","",N(E1717)*(H1717*IF(G1717="",1,G1717)+I1717))</f>
        <v/>
      </c>
      <c r="K1717" s="66" t="str">
        <f>IF(M1717&lt;&gt;"OK","",N(F1717)/60*H1717*IF(G1717="",1,G1717))</f>
        <v/>
      </c>
      <c r="L1717" s="66" t="str">
        <f>IF(M1717&lt;&gt;"OK","",N(F1717)/60*I1717)</f>
        <v/>
      </c>
      <c r="M1717" s="69" t="str">
        <f>IF(AND(A1717="",D1717=""),"",IF(A1717="","Produit manquant",IF(COUNTIF(prod_ref,A1717)=0,"Produit inconnu",IF(D1717="","Poste manquant",IF(ISNA(MATCH(D1717,po_code,0)),"Poste inconnu",IF(INDEX(po_check,MATCH(D1717,po_code,0))&lt;&gt;"OK","Poste à corriger",IF(AND(E1717&lt;&gt;"",OR(NOT(ISNUMBER(E1717)),N(E1717)&lt;0)),"Réglage invalide",IF(AND(F1717&lt;&gt;"",OR(NOT(ISNUMBER(F1717)),N(F1717)&lt;0)),"Temps par pièce invalide",IF(N(E1717)+N(F1717)=0,"Temps manquant",IF(AND(G1717&lt;&gt;"",OR(NOT(ISNUMBER(G1717)),N(G1717)&lt;=0)),"Opérateurs invalide","OK"))))))))))</f>
        <v/>
      </c>
      <c r="N1717" s="71" t="str">
        <f>IF(AND(fiche_sel&lt;&gt;"",A1717=fiche_sel),COUNTIF(A$6:A1717,fiche_sel),"")</f>
        <v/>
      </c>
    </row>
    <row r="1718">
      <c r="A1718" s="60" t="n"/>
      <c r="B1718" s="73" t="n"/>
      <c r="C1718" s="60" t="n"/>
      <c r="D1718" s="61" t="n"/>
      <c r="E1718" s="74" t="n"/>
      <c r="F1718" s="74" t="n"/>
      <c r="G1718" s="73" t="n"/>
      <c r="H1718" s="66" t="str">
        <f>IF(M1718&lt;&gt;"OK","",INDEX(po_mo,MATCH(D1718,po_code,0)))</f>
        <v/>
      </c>
      <c r="I1718" s="66" t="str">
        <f>IF(M1718&lt;&gt;"OK","",INDEX(po_mac,MATCH(D1718,po_code,0)))</f>
        <v/>
      </c>
      <c r="J1718" s="66" t="str">
        <f>IF(M1718&lt;&gt;"OK","",N(E1718)*(H1718*IF(G1718="",1,G1718)+I1718))</f>
        <v/>
      </c>
      <c r="K1718" s="66" t="str">
        <f>IF(M1718&lt;&gt;"OK","",N(F1718)/60*H1718*IF(G1718="",1,G1718))</f>
        <v/>
      </c>
      <c r="L1718" s="66" t="str">
        <f>IF(M1718&lt;&gt;"OK","",N(F1718)/60*I1718)</f>
        <v/>
      </c>
      <c r="M1718" s="69" t="str">
        <f>IF(AND(A1718="",D1718=""),"",IF(A1718="","Produit manquant",IF(COUNTIF(prod_ref,A1718)=0,"Produit inconnu",IF(D1718="","Poste manquant",IF(ISNA(MATCH(D1718,po_code,0)),"Poste inconnu",IF(INDEX(po_check,MATCH(D1718,po_code,0))&lt;&gt;"OK","Poste à corriger",IF(AND(E1718&lt;&gt;"",OR(NOT(ISNUMBER(E1718)),N(E1718)&lt;0)),"Réglage invalide",IF(AND(F1718&lt;&gt;"",OR(NOT(ISNUMBER(F1718)),N(F1718)&lt;0)),"Temps par pièce invalide",IF(N(E1718)+N(F1718)=0,"Temps manquant",IF(AND(G1718&lt;&gt;"",OR(NOT(ISNUMBER(G1718)),N(G1718)&lt;=0)),"Opérateurs invalide","OK"))))))))))</f>
        <v/>
      </c>
      <c r="N1718" s="71" t="str">
        <f>IF(AND(fiche_sel&lt;&gt;"",A1718=fiche_sel),COUNTIF(A$6:A1718,fiche_sel),"")</f>
        <v/>
      </c>
    </row>
    <row r="1719">
      <c r="A1719" s="60" t="n"/>
      <c r="B1719" s="73" t="n"/>
      <c r="C1719" s="60" t="n"/>
      <c r="D1719" s="61" t="n"/>
      <c r="E1719" s="74" t="n"/>
      <c r="F1719" s="74" t="n"/>
      <c r="G1719" s="73" t="n"/>
      <c r="H1719" s="66" t="str">
        <f>IF(M1719&lt;&gt;"OK","",INDEX(po_mo,MATCH(D1719,po_code,0)))</f>
        <v/>
      </c>
      <c r="I1719" s="66" t="str">
        <f>IF(M1719&lt;&gt;"OK","",INDEX(po_mac,MATCH(D1719,po_code,0)))</f>
        <v/>
      </c>
      <c r="J1719" s="66" t="str">
        <f>IF(M1719&lt;&gt;"OK","",N(E1719)*(H1719*IF(G1719="",1,G1719)+I1719))</f>
        <v/>
      </c>
      <c r="K1719" s="66" t="str">
        <f>IF(M1719&lt;&gt;"OK","",N(F1719)/60*H1719*IF(G1719="",1,G1719))</f>
        <v/>
      </c>
      <c r="L1719" s="66" t="str">
        <f>IF(M1719&lt;&gt;"OK","",N(F1719)/60*I1719)</f>
        <v/>
      </c>
      <c r="M1719" s="69" t="str">
        <f>IF(AND(A1719="",D1719=""),"",IF(A1719="","Produit manquant",IF(COUNTIF(prod_ref,A1719)=0,"Produit inconnu",IF(D1719="","Poste manquant",IF(ISNA(MATCH(D1719,po_code,0)),"Poste inconnu",IF(INDEX(po_check,MATCH(D1719,po_code,0))&lt;&gt;"OK","Poste à corriger",IF(AND(E1719&lt;&gt;"",OR(NOT(ISNUMBER(E1719)),N(E1719)&lt;0)),"Réglage invalide",IF(AND(F1719&lt;&gt;"",OR(NOT(ISNUMBER(F1719)),N(F1719)&lt;0)),"Temps par pièce invalide",IF(N(E1719)+N(F1719)=0,"Temps manquant",IF(AND(G1719&lt;&gt;"",OR(NOT(ISNUMBER(G1719)),N(G1719)&lt;=0)),"Opérateurs invalide","OK"))))))))))</f>
        <v/>
      </c>
      <c r="N1719" s="71" t="str">
        <f>IF(AND(fiche_sel&lt;&gt;"",A1719=fiche_sel),COUNTIF(A$6:A1719,fiche_sel),"")</f>
        <v/>
      </c>
    </row>
    <row r="1720">
      <c r="A1720" s="60" t="n"/>
      <c r="B1720" s="73" t="n"/>
      <c r="C1720" s="60" t="n"/>
      <c r="D1720" s="61" t="n"/>
      <c r="E1720" s="74" t="n"/>
      <c r="F1720" s="74" t="n"/>
      <c r="G1720" s="73" t="n"/>
      <c r="H1720" s="66" t="str">
        <f>IF(M1720&lt;&gt;"OK","",INDEX(po_mo,MATCH(D1720,po_code,0)))</f>
        <v/>
      </c>
      <c r="I1720" s="66" t="str">
        <f>IF(M1720&lt;&gt;"OK","",INDEX(po_mac,MATCH(D1720,po_code,0)))</f>
        <v/>
      </c>
      <c r="J1720" s="66" t="str">
        <f>IF(M1720&lt;&gt;"OK","",N(E1720)*(H1720*IF(G1720="",1,G1720)+I1720))</f>
        <v/>
      </c>
      <c r="K1720" s="66" t="str">
        <f>IF(M1720&lt;&gt;"OK","",N(F1720)/60*H1720*IF(G1720="",1,G1720))</f>
        <v/>
      </c>
      <c r="L1720" s="66" t="str">
        <f>IF(M1720&lt;&gt;"OK","",N(F1720)/60*I1720)</f>
        <v/>
      </c>
      <c r="M1720" s="69" t="str">
        <f>IF(AND(A1720="",D1720=""),"",IF(A1720="","Produit manquant",IF(COUNTIF(prod_ref,A1720)=0,"Produit inconnu",IF(D1720="","Poste manquant",IF(ISNA(MATCH(D1720,po_code,0)),"Poste inconnu",IF(INDEX(po_check,MATCH(D1720,po_code,0))&lt;&gt;"OK","Poste à corriger",IF(AND(E1720&lt;&gt;"",OR(NOT(ISNUMBER(E1720)),N(E1720)&lt;0)),"Réglage invalide",IF(AND(F1720&lt;&gt;"",OR(NOT(ISNUMBER(F1720)),N(F1720)&lt;0)),"Temps par pièce invalide",IF(N(E1720)+N(F1720)=0,"Temps manquant",IF(AND(G1720&lt;&gt;"",OR(NOT(ISNUMBER(G1720)),N(G1720)&lt;=0)),"Opérateurs invalide","OK"))))))))))</f>
        <v/>
      </c>
      <c r="N1720" s="71" t="str">
        <f>IF(AND(fiche_sel&lt;&gt;"",A1720=fiche_sel),COUNTIF(A$6:A1720,fiche_sel),"")</f>
        <v/>
      </c>
    </row>
    <row r="1721">
      <c r="A1721" s="60" t="n"/>
      <c r="B1721" s="73" t="n"/>
      <c r="C1721" s="60" t="n"/>
      <c r="D1721" s="61" t="n"/>
      <c r="E1721" s="74" t="n"/>
      <c r="F1721" s="74" t="n"/>
      <c r="G1721" s="73" t="n"/>
      <c r="H1721" s="66" t="str">
        <f>IF(M1721&lt;&gt;"OK","",INDEX(po_mo,MATCH(D1721,po_code,0)))</f>
        <v/>
      </c>
      <c r="I1721" s="66" t="str">
        <f>IF(M1721&lt;&gt;"OK","",INDEX(po_mac,MATCH(D1721,po_code,0)))</f>
        <v/>
      </c>
      <c r="J1721" s="66" t="str">
        <f>IF(M1721&lt;&gt;"OK","",N(E1721)*(H1721*IF(G1721="",1,G1721)+I1721))</f>
        <v/>
      </c>
      <c r="K1721" s="66" t="str">
        <f>IF(M1721&lt;&gt;"OK","",N(F1721)/60*H1721*IF(G1721="",1,G1721))</f>
        <v/>
      </c>
      <c r="L1721" s="66" t="str">
        <f>IF(M1721&lt;&gt;"OK","",N(F1721)/60*I1721)</f>
        <v/>
      </c>
      <c r="M1721" s="69" t="str">
        <f>IF(AND(A1721="",D1721=""),"",IF(A1721="","Produit manquant",IF(COUNTIF(prod_ref,A1721)=0,"Produit inconnu",IF(D1721="","Poste manquant",IF(ISNA(MATCH(D1721,po_code,0)),"Poste inconnu",IF(INDEX(po_check,MATCH(D1721,po_code,0))&lt;&gt;"OK","Poste à corriger",IF(AND(E1721&lt;&gt;"",OR(NOT(ISNUMBER(E1721)),N(E1721)&lt;0)),"Réglage invalide",IF(AND(F1721&lt;&gt;"",OR(NOT(ISNUMBER(F1721)),N(F1721)&lt;0)),"Temps par pièce invalide",IF(N(E1721)+N(F1721)=0,"Temps manquant",IF(AND(G1721&lt;&gt;"",OR(NOT(ISNUMBER(G1721)),N(G1721)&lt;=0)),"Opérateurs invalide","OK"))))))))))</f>
        <v/>
      </c>
      <c r="N1721" s="71" t="str">
        <f>IF(AND(fiche_sel&lt;&gt;"",A1721=fiche_sel),COUNTIF(A$6:A1721,fiche_sel),"")</f>
        <v/>
      </c>
    </row>
    <row r="1722">
      <c r="A1722" s="60" t="n"/>
      <c r="B1722" s="73" t="n"/>
      <c r="C1722" s="60" t="n"/>
      <c r="D1722" s="61" t="n"/>
      <c r="E1722" s="74" t="n"/>
      <c r="F1722" s="74" t="n"/>
      <c r="G1722" s="73" t="n"/>
      <c r="H1722" s="66" t="str">
        <f>IF(M1722&lt;&gt;"OK","",INDEX(po_mo,MATCH(D1722,po_code,0)))</f>
        <v/>
      </c>
      <c r="I1722" s="66" t="str">
        <f>IF(M1722&lt;&gt;"OK","",INDEX(po_mac,MATCH(D1722,po_code,0)))</f>
        <v/>
      </c>
      <c r="J1722" s="66" t="str">
        <f>IF(M1722&lt;&gt;"OK","",N(E1722)*(H1722*IF(G1722="",1,G1722)+I1722))</f>
        <v/>
      </c>
      <c r="K1722" s="66" t="str">
        <f>IF(M1722&lt;&gt;"OK","",N(F1722)/60*H1722*IF(G1722="",1,G1722))</f>
        <v/>
      </c>
      <c r="L1722" s="66" t="str">
        <f>IF(M1722&lt;&gt;"OK","",N(F1722)/60*I1722)</f>
        <v/>
      </c>
      <c r="M1722" s="69" t="str">
        <f>IF(AND(A1722="",D1722=""),"",IF(A1722="","Produit manquant",IF(COUNTIF(prod_ref,A1722)=0,"Produit inconnu",IF(D1722="","Poste manquant",IF(ISNA(MATCH(D1722,po_code,0)),"Poste inconnu",IF(INDEX(po_check,MATCH(D1722,po_code,0))&lt;&gt;"OK","Poste à corriger",IF(AND(E1722&lt;&gt;"",OR(NOT(ISNUMBER(E1722)),N(E1722)&lt;0)),"Réglage invalide",IF(AND(F1722&lt;&gt;"",OR(NOT(ISNUMBER(F1722)),N(F1722)&lt;0)),"Temps par pièce invalide",IF(N(E1722)+N(F1722)=0,"Temps manquant",IF(AND(G1722&lt;&gt;"",OR(NOT(ISNUMBER(G1722)),N(G1722)&lt;=0)),"Opérateurs invalide","OK"))))))))))</f>
        <v/>
      </c>
      <c r="N1722" s="71" t="str">
        <f>IF(AND(fiche_sel&lt;&gt;"",A1722=fiche_sel),COUNTIF(A$6:A1722,fiche_sel),"")</f>
        <v/>
      </c>
    </row>
    <row r="1723">
      <c r="A1723" s="60" t="n"/>
      <c r="B1723" s="73" t="n"/>
      <c r="C1723" s="60" t="n"/>
      <c r="D1723" s="61" t="n"/>
      <c r="E1723" s="74" t="n"/>
      <c r="F1723" s="74" t="n"/>
      <c r="G1723" s="73" t="n"/>
      <c r="H1723" s="66" t="str">
        <f>IF(M1723&lt;&gt;"OK","",INDEX(po_mo,MATCH(D1723,po_code,0)))</f>
        <v/>
      </c>
      <c r="I1723" s="66" t="str">
        <f>IF(M1723&lt;&gt;"OK","",INDEX(po_mac,MATCH(D1723,po_code,0)))</f>
        <v/>
      </c>
      <c r="J1723" s="66" t="str">
        <f>IF(M1723&lt;&gt;"OK","",N(E1723)*(H1723*IF(G1723="",1,G1723)+I1723))</f>
        <v/>
      </c>
      <c r="K1723" s="66" t="str">
        <f>IF(M1723&lt;&gt;"OK","",N(F1723)/60*H1723*IF(G1723="",1,G1723))</f>
        <v/>
      </c>
      <c r="L1723" s="66" t="str">
        <f>IF(M1723&lt;&gt;"OK","",N(F1723)/60*I1723)</f>
        <v/>
      </c>
      <c r="M1723" s="69" t="str">
        <f>IF(AND(A1723="",D1723=""),"",IF(A1723="","Produit manquant",IF(COUNTIF(prod_ref,A1723)=0,"Produit inconnu",IF(D1723="","Poste manquant",IF(ISNA(MATCH(D1723,po_code,0)),"Poste inconnu",IF(INDEX(po_check,MATCH(D1723,po_code,0))&lt;&gt;"OK","Poste à corriger",IF(AND(E1723&lt;&gt;"",OR(NOT(ISNUMBER(E1723)),N(E1723)&lt;0)),"Réglage invalide",IF(AND(F1723&lt;&gt;"",OR(NOT(ISNUMBER(F1723)),N(F1723)&lt;0)),"Temps par pièce invalide",IF(N(E1723)+N(F1723)=0,"Temps manquant",IF(AND(G1723&lt;&gt;"",OR(NOT(ISNUMBER(G1723)),N(G1723)&lt;=0)),"Opérateurs invalide","OK"))))))))))</f>
        <v/>
      </c>
      <c r="N1723" s="71" t="str">
        <f>IF(AND(fiche_sel&lt;&gt;"",A1723=fiche_sel),COUNTIF(A$6:A1723,fiche_sel),"")</f>
        <v/>
      </c>
    </row>
    <row r="1724">
      <c r="A1724" s="60" t="n"/>
      <c r="B1724" s="73" t="n"/>
      <c r="C1724" s="60" t="n"/>
      <c r="D1724" s="61" t="n"/>
      <c r="E1724" s="74" t="n"/>
      <c r="F1724" s="74" t="n"/>
      <c r="G1724" s="73" t="n"/>
      <c r="H1724" s="66" t="str">
        <f>IF(M1724&lt;&gt;"OK","",INDEX(po_mo,MATCH(D1724,po_code,0)))</f>
        <v/>
      </c>
      <c r="I1724" s="66" t="str">
        <f>IF(M1724&lt;&gt;"OK","",INDEX(po_mac,MATCH(D1724,po_code,0)))</f>
        <v/>
      </c>
      <c r="J1724" s="66" t="str">
        <f>IF(M1724&lt;&gt;"OK","",N(E1724)*(H1724*IF(G1724="",1,G1724)+I1724))</f>
        <v/>
      </c>
      <c r="K1724" s="66" t="str">
        <f>IF(M1724&lt;&gt;"OK","",N(F1724)/60*H1724*IF(G1724="",1,G1724))</f>
        <v/>
      </c>
      <c r="L1724" s="66" t="str">
        <f>IF(M1724&lt;&gt;"OK","",N(F1724)/60*I1724)</f>
        <v/>
      </c>
      <c r="M1724" s="69" t="str">
        <f>IF(AND(A1724="",D1724=""),"",IF(A1724="","Produit manquant",IF(COUNTIF(prod_ref,A1724)=0,"Produit inconnu",IF(D1724="","Poste manquant",IF(ISNA(MATCH(D1724,po_code,0)),"Poste inconnu",IF(INDEX(po_check,MATCH(D1724,po_code,0))&lt;&gt;"OK","Poste à corriger",IF(AND(E1724&lt;&gt;"",OR(NOT(ISNUMBER(E1724)),N(E1724)&lt;0)),"Réglage invalide",IF(AND(F1724&lt;&gt;"",OR(NOT(ISNUMBER(F1724)),N(F1724)&lt;0)),"Temps par pièce invalide",IF(N(E1724)+N(F1724)=0,"Temps manquant",IF(AND(G1724&lt;&gt;"",OR(NOT(ISNUMBER(G1724)),N(G1724)&lt;=0)),"Opérateurs invalide","OK"))))))))))</f>
        <v/>
      </c>
      <c r="N1724" s="71" t="str">
        <f>IF(AND(fiche_sel&lt;&gt;"",A1724=fiche_sel),COUNTIF(A$6:A1724,fiche_sel),"")</f>
        <v/>
      </c>
    </row>
    <row r="1725">
      <c r="A1725" s="60" t="n"/>
      <c r="B1725" s="73" t="n"/>
      <c r="C1725" s="60" t="n"/>
      <c r="D1725" s="61" t="n"/>
      <c r="E1725" s="74" t="n"/>
      <c r="F1725" s="74" t="n"/>
      <c r="G1725" s="73" t="n"/>
      <c r="H1725" s="66" t="str">
        <f>IF(M1725&lt;&gt;"OK","",INDEX(po_mo,MATCH(D1725,po_code,0)))</f>
        <v/>
      </c>
      <c r="I1725" s="66" t="str">
        <f>IF(M1725&lt;&gt;"OK","",INDEX(po_mac,MATCH(D1725,po_code,0)))</f>
        <v/>
      </c>
      <c r="J1725" s="66" t="str">
        <f>IF(M1725&lt;&gt;"OK","",N(E1725)*(H1725*IF(G1725="",1,G1725)+I1725))</f>
        <v/>
      </c>
      <c r="K1725" s="66" t="str">
        <f>IF(M1725&lt;&gt;"OK","",N(F1725)/60*H1725*IF(G1725="",1,G1725))</f>
        <v/>
      </c>
      <c r="L1725" s="66" t="str">
        <f>IF(M1725&lt;&gt;"OK","",N(F1725)/60*I1725)</f>
        <v/>
      </c>
      <c r="M1725" s="69" t="str">
        <f>IF(AND(A1725="",D1725=""),"",IF(A1725="","Produit manquant",IF(COUNTIF(prod_ref,A1725)=0,"Produit inconnu",IF(D1725="","Poste manquant",IF(ISNA(MATCH(D1725,po_code,0)),"Poste inconnu",IF(INDEX(po_check,MATCH(D1725,po_code,0))&lt;&gt;"OK","Poste à corriger",IF(AND(E1725&lt;&gt;"",OR(NOT(ISNUMBER(E1725)),N(E1725)&lt;0)),"Réglage invalide",IF(AND(F1725&lt;&gt;"",OR(NOT(ISNUMBER(F1725)),N(F1725)&lt;0)),"Temps par pièce invalide",IF(N(E1725)+N(F1725)=0,"Temps manquant",IF(AND(G1725&lt;&gt;"",OR(NOT(ISNUMBER(G1725)),N(G1725)&lt;=0)),"Opérateurs invalide","OK"))))))))))</f>
        <v/>
      </c>
      <c r="N1725" s="71" t="str">
        <f>IF(AND(fiche_sel&lt;&gt;"",A1725=fiche_sel),COUNTIF(A$6:A1725,fiche_sel),"")</f>
        <v/>
      </c>
    </row>
    <row r="1726">
      <c r="A1726" s="60" t="n"/>
      <c r="B1726" s="73" t="n"/>
      <c r="C1726" s="60" t="n"/>
      <c r="D1726" s="61" t="n"/>
      <c r="E1726" s="74" t="n"/>
      <c r="F1726" s="74" t="n"/>
      <c r="G1726" s="73" t="n"/>
      <c r="H1726" s="66" t="str">
        <f>IF(M1726&lt;&gt;"OK","",INDEX(po_mo,MATCH(D1726,po_code,0)))</f>
        <v/>
      </c>
      <c r="I1726" s="66" t="str">
        <f>IF(M1726&lt;&gt;"OK","",INDEX(po_mac,MATCH(D1726,po_code,0)))</f>
        <v/>
      </c>
      <c r="J1726" s="66" t="str">
        <f>IF(M1726&lt;&gt;"OK","",N(E1726)*(H1726*IF(G1726="",1,G1726)+I1726))</f>
        <v/>
      </c>
      <c r="K1726" s="66" t="str">
        <f>IF(M1726&lt;&gt;"OK","",N(F1726)/60*H1726*IF(G1726="",1,G1726))</f>
        <v/>
      </c>
      <c r="L1726" s="66" t="str">
        <f>IF(M1726&lt;&gt;"OK","",N(F1726)/60*I1726)</f>
        <v/>
      </c>
      <c r="M1726" s="69" t="str">
        <f>IF(AND(A1726="",D1726=""),"",IF(A1726="","Produit manquant",IF(COUNTIF(prod_ref,A1726)=0,"Produit inconnu",IF(D1726="","Poste manquant",IF(ISNA(MATCH(D1726,po_code,0)),"Poste inconnu",IF(INDEX(po_check,MATCH(D1726,po_code,0))&lt;&gt;"OK","Poste à corriger",IF(AND(E1726&lt;&gt;"",OR(NOT(ISNUMBER(E1726)),N(E1726)&lt;0)),"Réglage invalide",IF(AND(F1726&lt;&gt;"",OR(NOT(ISNUMBER(F1726)),N(F1726)&lt;0)),"Temps par pièce invalide",IF(N(E1726)+N(F1726)=0,"Temps manquant",IF(AND(G1726&lt;&gt;"",OR(NOT(ISNUMBER(G1726)),N(G1726)&lt;=0)),"Opérateurs invalide","OK"))))))))))</f>
        <v/>
      </c>
      <c r="N1726" s="71" t="str">
        <f>IF(AND(fiche_sel&lt;&gt;"",A1726=fiche_sel),COUNTIF(A$6:A1726,fiche_sel),"")</f>
        <v/>
      </c>
    </row>
    <row r="1727">
      <c r="A1727" s="60" t="n"/>
      <c r="B1727" s="73" t="n"/>
      <c r="C1727" s="60" t="n"/>
      <c r="D1727" s="61" t="n"/>
      <c r="E1727" s="74" t="n"/>
      <c r="F1727" s="74" t="n"/>
      <c r="G1727" s="73" t="n"/>
      <c r="H1727" s="66" t="str">
        <f>IF(M1727&lt;&gt;"OK","",INDEX(po_mo,MATCH(D1727,po_code,0)))</f>
        <v/>
      </c>
      <c r="I1727" s="66" t="str">
        <f>IF(M1727&lt;&gt;"OK","",INDEX(po_mac,MATCH(D1727,po_code,0)))</f>
        <v/>
      </c>
      <c r="J1727" s="66" t="str">
        <f>IF(M1727&lt;&gt;"OK","",N(E1727)*(H1727*IF(G1727="",1,G1727)+I1727))</f>
        <v/>
      </c>
      <c r="K1727" s="66" t="str">
        <f>IF(M1727&lt;&gt;"OK","",N(F1727)/60*H1727*IF(G1727="",1,G1727))</f>
        <v/>
      </c>
      <c r="L1727" s="66" t="str">
        <f>IF(M1727&lt;&gt;"OK","",N(F1727)/60*I1727)</f>
        <v/>
      </c>
      <c r="M1727" s="69" t="str">
        <f>IF(AND(A1727="",D1727=""),"",IF(A1727="","Produit manquant",IF(COUNTIF(prod_ref,A1727)=0,"Produit inconnu",IF(D1727="","Poste manquant",IF(ISNA(MATCH(D1727,po_code,0)),"Poste inconnu",IF(INDEX(po_check,MATCH(D1727,po_code,0))&lt;&gt;"OK","Poste à corriger",IF(AND(E1727&lt;&gt;"",OR(NOT(ISNUMBER(E1727)),N(E1727)&lt;0)),"Réglage invalide",IF(AND(F1727&lt;&gt;"",OR(NOT(ISNUMBER(F1727)),N(F1727)&lt;0)),"Temps par pièce invalide",IF(N(E1727)+N(F1727)=0,"Temps manquant",IF(AND(G1727&lt;&gt;"",OR(NOT(ISNUMBER(G1727)),N(G1727)&lt;=0)),"Opérateurs invalide","OK"))))))))))</f>
        <v/>
      </c>
      <c r="N1727" s="71" t="str">
        <f>IF(AND(fiche_sel&lt;&gt;"",A1727=fiche_sel),COUNTIF(A$6:A1727,fiche_sel),"")</f>
        <v/>
      </c>
    </row>
    <row r="1728">
      <c r="A1728" s="60" t="n"/>
      <c r="B1728" s="73" t="n"/>
      <c r="C1728" s="60" t="n"/>
      <c r="D1728" s="61" t="n"/>
      <c r="E1728" s="74" t="n"/>
      <c r="F1728" s="74" t="n"/>
      <c r="G1728" s="73" t="n"/>
      <c r="H1728" s="66" t="str">
        <f>IF(M1728&lt;&gt;"OK","",INDEX(po_mo,MATCH(D1728,po_code,0)))</f>
        <v/>
      </c>
      <c r="I1728" s="66" t="str">
        <f>IF(M1728&lt;&gt;"OK","",INDEX(po_mac,MATCH(D1728,po_code,0)))</f>
        <v/>
      </c>
      <c r="J1728" s="66" t="str">
        <f>IF(M1728&lt;&gt;"OK","",N(E1728)*(H1728*IF(G1728="",1,G1728)+I1728))</f>
        <v/>
      </c>
      <c r="K1728" s="66" t="str">
        <f>IF(M1728&lt;&gt;"OK","",N(F1728)/60*H1728*IF(G1728="",1,G1728))</f>
        <v/>
      </c>
      <c r="L1728" s="66" t="str">
        <f>IF(M1728&lt;&gt;"OK","",N(F1728)/60*I1728)</f>
        <v/>
      </c>
      <c r="M1728" s="69" t="str">
        <f>IF(AND(A1728="",D1728=""),"",IF(A1728="","Produit manquant",IF(COUNTIF(prod_ref,A1728)=0,"Produit inconnu",IF(D1728="","Poste manquant",IF(ISNA(MATCH(D1728,po_code,0)),"Poste inconnu",IF(INDEX(po_check,MATCH(D1728,po_code,0))&lt;&gt;"OK","Poste à corriger",IF(AND(E1728&lt;&gt;"",OR(NOT(ISNUMBER(E1728)),N(E1728)&lt;0)),"Réglage invalide",IF(AND(F1728&lt;&gt;"",OR(NOT(ISNUMBER(F1728)),N(F1728)&lt;0)),"Temps par pièce invalide",IF(N(E1728)+N(F1728)=0,"Temps manquant",IF(AND(G1728&lt;&gt;"",OR(NOT(ISNUMBER(G1728)),N(G1728)&lt;=0)),"Opérateurs invalide","OK"))))))))))</f>
        <v/>
      </c>
      <c r="N1728" s="71" t="str">
        <f>IF(AND(fiche_sel&lt;&gt;"",A1728=fiche_sel),COUNTIF(A$6:A1728,fiche_sel),"")</f>
        <v/>
      </c>
    </row>
    <row r="1729">
      <c r="A1729" s="60" t="n"/>
      <c r="B1729" s="73" t="n"/>
      <c r="C1729" s="60" t="n"/>
      <c r="D1729" s="61" t="n"/>
      <c r="E1729" s="74" t="n"/>
      <c r="F1729" s="74" t="n"/>
      <c r="G1729" s="73" t="n"/>
      <c r="H1729" s="66" t="str">
        <f>IF(M1729&lt;&gt;"OK","",INDEX(po_mo,MATCH(D1729,po_code,0)))</f>
        <v/>
      </c>
      <c r="I1729" s="66" t="str">
        <f>IF(M1729&lt;&gt;"OK","",INDEX(po_mac,MATCH(D1729,po_code,0)))</f>
        <v/>
      </c>
      <c r="J1729" s="66" t="str">
        <f>IF(M1729&lt;&gt;"OK","",N(E1729)*(H1729*IF(G1729="",1,G1729)+I1729))</f>
        <v/>
      </c>
      <c r="K1729" s="66" t="str">
        <f>IF(M1729&lt;&gt;"OK","",N(F1729)/60*H1729*IF(G1729="",1,G1729))</f>
        <v/>
      </c>
      <c r="L1729" s="66" t="str">
        <f>IF(M1729&lt;&gt;"OK","",N(F1729)/60*I1729)</f>
        <v/>
      </c>
      <c r="M1729" s="69" t="str">
        <f>IF(AND(A1729="",D1729=""),"",IF(A1729="","Produit manquant",IF(COUNTIF(prod_ref,A1729)=0,"Produit inconnu",IF(D1729="","Poste manquant",IF(ISNA(MATCH(D1729,po_code,0)),"Poste inconnu",IF(INDEX(po_check,MATCH(D1729,po_code,0))&lt;&gt;"OK","Poste à corriger",IF(AND(E1729&lt;&gt;"",OR(NOT(ISNUMBER(E1729)),N(E1729)&lt;0)),"Réglage invalide",IF(AND(F1729&lt;&gt;"",OR(NOT(ISNUMBER(F1729)),N(F1729)&lt;0)),"Temps par pièce invalide",IF(N(E1729)+N(F1729)=0,"Temps manquant",IF(AND(G1729&lt;&gt;"",OR(NOT(ISNUMBER(G1729)),N(G1729)&lt;=0)),"Opérateurs invalide","OK"))))))))))</f>
        <v/>
      </c>
      <c r="N1729" s="71" t="str">
        <f>IF(AND(fiche_sel&lt;&gt;"",A1729=fiche_sel),COUNTIF(A$6:A1729,fiche_sel),"")</f>
        <v/>
      </c>
    </row>
    <row r="1730">
      <c r="A1730" s="60" t="n"/>
      <c r="B1730" s="73" t="n"/>
      <c r="C1730" s="60" t="n"/>
      <c r="D1730" s="61" t="n"/>
      <c r="E1730" s="74" t="n"/>
      <c r="F1730" s="74" t="n"/>
      <c r="G1730" s="73" t="n"/>
      <c r="H1730" s="66" t="str">
        <f>IF(M1730&lt;&gt;"OK","",INDEX(po_mo,MATCH(D1730,po_code,0)))</f>
        <v/>
      </c>
      <c r="I1730" s="66" t="str">
        <f>IF(M1730&lt;&gt;"OK","",INDEX(po_mac,MATCH(D1730,po_code,0)))</f>
        <v/>
      </c>
      <c r="J1730" s="66" t="str">
        <f>IF(M1730&lt;&gt;"OK","",N(E1730)*(H1730*IF(G1730="",1,G1730)+I1730))</f>
        <v/>
      </c>
      <c r="K1730" s="66" t="str">
        <f>IF(M1730&lt;&gt;"OK","",N(F1730)/60*H1730*IF(G1730="",1,G1730))</f>
        <v/>
      </c>
      <c r="L1730" s="66" t="str">
        <f>IF(M1730&lt;&gt;"OK","",N(F1730)/60*I1730)</f>
        <v/>
      </c>
      <c r="M1730" s="69" t="str">
        <f>IF(AND(A1730="",D1730=""),"",IF(A1730="","Produit manquant",IF(COUNTIF(prod_ref,A1730)=0,"Produit inconnu",IF(D1730="","Poste manquant",IF(ISNA(MATCH(D1730,po_code,0)),"Poste inconnu",IF(INDEX(po_check,MATCH(D1730,po_code,0))&lt;&gt;"OK","Poste à corriger",IF(AND(E1730&lt;&gt;"",OR(NOT(ISNUMBER(E1730)),N(E1730)&lt;0)),"Réglage invalide",IF(AND(F1730&lt;&gt;"",OR(NOT(ISNUMBER(F1730)),N(F1730)&lt;0)),"Temps par pièce invalide",IF(N(E1730)+N(F1730)=0,"Temps manquant",IF(AND(G1730&lt;&gt;"",OR(NOT(ISNUMBER(G1730)),N(G1730)&lt;=0)),"Opérateurs invalide","OK"))))))))))</f>
        <v/>
      </c>
      <c r="N1730" s="71" t="str">
        <f>IF(AND(fiche_sel&lt;&gt;"",A1730=fiche_sel),COUNTIF(A$6:A1730,fiche_sel),"")</f>
        <v/>
      </c>
    </row>
    <row r="1731">
      <c r="A1731" s="60" t="n"/>
      <c r="B1731" s="73" t="n"/>
      <c r="C1731" s="60" t="n"/>
      <c r="D1731" s="61" t="n"/>
      <c r="E1731" s="74" t="n"/>
      <c r="F1731" s="74" t="n"/>
      <c r="G1731" s="73" t="n"/>
      <c r="H1731" s="66" t="str">
        <f>IF(M1731&lt;&gt;"OK","",INDEX(po_mo,MATCH(D1731,po_code,0)))</f>
        <v/>
      </c>
      <c r="I1731" s="66" t="str">
        <f>IF(M1731&lt;&gt;"OK","",INDEX(po_mac,MATCH(D1731,po_code,0)))</f>
        <v/>
      </c>
      <c r="J1731" s="66" t="str">
        <f>IF(M1731&lt;&gt;"OK","",N(E1731)*(H1731*IF(G1731="",1,G1731)+I1731))</f>
        <v/>
      </c>
      <c r="K1731" s="66" t="str">
        <f>IF(M1731&lt;&gt;"OK","",N(F1731)/60*H1731*IF(G1731="",1,G1731))</f>
        <v/>
      </c>
      <c r="L1731" s="66" t="str">
        <f>IF(M1731&lt;&gt;"OK","",N(F1731)/60*I1731)</f>
        <v/>
      </c>
      <c r="M1731" s="69" t="str">
        <f>IF(AND(A1731="",D1731=""),"",IF(A1731="","Produit manquant",IF(COUNTIF(prod_ref,A1731)=0,"Produit inconnu",IF(D1731="","Poste manquant",IF(ISNA(MATCH(D1731,po_code,0)),"Poste inconnu",IF(INDEX(po_check,MATCH(D1731,po_code,0))&lt;&gt;"OK","Poste à corriger",IF(AND(E1731&lt;&gt;"",OR(NOT(ISNUMBER(E1731)),N(E1731)&lt;0)),"Réglage invalide",IF(AND(F1731&lt;&gt;"",OR(NOT(ISNUMBER(F1731)),N(F1731)&lt;0)),"Temps par pièce invalide",IF(N(E1731)+N(F1731)=0,"Temps manquant",IF(AND(G1731&lt;&gt;"",OR(NOT(ISNUMBER(G1731)),N(G1731)&lt;=0)),"Opérateurs invalide","OK"))))))))))</f>
        <v/>
      </c>
      <c r="N1731" s="71" t="str">
        <f>IF(AND(fiche_sel&lt;&gt;"",A1731=fiche_sel),COUNTIF(A$6:A1731,fiche_sel),"")</f>
        <v/>
      </c>
    </row>
    <row r="1732">
      <c r="A1732" s="60" t="n"/>
      <c r="B1732" s="73" t="n"/>
      <c r="C1732" s="60" t="n"/>
      <c r="D1732" s="61" t="n"/>
      <c r="E1732" s="74" t="n"/>
      <c r="F1732" s="74" t="n"/>
      <c r="G1732" s="73" t="n"/>
      <c r="H1732" s="66" t="str">
        <f>IF(M1732&lt;&gt;"OK","",INDEX(po_mo,MATCH(D1732,po_code,0)))</f>
        <v/>
      </c>
      <c r="I1732" s="66" t="str">
        <f>IF(M1732&lt;&gt;"OK","",INDEX(po_mac,MATCH(D1732,po_code,0)))</f>
        <v/>
      </c>
      <c r="J1732" s="66" t="str">
        <f>IF(M1732&lt;&gt;"OK","",N(E1732)*(H1732*IF(G1732="",1,G1732)+I1732))</f>
        <v/>
      </c>
      <c r="K1732" s="66" t="str">
        <f>IF(M1732&lt;&gt;"OK","",N(F1732)/60*H1732*IF(G1732="",1,G1732))</f>
        <v/>
      </c>
      <c r="L1732" s="66" t="str">
        <f>IF(M1732&lt;&gt;"OK","",N(F1732)/60*I1732)</f>
        <v/>
      </c>
      <c r="M1732" s="69" t="str">
        <f>IF(AND(A1732="",D1732=""),"",IF(A1732="","Produit manquant",IF(COUNTIF(prod_ref,A1732)=0,"Produit inconnu",IF(D1732="","Poste manquant",IF(ISNA(MATCH(D1732,po_code,0)),"Poste inconnu",IF(INDEX(po_check,MATCH(D1732,po_code,0))&lt;&gt;"OK","Poste à corriger",IF(AND(E1732&lt;&gt;"",OR(NOT(ISNUMBER(E1732)),N(E1732)&lt;0)),"Réglage invalide",IF(AND(F1732&lt;&gt;"",OR(NOT(ISNUMBER(F1732)),N(F1732)&lt;0)),"Temps par pièce invalide",IF(N(E1732)+N(F1732)=0,"Temps manquant",IF(AND(G1732&lt;&gt;"",OR(NOT(ISNUMBER(G1732)),N(G1732)&lt;=0)),"Opérateurs invalide","OK"))))))))))</f>
        <v/>
      </c>
      <c r="N1732" s="71" t="str">
        <f>IF(AND(fiche_sel&lt;&gt;"",A1732=fiche_sel),COUNTIF(A$6:A1732,fiche_sel),"")</f>
        <v/>
      </c>
    </row>
    <row r="1733">
      <c r="A1733" s="60" t="n"/>
      <c r="B1733" s="73" t="n"/>
      <c r="C1733" s="60" t="n"/>
      <c r="D1733" s="61" t="n"/>
      <c r="E1733" s="74" t="n"/>
      <c r="F1733" s="74" t="n"/>
      <c r="G1733" s="73" t="n"/>
      <c r="H1733" s="66" t="str">
        <f>IF(M1733&lt;&gt;"OK","",INDEX(po_mo,MATCH(D1733,po_code,0)))</f>
        <v/>
      </c>
      <c r="I1733" s="66" t="str">
        <f>IF(M1733&lt;&gt;"OK","",INDEX(po_mac,MATCH(D1733,po_code,0)))</f>
        <v/>
      </c>
      <c r="J1733" s="66" t="str">
        <f>IF(M1733&lt;&gt;"OK","",N(E1733)*(H1733*IF(G1733="",1,G1733)+I1733))</f>
        <v/>
      </c>
      <c r="K1733" s="66" t="str">
        <f>IF(M1733&lt;&gt;"OK","",N(F1733)/60*H1733*IF(G1733="",1,G1733))</f>
        <v/>
      </c>
      <c r="L1733" s="66" t="str">
        <f>IF(M1733&lt;&gt;"OK","",N(F1733)/60*I1733)</f>
        <v/>
      </c>
      <c r="M1733" s="69" t="str">
        <f>IF(AND(A1733="",D1733=""),"",IF(A1733="","Produit manquant",IF(COUNTIF(prod_ref,A1733)=0,"Produit inconnu",IF(D1733="","Poste manquant",IF(ISNA(MATCH(D1733,po_code,0)),"Poste inconnu",IF(INDEX(po_check,MATCH(D1733,po_code,0))&lt;&gt;"OK","Poste à corriger",IF(AND(E1733&lt;&gt;"",OR(NOT(ISNUMBER(E1733)),N(E1733)&lt;0)),"Réglage invalide",IF(AND(F1733&lt;&gt;"",OR(NOT(ISNUMBER(F1733)),N(F1733)&lt;0)),"Temps par pièce invalide",IF(N(E1733)+N(F1733)=0,"Temps manquant",IF(AND(G1733&lt;&gt;"",OR(NOT(ISNUMBER(G1733)),N(G1733)&lt;=0)),"Opérateurs invalide","OK"))))))))))</f>
        <v/>
      </c>
      <c r="N1733" s="71" t="str">
        <f>IF(AND(fiche_sel&lt;&gt;"",A1733=fiche_sel),COUNTIF(A$6:A1733,fiche_sel),"")</f>
        <v/>
      </c>
    </row>
    <row r="1734">
      <c r="A1734" s="60" t="n"/>
      <c r="B1734" s="73" t="n"/>
      <c r="C1734" s="60" t="n"/>
      <c r="D1734" s="61" t="n"/>
      <c r="E1734" s="74" t="n"/>
      <c r="F1734" s="74" t="n"/>
      <c r="G1734" s="73" t="n"/>
      <c r="H1734" s="66" t="str">
        <f>IF(M1734&lt;&gt;"OK","",INDEX(po_mo,MATCH(D1734,po_code,0)))</f>
        <v/>
      </c>
      <c r="I1734" s="66" t="str">
        <f>IF(M1734&lt;&gt;"OK","",INDEX(po_mac,MATCH(D1734,po_code,0)))</f>
        <v/>
      </c>
      <c r="J1734" s="66" t="str">
        <f>IF(M1734&lt;&gt;"OK","",N(E1734)*(H1734*IF(G1734="",1,G1734)+I1734))</f>
        <v/>
      </c>
      <c r="K1734" s="66" t="str">
        <f>IF(M1734&lt;&gt;"OK","",N(F1734)/60*H1734*IF(G1734="",1,G1734))</f>
        <v/>
      </c>
      <c r="L1734" s="66" t="str">
        <f>IF(M1734&lt;&gt;"OK","",N(F1734)/60*I1734)</f>
        <v/>
      </c>
      <c r="M1734" s="69" t="str">
        <f>IF(AND(A1734="",D1734=""),"",IF(A1734="","Produit manquant",IF(COUNTIF(prod_ref,A1734)=0,"Produit inconnu",IF(D1734="","Poste manquant",IF(ISNA(MATCH(D1734,po_code,0)),"Poste inconnu",IF(INDEX(po_check,MATCH(D1734,po_code,0))&lt;&gt;"OK","Poste à corriger",IF(AND(E1734&lt;&gt;"",OR(NOT(ISNUMBER(E1734)),N(E1734)&lt;0)),"Réglage invalide",IF(AND(F1734&lt;&gt;"",OR(NOT(ISNUMBER(F1734)),N(F1734)&lt;0)),"Temps par pièce invalide",IF(N(E1734)+N(F1734)=0,"Temps manquant",IF(AND(G1734&lt;&gt;"",OR(NOT(ISNUMBER(G1734)),N(G1734)&lt;=0)),"Opérateurs invalide","OK"))))))))))</f>
        <v/>
      </c>
      <c r="N1734" s="71" t="str">
        <f>IF(AND(fiche_sel&lt;&gt;"",A1734=fiche_sel),COUNTIF(A$6:A1734,fiche_sel),"")</f>
        <v/>
      </c>
    </row>
    <row r="1735">
      <c r="A1735" s="60" t="n"/>
      <c r="B1735" s="73" t="n"/>
      <c r="C1735" s="60" t="n"/>
      <c r="D1735" s="61" t="n"/>
      <c r="E1735" s="74" t="n"/>
      <c r="F1735" s="74" t="n"/>
      <c r="G1735" s="73" t="n"/>
      <c r="H1735" s="66" t="str">
        <f>IF(M1735&lt;&gt;"OK","",INDEX(po_mo,MATCH(D1735,po_code,0)))</f>
        <v/>
      </c>
      <c r="I1735" s="66" t="str">
        <f>IF(M1735&lt;&gt;"OK","",INDEX(po_mac,MATCH(D1735,po_code,0)))</f>
        <v/>
      </c>
      <c r="J1735" s="66" t="str">
        <f>IF(M1735&lt;&gt;"OK","",N(E1735)*(H1735*IF(G1735="",1,G1735)+I1735))</f>
        <v/>
      </c>
      <c r="K1735" s="66" t="str">
        <f>IF(M1735&lt;&gt;"OK","",N(F1735)/60*H1735*IF(G1735="",1,G1735))</f>
        <v/>
      </c>
      <c r="L1735" s="66" t="str">
        <f>IF(M1735&lt;&gt;"OK","",N(F1735)/60*I1735)</f>
        <v/>
      </c>
      <c r="M1735" s="69" t="str">
        <f>IF(AND(A1735="",D1735=""),"",IF(A1735="","Produit manquant",IF(COUNTIF(prod_ref,A1735)=0,"Produit inconnu",IF(D1735="","Poste manquant",IF(ISNA(MATCH(D1735,po_code,0)),"Poste inconnu",IF(INDEX(po_check,MATCH(D1735,po_code,0))&lt;&gt;"OK","Poste à corriger",IF(AND(E1735&lt;&gt;"",OR(NOT(ISNUMBER(E1735)),N(E1735)&lt;0)),"Réglage invalide",IF(AND(F1735&lt;&gt;"",OR(NOT(ISNUMBER(F1735)),N(F1735)&lt;0)),"Temps par pièce invalide",IF(N(E1735)+N(F1735)=0,"Temps manquant",IF(AND(G1735&lt;&gt;"",OR(NOT(ISNUMBER(G1735)),N(G1735)&lt;=0)),"Opérateurs invalide","OK"))))))))))</f>
        <v/>
      </c>
      <c r="N1735" s="71" t="str">
        <f>IF(AND(fiche_sel&lt;&gt;"",A1735=fiche_sel),COUNTIF(A$6:A1735,fiche_sel),"")</f>
        <v/>
      </c>
    </row>
    <row r="1736">
      <c r="A1736" s="60" t="n"/>
      <c r="B1736" s="73" t="n"/>
      <c r="C1736" s="60" t="n"/>
      <c r="D1736" s="61" t="n"/>
      <c r="E1736" s="74" t="n"/>
      <c r="F1736" s="74" t="n"/>
      <c r="G1736" s="73" t="n"/>
      <c r="H1736" s="66" t="str">
        <f>IF(M1736&lt;&gt;"OK","",INDEX(po_mo,MATCH(D1736,po_code,0)))</f>
        <v/>
      </c>
      <c r="I1736" s="66" t="str">
        <f>IF(M1736&lt;&gt;"OK","",INDEX(po_mac,MATCH(D1736,po_code,0)))</f>
        <v/>
      </c>
      <c r="J1736" s="66" t="str">
        <f>IF(M1736&lt;&gt;"OK","",N(E1736)*(H1736*IF(G1736="",1,G1736)+I1736))</f>
        <v/>
      </c>
      <c r="K1736" s="66" t="str">
        <f>IF(M1736&lt;&gt;"OK","",N(F1736)/60*H1736*IF(G1736="",1,G1736))</f>
        <v/>
      </c>
      <c r="L1736" s="66" t="str">
        <f>IF(M1736&lt;&gt;"OK","",N(F1736)/60*I1736)</f>
        <v/>
      </c>
      <c r="M1736" s="69" t="str">
        <f>IF(AND(A1736="",D1736=""),"",IF(A1736="","Produit manquant",IF(COUNTIF(prod_ref,A1736)=0,"Produit inconnu",IF(D1736="","Poste manquant",IF(ISNA(MATCH(D1736,po_code,0)),"Poste inconnu",IF(INDEX(po_check,MATCH(D1736,po_code,0))&lt;&gt;"OK","Poste à corriger",IF(AND(E1736&lt;&gt;"",OR(NOT(ISNUMBER(E1736)),N(E1736)&lt;0)),"Réglage invalide",IF(AND(F1736&lt;&gt;"",OR(NOT(ISNUMBER(F1736)),N(F1736)&lt;0)),"Temps par pièce invalide",IF(N(E1736)+N(F1736)=0,"Temps manquant",IF(AND(G1736&lt;&gt;"",OR(NOT(ISNUMBER(G1736)),N(G1736)&lt;=0)),"Opérateurs invalide","OK"))))))))))</f>
        <v/>
      </c>
      <c r="N1736" s="71" t="str">
        <f>IF(AND(fiche_sel&lt;&gt;"",A1736=fiche_sel),COUNTIF(A$6:A1736,fiche_sel),"")</f>
        <v/>
      </c>
    </row>
    <row r="1737">
      <c r="A1737" s="60" t="n"/>
      <c r="B1737" s="73" t="n"/>
      <c r="C1737" s="60" t="n"/>
      <c r="D1737" s="61" t="n"/>
      <c r="E1737" s="74" t="n"/>
      <c r="F1737" s="74" t="n"/>
      <c r="G1737" s="73" t="n"/>
      <c r="H1737" s="66" t="str">
        <f>IF(M1737&lt;&gt;"OK","",INDEX(po_mo,MATCH(D1737,po_code,0)))</f>
        <v/>
      </c>
      <c r="I1737" s="66" t="str">
        <f>IF(M1737&lt;&gt;"OK","",INDEX(po_mac,MATCH(D1737,po_code,0)))</f>
        <v/>
      </c>
      <c r="J1737" s="66" t="str">
        <f>IF(M1737&lt;&gt;"OK","",N(E1737)*(H1737*IF(G1737="",1,G1737)+I1737))</f>
        <v/>
      </c>
      <c r="K1737" s="66" t="str">
        <f>IF(M1737&lt;&gt;"OK","",N(F1737)/60*H1737*IF(G1737="",1,G1737))</f>
        <v/>
      </c>
      <c r="L1737" s="66" t="str">
        <f>IF(M1737&lt;&gt;"OK","",N(F1737)/60*I1737)</f>
        <v/>
      </c>
      <c r="M1737" s="69" t="str">
        <f>IF(AND(A1737="",D1737=""),"",IF(A1737="","Produit manquant",IF(COUNTIF(prod_ref,A1737)=0,"Produit inconnu",IF(D1737="","Poste manquant",IF(ISNA(MATCH(D1737,po_code,0)),"Poste inconnu",IF(INDEX(po_check,MATCH(D1737,po_code,0))&lt;&gt;"OK","Poste à corriger",IF(AND(E1737&lt;&gt;"",OR(NOT(ISNUMBER(E1737)),N(E1737)&lt;0)),"Réglage invalide",IF(AND(F1737&lt;&gt;"",OR(NOT(ISNUMBER(F1737)),N(F1737)&lt;0)),"Temps par pièce invalide",IF(N(E1737)+N(F1737)=0,"Temps manquant",IF(AND(G1737&lt;&gt;"",OR(NOT(ISNUMBER(G1737)),N(G1737)&lt;=0)),"Opérateurs invalide","OK"))))))))))</f>
        <v/>
      </c>
      <c r="N1737" s="71" t="str">
        <f>IF(AND(fiche_sel&lt;&gt;"",A1737=fiche_sel),COUNTIF(A$6:A1737,fiche_sel),"")</f>
        <v/>
      </c>
    </row>
    <row r="1738">
      <c r="A1738" s="60" t="n"/>
      <c r="B1738" s="73" t="n"/>
      <c r="C1738" s="60" t="n"/>
      <c r="D1738" s="61" t="n"/>
      <c r="E1738" s="74" t="n"/>
      <c r="F1738" s="74" t="n"/>
      <c r="G1738" s="73" t="n"/>
      <c r="H1738" s="66" t="str">
        <f>IF(M1738&lt;&gt;"OK","",INDEX(po_mo,MATCH(D1738,po_code,0)))</f>
        <v/>
      </c>
      <c r="I1738" s="66" t="str">
        <f>IF(M1738&lt;&gt;"OK","",INDEX(po_mac,MATCH(D1738,po_code,0)))</f>
        <v/>
      </c>
      <c r="J1738" s="66" t="str">
        <f>IF(M1738&lt;&gt;"OK","",N(E1738)*(H1738*IF(G1738="",1,G1738)+I1738))</f>
        <v/>
      </c>
      <c r="K1738" s="66" t="str">
        <f>IF(M1738&lt;&gt;"OK","",N(F1738)/60*H1738*IF(G1738="",1,G1738))</f>
        <v/>
      </c>
      <c r="L1738" s="66" t="str">
        <f>IF(M1738&lt;&gt;"OK","",N(F1738)/60*I1738)</f>
        <v/>
      </c>
      <c r="M1738" s="69" t="str">
        <f>IF(AND(A1738="",D1738=""),"",IF(A1738="","Produit manquant",IF(COUNTIF(prod_ref,A1738)=0,"Produit inconnu",IF(D1738="","Poste manquant",IF(ISNA(MATCH(D1738,po_code,0)),"Poste inconnu",IF(INDEX(po_check,MATCH(D1738,po_code,0))&lt;&gt;"OK","Poste à corriger",IF(AND(E1738&lt;&gt;"",OR(NOT(ISNUMBER(E1738)),N(E1738)&lt;0)),"Réglage invalide",IF(AND(F1738&lt;&gt;"",OR(NOT(ISNUMBER(F1738)),N(F1738)&lt;0)),"Temps par pièce invalide",IF(N(E1738)+N(F1738)=0,"Temps manquant",IF(AND(G1738&lt;&gt;"",OR(NOT(ISNUMBER(G1738)),N(G1738)&lt;=0)),"Opérateurs invalide","OK"))))))))))</f>
        <v/>
      </c>
      <c r="N1738" s="71" t="str">
        <f>IF(AND(fiche_sel&lt;&gt;"",A1738=fiche_sel),COUNTIF(A$6:A1738,fiche_sel),"")</f>
        <v/>
      </c>
    </row>
    <row r="1739">
      <c r="A1739" s="60" t="n"/>
      <c r="B1739" s="73" t="n"/>
      <c r="C1739" s="60" t="n"/>
      <c r="D1739" s="61" t="n"/>
      <c r="E1739" s="74" t="n"/>
      <c r="F1739" s="74" t="n"/>
      <c r="G1739" s="73" t="n"/>
      <c r="H1739" s="66" t="str">
        <f>IF(M1739&lt;&gt;"OK","",INDEX(po_mo,MATCH(D1739,po_code,0)))</f>
        <v/>
      </c>
      <c r="I1739" s="66" t="str">
        <f>IF(M1739&lt;&gt;"OK","",INDEX(po_mac,MATCH(D1739,po_code,0)))</f>
        <v/>
      </c>
      <c r="J1739" s="66" t="str">
        <f>IF(M1739&lt;&gt;"OK","",N(E1739)*(H1739*IF(G1739="",1,G1739)+I1739))</f>
        <v/>
      </c>
      <c r="K1739" s="66" t="str">
        <f>IF(M1739&lt;&gt;"OK","",N(F1739)/60*H1739*IF(G1739="",1,G1739))</f>
        <v/>
      </c>
      <c r="L1739" s="66" t="str">
        <f>IF(M1739&lt;&gt;"OK","",N(F1739)/60*I1739)</f>
        <v/>
      </c>
      <c r="M1739" s="69" t="str">
        <f>IF(AND(A1739="",D1739=""),"",IF(A1739="","Produit manquant",IF(COUNTIF(prod_ref,A1739)=0,"Produit inconnu",IF(D1739="","Poste manquant",IF(ISNA(MATCH(D1739,po_code,0)),"Poste inconnu",IF(INDEX(po_check,MATCH(D1739,po_code,0))&lt;&gt;"OK","Poste à corriger",IF(AND(E1739&lt;&gt;"",OR(NOT(ISNUMBER(E1739)),N(E1739)&lt;0)),"Réglage invalide",IF(AND(F1739&lt;&gt;"",OR(NOT(ISNUMBER(F1739)),N(F1739)&lt;0)),"Temps par pièce invalide",IF(N(E1739)+N(F1739)=0,"Temps manquant",IF(AND(G1739&lt;&gt;"",OR(NOT(ISNUMBER(G1739)),N(G1739)&lt;=0)),"Opérateurs invalide","OK"))))))))))</f>
        <v/>
      </c>
      <c r="N1739" s="71" t="str">
        <f>IF(AND(fiche_sel&lt;&gt;"",A1739=fiche_sel),COUNTIF(A$6:A1739,fiche_sel),"")</f>
        <v/>
      </c>
    </row>
    <row r="1740">
      <c r="A1740" s="60" t="n"/>
      <c r="B1740" s="73" t="n"/>
      <c r="C1740" s="60" t="n"/>
      <c r="D1740" s="61" t="n"/>
      <c r="E1740" s="74" t="n"/>
      <c r="F1740" s="74" t="n"/>
      <c r="G1740" s="73" t="n"/>
      <c r="H1740" s="66" t="str">
        <f>IF(M1740&lt;&gt;"OK","",INDEX(po_mo,MATCH(D1740,po_code,0)))</f>
        <v/>
      </c>
      <c r="I1740" s="66" t="str">
        <f>IF(M1740&lt;&gt;"OK","",INDEX(po_mac,MATCH(D1740,po_code,0)))</f>
        <v/>
      </c>
      <c r="J1740" s="66" t="str">
        <f>IF(M1740&lt;&gt;"OK","",N(E1740)*(H1740*IF(G1740="",1,G1740)+I1740))</f>
        <v/>
      </c>
      <c r="K1740" s="66" t="str">
        <f>IF(M1740&lt;&gt;"OK","",N(F1740)/60*H1740*IF(G1740="",1,G1740))</f>
        <v/>
      </c>
      <c r="L1740" s="66" t="str">
        <f>IF(M1740&lt;&gt;"OK","",N(F1740)/60*I1740)</f>
        <v/>
      </c>
      <c r="M1740" s="69" t="str">
        <f>IF(AND(A1740="",D1740=""),"",IF(A1740="","Produit manquant",IF(COUNTIF(prod_ref,A1740)=0,"Produit inconnu",IF(D1740="","Poste manquant",IF(ISNA(MATCH(D1740,po_code,0)),"Poste inconnu",IF(INDEX(po_check,MATCH(D1740,po_code,0))&lt;&gt;"OK","Poste à corriger",IF(AND(E1740&lt;&gt;"",OR(NOT(ISNUMBER(E1740)),N(E1740)&lt;0)),"Réglage invalide",IF(AND(F1740&lt;&gt;"",OR(NOT(ISNUMBER(F1740)),N(F1740)&lt;0)),"Temps par pièce invalide",IF(N(E1740)+N(F1740)=0,"Temps manquant",IF(AND(G1740&lt;&gt;"",OR(NOT(ISNUMBER(G1740)),N(G1740)&lt;=0)),"Opérateurs invalide","OK"))))))))))</f>
        <v/>
      </c>
      <c r="N1740" s="71" t="str">
        <f>IF(AND(fiche_sel&lt;&gt;"",A1740=fiche_sel),COUNTIF(A$6:A1740,fiche_sel),"")</f>
        <v/>
      </c>
    </row>
    <row r="1741">
      <c r="A1741" s="60" t="n"/>
      <c r="B1741" s="73" t="n"/>
      <c r="C1741" s="60" t="n"/>
      <c r="D1741" s="61" t="n"/>
      <c r="E1741" s="74" t="n"/>
      <c r="F1741" s="74" t="n"/>
      <c r="G1741" s="73" t="n"/>
      <c r="H1741" s="66" t="str">
        <f>IF(M1741&lt;&gt;"OK","",INDEX(po_mo,MATCH(D1741,po_code,0)))</f>
        <v/>
      </c>
      <c r="I1741" s="66" t="str">
        <f>IF(M1741&lt;&gt;"OK","",INDEX(po_mac,MATCH(D1741,po_code,0)))</f>
        <v/>
      </c>
      <c r="J1741" s="66" t="str">
        <f>IF(M1741&lt;&gt;"OK","",N(E1741)*(H1741*IF(G1741="",1,G1741)+I1741))</f>
        <v/>
      </c>
      <c r="K1741" s="66" t="str">
        <f>IF(M1741&lt;&gt;"OK","",N(F1741)/60*H1741*IF(G1741="",1,G1741))</f>
        <v/>
      </c>
      <c r="L1741" s="66" t="str">
        <f>IF(M1741&lt;&gt;"OK","",N(F1741)/60*I1741)</f>
        <v/>
      </c>
      <c r="M1741" s="69" t="str">
        <f>IF(AND(A1741="",D1741=""),"",IF(A1741="","Produit manquant",IF(COUNTIF(prod_ref,A1741)=0,"Produit inconnu",IF(D1741="","Poste manquant",IF(ISNA(MATCH(D1741,po_code,0)),"Poste inconnu",IF(INDEX(po_check,MATCH(D1741,po_code,0))&lt;&gt;"OK","Poste à corriger",IF(AND(E1741&lt;&gt;"",OR(NOT(ISNUMBER(E1741)),N(E1741)&lt;0)),"Réglage invalide",IF(AND(F1741&lt;&gt;"",OR(NOT(ISNUMBER(F1741)),N(F1741)&lt;0)),"Temps par pièce invalide",IF(N(E1741)+N(F1741)=0,"Temps manquant",IF(AND(G1741&lt;&gt;"",OR(NOT(ISNUMBER(G1741)),N(G1741)&lt;=0)),"Opérateurs invalide","OK"))))))))))</f>
        <v/>
      </c>
      <c r="N1741" s="71" t="str">
        <f>IF(AND(fiche_sel&lt;&gt;"",A1741=fiche_sel),COUNTIF(A$6:A1741,fiche_sel),"")</f>
        <v/>
      </c>
    </row>
    <row r="1742">
      <c r="A1742" s="60" t="n"/>
      <c r="B1742" s="73" t="n"/>
      <c r="C1742" s="60" t="n"/>
      <c r="D1742" s="61" t="n"/>
      <c r="E1742" s="74" t="n"/>
      <c r="F1742" s="74" t="n"/>
      <c r="G1742" s="73" t="n"/>
      <c r="H1742" s="66" t="str">
        <f>IF(M1742&lt;&gt;"OK","",INDEX(po_mo,MATCH(D1742,po_code,0)))</f>
        <v/>
      </c>
      <c r="I1742" s="66" t="str">
        <f>IF(M1742&lt;&gt;"OK","",INDEX(po_mac,MATCH(D1742,po_code,0)))</f>
        <v/>
      </c>
      <c r="J1742" s="66" t="str">
        <f>IF(M1742&lt;&gt;"OK","",N(E1742)*(H1742*IF(G1742="",1,G1742)+I1742))</f>
        <v/>
      </c>
      <c r="K1742" s="66" t="str">
        <f>IF(M1742&lt;&gt;"OK","",N(F1742)/60*H1742*IF(G1742="",1,G1742))</f>
        <v/>
      </c>
      <c r="L1742" s="66" t="str">
        <f>IF(M1742&lt;&gt;"OK","",N(F1742)/60*I1742)</f>
        <v/>
      </c>
      <c r="M1742" s="69" t="str">
        <f>IF(AND(A1742="",D1742=""),"",IF(A1742="","Produit manquant",IF(COUNTIF(prod_ref,A1742)=0,"Produit inconnu",IF(D1742="","Poste manquant",IF(ISNA(MATCH(D1742,po_code,0)),"Poste inconnu",IF(INDEX(po_check,MATCH(D1742,po_code,0))&lt;&gt;"OK","Poste à corriger",IF(AND(E1742&lt;&gt;"",OR(NOT(ISNUMBER(E1742)),N(E1742)&lt;0)),"Réglage invalide",IF(AND(F1742&lt;&gt;"",OR(NOT(ISNUMBER(F1742)),N(F1742)&lt;0)),"Temps par pièce invalide",IF(N(E1742)+N(F1742)=0,"Temps manquant",IF(AND(G1742&lt;&gt;"",OR(NOT(ISNUMBER(G1742)),N(G1742)&lt;=0)),"Opérateurs invalide","OK"))))))))))</f>
        <v/>
      </c>
      <c r="N1742" s="71" t="str">
        <f>IF(AND(fiche_sel&lt;&gt;"",A1742=fiche_sel),COUNTIF(A$6:A1742,fiche_sel),"")</f>
        <v/>
      </c>
    </row>
    <row r="1743">
      <c r="A1743" s="60" t="n"/>
      <c r="B1743" s="73" t="n"/>
      <c r="C1743" s="60" t="n"/>
      <c r="D1743" s="61" t="n"/>
      <c r="E1743" s="74" t="n"/>
      <c r="F1743" s="74" t="n"/>
      <c r="G1743" s="73" t="n"/>
      <c r="H1743" s="66" t="str">
        <f>IF(M1743&lt;&gt;"OK","",INDEX(po_mo,MATCH(D1743,po_code,0)))</f>
        <v/>
      </c>
      <c r="I1743" s="66" t="str">
        <f>IF(M1743&lt;&gt;"OK","",INDEX(po_mac,MATCH(D1743,po_code,0)))</f>
        <v/>
      </c>
      <c r="J1743" s="66" t="str">
        <f>IF(M1743&lt;&gt;"OK","",N(E1743)*(H1743*IF(G1743="",1,G1743)+I1743))</f>
        <v/>
      </c>
      <c r="K1743" s="66" t="str">
        <f>IF(M1743&lt;&gt;"OK","",N(F1743)/60*H1743*IF(G1743="",1,G1743))</f>
        <v/>
      </c>
      <c r="L1743" s="66" t="str">
        <f>IF(M1743&lt;&gt;"OK","",N(F1743)/60*I1743)</f>
        <v/>
      </c>
      <c r="M1743" s="69" t="str">
        <f>IF(AND(A1743="",D1743=""),"",IF(A1743="","Produit manquant",IF(COUNTIF(prod_ref,A1743)=0,"Produit inconnu",IF(D1743="","Poste manquant",IF(ISNA(MATCH(D1743,po_code,0)),"Poste inconnu",IF(INDEX(po_check,MATCH(D1743,po_code,0))&lt;&gt;"OK","Poste à corriger",IF(AND(E1743&lt;&gt;"",OR(NOT(ISNUMBER(E1743)),N(E1743)&lt;0)),"Réglage invalide",IF(AND(F1743&lt;&gt;"",OR(NOT(ISNUMBER(F1743)),N(F1743)&lt;0)),"Temps par pièce invalide",IF(N(E1743)+N(F1743)=0,"Temps manquant",IF(AND(G1743&lt;&gt;"",OR(NOT(ISNUMBER(G1743)),N(G1743)&lt;=0)),"Opérateurs invalide","OK"))))))))))</f>
        <v/>
      </c>
      <c r="N1743" s="71" t="str">
        <f>IF(AND(fiche_sel&lt;&gt;"",A1743=fiche_sel),COUNTIF(A$6:A1743,fiche_sel),"")</f>
        <v/>
      </c>
    </row>
    <row r="1744">
      <c r="A1744" s="60" t="n"/>
      <c r="B1744" s="73" t="n"/>
      <c r="C1744" s="60" t="n"/>
      <c r="D1744" s="61" t="n"/>
      <c r="E1744" s="74" t="n"/>
      <c r="F1744" s="74" t="n"/>
      <c r="G1744" s="73" t="n"/>
      <c r="H1744" s="66" t="str">
        <f>IF(M1744&lt;&gt;"OK","",INDEX(po_mo,MATCH(D1744,po_code,0)))</f>
        <v/>
      </c>
      <c r="I1744" s="66" t="str">
        <f>IF(M1744&lt;&gt;"OK","",INDEX(po_mac,MATCH(D1744,po_code,0)))</f>
        <v/>
      </c>
      <c r="J1744" s="66" t="str">
        <f>IF(M1744&lt;&gt;"OK","",N(E1744)*(H1744*IF(G1744="",1,G1744)+I1744))</f>
        <v/>
      </c>
      <c r="K1744" s="66" t="str">
        <f>IF(M1744&lt;&gt;"OK","",N(F1744)/60*H1744*IF(G1744="",1,G1744))</f>
        <v/>
      </c>
      <c r="L1744" s="66" t="str">
        <f>IF(M1744&lt;&gt;"OK","",N(F1744)/60*I1744)</f>
        <v/>
      </c>
      <c r="M1744" s="69" t="str">
        <f>IF(AND(A1744="",D1744=""),"",IF(A1744="","Produit manquant",IF(COUNTIF(prod_ref,A1744)=0,"Produit inconnu",IF(D1744="","Poste manquant",IF(ISNA(MATCH(D1744,po_code,0)),"Poste inconnu",IF(INDEX(po_check,MATCH(D1744,po_code,0))&lt;&gt;"OK","Poste à corriger",IF(AND(E1744&lt;&gt;"",OR(NOT(ISNUMBER(E1744)),N(E1744)&lt;0)),"Réglage invalide",IF(AND(F1744&lt;&gt;"",OR(NOT(ISNUMBER(F1744)),N(F1744)&lt;0)),"Temps par pièce invalide",IF(N(E1744)+N(F1744)=0,"Temps manquant",IF(AND(G1744&lt;&gt;"",OR(NOT(ISNUMBER(G1744)),N(G1744)&lt;=0)),"Opérateurs invalide","OK"))))))))))</f>
        <v/>
      </c>
      <c r="N1744" s="71" t="str">
        <f>IF(AND(fiche_sel&lt;&gt;"",A1744=fiche_sel),COUNTIF(A$6:A1744,fiche_sel),"")</f>
        <v/>
      </c>
    </row>
    <row r="1745">
      <c r="A1745" s="60" t="n"/>
      <c r="B1745" s="73" t="n"/>
      <c r="C1745" s="60" t="n"/>
      <c r="D1745" s="61" t="n"/>
      <c r="E1745" s="74" t="n"/>
      <c r="F1745" s="74" t="n"/>
      <c r="G1745" s="73" t="n"/>
      <c r="H1745" s="66" t="str">
        <f>IF(M1745&lt;&gt;"OK","",INDEX(po_mo,MATCH(D1745,po_code,0)))</f>
        <v/>
      </c>
      <c r="I1745" s="66" t="str">
        <f>IF(M1745&lt;&gt;"OK","",INDEX(po_mac,MATCH(D1745,po_code,0)))</f>
        <v/>
      </c>
      <c r="J1745" s="66" t="str">
        <f>IF(M1745&lt;&gt;"OK","",N(E1745)*(H1745*IF(G1745="",1,G1745)+I1745))</f>
        <v/>
      </c>
      <c r="K1745" s="66" t="str">
        <f>IF(M1745&lt;&gt;"OK","",N(F1745)/60*H1745*IF(G1745="",1,G1745))</f>
        <v/>
      </c>
      <c r="L1745" s="66" t="str">
        <f>IF(M1745&lt;&gt;"OK","",N(F1745)/60*I1745)</f>
        <v/>
      </c>
      <c r="M1745" s="69" t="str">
        <f>IF(AND(A1745="",D1745=""),"",IF(A1745="","Produit manquant",IF(COUNTIF(prod_ref,A1745)=0,"Produit inconnu",IF(D1745="","Poste manquant",IF(ISNA(MATCH(D1745,po_code,0)),"Poste inconnu",IF(INDEX(po_check,MATCH(D1745,po_code,0))&lt;&gt;"OK","Poste à corriger",IF(AND(E1745&lt;&gt;"",OR(NOT(ISNUMBER(E1745)),N(E1745)&lt;0)),"Réglage invalide",IF(AND(F1745&lt;&gt;"",OR(NOT(ISNUMBER(F1745)),N(F1745)&lt;0)),"Temps par pièce invalide",IF(N(E1745)+N(F1745)=0,"Temps manquant",IF(AND(G1745&lt;&gt;"",OR(NOT(ISNUMBER(G1745)),N(G1745)&lt;=0)),"Opérateurs invalide","OK"))))))))))</f>
        <v/>
      </c>
      <c r="N1745" s="71" t="str">
        <f>IF(AND(fiche_sel&lt;&gt;"",A1745=fiche_sel),COUNTIF(A$6:A1745,fiche_sel),"")</f>
        <v/>
      </c>
    </row>
    <row r="1746">
      <c r="A1746" s="60" t="n"/>
      <c r="B1746" s="73" t="n"/>
      <c r="C1746" s="60" t="n"/>
      <c r="D1746" s="61" t="n"/>
      <c r="E1746" s="74" t="n"/>
      <c r="F1746" s="74" t="n"/>
      <c r="G1746" s="73" t="n"/>
      <c r="H1746" s="66" t="str">
        <f>IF(M1746&lt;&gt;"OK","",INDEX(po_mo,MATCH(D1746,po_code,0)))</f>
        <v/>
      </c>
      <c r="I1746" s="66" t="str">
        <f>IF(M1746&lt;&gt;"OK","",INDEX(po_mac,MATCH(D1746,po_code,0)))</f>
        <v/>
      </c>
      <c r="J1746" s="66" t="str">
        <f>IF(M1746&lt;&gt;"OK","",N(E1746)*(H1746*IF(G1746="",1,G1746)+I1746))</f>
        <v/>
      </c>
      <c r="K1746" s="66" t="str">
        <f>IF(M1746&lt;&gt;"OK","",N(F1746)/60*H1746*IF(G1746="",1,G1746))</f>
        <v/>
      </c>
      <c r="L1746" s="66" t="str">
        <f>IF(M1746&lt;&gt;"OK","",N(F1746)/60*I1746)</f>
        <v/>
      </c>
      <c r="M1746" s="69" t="str">
        <f>IF(AND(A1746="",D1746=""),"",IF(A1746="","Produit manquant",IF(COUNTIF(prod_ref,A1746)=0,"Produit inconnu",IF(D1746="","Poste manquant",IF(ISNA(MATCH(D1746,po_code,0)),"Poste inconnu",IF(INDEX(po_check,MATCH(D1746,po_code,0))&lt;&gt;"OK","Poste à corriger",IF(AND(E1746&lt;&gt;"",OR(NOT(ISNUMBER(E1746)),N(E1746)&lt;0)),"Réglage invalide",IF(AND(F1746&lt;&gt;"",OR(NOT(ISNUMBER(F1746)),N(F1746)&lt;0)),"Temps par pièce invalide",IF(N(E1746)+N(F1746)=0,"Temps manquant",IF(AND(G1746&lt;&gt;"",OR(NOT(ISNUMBER(G1746)),N(G1746)&lt;=0)),"Opérateurs invalide","OK"))))))))))</f>
        <v/>
      </c>
      <c r="N1746" s="71" t="str">
        <f>IF(AND(fiche_sel&lt;&gt;"",A1746=fiche_sel),COUNTIF(A$6:A1746,fiche_sel),"")</f>
        <v/>
      </c>
    </row>
    <row r="1747">
      <c r="A1747" s="60" t="n"/>
      <c r="B1747" s="73" t="n"/>
      <c r="C1747" s="60" t="n"/>
      <c r="D1747" s="61" t="n"/>
      <c r="E1747" s="74" t="n"/>
      <c r="F1747" s="74" t="n"/>
      <c r="G1747" s="73" t="n"/>
      <c r="H1747" s="66" t="str">
        <f>IF(M1747&lt;&gt;"OK","",INDEX(po_mo,MATCH(D1747,po_code,0)))</f>
        <v/>
      </c>
      <c r="I1747" s="66" t="str">
        <f>IF(M1747&lt;&gt;"OK","",INDEX(po_mac,MATCH(D1747,po_code,0)))</f>
        <v/>
      </c>
      <c r="J1747" s="66" t="str">
        <f>IF(M1747&lt;&gt;"OK","",N(E1747)*(H1747*IF(G1747="",1,G1747)+I1747))</f>
        <v/>
      </c>
      <c r="K1747" s="66" t="str">
        <f>IF(M1747&lt;&gt;"OK","",N(F1747)/60*H1747*IF(G1747="",1,G1747))</f>
        <v/>
      </c>
      <c r="L1747" s="66" t="str">
        <f>IF(M1747&lt;&gt;"OK","",N(F1747)/60*I1747)</f>
        <v/>
      </c>
      <c r="M1747" s="69" t="str">
        <f>IF(AND(A1747="",D1747=""),"",IF(A1747="","Produit manquant",IF(COUNTIF(prod_ref,A1747)=0,"Produit inconnu",IF(D1747="","Poste manquant",IF(ISNA(MATCH(D1747,po_code,0)),"Poste inconnu",IF(INDEX(po_check,MATCH(D1747,po_code,0))&lt;&gt;"OK","Poste à corriger",IF(AND(E1747&lt;&gt;"",OR(NOT(ISNUMBER(E1747)),N(E1747)&lt;0)),"Réglage invalide",IF(AND(F1747&lt;&gt;"",OR(NOT(ISNUMBER(F1747)),N(F1747)&lt;0)),"Temps par pièce invalide",IF(N(E1747)+N(F1747)=0,"Temps manquant",IF(AND(G1747&lt;&gt;"",OR(NOT(ISNUMBER(G1747)),N(G1747)&lt;=0)),"Opérateurs invalide","OK"))))))))))</f>
        <v/>
      </c>
      <c r="N1747" s="71" t="str">
        <f>IF(AND(fiche_sel&lt;&gt;"",A1747=fiche_sel),COUNTIF(A$6:A1747,fiche_sel),"")</f>
        <v/>
      </c>
    </row>
    <row r="1748">
      <c r="A1748" s="60" t="n"/>
      <c r="B1748" s="73" t="n"/>
      <c r="C1748" s="60" t="n"/>
      <c r="D1748" s="61" t="n"/>
      <c r="E1748" s="74" t="n"/>
      <c r="F1748" s="74" t="n"/>
      <c r="G1748" s="73" t="n"/>
      <c r="H1748" s="66" t="str">
        <f>IF(M1748&lt;&gt;"OK","",INDEX(po_mo,MATCH(D1748,po_code,0)))</f>
        <v/>
      </c>
      <c r="I1748" s="66" t="str">
        <f>IF(M1748&lt;&gt;"OK","",INDEX(po_mac,MATCH(D1748,po_code,0)))</f>
        <v/>
      </c>
      <c r="J1748" s="66" t="str">
        <f>IF(M1748&lt;&gt;"OK","",N(E1748)*(H1748*IF(G1748="",1,G1748)+I1748))</f>
        <v/>
      </c>
      <c r="K1748" s="66" t="str">
        <f>IF(M1748&lt;&gt;"OK","",N(F1748)/60*H1748*IF(G1748="",1,G1748))</f>
        <v/>
      </c>
      <c r="L1748" s="66" t="str">
        <f>IF(M1748&lt;&gt;"OK","",N(F1748)/60*I1748)</f>
        <v/>
      </c>
      <c r="M1748" s="69" t="str">
        <f>IF(AND(A1748="",D1748=""),"",IF(A1748="","Produit manquant",IF(COUNTIF(prod_ref,A1748)=0,"Produit inconnu",IF(D1748="","Poste manquant",IF(ISNA(MATCH(D1748,po_code,0)),"Poste inconnu",IF(INDEX(po_check,MATCH(D1748,po_code,0))&lt;&gt;"OK","Poste à corriger",IF(AND(E1748&lt;&gt;"",OR(NOT(ISNUMBER(E1748)),N(E1748)&lt;0)),"Réglage invalide",IF(AND(F1748&lt;&gt;"",OR(NOT(ISNUMBER(F1748)),N(F1748)&lt;0)),"Temps par pièce invalide",IF(N(E1748)+N(F1748)=0,"Temps manquant",IF(AND(G1748&lt;&gt;"",OR(NOT(ISNUMBER(G1748)),N(G1748)&lt;=0)),"Opérateurs invalide","OK"))))))))))</f>
        <v/>
      </c>
      <c r="N1748" s="71" t="str">
        <f>IF(AND(fiche_sel&lt;&gt;"",A1748=fiche_sel),COUNTIF(A$6:A1748,fiche_sel),"")</f>
        <v/>
      </c>
    </row>
    <row r="1749">
      <c r="A1749" s="60" t="n"/>
      <c r="B1749" s="73" t="n"/>
      <c r="C1749" s="60" t="n"/>
      <c r="D1749" s="61" t="n"/>
      <c r="E1749" s="74" t="n"/>
      <c r="F1749" s="74" t="n"/>
      <c r="G1749" s="73" t="n"/>
      <c r="H1749" s="66" t="str">
        <f>IF(M1749&lt;&gt;"OK","",INDEX(po_mo,MATCH(D1749,po_code,0)))</f>
        <v/>
      </c>
      <c r="I1749" s="66" t="str">
        <f>IF(M1749&lt;&gt;"OK","",INDEX(po_mac,MATCH(D1749,po_code,0)))</f>
        <v/>
      </c>
      <c r="J1749" s="66" t="str">
        <f>IF(M1749&lt;&gt;"OK","",N(E1749)*(H1749*IF(G1749="",1,G1749)+I1749))</f>
        <v/>
      </c>
      <c r="K1749" s="66" t="str">
        <f>IF(M1749&lt;&gt;"OK","",N(F1749)/60*H1749*IF(G1749="",1,G1749))</f>
        <v/>
      </c>
      <c r="L1749" s="66" t="str">
        <f>IF(M1749&lt;&gt;"OK","",N(F1749)/60*I1749)</f>
        <v/>
      </c>
      <c r="M1749" s="69" t="str">
        <f>IF(AND(A1749="",D1749=""),"",IF(A1749="","Produit manquant",IF(COUNTIF(prod_ref,A1749)=0,"Produit inconnu",IF(D1749="","Poste manquant",IF(ISNA(MATCH(D1749,po_code,0)),"Poste inconnu",IF(INDEX(po_check,MATCH(D1749,po_code,0))&lt;&gt;"OK","Poste à corriger",IF(AND(E1749&lt;&gt;"",OR(NOT(ISNUMBER(E1749)),N(E1749)&lt;0)),"Réglage invalide",IF(AND(F1749&lt;&gt;"",OR(NOT(ISNUMBER(F1749)),N(F1749)&lt;0)),"Temps par pièce invalide",IF(N(E1749)+N(F1749)=0,"Temps manquant",IF(AND(G1749&lt;&gt;"",OR(NOT(ISNUMBER(G1749)),N(G1749)&lt;=0)),"Opérateurs invalide","OK"))))))))))</f>
        <v/>
      </c>
      <c r="N1749" s="71" t="str">
        <f>IF(AND(fiche_sel&lt;&gt;"",A1749=fiche_sel),COUNTIF(A$6:A1749,fiche_sel),"")</f>
        <v/>
      </c>
    </row>
    <row r="1750">
      <c r="A1750" s="60" t="n"/>
      <c r="B1750" s="73" t="n"/>
      <c r="C1750" s="60" t="n"/>
      <c r="D1750" s="61" t="n"/>
      <c r="E1750" s="74" t="n"/>
      <c r="F1750" s="74" t="n"/>
      <c r="G1750" s="73" t="n"/>
      <c r="H1750" s="66" t="str">
        <f>IF(M1750&lt;&gt;"OK","",INDEX(po_mo,MATCH(D1750,po_code,0)))</f>
        <v/>
      </c>
      <c r="I1750" s="66" t="str">
        <f>IF(M1750&lt;&gt;"OK","",INDEX(po_mac,MATCH(D1750,po_code,0)))</f>
        <v/>
      </c>
      <c r="J1750" s="66" t="str">
        <f>IF(M1750&lt;&gt;"OK","",N(E1750)*(H1750*IF(G1750="",1,G1750)+I1750))</f>
        <v/>
      </c>
      <c r="K1750" s="66" t="str">
        <f>IF(M1750&lt;&gt;"OK","",N(F1750)/60*H1750*IF(G1750="",1,G1750))</f>
        <v/>
      </c>
      <c r="L1750" s="66" t="str">
        <f>IF(M1750&lt;&gt;"OK","",N(F1750)/60*I1750)</f>
        <v/>
      </c>
      <c r="M1750" s="69" t="str">
        <f>IF(AND(A1750="",D1750=""),"",IF(A1750="","Produit manquant",IF(COUNTIF(prod_ref,A1750)=0,"Produit inconnu",IF(D1750="","Poste manquant",IF(ISNA(MATCH(D1750,po_code,0)),"Poste inconnu",IF(INDEX(po_check,MATCH(D1750,po_code,0))&lt;&gt;"OK","Poste à corriger",IF(AND(E1750&lt;&gt;"",OR(NOT(ISNUMBER(E1750)),N(E1750)&lt;0)),"Réglage invalide",IF(AND(F1750&lt;&gt;"",OR(NOT(ISNUMBER(F1750)),N(F1750)&lt;0)),"Temps par pièce invalide",IF(N(E1750)+N(F1750)=0,"Temps manquant",IF(AND(G1750&lt;&gt;"",OR(NOT(ISNUMBER(G1750)),N(G1750)&lt;=0)),"Opérateurs invalide","OK"))))))))))</f>
        <v/>
      </c>
      <c r="N1750" s="71" t="str">
        <f>IF(AND(fiche_sel&lt;&gt;"",A1750=fiche_sel),COUNTIF(A$6:A1750,fiche_sel),"")</f>
        <v/>
      </c>
    </row>
    <row r="1751">
      <c r="A1751" s="60" t="n"/>
      <c r="B1751" s="73" t="n"/>
      <c r="C1751" s="60" t="n"/>
      <c r="D1751" s="61" t="n"/>
      <c r="E1751" s="74" t="n"/>
      <c r="F1751" s="74" t="n"/>
      <c r="G1751" s="73" t="n"/>
      <c r="H1751" s="66" t="str">
        <f>IF(M1751&lt;&gt;"OK","",INDEX(po_mo,MATCH(D1751,po_code,0)))</f>
        <v/>
      </c>
      <c r="I1751" s="66" t="str">
        <f>IF(M1751&lt;&gt;"OK","",INDEX(po_mac,MATCH(D1751,po_code,0)))</f>
        <v/>
      </c>
      <c r="J1751" s="66" t="str">
        <f>IF(M1751&lt;&gt;"OK","",N(E1751)*(H1751*IF(G1751="",1,G1751)+I1751))</f>
        <v/>
      </c>
      <c r="K1751" s="66" t="str">
        <f>IF(M1751&lt;&gt;"OK","",N(F1751)/60*H1751*IF(G1751="",1,G1751))</f>
        <v/>
      </c>
      <c r="L1751" s="66" t="str">
        <f>IF(M1751&lt;&gt;"OK","",N(F1751)/60*I1751)</f>
        <v/>
      </c>
      <c r="M1751" s="69" t="str">
        <f>IF(AND(A1751="",D1751=""),"",IF(A1751="","Produit manquant",IF(COUNTIF(prod_ref,A1751)=0,"Produit inconnu",IF(D1751="","Poste manquant",IF(ISNA(MATCH(D1751,po_code,0)),"Poste inconnu",IF(INDEX(po_check,MATCH(D1751,po_code,0))&lt;&gt;"OK","Poste à corriger",IF(AND(E1751&lt;&gt;"",OR(NOT(ISNUMBER(E1751)),N(E1751)&lt;0)),"Réglage invalide",IF(AND(F1751&lt;&gt;"",OR(NOT(ISNUMBER(F1751)),N(F1751)&lt;0)),"Temps par pièce invalide",IF(N(E1751)+N(F1751)=0,"Temps manquant",IF(AND(G1751&lt;&gt;"",OR(NOT(ISNUMBER(G1751)),N(G1751)&lt;=0)),"Opérateurs invalide","OK"))))))))))</f>
        <v/>
      </c>
      <c r="N1751" s="71" t="str">
        <f>IF(AND(fiche_sel&lt;&gt;"",A1751=fiche_sel),COUNTIF(A$6:A1751,fiche_sel),"")</f>
        <v/>
      </c>
    </row>
    <row r="1752">
      <c r="A1752" s="60" t="n"/>
      <c r="B1752" s="73" t="n"/>
      <c r="C1752" s="60" t="n"/>
      <c r="D1752" s="61" t="n"/>
      <c r="E1752" s="74" t="n"/>
      <c r="F1752" s="74" t="n"/>
      <c r="G1752" s="73" t="n"/>
      <c r="H1752" s="66" t="str">
        <f>IF(M1752&lt;&gt;"OK","",INDEX(po_mo,MATCH(D1752,po_code,0)))</f>
        <v/>
      </c>
      <c r="I1752" s="66" t="str">
        <f>IF(M1752&lt;&gt;"OK","",INDEX(po_mac,MATCH(D1752,po_code,0)))</f>
        <v/>
      </c>
      <c r="J1752" s="66" t="str">
        <f>IF(M1752&lt;&gt;"OK","",N(E1752)*(H1752*IF(G1752="",1,G1752)+I1752))</f>
        <v/>
      </c>
      <c r="K1752" s="66" t="str">
        <f>IF(M1752&lt;&gt;"OK","",N(F1752)/60*H1752*IF(G1752="",1,G1752))</f>
        <v/>
      </c>
      <c r="L1752" s="66" t="str">
        <f>IF(M1752&lt;&gt;"OK","",N(F1752)/60*I1752)</f>
        <v/>
      </c>
      <c r="M1752" s="69" t="str">
        <f>IF(AND(A1752="",D1752=""),"",IF(A1752="","Produit manquant",IF(COUNTIF(prod_ref,A1752)=0,"Produit inconnu",IF(D1752="","Poste manquant",IF(ISNA(MATCH(D1752,po_code,0)),"Poste inconnu",IF(INDEX(po_check,MATCH(D1752,po_code,0))&lt;&gt;"OK","Poste à corriger",IF(AND(E1752&lt;&gt;"",OR(NOT(ISNUMBER(E1752)),N(E1752)&lt;0)),"Réglage invalide",IF(AND(F1752&lt;&gt;"",OR(NOT(ISNUMBER(F1752)),N(F1752)&lt;0)),"Temps par pièce invalide",IF(N(E1752)+N(F1752)=0,"Temps manquant",IF(AND(G1752&lt;&gt;"",OR(NOT(ISNUMBER(G1752)),N(G1752)&lt;=0)),"Opérateurs invalide","OK"))))))))))</f>
        <v/>
      </c>
      <c r="N1752" s="71" t="str">
        <f>IF(AND(fiche_sel&lt;&gt;"",A1752=fiche_sel),COUNTIF(A$6:A1752,fiche_sel),"")</f>
        <v/>
      </c>
    </row>
    <row r="1753">
      <c r="A1753" s="60" t="n"/>
      <c r="B1753" s="73" t="n"/>
      <c r="C1753" s="60" t="n"/>
      <c r="D1753" s="61" t="n"/>
      <c r="E1753" s="74" t="n"/>
      <c r="F1753" s="74" t="n"/>
      <c r="G1753" s="73" t="n"/>
      <c r="H1753" s="66" t="str">
        <f>IF(M1753&lt;&gt;"OK","",INDEX(po_mo,MATCH(D1753,po_code,0)))</f>
        <v/>
      </c>
      <c r="I1753" s="66" t="str">
        <f>IF(M1753&lt;&gt;"OK","",INDEX(po_mac,MATCH(D1753,po_code,0)))</f>
        <v/>
      </c>
      <c r="J1753" s="66" t="str">
        <f>IF(M1753&lt;&gt;"OK","",N(E1753)*(H1753*IF(G1753="",1,G1753)+I1753))</f>
        <v/>
      </c>
      <c r="K1753" s="66" t="str">
        <f>IF(M1753&lt;&gt;"OK","",N(F1753)/60*H1753*IF(G1753="",1,G1753))</f>
        <v/>
      </c>
      <c r="L1753" s="66" t="str">
        <f>IF(M1753&lt;&gt;"OK","",N(F1753)/60*I1753)</f>
        <v/>
      </c>
      <c r="M1753" s="69" t="str">
        <f>IF(AND(A1753="",D1753=""),"",IF(A1753="","Produit manquant",IF(COUNTIF(prod_ref,A1753)=0,"Produit inconnu",IF(D1753="","Poste manquant",IF(ISNA(MATCH(D1753,po_code,0)),"Poste inconnu",IF(INDEX(po_check,MATCH(D1753,po_code,0))&lt;&gt;"OK","Poste à corriger",IF(AND(E1753&lt;&gt;"",OR(NOT(ISNUMBER(E1753)),N(E1753)&lt;0)),"Réglage invalide",IF(AND(F1753&lt;&gt;"",OR(NOT(ISNUMBER(F1753)),N(F1753)&lt;0)),"Temps par pièce invalide",IF(N(E1753)+N(F1753)=0,"Temps manquant",IF(AND(G1753&lt;&gt;"",OR(NOT(ISNUMBER(G1753)),N(G1753)&lt;=0)),"Opérateurs invalide","OK"))))))))))</f>
        <v/>
      </c>
      <c r="N1753" s="71" t="str">
        <f>IF(AND(fiche_sel&lt;&gt;"",A1753=fiche_sel),COUNTIF(A$6:A1753,fiche_sel),"")</f>
        <v/>
      </c>
    </row>
    <row r="1754">
      <c r="A1754" s="60" t="n"/>
      <c r="B1754" s="73" t="n"/>
      <c r="C1754" s="60" t="n"/>
      <c r="D1754" s="61" t="n"/>
      <c r="E1754" s="74" t="n"/>
      <c r="F1754" s="74" t="n"/>
      <c r="G1754" s="73" t="n"/>
      <c r="H1754" s="66" t="str">
        <f>IF(M1754&lt;&gt;"OK","",INDEX(po_mo,MATCH(D1754,po_code,0)))</f>
        <v/>
      </c>
      <c r="I1754" s="66" t="str">
        <f>IF(M1754&lt;&gt;"OK","",INDEX(po_mac,MATCH(D1754,po_code,0)))</f>
        <v/>
      </c>
      <c r="J1754" s="66" t="str">
        <f>IF(M1754&lt;&gt;"OK","",N(E1754)*(H1754*IF(G1754="",1,G1754)+I1754))</f>
        <v/>
      </c>
      <c r="K1754" s="66" t="str">
        <f>IF(M1754&lt;&gt;"OK","",N(F1754)/60*H1754*IF(G1754="",1,G1754))</f>
        <v/>
      </c>
      <c r="L1754" s="66" t="str">
        <f>IF(M1754&lt;&gt;"OK","",N(F1754)/60*I1754)</f>
        <v/>
      </c>
      <c r="M1754" s="69" t="str">
        <f>IF(AND(A1754="",D1754=""),"",IF(A1754="","Produit manquant",IF(COUNTIF(prod_ref,A1754)=0,"Produit inconnu",IF(D1754="","Poste manquant",IF(ISNA(MATCH(D1754,po_code,0)),"Poste inconnu",IF(INDEX(po_check,MATCH(D1754,po_code,0))&lt;&gt;"OK","Poste à corriger",IF(AND(E1754&lt;&gt;"",OR(NOT(ISNUMBER(E1754)),N(E1754)&lt;0)),"Réglage invalide",IF(AND(F1754&lt;&gt;"",OR(NOT(ISNUMBER(F1754)),N(F1754)&lt;0)),"Temps par pièce invalide",IF(N(E1754)+N(F1754)=0,"Temps manquant",IF(AND(G1754&lt;&gt;"",OR(NOT(ISNUMBER(G1754)),N(G1754)&lt;=0)),"Opérateurs invalide","OK"))))))))))</f>
        <v/>
      </c>
      <c r="N1754" s="71" t="str">
        <f>IF(AND(fiche_sel&lt;&gt;"",A1754=fiche_sel),COUNTIF(A$6:A1754,fiche_sel),"")</f>
        <v/>
      </c>
    </row>
    <row r="1755">
      <c r="A1755" s="60" t="n"/>
      <c r="B1755" s="73" t="n"/>
      <c r="C1755" s="60" t="n"/>
      <c r="D1755" s="61" t="n"/>
      <c r="E1755" s="74" t="n"/>
      <c r="F1755" s="74" t="n"/>
      <c r="G1755" s="73" t="n"/>
      <c r="H1755" s="66" t="str">
        <f>IF(M1755&lt;&gt;"OK","",INDEX(po_mo,MATCH(D1755,po_code,0)))</f>
        <v/>
      </c>
      <c r="I1755" s="66" t="str">
        <f>IF(M1755&lt;&gt;"OK","",INDEX(po_mac,MATCH(D1755,po_code,0)))</f>
        <v/>
      </c>
      <c r="J1755" s="66" t="str">
        <f>IF(M1755&lt;&gt;"OK","",N(E1755)*(H1755*IF(G1755="",1,G1755)+I1755))</f>
        <v/>
      </c>
      <c r="K1755" s="66" t="str">
        <f>IF(M1755&lt;&gt;"OK","",N(F1755)/60*H1755*IF(G1755="",1,G1755))</f>
        <v/>
      </c>
      <c r="L1755" s="66" t="str">
        <f>IF(M1755&lt;&gt;"OK","",N(F1755)/60*I1755)</f>
        <v/>
      </c>
      <c r="M1755" s="69" t="str">
        <f>IF(AND(A1755="",D1755=""),"",IF(A1755="","Produit manquant",IF(COUNTIF(prod_ref,A1755)=0,"Produit inconnu",IF(D1755="","Poste manquant",IF(ISNA(MATCH(D1755,po_code,0)),"Poste inconnu",IF(INDEX(po_check,MATCH(D1755,po_code,0))&lt;&gt;"OK","Poste à corriger",IF(AND(E1755&lt;&gt;"",OR(NOT(ISNUMBER(E1755)),N(E1755)&lt;0)),"Réglage invalide",IF(AND(F1755&lt;&gt;"",OR(NOT(ISNUMBER(F1755)),N(F1755)&lt;0)),"Temps par pièce invalide",IF(N(E1755)+N(F1755)=0,"Temps manquant",IF(AND(G1755&lt;&gt;"",OR(NOT(ISNUMBER(G1755)),N(G1755)&lt;=0)),"Opérateurs invalide","OK"))))))))))</f>
        <v/>
      </c>
      <c r="N1755" s="71" t="str">
        <f>IF(AND(fiche_sel&lt;&gt;"",A1755=fiche_sel),COUNTIF(A$6:A1755,fiche_sel),"")</f>
        <v/>
      </c>
    </row>
    <row r="1756">
      <c r="A1756" s="60" t="n"/>
      <c r="B1756" s="73" t="n"/>
      <c r="C1756" s="60" t="n"/>
      <c r="D1756" s="61" t="n"/>
      <c r="E1756" s="74" t="n"/>
      <c r="F1756" s="74" t="n"/>
      <c r="G1756" s="73" t="n"/>
      <c r="H1756" s="66" t="str">
        <f>IF(M1756&lt;&gt;"OK","",INDEX(po_mo,MATCH(D1756,po_code,0)))</f>
        <v/>
      </c>
      <c r="I1756" s="66" t="str">
        <f>IF(M1756&lt;&gt;"OK","",INDEX(po_mac,MATCH(D1756,po_code,0)))</f>
        <v/>
      </c>
      <c r="J1756" s="66" t="str">
        <f>IF(M1756&lt;&gt;"OK","",N(E1756)*(H1756*IF(G1756="",1,G1756)+I1756))</f>
        <v/>
      </c>
      <c r="K1756" s="66" t="str">
        <f>IF(M1756&lt;&gt;"OK","",N(F1756)/60*H1756*IF(G1756="",1,G1756))</f>
        <v/>
      </c>
      <c r="L1756" s="66" t="str">
        <f>IF(M1756&lt;&gt;"OK","",N(F1756)/60*I1756)</f>
        <v/>
      </c>
      <c r="M1756" s="69" t="str">
        <f>IF(AND(A1756="",D1756=""),"",IF(A1756="","Produit manquant",IF(COUNTIF(prod_ref,A1756)=0,"Produit inconnu",IF(D1756="","Poste manquant",IF(ISNA(MATCH(D1756,po_code,0)),"Poste inconnu",IF(INDEX(po_check,MATCH(D1756,po_code,0))&lt;&gt;"OK","Poste à corriger",IF(AND(E1756&lt;&gt;"",OR(NOT(ISNUMBER(E1756)),N(E1756)&lt;0)),"Réglage invalide",IF(AND(F1756&lt;&gt;"",OR(NOT(ISNUMBER(F1756)),N(F1756)&lt;0)),"Temps par pièce invalide",IF(N(E1756)+N(F1756)=0,"Temps manquant",IF(AND(G1756&lt;&gt;"",OR(NOT(ISNUMBER(G1756)),N(G1756)&lt;=0)),"Opérateurs invalide","OK"))))))))))</f>
        <v/>
      </c>
      <c r="N1756" s="71" t="str">
        <f>IF(AND(fiche_sel&lt;&gt;"",A1756=fiche_sel),COUNTIF(A$6:A1756,fiche_sel),"")</f>
        <v/>
      </c>
    </row>
    <row r="1757">
      <c r="A1757" s="60" t="n"/>
      <c r="B1757" s="73" t="n"/>
      <c r="C1757" s="60" t="n"/>
      <c r="D1757" s="61" t="n"/>
      <c r="E1757" s="74" t="n"/>
      <c r="F1757" s="74" t="n"/>
      <c r="G1757" s="73" t="n"/>
      <c r="H1757" s="66" t="str">
        <f>IF(M1757&lt;&gt;"OK","",INDEX(po_mo,MATCH(D1757,po_code,0)))</f>
        <v/>
      </c>
      <c r="I1757" s="66" t="str">
        <f>IF(M1757&lt;&gt;"OK","",INDEX(po_mac,MATCH(D1757,po_code,0)))</f>
        <v/>
      </c>
      <c r="J1757" s="66" t="str">
        <f>IF(M1757&lt;&gt;"OK","",N(E1757)*(H1757*IF(G1757="",1,G1757)+I1757))</f>
        <v/>
      </c>
      <c r="K1757" s="66" t="str">
        <f>IF(M1757&lt;&gt;"OK","",N(F1757)/60*H1757*IF(G1757="",1,G1757))</f>
        <v/>
      </c>
      <c r="L1757" s="66" t="str">
        <f>IF(M1757&lt;&gt;"OK","",N(F1757)/60*I1757)</f>
        <v/>
      </c>
      <c r="M1757" s="69" t="str">
        <f>IF(AND(A1757="",D1757=""),"",IF(A1757="","Produit manquant",IF(COUNTIF(prod_ref,A1757)=0,"Produit inconnu",IF(D1757="","Poste manquant",IF(ISNA(MATCH(D1757,po_code,0)),"Poste inconnu",IF(INDEX(po_check,MATCH(D1757,po_code,0))&lt;&gt;"OK","Poste à corriger",IF(AND(E1757&lt;&gt;"",OR(NOT(ISNUMBER(E1757)),N(E1757)&lt;0)),"Réglage invalide",IF(AND(F1757&lt;&gt;"",OR(NOT(ISNUMBER(F1757)),N(F1757)&lt;0)),"Temps par pièce invalide",IF(N(E1757)+N(F1757)=0,"Temps manquant",IF(AND(G1757&lt;&gt;"",OR(NOT(ISNUMBER(G1757)),N(G1757)&lt;=0)),"Opérateurs invalide","OK"))))))))))</f>
        <v/>
      </c>
      <c r="N1757" s="71" t="str">
        <f>IF(AND(fiche_sel&lt;&gt;"",A1757=fiche_sel),COUNTIF(A$6:A1757,fiche_sel),"")</f>
        <v/>
      </c>
    </row>
    <row r="1758">
      <c r="A1758" s="60" t="n"/>
      <c r="B1758" s="73" t="n"/>
      <c r="C1758" s="60" t="n"/>
      <c r="D1758" s="61" t="n"/>
      <c r="E1758" s="74" t="n"/>
      <c r="F1758" s="74" t="n"/>
      <c r="G1758" s="73" t="n"/>
      <c r="H1758" s="66" t="str">
        <f>IF(M1758&lt;&gt;"OK","",INDEX(po_mo,MATCH(D1758,po_code,0)))</f>
        <v/>
      </c>
      <c r="I1758" s="66" t="str">
        <f>IF(M1758&lt;&gt;"OK","",INDEX(po_mac,MATCH(D1758,po_code,0)))</f>
        <v/>
      </c>
      <c r="J1758" s="66" t="str">
        <f>IF(M1758&lt;&gt;"OK","",N(E1758)*(H1758*IF(G1758="",1,G1758)+I1758))</f>
        <v/>
      </c>
      <c r="K1758" s="66" t="str">
        <f>IF(M1758&lt;&gt;"OK","",N(F1758)/60*H1758*IF(G1758="",1,G1758))</f>
        <v/>
      </c>
      <c r="L1758" s="66" t="str">
        <f>IF(M1758&lt;&gt;"OK","",N(F1758)/60*I1758)</f>
        <v/>
      </c>
      <c r="M1758" s="69" t="str">
        <f>IF(AND(A1758="",D1758=""),"",IF(A1758="","Produit manquant",IF(COUNTIF(prod_ref,A1758)=0,"Produit inconnu",IF(D1758="","Poste manquant",IF(ISNA(MATCH(D1758,po_code,0)),"Poste inconnu",IF(INDEX(po_check,MATCH(D1758,po_code,0))&lt;&gt;"OK","Poste à corriger",IF(AND(E1758&lt;&gt;"",OR(NOT(ISNUMBER(E1758)),N(E1758)&lt;0)),"Réglage invalide",IF(AND(F1758&lt;&gt;"",OR(NOT(ISNUMBER(F1758)),N(F1758)&lt;0)),"Temps par pièce invalide",IF(N(E1758)+N(F1758)=0,"Temps manquant",IF(AND(G1758&lt;&gt;"",OR(NOT(ISNUMBER(G1758)),N(G1758)&lt;=0)),"Opérateurs invalide","OK"))))))))))</f>
        <v/>
      </c>
      <c r="N1758" s="71" t="str">
        <f>IF(AND(fiche_sel&lt;&gt;"",A1758=fiche_sel),COUNTIF(A$6:A1758,fiche_sel),"")</f>
        <v/>
      </c>
    </row>
    <row r="1759">
      <c r="A1759" s="60" t="n"/>
      <c r="B1759" s="73" t="n"/>
      <c r="C1759" s="60" t="n"/>
      <c r="D1759" s="61" t="n"/>
      <c r="E1759" s="74" t="n"/>
      <c r="F1759" s="74" t="n"/>
      <c r="G1759" s="73" t="n"/>
      <c r="H1759" s="66" t="str">
        <f>IF(M1759&lt;&gt;"OK","",INDEX(po_mo,MATCH(D1759,po_code,0)))</f>
        <v/>
      </c>
      <c r="I1759" s="66" t="str">
        <f>IF(M1759&lt;&gt;"OK","",INDEX(po_mac,MATCH(D1759,po_code,0)))</f>
        <v/>
      </c>
      <c r="J1759" s="66" t="str">
        <f>IF(M1759&lt;&gt;"OK","",N(E1759)*(H1759*IF(G1759="",1,G1759)+I1759))</f>
        <v/>
      </c>
      <c r="K1759" s="66" t="str">
        <f>IF(M1759&lt;&gt;"OK","",N(F1759)/60*H1759*IF(G1759="",1,G1759))</f>
        <v/>
      </c>
      <c r="L1759" s="66" t="str">
        <f>IF(M1759&lt;&gt;"OK","",N(F1759)/60*I1759)</f>
        <v/>
      </c>
      <c r="M1759" s="69" t="str">
        <f>IF(AND(A1759="",D1759=""),"",IF(A1759="","Produit manquant",IF(COUNTIF(prod_ref,A1759)=0,"Produit inconnu",IF(D1759="","Poste manquant",IF(ISNA(MATCH(D1759,po_code,0)),"Poste inconnu",IF(INDEX(po_check,MATCH(D1759,po_code,0))&lt;&gt;"OK","Poste à corriger",IF(AND(E1759&lt;&gt;"",OR(NOT(ISNUMBER(E1759)),N(E1759)&lt;0)),"Réglage invalide",IF(AND(F1759&lt;&gt;"",OR(NOT(ISNUMBER(F1759)),N(F1759)&lt;0)),"Temps par pièce invalide",IF(N(E1759)+N(F1759)=0,"Temps manquant",IF(AND(G1759&lt;&gt;"",OR(NOT(ISNUMBER(G1759)),N(G1759)&lt;=0)),"Opérateurs invalide","OK"))))))))))</f>
        <v/>
      </c>
      <c r="N1759" s="71" t="str">
        <f>IF(AND(fiche_sel&lt;&gt;"",A1759=fiche_sel),COUNTIF(A$6:A1759,fiche_sel),"")</f>
        <v/>
      </c>
    </row>
    <row r="1760">
      <c r="A1760" s="60" t="n"/>
      <c r="B1760" s="73" t="n"/>
      <c r="C1760" s="60" t="n"/>
      <c r="D1760" s="61" t="n"/>
      <c r="E1760" s="74" t="n"/>
      <c r="F1760" s="74" t="n"/>
      <c r="G1760" s="73" t="n"/>
      <c r="H1760" s="66" t="str">
        <f>IF(M1760&lt;&gt;"OK","",INDEX(po_mo,MATCH(D1760,po_code,0)))</f>
        <v/>
      </c>
      <c r="I1760" s="66" t="str">
        <f>IF(M1760&lt;&gt;"OK","",INDEX(po_mac,MATCH(D1760,po_code,0)))</f>
        <v/>
      </c>
      <c r="J1760" s="66" t="str">
        <f>IF(M1760&lt;&gt;"OK","",N(E1760)*(H1760*IF(G1760="",1,G1760)+I1760))</f>
        <v/>
      </c>
      <c r="K1760" s="66" t="str">
        <f>IF(M1760&lt;&gt;"OK","",N(F1760)/60*H1760*IF(G1760="",1,G1760))</f>
        <v/>
      </c>
      <c r="L1760" s="66" t="str">
        <f>IF(M1760&lt;&gt;"OK","",N(F1760)/60*I1760)</f>
        <v/>
      </c>
      <c r="M1760" s="69" t="str">
        <f>IF(AND(A1760="",D1760=""),"",IF(A1760="","Produit manquant",IF(COUNTIF(prod_ref,A1760)=0,"Produit inconnu",IF(D1760="","Poste manquant",IF(ISNA(MATCH(D1760,po_code,0)),"Poste inconnu",IF(INDEX(po_check,MATCH(D1760,po_code,0))&lt;&gt;"OK","Poste à corriger",IF(AND(E1760&lt;&gt;"",OR(NOT(ISNUMBER(E1760)),N(E1760)&lt;0)),"Réglage invalide",IF(AND(F1760&lt;&gt;"",OR(NOT(ISNUMBER(F1760)),N(F1760)&lt;0)),"Temps par pièce invalide",IF(N(E1760)+N(F1760)=0,"Temps manquant",IF(AND(G1760&lt;&gt;"",OR(NOT(ISNUMBER(G1760)),N(G1760)&lt;=0)),"Opérateurs invalide","OK"))))))))))</f>
        <v/>
      </c>
      <c r="N1760" s="71" t="str">
        <f>IF(AND(fiche_sel&lt;&gt;"",A1760=fiche_sel),COUNTIF(A$6:A1760,fiche_sel),"")</f>
        <v/>
      </c>
    </row>
    <row r="1761">
      <c r="A1761" s="60" t="n"/>
      <c r="B1761" s="73" t="n"/>
      <c r="C1761" s="60" t="n"/>
      <c r="D1761" s="61" t="n"/>
      <c r="E1761" s="74" t="n"/>
      <c r="F1761" s="74" t="n"/>
      <c r="G1761" s="73" t="n"/>
      <c r="H1761" s="66" t="str">
        <f>IF(M1761&lt;&gt;"OK","",INDEX(po_mo,MATCH(D1761,po_code,0)))</f>
        <v/>
      </c>
      <c r="I1761" s="66" t="str">
        <f>IF(M1761&lt;&gt;"OK","",INDEX(po_mac,MATCH(D1761,po_code,0)))</f>
        <v/>
      </c>
      <c r="J1761" s="66" t="str">
        <f>IF(M1761&lt;&gt;"OK","",N(E1761)*(H1761*IF(G1761="",1,G1761)+I1761))</f>
        <v/>
      </c>
      <c r="K1761" s="66" t="str">
        <f>IF(M1761&lt;&gt;"OK","",N(F1761)/60*H1761*IF(G1761="",1,G1761))</f>
        <v/>
      </c>
      <c r="L1761" s="66" t="str">
        <f>IF(M1761&lt;&gt;"OK","",N(F1761)/60*I1761)</f>
        <v/>
      </c>
      <c r="M1761" s="69" t="str">
        <f>IF(AND(A1761="",D1761=""),"",IF(A1761="","Produit manquant",IF(COUNTIF(prod_ref,A1761)=0,"Produit inconnu",IF(D1761="","Poste manquant",IF(ISNA(MATCH(D1761,po_code,0)),"Poste inconnu",IF(INDEX(po_check,MATCH(D1761,po_code,0))&lt;&gt;"OK","Poste à corriger",IF(AND(E1761&lt;&gt;"",OR(NOT(ISNUMBER(E1761)),N(E1761)&lt;0)),"Réglage invalide",IF(AND(F1761&lt;&gt;"",OR(NOT(ISNUMBER(F1761)),N(F1761)&lt;0)),"Temps par pièce invalide",IF(N(E1761)+N(F1761)=0,"Temps manquant",IF(AND(G1761&lt;&gt;"",OR(NOT(ISNUMBER(G1761)),N(G1761)&lt;=0)),"Opérateurs invalide","OK"))))))))))</f>
        <v/>
      </c>
      <c r="N1761" s="71" t="str">
        <f>IF(AND(fiche_sel&lt;&gt;"",A1761=fiche_sel),COUNTIF(A$6:A1761,fiche_sel),"")</f>
        <v/>
      </c>
    </row>
    <row r="1762">
      <c r="A1762" s="60" t="n"/>
      <c r="B1762" s="73" t="n"/>
      <c r="C1762" s="60" t="n"/>
      <c r="D1762" s="61" t="n"/>
      <c r="E1762" s="74" t="n"/>
      <c r="F1762" s="74" t="n"/>
      <c r="G1762" s="73" t="n"/>
      <c r="H1762" s="66" t="str">
        <f>IF(M1762&lt;&gt;"OK","",INDEX(po_mo,MATCH(D1762,po_code,0)))</f>
        <v/>
      </c>
      <c r="I1762" s="66" t="str">
        <f>IF(M1762&lt;&gt;"OK","",INDEX(po_mac,MATCH(D1762,po_code,0)))</f>
        <v/>
      </c>
      <c r="J1762" s="66" t="str">
        <f>IF(M1762&lt;&gt;"OK","",N(E1762)*(H1762*IF(G1762="",1,G1762)+I1762))</f>
        <v/>
      </c>
      <c r="K1762" s="66" t="str">
        <f>IF(M1762&lt;&gt;"OK","",N(F1762)/60*H1762*IF(G1762="",1,G1762))</f>
        <v/>
      </c>
      <c r="L1762" s="66" t="str">
        <f>IF(M1762&lt;&gt;"OK","",N(F1762)/60*I1762)</f>
        <v/>
      </c>
      <c r="M1762" s="69" t="str">
        <f>IF(AND(A1762="",D1762=""),"",IF(A1762="","Produit manquant",IF(COUNTIF(prod_ref,A1762)=0,"Produit inconnu",IF(D1762="","Poste manquant",IF(ISNA(MATCH(D1762,po_code,0)),"Poste inconnu",IF(INDEX(po_check,MATCH(D1762,po_code,0))&lt;&gt;"OK","Poste à corriger",IF(AND(E1762&lt;&gt;"",OR(NOT(ISNUMBER(E1762)),N(E1762)&lt;0)),"Réglage invalide",IF(AND(F1762&lt;&gt;"",OR(NOT(ISNUMBER(F1762)),N(F1762)&lt;0)),"Temps par pièce invalide",IF(N(E1762)+N(F1762)=0,"Temps manquant",IF(AND(G1762&lt;&gt;"",OR(NOT(ISNUMBER(G1762)),N(G1762)&lt;=0)),"Opérateurs invalide","OK"))))))))))</f>
        <v/>
      </c>
      <c r="N1762" s="71" t="str">
        <f>IF(AND(fiche_sel&lt;&gt;"",A1762=fiche_sel),COUNTIF(A$6:A1762,fiche_sel),"")</f>
        <v/>
      </c>
    </row>
    <row r="1763">
      <c r="A1763" s="60" t="n"/>
      <c r="B1763" s="73" t="n"/>
      <c r="C1763" s="60" t="n"/>
      <c r="D1763" s="61" t="n"/>
      <c r="E1763" s="74" t="n"/>
      <c r="F1763" s="74" t="n"/>
      <c r="G1763" s="73" t="n"/>
      <c r="H1763" s="66" t="str">
        <f>IF(M1763&lt;&gt;"OK","",INDEX(po_mo,MATCH(D1763,po_code,0)))</f>
        <v/>
      </c>
      <c r="I1763" s="66" t="str">
        <f>IF(M1763&lt;&gt;"OK","",INDEX(po_mac,MATCH(D1763,po_code,0)))</f>
        <v/>
      </c>
      <c r="J1763" s="66" t="str">
        <f>IF(M1763&lt;&gt;"OK","",N(E1763)*(H1763*IF(G1763="",1,G1763)+I1763))</f>
        <v/>
      </c>
      <c r="K1763" s="66" t="str">
        <f>IF(M1763&lt;&gt;"OK","",N(F1763)/60*H1763*IF(G1763="",1,G1763))</f>
        <v/>
      </c>
      <c r="L1763" s="66" t="str">
        <f>IF(M1763&lt;&gt;"OK","",N(F1763)/60*I1763)</f>
        <v/>
      </c>
      <c r="M1763" s="69" t="str">
        <f>IF(AND(A1763="",D1763=""),"",IF(A1763="","Produit manquant",IF(COUNTIF(prod_ref,A1763)=0,"Produit inconnu",IF(D1763="","Poste manquant",IF(ISNA(MATCH(D1763,po_code,0)),"Poste inconnu",IF(INDEX(po_check,MATCH(D1763,po_code,0))&lt;&gt;"OK","Poste à corriger",IF(AND(E1763&lt;&gt;"",OR(NOT(ISNUMBER(E1763)),N(E1763)&lt;0)),"Réglage invalide",IF(AND(F1763&lt;&gt;"",OR(NOT(ISNUMBER(F1763)),N(F1763)&lt;0)),"Temps par pièce invalide",IF(N(E1763)+N(F1763)=0,"Temps manquant",IF(AND(G1763&lt;&gt;"",OR(NOT(ISNUMBER(G1763)),N(G1763)&lt;=0)),"Opérateurs invalide","OK"))))))))))</f>
        <v/>
      </c>
      <c r="N1763" s="71" t="str">
        <f>IF(AND(fiche_sel&lt;&gt;"",A1763=fiche_sel),COUNTIF(A$6:A1763,fiche_sel),"")</f>
        <v/>
      </c>
    </row>
    <row r="1764">
      <c r="A1764" s="60" t="n"/>
      <c r="B1764" s="73" t="n"/>
      <c r="C1764" s="60" t="n"/>
      <c r="D1764" s="61" t="n"/>
      <c r="E1764" s="74" t="n"/>
      <c r="F1764" s="74" t="n"/>
      <c r="G1764" s="73" t="n"/>
      <c r="H1764" s="66" t="str">
        <f>IF(M1764&lt;&gt;"OK","",INDEX(po_mo,MATCH(D1764,po_code,0)))</f>
        <v/>
      </c>
      <c r="I1764" s="66" t="str">
        <f>IF(M1764&lt;&gt;"OK","",INDEX(po_mac,MATCH(D1764,po_code,0)))</f>
        <v/>
      </c>
      <c r="J1764" s="66" t="str">
        <f>IF(M1764&lt;&gt;"OK","",N(E1764)*(H1764*IF(G1764="",1,G1764)+I1764))</f>
        <v/>
      </c>
      <c r="K1764" s="66" t="str">
        <f>IF(M1764&lt;&gt;"OK","",N(F1764)/60*H1764*IF(G1764="",1,G1764))</f>
        <v/>
      </c>
      <c r="L1764" s="66" t="str">
        <f>IF(M1764&lt;&gt;"OK","",N(F1764)/60*I1764)</f>
        <v/>
      </c>
      <c r="M1764" s="69" t="str">
        <f>IF(AND(A1764="",D1764=""),"",IF(A1764="","Produit manquant",IF(COUNTIF(prod_ref,A1764)=0,"Produit inconnu",IF(D1764="","Poste manquant",IF(ISNA(MATCH(D1764,po_code,0)),"Poste inconnu",IF(INDEX(po_check,MATCH(D1764,po_code,0))&lt;&gt;"OK","Poste à corriger",IF(AND(E1764&lt;&gt;"",OR(NOT(ISNUMBER(E1764)),N(E1764)&lt;0)),"Réglage invalide",IF(AND(F1764&lt;&gt;"",OR(NOT(ISNUMBER(F1764)),N(F1764)&lt;0)),"Temps par pièce invalide",IF(N(E1764)+N(F1764)=0,"Temps manquant",IF(AND(G1764&lt;&gt;"",OR(NOT(ISNUMBER(G1764)),N(G1764)&lt;=0)),"Opérateurs invalide","OK"))))))))))</f>
        <v/>
      </c>
      <c r="N1764" s="71" t="str">
        <f>IF(AND(fiche_sel&lt;&gt;"",A1764=fiche_sel),COUNTIF(A$6:A1764,fiche_sel),"")</f>
        <v/>
      </c>
    </row>
    <row r="1765">
      <c r="A1765" s="60" t="n"/>
      <c r="B1765" s="73" t="n"/>
      <c r="C1765" s="60" t="n"/>
      <c r="D1765" s="61" t="n"/>
      <c r="E1765" s="74" t="n"/>
      <c r="F1765" s="74" t="n"/>
      <c r="G1765" s="73" t="n"/>
      <c r="H1765" s="66" t="str">
        <f>IF(M1765&lt;&gt;"OK","",INDEX(po_mo,MATCH(D1765,po_code,0)))</f>
        <v/>
      </c>
      <c r="I1765" s="66" t="str">
        <f>IF(M1765&lt;&gt;"OK","",INDEX(po_mac,MATCH(D1765,po_code,0)))</f>
        <v/>
      </c>
      <c r="J1765" s="66" t="str">
        <f>IF(M1765&lt;&gt;"OK","",N(E1765)*(H1765*IF(G1765="",1,G1765)+I1765))</f>
        <v/>
      </c>
      <c r="K1765" s="66" t="str">
        <f>IF(M1765&lt;&gt;"OK","",N(F1765)/60*H1765*IF(G1765="",1,G1765))</f>
        <v/>
      </c>
      <c r="L1765" s="66" t="str">
        <f>IF(M1765&lt;&gt;"OK","",N(F1765)/60*I1765)</f>
        <v/>
      </c>
      <c r="M1765" s="69" t="str">
        <f>IF(AND(A1765="",D1765=""),"",IF(A1765="","Produit manquant",IF(COUNTIF(prod_ref,A1765)=0,"Produit inconnu",IF(D1765="","Poste manquant",IF(ISNA(MATCH(D1765,po_code,0)),"Poste inconnu",IF(INDEX(po_check,MATCH(D1765,po_code,0))&lt;&gt;"OK","Poste à corriger",IF(AND(E1765&lt;&gt;"",OR(NOT(ISNUMBER(E1765)),N(E1765)&lt;0)),"Réglage invalide",IF(AND(F1765&lt;&gt;"",OR(NOT(ISNUMBER(F1765)),N(F1765)&lt;0)),"Temps par pièce invalide",IF(N(E1765)+N(F1765)=0,"Temps manquant",IF(AND(G1765&lt;&gt;"",OR(NOT(ISNUMBER(G1765)),N(G1765)&lt;=0)),"Opérateurs invalide","OK"))))))))))</f>
        <v/>
      </c>
      <c r="N1765" s="71" t="str">
        <f>IF(AND(fiche_sel&lt;&gt;"",A1765=fiche_sel),COUNTIF(A$6:A1765,fiche_sel),"")</f>
        <v/>
      </c>
    </row>
    <row r="1766">
      <c r="A1766" s="60" t="n"/>
      <c r="B1766" s="73" t="n"/>
      <c r="C1766" s="60" t="n"/>
      <c r="D1766" s="61" t="n"/>
      <c r="E1766" s="74" t="n"/>
      <c r="F1766" s="74" t="n"/>
      <c r="G1766" s="73" t="n"/>
      <c r="H1766" s="66" t="str">
        <f>IF(M1766&lt;&gt;"OK","",INDEX(po_mo,MATCH(D1766,po_code,0)))</f>
        <v/>
      </c>
      <c r="I1766" s="66" t="str">
        <f>IF(M1766&lt;&gt;"OK","",INDEX(po_mac,MATCH(D1766,po_code,0)))</f>
        <v/>
      </c>
      <c r="J1766" s="66" t="str">
        <f>IF(M1766&lt;&gt;"OK","",N(E1766)*(H1766*IF(G1766="",1,G1766)+I1766))</f>
        <v/>
      </c>
      <c r="K1766" s="66" t="str">
        <f>IF(M1766&lt;&gt;"OK","",N(F1766)/60*H1766*IF(G1766="",1,G1766))</f>
        <v/>
      </c>
      <c r="L1766" s="66" t="str">
        <f>IF(M1766&lt;&gt;"OK","",N(F1766)/60*I1766)</f>
        <v/>
      </c>
      <c r="M1766" s="69" t="str">
        <f>IF(AND(A1766="",D1766=""),"",IF(A1766="","Produit manquant",IF(COUNTIF(prod_ref,A1766)=0,"Produit inconnu",IF(D1766="","Poste manquant",IF(ISNA(MATCH(D1766,po_code,0)),"Poste inconnu",IF(INDEX(po_check,MATCH(D1766,po_code,0))&lt;&gt;"OK","Poste à corriger",IF(AND(E1766&lt;&gt;"",OR(NOT(ISNUMBER(E1766)),N(E1766)&lt;0)),"Réglage invalide",IF(AND(F1766&lt;&gt;"",OR(NOT(ISNUMBER(F1766)),N(F1766)&lt;0)),"Temps par pièce invalide",IF(N(E1766)+N(F1766)=0,"Temps manquant",IF(AND(G1766&lt;&gt;"",OR(NOT(ISNUMBER(G1766)),N(G1766)&lt;=0)),"Opérateurs invalide","OK"))))))))))</f>
        <v/>
      </c>
      <c r="N1766" s="71" t="str">
        <f>IF(AND(fiche_sel&lt;&gt;"",A1766=fiche_sel),COUNTIF(A$6:A1766,fiche_sel),"")</f>
        <v/>
      </c>
    </row>
    <row r="1767">
      <c r="A1767" s="60" t="n"/>
      <c r="B1767" s="73" t="n"/>
      <c r="C1767" s="60" t="n"/>
      <c r="D1767" s="61" t="n"/>
      <c r="E1767" s="74" t="n"/>
      <c r="F1767" s="74" t="n"/>
      <c r="G1767" s="73" t="n"/>
      <c r="H1767" s="66" t="str">
        <f>IF(M1767&lt;&gt;"OK","",INDEX(po_mo,MATCH(D1767,po_code,0)))</f>
        <v/>
      </c>
      <c r="I1767" s="66" t="str">
        <f>IF(M1767&lt;&gt;"OK","",INDEX(po_mac,MATCH(D1767,po_code,0)))</f>
        <v/>
      </c>
      <c r="J1767" s="66" t="str">
        <f>IF(M1767&lt;&gt;"OK","",N(E1767)*(H1767*IF(G1767="",1,G1767)+I1767))</f>
        <v/>
      </c>
      <c r="K1767" s="66" t="str">
        <f>IF(M1767&lt;&gt;"OK","",N(F1767)/60*H1767*IF(G1767="",1,G1767))</f>
        <v/>
      </c>
      <c r="L1767" s="66" t="str">
        <f>IF(M1767&lt;&gt;"OK","",N(F1767)/60*I1767)</f>
        <v/>
      </c>
      <c r="M1767" s="69" t="str">
        <f>IF(AND(A1767="",D1767=""),"",IF(A1767="","Produit manquant",IF(COUNTIF(prod_ref,A1767)=0,"Produit inconnu",IF(D1767="","Poste manquant",IF(ISNA(MATCH(D1767,po_code,0)),"Poste inconnu",IF(INDEX(po_check,MATCH(D1767,po_code,0))&lt;&gt;"OK","Poste à corriger",IF(AND(E1767&lt;&gt;"",OR(NOT(ISNUMBER(E1767)),N(E1767)&lt;0)),"Réglage invalide",IF(AND(F1767&lt;&gt;"",OR(NOT(ISNUMBER(F1767)),N(F1767)&lt;0)),"Temps par pièce invalide",IF(N(E1767)+N(F1767)=0,"Temps manquant",IF(AND(G1767&lt;&gt;"",OR(NOT(ISNUMBER(G1767)),N(G1767)&lt;=0)),"Opérateurs invalide","OK"))))))))))</f>
        <v/>
      </c>
      <c r="N1767" s="71" t="str">
        <f>IF(AND(fiche_sel&lt;&gt;"",A1767=fiche_sel),COUNTIF(A$6:A1767,fiche_sel),"")</f>
        <v/>
      </c>
    </row>
    <row r="1768">
      <c r="A1768" s="60" t="n"/>
      <c r="B1768" s="73" t="n"/>
      <c r="C1768" s="60" t="n"/>
      <c r="D1768" s="61" t="n"/>
      <c r="E1768" s="74" t="n"/>
      <c r="F1768" s="74" t="n"/>
      <c r="G1768" s="73" t="n"/>
      <c r="H1768" s="66" t="str">
        <f>IF(M1768&lt;&gt;"OK","",INDEX(po_mo,MATCH(D1768,po_code,0)))</f>
        <v/>
      </c>
      <c r="I1768" s="66" t="str">
        <f>IF(M1768&lt;&gt;"OK","",INDEX(po_mac,MATCH(D1768,po_code,0)))</f>
        <v/>
      </c>
      <c r="J1768" s="66" t="str">
        <f>IF(M1768&lt;&gt;"OK","",N(E1768)*(H1768*IF(G1768="",1,G1768)+I1768))</f>
        <v/>
      </c>
      <c r="K1768" s="66" t="str">
        <f>IF(M1768&lt;&gt;"OK","",N(F1768)/60*H1768*IF(G1768="",1,G1768))</f>
        <v/>
      </c>
      <c r="L1768" s="66" t="str">
        <f>IF(M1768&lt;&gt;"OK","",N(F1768)/60*I1768)</f>
        <v/>
      </c>
      <c r="M1768" s="69" t="str">
        <f>IF(AND(A1768="",D1768=""),"",IF(A1768="","Produit manquant",IF(COUNTIF(prod_ref,A1768)=0,"Produit inconnu",IF(D1768="","Poste manquant",IF(ISNA(MATCH(D1768,po_code,0)),"Poste inconnu",IF(INDEX(po_check,MATCH(D1768,po_code,0))&lt;&gt;"OK","Poste à corriger",IF(AND(E1768&lt;&gt;"",OR(NOT(ISNUMBER(E1768)),N(E1768)&lt;0)),"Réglage invalide",IF(AND(F1768&lt;&gt;"",OR(NOT(ISNUMBER(F1768)),N(F1768)&lt;0)),"Temps par pièce invalide",IF(N(E1768)+N(F1768)=0,"Temps manquant",IF(AND(G1768&lt;&gt;"",OR(NOT(ISNUMBER(G1768)),N(G1768)&lt;=0)),"Opérateurs invalide","OK"))))))))))</f>
        <v/>
      </c>
      <c r="N1768" s="71" t="str">
        <f>IF(AND(fiche_sel&lt;&gt;"",A1768=fiche_sel),COUNTIF(A$6:A1768,fiche_sel),"")</f>
        <v/>
      </c>
    </row>
    <row r="1769">
      <c r="A1769" s="60" t="n"/>
      <c r="B1769" s="73" t="n"/>
      <c r="C1769" s="60" t="n"/>
      <c r="D1769" s="61" t="n"/>
      <c r="E1769" s="74" t="n"/>
      <c r="F1769" s="74" t="n"/>
      <c r="G1769" s="73" t="n"/>
      <c r="H1769" s="66" t="str">
        <f>IF(M1769&lt;&gt;"OK","",INDEX(po_mo,MATCH(D1769,po_code,0)))</f>
        <v/>
      </c>
      <c r="I1769" s="66" t="str">
        <f>IF(M1769&lt;&gt;"OK","",INDEX(po_mac,MATCH(D1769,po_code,0)))</f>
        <v/>
      </c>
      <c r="J1769" s="66" t="str">
        <f>IF(M1769&lt;&gt;"OK","",N(E1769)*(H1769*IF(G1769="",1,G1769)+I1769))</f>
        <v/>
      </c>
      <c r="K1769" s="66" t="str">
        <f>IF(M1769&lt;&gt;"OK","",N(F1769)/60*H1769*IF(G1769="",1,G1769))</f>
        <v/>
      </c>
      <c r="L1769" s="66" t="str">
        <f>IF(M1769&lt;&gt;"OK","",N(F1769)/60*I1769)</f>
        <v/>
      </c>
      <c r="M1769" s="69" t="str">
        <f>IF(AND(A1769="",D1769=""),"",IF(A1769="","Produit manquant",IF(COUNTIF(prod_ref,A1769)=0,"Produit inconnu",IF(D1769="","Poste manquant",IF(ISNA(MATCH(D1769,po_code,0)),"Poste inconnu",IF(INDEX(po_check,MATCH(D1769,po_code,0))&lt;&gt;"OK","Poste à corriger",IF(AND(E1769&lt;&gt;"",OR(NOT(ISNUMBER(E1769)),N(E1769)&lt;0)),"Réglage invalide",IF(AND(F1769&lt;&gt;"",OR(NOT(ISNUMBER(F1769)),N(F1769)&lt;0)),"Temps par pièce invalide",IF(N(E1769)+N(F1769)=0,"Temps manquant",IF(AND(G1769&lt;&gt;"",OR(NOT(ISNUMBER(G1769)),N(G1769)&lt;=0)),"Opérateurs invalide","OK"))))))))))</f>
        <v/>
      </c>
      <c r="N1769" s="71" t="str">
        <f>IF(AND(fiche_sel&lt;&gt;"",A1769=fiche_sel),COUNTIF(A$6:A1769,fiche_sel),"")</f>
        <v/>
      </c>
    </row>
    <row r="1770">
      <c r="A1770" s="60" t="n"/>
      <c r="B1770" s="73" t="n"/>
      <c r="C1770" s="60" t="n"/>
      <c r="D1770" s="61" t="n"/>
      <c r="E1770" s="74" t="n"/>
      <c r="F1770" s="74" t="n"/>
      <c r="G1770" s="73" t="n"/>
      <c r="H1770" s="66" t="str">
        <f>IF(M1770&lt;&gt;"OK","",INDEX(po_mo,MATCH(D1770,po_code,0)))</f>
        <v/>
      </c>
      <c r="I1770" s="66" t="str">
        <f>IF(M1770&lt;&gt;"OK","",INDEX(po_mac,MATCH(D1770,po_code,0)))</f>
        <v/>
      </c>
      <c r="J1770" s="66" t="str">
        <f>IF(M1770&lt;&gt;"OK","",N(E1770)*(H1770*IF(G1770="",1,G1770)+I1770))</f>
        <v/>
      </c>
      <c r="K1770" s="66" t="str">
        <f>IF(M1770&lt;&gt;"OK","",N(F1770)/60*H1770*IF(G1770="",1,G1770))</f>
        <v/>
      </c>
      <c r="L1770" s="66" t="str">
        <f>IF(M1770&lt;&gt;"OK","",N(F1770)/60*I1770)</f>
        <v/>
      </c>
      <c r="M1770" s="69" t="str">
        <f>IF(AND(A1770="",D1770=""),"",IF(A1770="","Produit manquant",IF(COUNTIF(prod_ref,A1770)=0,"Produit inconnu",IF(D1770="","Poste manquant",IF(ISNA(MATCH(D1770,po_code,0)),"Poste inconnu",IF(INDEX(po_check,MATCH(D1770,po_code,0))&lt;&gt;"OK","Poste à corriger",IF(AND(E1770&lt;&gt;"",OR(NOT(ISNUMBER(E1770)),N(E1770)&lt;0)),"Réglage invalide",IF(AND(F1770&lt;&gt;"",OR(NOT(ISNUMBER(F1770)),N(F1770)&lt;0)),"Temps par pièce invalide",IF(N(E1770)+N(F1770)=0,"Temps manquant",IF(AND(G1770&lt;&gt;"",OR(NOT(ISNUMBER(G1770)),N(G1770)&lt;=0)),"Opérateurs invalide","OK"))))))))))</f>
        <v/>
      </c>
      <c r="N1770" s="71" t="str">
        <f>IF(AND(fiche_sel&lt;&gt;"",A1770=fiche_sel),COUNTIF(A$6:A1770,fiche_sel),"")</f>
        <v/>
      </c>
    </row>
    <row r="1771">
      <c r="A1771" s="60" t="n"/>
      <c r="B1771" s="73" t="n"/>
      <c r="C1771" s="60" t="n"/>
      <c r="D1771" s="61" t="n"/>
      <c r="E1771" s="74" t="n"/>
      <c r="F1771" s="74" t="n"/>
      <c r="G1771" s="73" t="n"/>
      <c r="H1771" s="66" t="str">
        <f>IF(M1771&lt;&gt;"OK","",INDEX(po_mo,MATCH(D1771,po_code,0)))</f>
        <v/>
      </c>
      <c r="I1771" s="66" t="str">
        <f>IF(M1771&lt;&gt;"OK","",INDEX(po_mac,MATCH(D1771,po_code,0)))</f>
        <v/>
      </c>
      <c r="J1771" s="66" t="str">
        <f>IF(M1771&lt;&gt;"OK","",N(E1771)*(H1771*IF(G1771="",1,G1771)+I1771))</f>
        <v/>
      </c>
      <c r="K1771" s="66" t="str">
        <f>IF(M1771&lt;&gt;"OK","",N(F1771)/60*H1771*IF(G1771="",1,G1771))</f>
        <v/>
      </c>
      <c r="L1771" s="66" t="str">
        <f>IF(M1771&lt;&gt;"OK","",N(F1771)/60*I1771)</f>
        <v/>
      </c>
      <c r="M1771" s="69" t="str">
        <f>IF(AND(A1771="",D1771=""),"",IF(A1771="","Produit manquant",IF(COUNTIF(prod_ref,A1771)=0,"Produit inconnu",IF(D1771="","Poste manquant",IF(ISNA(MATCH(D1771,po_code,0)),"Poste inconnu",IF(INDEX(po_check,MATCH(D1771,po_code,0))&lt;&gt;"OK","Poste à corriger",IF(AND(E1771&lt;&gt;"",OR(NOT(ISNUMBER(E1771)),N(E1771)&lt;0)),"Réglage invalide",IF(AND(F1771&lt;&gt;"",OR(NOT(ISNUMBER(F1771)),N(F1771)&lt;0)),"Temps par pièce invalide",IF(N(E1771)+N(F1771)=0,"Temps manquant",IF(AND(G1771&lt;&gt;"",OR(NOT(ISNUMBER(G1771)),N(G1771)&lt;=0)),"Opérateurs invalide","OK"))))))))))</f>
        <v/>
      </c>
      <c r="N1771" s="71" t="str">
        <f>IF(AND(fiche_sel&lt;&gt;"",A1771=fiche_sel),COUNTIF(A$6:A1771,fiche_sel),"")</f>
        <v/>
      </c>
    </row>
    <row r="1772">
      <c r="A1772" s="60" t="n"/>
      <c r="B1772" s="73" t="n"/>
      <c r="C1772" s="60" t="n"/>
      <c r="D1772" s="61" t="n"/>
      <c r="E1772" s="74" t="n"/>
      <c r="F1772" s="74" t="n"/>
      <c r="G1772" s="73" t="n"/>
      <c r="H1772" s="66" t="str">
        <f>IF(M1772&lt;&gt;"OK","",INDEX(po_mo,MATCH(D1772,po_code,0)))</f>
        <v/>
      </c>
      <c r="I1772" s="66" t="str">
        <f>IF(M1772&lt;&gt;"OK","",INDEX(po_mac,MATCH(D1772,po_code,0)))</f>
        <v/>
      </c>
      <c r="J1772" s="66" t="str">
        <f>IF(M1772&lt;&gt;"OK","",N(E1772)*(H1772*IF(G1772="",1,G1772)+I1772))</f>
        <v/>
      </c>
      <c r="K1772" s="66" t="str">
        <f>IF(M1772&lt;&gt;"OK","",N(F1772)/60*H1772*IF(G1772="",1,G1772))</f>
        <v/>
      </c>
      <c r="L1772" s="66" t="str">
        <f>IF(M1772&lt;&gt;"OK","",N(F1772)/60*I1772)</f>
        <v/>
      </c>
      <c r="M1772" s="69" t="str">
        <f>IF(AND(A1772="",D1772=""),"",IF(A1772="","Produit manquant",IF(COUNTIF(prod_ref,A1772)=0,"Produit inconnu",IF(D1772="","Poste manquant",IF(ISNA(MATCH(D1772,po_code,0)),"Poste inconnu",IF(INDEX(po_check,MATCH(D1772,po_code,0))&lt;&gt;"OK","Poste à corriger",IF(AND(E1772&lt;&gt;"",OR(NOT(ISNUMBER(E1772)),N(E1772)&lt;0)),"Réglage invalide",IF(AND(F1772&lt;&gt;"",OR(NOT(ISNUMBER(F1772)),N(F1772)&lt;0)),"Temps par pièce invalide",IF(N(E1772)+N(F1772)=0,"Temps manquant",IF(AND(G1772&lt;&gt;"",OR(NOT(ISNUMBER(G1772)),N(G1772)&lt;=0)),"Opérateurs invalide","OK"))))))))))</f>
        <v/>
      </c>
      <c r="N1772" s="71" t="str">
        <f>IF(AND(fiche_sel&lt;&gt;"",A1772=fiche_sel),COUNTIF(A$6:A1772,fiche_sel),"")</f>
        <v/>
      </c>
    </row>
    <row r="1773">
      <c r="A1773" s="60" t="n"/>
      <c r="B1773" s="73" t="n"/>
      <c r="C1773" s="60" t="n"/>
      <c r="D1773" s="61" t="n"/>
      <c r="E1773" s="74" t="n"/>
      <c r="F1773" s="74" t="n"/>
      <c r="G1773" s="73" t="n"/>
      <c r="H1773" s="66" t="str">
        <f>IF(M1773&lt;&gt;"OK","",INDEX(po_mo,MATCH(D1773,po_code,0)))</f>
        <v/>
      </c>
      <c r="I1773" s="66" t="str">
        <f>IF(M1773&lt;&gt;"OK","",INDEX(po_mac,MATCH(D1773,po_code,0)))</f>
        <v/>
      </c>
      <c r="J1773" s="66" t="str">
        <f>IF(M1773&lt;&gt;"OK","",N(E1773)*(H1773*IF(G1773="",1,G1773)+I1773))</f>
        <v/>
      </c>
      <c r="K1773" s="66" t="str">
        <f>IF(M1773&lt;&gt;"OK","",N(F1773)/60*H1773*IF(G1773="",1,G1773))</f>
        <v/>
      </c>
      <c r="L1773" s="66" t="str">
        <f>IF(M1773&lt;&gt;"OK","",N(F1773)/60*I1773)</f>
        <v/>
      </c>
      <c r="M1773" s="69" t="str">
        <f>IF(AND(A1773="",D1773=""),"",IF(A1773="","Produit manquant",IF(COUNTIF(prod_ref,A1773)=0,"Produit inconnu",IF(D1773="","Poste manquant",IF(ISNA(MATCH(D1773,po_code,0)),"Poste inconnu",IF(INDEX(po_check,MATCH(D1773,po_code,0))&lt;&gt;"OK","Poste à corriger",IF(AND(E1773&lt;&gt;"",OR(NOT(ISNUMBER(E1773)),N(E1773)&lt;0)),"Réglage invalide",IF(AND(F1773&lt;&gt;"",OR(NOT(ISNUMBER(F1773)),N(F1773)&lt;0)),"Temps par pièce invalide",IF(N(E1773)+N(F1773)=0,"Temps manquant",IF(AND(G1773&lt;&gt;"",OR(NOT(ISNUMBER(G1773)),N(G1773)&lt;=0)),"Opérateurs invalide","OK"))))))))))</f>
        <v/>
      </c>
      <c r="N1773" s="71" t="str">
        <f>IF(AND(fiche_sel&lt;&gt;"",A1773=fiche_sel),COUNTIF(A$6:A1773,fiche_sel),"")</f>
        <v/>
      </c>
    </row>
    <row r="1774">
      <c r="A1774" s="60" t="n"/>
      <c r="B1774" s="73" t="n"/>
      <c r="C1774" s="60" t="n"/>
      <c r="D1774" s="61" t="n"/>
      <c r="E1774" s="74" t="n"/>
      <c r="F1774" s="74" t="n"/>
      <c r="G1774" s="73" t="n"/>
      <c r="H1774" s="66" t="str">
        <f>IF(M1774&lt;&gt;"OK","",INDEX(po_mo,MATCH(D1774,po_code,0)))</f>
        <v/>
      </c>
      <c r="I1774" s="66" t="str">
        <f>IF(M1774&lt;&gt;"OK","",INDEX(po_mac,MATCH(D1774,po_code,0)))</f>
        <v/>
      </c>
      <c r="J1774" s="66" t="str">
        <f>IF(M1774&lt;&gt;"OK","",N(E1774)*(H1774*IF(G1774="",1,G1774)+I1774))</f>
        <v/>
      </c>
      <c r="K1774" s="66" t="str">
        <f>IF(M1774&lt;&gt;"OK","",N(F1774)/60*H1774*IF(G1774="",1,G1774))</f>
        <v/>
      </c>
      <c r="L1774" s="66" t="str">
        <f>IF(M1774&lt;&gt;"OK","",N(F1774)/60*I1774)</f>
        <v/>
      </c>
      <c r="M1774" s="69" t="str">
        <f>IF(AND(A1774="",D1774=""),"",IF(A1774="","Produit manquant",IF(COUNTIF(prod_ref,A1774)=0,"Produit inconnu",IF(D1774="","Poste manquant",IF(ISNA(MATCH(D1774,po_code,0)),"Poste inconnu",IF(INDEX(po_check,MATCH(D1774,po_code,0))&lt;&gt;"OK","Poste à corriger",IF(AND(E1774&lt;&gt;"",OR(NOT(ISNUMBER(E1774)),N(E1774)&lt;0)),"Réglage invalide",IF(AND(F1774&lt;&gt;"",OR(NOT(ISNUMBER(F1774)),N(F1774)&lt;0)),"Temps par pièce invalide",IF(N(E1774)+N(F1774)=0,"Temps manquant",IF(AND(G1774&lt;&gt;"",OR(NOT(ISNUMBER(G1774)),N(G1774)&lt;=0)),"Opérateurs invalide","OK"))))))))))</f>
        <v/>
      </c>
      <c r="N1774" s="71" t="str">
        <f>IF(AND(fiche_sel&lt;&gt;"",A1774=fiche_sel),COUNTIF(A$6:A1774,fiche_sel),"")</f>
        <v/>
      </c>
    </row>
    <row r="1775">
      <c r="A1775" s="60" t="n"/>
      <c r="B1775" s="73" t="n"/>
      <c r="C1775" s="60" t="n"/>
      <c r="D1775" s="61" t="n"/>
      <c r="E1775" s="74" t="n"/>
      <c r="F1775" s="74" t="n"/>
      <c r="G1775" s="73" t="n"/>
      <c r="H1775" s="66" t="str">
        <f>IF(M1775&lt;&gt;"OK","",INDEX(po_mo,MATCH(D1775,po_code,0)))</f>
        <v/>
      </c>
      <c r="I1775" s="66" t="str">
        <f>IF(M1775&lt;&gt;"OK","",INDEX(po_mac,MATCH(D1775,po_code,0)))</f>
        <v/>
      </c>
      <c r="J1775" s="66" t="str">
        <f>IF(M1775&lt;&gt;"OK","",N(E1775)*(H1775*IF(G1775="",1,G1775)+I1775))</f>
        <v/>
      </c>
      <c r="K1775" s="66" t="str">
        <f>IF(M1775&lt;&gt;"OK","",N(F1775)/60*H1775*IF(G1775="",1,G1775))</f>
        <v/>
      </c>
      <c r="L1775" s="66" t="str">
        <f>IF(M1775&lt;&gt;"OK","",N(F1775)/60*I1775)</f>
        <v/>
      </c>
      <c r="M1775" s="69" t="str">
        <f>IF(AND(A1775="",D1775=""),"",IF(A1775="","Produit manquant",IF(COUNTIF(prod_ref,A1775)=0,"Produit inconnu",IF(D1775="","Poste manquant",IF(ISNA(MATCH(D1775,po_code,0)),"Poste inconnu",IF(INDEX(po_check,MATCH(D1775,po_code,0))&lt;&gt;"OK","Poste à corriger",IF(AND(E1775&lt;&gt;"",OR(NOT(ISNUMBER(E1775)),N(E1775)&lt;0)),"Réglage invalide",IF(AND(F1775&lt;&gt;"",OR(NOT(ISNUMBER(F1775)),N(F1775)&lt;0)),"Temps par pièce invalide",IF(N(E1775)+N(F1775)=0,"Temps manquant",IF(AND(G1775&lt;&gt;"",OR(NOT(ISNUMBER(G1775)),N(G1775)&lt;=0)),"Opérateurs invalide","OK"))))))))))</f>
        <v/>
      </c>
      <c r="N1775" s="71" t="str">
        <f>IF(AND(fiche_sel&lt;&gt;"",A1775=fiche_sel),COUNTIF(A$6:A1775,fiche_sel),"")</f>
        <v/>
      </c>
    </row>
    <row r="1776">
      <c r="A1776" s="60" t="n"/>
      <c r="B1776" s="73" t="n"/>
      <c r="C1776" s="60" t="n"/>
      <c r="D1776" s="61" t="n"/>
      <c r="E1776" s="74" t="n"/>
      <c r="F1776" s="74" t="n"/>
      <c r="G1776" s="73" t="n"/>
      <c r="H1776" s="66" t="str">
        <f>IF(M1776&lt;&gt;"OK","",INDEX(po_mo,MATCH(D1776,po_code,0)))</f>
        <v/>
      </c>
      <c r="I1776" s="66" t="str">
        <f>IF(M1776&lt;&gt;"OK","",INDEX(po_mac,MATCH(D1776,po_code,0)))</f>
        <v/>
      </c>
      <c r="J1776" s="66" t="str">
        <f>IF(M1776&lt;&gt;"OK","",N(E1776)*(H1776*IF(G1776="",1,G1776)+I1776))</f>
        <v/>
      </c>
      <c r="K1776" s="66" t="str">
        <f>IF(M1776&lt;&gt;"OK","",N(F1776)/60*H1776*IF(G1776="",1,G1776))</f>
        <v/>
      </c>
      <c r="L1776" s="66" t="str">
        <f>IF(M1776&lt;&gt;"OK","",N(F1776)/60*I1776)</f>
        <v/>
      </c>
      <c r="M1776" s="69" t="str">
        <f>IF(AND(A1776="",D1776=""),"",IF(A1776="","Produit manquant",IF(COUNTIF(prod_ref,A1776)=0,"Produit inconnu",IF(D1776="","Poste manquant",IF(ISNA(MATCH(D1776,po_code,0)),"Poste inconnu",IF(INDEX(po_check,MATCH(D1776,po_code,0))&lt;&gt;"OK","Poste à corriger",IF(AND(E1776&lt;&gt;"",OR(NOT(ISNUMBER(E1776)),N(E1776)&lt;0)),"Réglage invalide",IF(AND(F1776&lt;&gt;"",OR(NOT(ISNUMBER(F1776)),N(F1776)&lt;0)),"Temps par pièce invalide",IF(N(E1776)+N(F1776)=0,"Temps manquant",IF(AND(G1776&lt;&gt;"",OR(NOT(ISNUMBER(G1776)),N(G1776)&lt;=0)),"Opérateurs invalide","OK"))))))))))</f>
        <v/>
      </c>
      <c r="N1776" s="71" t="str">
        <f>IF(AND(fiche_sel&lt;&gt;"",A1776=fiche_sel),COUNTIF(A$6:A1776,fiche_sel),"")</f>
        <v/>
      </c>
    </row>
    <row r="1777">
      <c r="A1777" s="60" t="n"/>
      <c r="B1777" s="73" t="n"/>
      <c r="C1777" s="60" t="n"/>
      <c r="D1777" s="61" t="n"/>
      <c r="E1777" s="74" t="n"/>
      <c r="F1777" s="74" t="n"/>
      <c r="G1777" s="73" t="n"/>
      <c r="H1777" s="66" t="str">
        <f>IF(M1777&lt;&gt;"OK","",INDEX(po_mo,MATCH(D1777,po_code,0)))</f>
        <v/>
      </c>
      <c r="I1777" s="66" t="str">
        <f>IF(M1777&lt;&gt;"OK","",INDEX(po_mac,MATCH(D1777,po_code,0)))</f>
        <v/>
      </c>
      <c r="J1777" s="66" t="str">
        <f>IF(M1777&lt;&gt;"OK","",N(E1777)*(H1777*IF(G1777="",1,G1777)+I1777))</f>
        <v/>
      </c>
      <c r="K1777" s="66" t="str">
        <f>IF(M1777&lt;&gt;"OK","",N(F1777)/60*H1777*IF(G1777="",1,G1777))</f>
        <v/>
      </c>
      <c r="L1777" s="66" t="str">
        <f>IF(M1777&lt;&gt;"OK","",N(F1777)/60*I1777)</f>
        <v/>
      </c>
      <c r="M1777" s="69" t="str">
        <f>IF(AND(A1777="",D1777=""),"",IF(A1777="","Produit manquant",IF(COUNTIF(prod_ref,A1777)=0,"Produit inconnu",IF(D1777="","Poste manquant",IF(ISNA(MATCH(D1777,po_code,0)),"Poste inconnu",IF(INDEX(po_check,MATCH(D1777,po_code,0))&lt;&gt;"OK","Poste à corriger",IF(AND(E1777&lt;&gt;"",OR(NOT(ISNUMBER(E1777)),N(E1777)&lt;0)),"Réglage invalide",IF(AND(F1777&lt;&gt;"",OR(NOT(ISNUMBER(F1777)),N(F1777)&lt;0)),"Temps par pièce invalide",IF(N(E1777)+N(F1777)=0,"Temps manquant",IF(AND(G1777&lt;&gt;"",OR(NOT(ISNUMBER(G1777)),N(G1777)&lt;=0)),"Opérateurs invalide","OK"))))))))))</f>
        <v/>
      </c>
      <c r="N1777" s="71" t="str">
        <f>IF(AND(fiche_sel&lt;&gt;"",A1777=fiche_sel),COUNTIF(A$6:A1777,fiche_sel),"")</f>
        <v/>
      </c>
    </row>
    <row r="1778">
      <c r="A1778" s="60" t="n"/>
      <c r="B1778" s="73" t="n"/>
      <c r="C1778" s="60" t="n"/>
      <c r="D1778" s="61" t="n"/>
      <c r="E1778" s="74" t="n"/>
      <c r="F1778" s="74" t="n"/>
      <c r="G1778" s="73" t="n"/>
      <c r="H1778" s="66" t="str">
        <f>IF(M1778&lt;&gt;"OK","",INDEX(po_mo,MATCH(D1778,po_code,0)))</f>
        <v/>
      </c>
      <c r="I1778" s="66" t="str">
        <f>IF(M1778&lt;&gt;"OK","",INDEX(po_mac,MATCH(D1778,po_code,0)))</f>
        <v/>
      </c>
      <c r="J1778" s="66" t="str">
        <f>IF(M1778&lt;&gt;"OK","",N(E1778)*(H1778*IF(G1778="",1,G1778)+I1778))</f>
        <v/>
      </c>
      <c r="K1778" s="66" t="str">
        <f>IF(M1778&lt;&gt;"OK","",N(F1778)/60*H1778*IF(G1778="",1,G1778))</f>
        <v/>
      </c>
      <c r="L1778" s="66" t="str">
        <f>IF(M1778&lt;&gt;"OK","",N(F1778)/60*I1778)</f>
        <v/>
      </c>
      <c r="M1778" s="69" t="str">
        <f>IF(AND(A1778="",D1778=""),"",IF(A1778="","Produit manquant",IF(COUNTIF(prod_ref,A1778)=0,"Produit inconnu",IF(D1778="","Poste manquant",IF(ISNA(MATCH(D1778,po_code,0)),"Poste inconnu",IF(INDEX(po_check,MATCH(D1778,po_code,0))&lt;&gt;"OK","Poste à corriger",IF(AND(E1778&lt;&gt;"",OR(NOT(ISNUMBER(E1778)),N(E1778)&lt;0)),"Réglage invalide",IF(AND(F1778&lt;&gt;"",OR(NOT(ISNUMBER(F1778)),N(F1778)&lt;0)),"Temps par pièce invalide",IF(N(E1778)+N(F1778)=0,"Temps manquant",IF(AND(G1778&lt;&gt;"",OR(NOT(ISNUMBER(G1778)),N(G1778)&lt;=0)),"Opérateurs invalide","OK"))))))))))</f>
        <v/>
      </c>
      <c r="N1778" s="71" t="str">
        <f>IF(AND(fiche_sel&lt;&gt;"",A1778=fiche_sel),COUNTIF(A$6:A1778,fiche_sel),"")</f>
        <v/>
      </c>
    </row>
    <row r="1779">
      <c r="A1779" s="60" t="n"/>
      <c r="B1779" s="73" t="n"/>
      <c r="C1779" s="60" t="n"/>
      <c r="D1779" s="61" t="n"/>
      <c r="E1779" s="74" t="n"/>
      <c r="F1779" s="74" t="n"/>
      <c r="G1779" s="73" t="n"/>
      <c r="H1779" s="66" t="str">
        <f>IF(M1779&lt;&gt;"OK","",INDEX(po_mo,MATCH(D1779,po_code,0)))</f>
        <v/>
      </c>
      <c r="I1779" s="66" t="str">
        <f>IF(M1779&lt;&gt;"OK","",INDEX(po_mac,MATCH(D1779,po_code,0)))</f>
        <v/>
      </c>
      <c r="J1779" s="66" t="str">
        <f>IF(M1779&lt;&gt;"OK","",N(E1779)*(H1779*IF(G1779="",1,G1779)+I1779))</f>
        <v/>
      </c>
      <c r="K1779" s="66" t="str">
        <f>IF(M1779&lt;&gt;"OK","",N(F1779)/60*H1779*IF(G1779="",1,G1779))</f>
        <v/>
      </c>
      <c r="L1779" s="66" t="str">
        <f>IF(M1779&lt;&gt;"OK","",N(F1779)/60*I1779)</f>
        <v/>
      </c>
      <c r="M1779" s="69" t="str">
        <f>IF(AND(A1779="",D1779=""),"",IF(A1779="","Produit manquant",IF(COUNTIF(prod_ref,A1779)=0,"Produit inconnu",IF(D1779="","Poste manquant",IF(ISNA(MATCH(D1779,po_code,0)),"Poste inconnu",IF(INDEX(po_check,MATCH(D1779,po_code,0))&lt;&gt;"OK","Poste à corriger",IF(AND(E1779&lt;&gt;"",OR(NOT(ISNUMBER(E1779)),N(E1779)&lt;0)),"Réglage invalide",IF(AND(F1779&lt;&gt;"",OR(NOT(ISNUMBER(F1779)),N(F1779)&lt;0)),"Temps par pièce invalide",IF(N(E1779)+N(F1779)=0,"Temps manquant",IF(AND(G1779&lt;&gt;"",OR(NOT(ISNUMBER(G1779)),N(G1779)&lt;=0)),"Opérateurs invalide","OK"))))))))))</f>
        <v/>
      </c>
      <c r="N1779" s="71" t="str">
        <f>IF(AND(fiche_sel&lt;&gt;"",A1779=fiche_sel),COUNTIF(A$6:A1779,fiche_sel),"")</f>
        <v/>
      </c>
    </row>
    <row r="1780">
      <c r="A1780" s="60" t="n"/>
      <c r="B1780" s="73" t="n"/>
      <c r="C1780" s="60" t="n"/>
      <c r="D1780" s="61" t="n"/>
      <c r="E1780" s="74" t="n"/>
      <c r="F1780" s="74" t="n"/>
      <c r="G1780" s="73" t="n"/>
      <c r="H1780" s="66" t="str">
        <f>IF(M1780&lt;&gt;"OK","",INDEX(po_mo,MATCH(D1780,po_code,0)))</f>
        <v/>
      </c>
      <c r="I1780" s="66" t="str">
        <f>IF(M1780&lt;&gt;"OK","",INDEX(po_mac,MATCH(D1780,po_code,0)))</f>
        <v/>
      </c>
      <c r="J1780" s="66" t="str">
        <f>IF(M1780&lt;&gt;"OK","",N(E1780)*(H1780*IF(G1780="",1,G1780)+I1780))</f>
        <v/>
      </c>
      <c r="K1780" s="66" t="str">
        <f>IF(M1780&lt;&gt;"OK","",N(F1780)/60*H1780*IF(G1780="",1,G1780))</f>
        <v/>
      </c>
      <c r="L1780" s="66" t="str">
        <f>IF(M1780&lt;&gt;"OK","",N(F1780)/60*I1780)</f>
        <v/>
      </c>
      <c r="M1780" s="69" t="str">
        <f>IF(AND(A1780="",D1780=""),"",IF(A1780="","Produit manquant",IF(COUNTIF(prod_ref,A1780)=0,"Produit inconnu",IF(D1780="","Poste manquant",IF(ISNA(MATCH(D1780,po_code,0)),"Poste inconnu",IF(INDEX(po_check,MATCH(D1780,po_code,0))&lt;&gt;"OK","Poste à corriger",IF(AND(E1780&lt;&gt;"",OR(NOT(ISNUMBER(E1780)),N(E1780)&lt;0)),"Réglage invalide",IF(AND(F1780&lt;&gt;"",OR(NOT(ISNUMBER(F1780)),N(F1780)&lt;0)),"Temps par pièce invalide",IF(N(E1780)+N(F1780)=0,"Temps manquant",IF(AND(G1780&lt;&gt;"",OR(NOT(ISNUMBER(G1780)),N(G1780)&lt;=0)),"Opérateurs invalide","OK"))))))))))</f>
        <v/>
      </c>
      <c r="N1780" s="71" t="str">
        <f>IF(AND(fiche_sel&lt;&gt;"",A1780=fiche_sel),COUNTIF(A$6:A1780,fiche_sel),"")</f>
        <v/>
      </c>
    </row>
    <row r="1781">
      <c r="A1781" s="60" t="n"/>
      <c r="B1781" s="73" t="n"/>
      <c r="C1781" s="60" t="n"/>
      <c r="D1781" s="61" t="n"/>
      <c r="E1781" s="74" t="n"/>
      <c r="F1781" s="74" t="n"/>
      <c r="G1781" s="73" t="n"/>
      <c r="H1781" s="66" t="str">
        <f>IF(M1781&lt;&gt;"OK","",INDEX(po_mo,MATCH(D1781,po_code,0)))</f>
        <v/>
      </c>
      <c r="I1781" s="66" t="str">
        <f>IF(M1781&lt;&gt;"OK","",INDEX(po_mac,MATCH(D1781,po_code,0)))</f>
        <v/>
      </c>
      <c r="J1781" s="66" t="str">
        <f>IF(M1781&lt;&gt;"OK","",N(E1781)*(H1781*IF(G1781="",1,G1781)+I1781))</f>
        <v/>
      </c>
      <c r="K1781" s="66" t="str">
        <f>IF(M1781&lt;&gt;"OK","",N(F1781)/60*H1781*IF(G1781="",1,G1781))</f>
        <v/>
      </c>
      <c r="L1781" s="66" t="str">
        <f>IF(M1781&lt;&gt;"OK","",N(F1781)/60*I1781)</f>
        <v/>
      </c>
      <c r="M1781" s="69" t="str">
        <f>IF(AND(A1781="",D1781=""),"",IF(A1781="","Produit manquant",IF(COUNTIF(prod_ref,A1781)=0,"Produit inconnu",IF(D1781="","Poste manquant",IF(ISNA(MATCH(D1781,po_code,0)),"Poste inconnu",IF(INDEX(po_check,MATCH(D1781,po_code,0))&lt;&gt;"OK","Poste à corriger",IF(AND(E1781&lt;&gt;"",OR(NOT(ISNUMBER(E1781)),N(E1781)&lt;0)),"Réglage invalide",IF(AND(F1781&lt;&gt;"",OR(NOT(ISNUMBER(F1781)),N(F1781)&lt;0)),"Temps par pièce invalide",IF(N(E1781)+N(F1781)=0,"Temps manquant",IF(AND(G1781&lt;&gt;"",OR(NOT(ISNUMBER(G1781)),N(G1781)&lt;=0)),"Opérateurs invalide","OK"))))))))))</f>
        <v/>
      </c>
      <c r="N1781" s="71" t="str">
        <f>IF(AND(fiche_sel&lt;&gt;"",A1781=fiche_sel),COUNTIF(A$6:A1781,fiche_sel),"")</f>
        <v/>
      </c>
    </row>
    <row r="1782">
      <c r="A1782" s="60" t="n"/>
      <c r="B1782" s="73" t="n"/>
      <c r="C1782" s="60" t="n"/>
      <c r="D1782" s="61" t="n"/>
      <c r="E1782" s="74" t="n"/>
      <c r="F1782" s="74" t="n"/>
      <c r="G1782" s="73" t="n"/>
      <c r="H1782" s="66" t="str">
        <f>IF(M1782&lt;&gt;"OK","",INDEX(po_mo,MATCH(D1782,po_code,0)))</f>
        <v/>
      </c>
      <c r="I1782" s="66" t="str">
        <f>IF(M1782&lt;&gt;"OK","",INDEX(po_mac,MATCH(D1782,po_code,0)))</f>
        <v/>
      </c>
      <c r="J1782" s="66" t="str">
        <f>IF(M1782&lt;&gt;"OK","",N(E1782)*(H1782*IF(G1782="",1,G1782)+I1782))</f>
        <v/>
      </c>
      <c r="K1782" s="66" t="str">
        <f>IF(M1782&lt;&gt;"OK","",N(F1782)/60*H1782*IF(G1782="",1,G1782))</f>
        <v/>
      </c>
      <c r="L1782" s="66" t="str">
        <f>IF(M1782&lt;&gt;"OK","",N(F1782)/60*I1782)</f>
        <v/>
      </c>
      <c r="M1782" s="69" t="str">
        <f>IF(AND(A1782="",D1782=""),"",IF(A1782="","Produit manquant",IF(COUNTIF(prod_ref,A1782)=0,"Produit inconnu",IF(D1782="","Poste manquant",IF(ISNA(MATCH(D1782,po_code,0)),"Poste inconnu",IF(INDEX(po_check,MATCH(D1782,po_code,0))&lt;&gt;"OK","Poste à corriger",IF(AND(E1782&lt;&gt;"",OR(NOT(ISNUMBER(E1782)),N(E1782)&lt;0)),"Réglage invalide",IF(AND(F1782&lt;&gt;"",OR(NOT(ISNUMBER(F1782)),N(F1782)&lt;0)),"Temps par pièce invalide",IF(N(E1782)+N(F1782)=0,"Temps manquant",IF(AND(G1782&lt;&gt;"",OR(NOT(ISNUMBER(G1782)),N(G1782)&lt;=0)),"Opérateurs invalide","OK"))))))))))</f>
        <v/>
      </c>
      <c r="N1782" s="71" t="str">
        <f>IF(AND(fiche_sel&lt;&gt;"",A1782=fiche_sel),COUNTIF(A$6:A1782,fiche_sel),"")</f>
        <v/>
      </c>
    </row>
    <row r="1783">
      <c r="A1783" s="60" t="n"/>
      <c r="B1783" s="73" t="n"/>
      <c r="C1783" s="60" t="n"/>
      <c r="D1783" s="61" t="n"/>
      <c r="E1783" s="74" t="n"/>
      <c r="F1783" s="74" t="n"/>
      <c r="G1783" s="73" t="n"/>
      <c r="H1783" s="66" t="str">
        <f>IF(M1783&lt;&gt;"OK","",INDEX(po_mo,MATCH(D1783,po_code,0)))</f>
        <v/>
      </c>
      <c r="I1783" s="66" t="str">
        <f>IF(M1783&lt;&gt;"OK","",INDEX(po_mac,MATCH(D1783,po_code,0)))</f>
        <v/>
      </c>
      <c r="J1783" s="66" t="str">
        <f>IF(M1783&lt;&gt;"OK","",N(E1783)*(H1783*IF(G1783="",1,G1783)+I1783))</f>
        <v/>
      </c>
      <c r="K1783" s="66" t="str">
        <f>IF(M1783&lt;&gt;"OK","",N(F1783)/60*H1783*IF(G1783="",1,G1783))</f>
        <v/>
      </c>
      <c r="L1783" s="66" t="str">
        <f>IF(M1783&lt;&gt;"OK","",N(F1783)/60*I1783)</f>
        <v/>
      </c>
      <c r="M1783" s="69" t="str">
        <f>IF(AND(A1783="",D1783=""),"",IF(A1783="","Produit manquant",IF(COUNTIF(prod_ref,A1783)=0,"Produit inconnu",IF(D1783="","Poste manquant",IF(ISNA(MATCH(D1783,po_code,0)),"Poste inconnu",IF(INDEX(po_check,MATCH(D1783,po_code,0))&lt;&gt;"OK","Poste à corriger",IF(AND(E1783&lt;&gt;"",OR(NOT(ISNUMBER(E1783)),N(E1783)&lt;0)),"Réglage invalide",IF(AND(F1783&lt;&gt;"",OR(NOT(ISNUMBER(F1783)),N(F1783)&lt;0)),"Temps par pièce invalide",IF(N(E1783)+N(F1783)=0,"Temps manquant",IF(AND(G1783&lt;&gt;"",OR(NOT(ISNUMBER(G1783)),N(G1783)&lt;=0)),"Opérateurs invalide","OK"))))))))))</f>
        <v/>
      </c>
      <c r="N1783" s="71" t="str">
        <f>IF(AND(fiche_sel&lt;&gt;"",A1783=fiche_sel),COUNTIF(A$6:A1783,fiche_sel),"")</f>
        <v/>
      </c>
    </row>
    <row r="1784">
      <c r="A1784" s="60" t="n"/>
      <c r="B1784" s="73" t="n"/>
      <c r="C1784" s="60" t="n"/>
      <c r="D1784" s="61" t="n"/>
      <c r="E1784" s="74" t="n"/>
      <c r="F1784" s="74" t="n"/>
      <c r="G1784" s="73" t="n"/>
      <c r="H1784" s="66" t="str">
        <f>IF(M1784&lt;&gt;"OK","",INDEX(po_mo,MATCH(D1784,po_code,0)))</f>
        <v/>
      </c>
      <c r="I1784" s="66" t="str">
        <f>IF(M1784&lt;&gt;"OK","",INDEX(po_mac,MATCH(D1784,po_code,0)))</f>
        <v/>
      </c>
      <c r="J1784" s="66" t="str">
        <f>IF(M1784&lt;&gt;"OK","",N(E1784)*(H1784*IF(G1784="",1,G1784)+I1784))</f>
        <v/>
      </c>
      <c r="K1784" s="66" t="str">
        <f>IF(M1784&lt;&gt;"OK","",N(F1784)/60*H1784*IF(G1784="",1,G1784))</f>
        <v/>
      </c>
      <c r="L1784" s="66" t="str">
        <f>IF(M1784&lt;&gt;"OK","",N(F1784)/60*I1784)</f>
        <v/>
      </c>
      <c r="M1784" s="69" t="str">
        <f>IF(AND(A1784="",D1784=""),"",IF(A1784="","Produit manquant",IF(COUNTIF(prod_ref,A1784)=0,"Produit inconnu",IF(D1784="","Poste manquant",IF(ISNA(MATCH(D1784,po_code,0)),"Poste inconnu",IF(INDEX(po_check,MATCH(D1784,po_code,0))&lt;&gt;"OK","Poste à corriger",IF(AND(E1784&lt;&gt;"",OR(NOT(ISNUMBER(E1784)),N(E1784)&lt;0)),"Réglage invalide",IF(AND(F1784&lt;&gt;"",OR(NOT(ISNUMBER(F1784)),N(F1784)&lt;0)),"Temps par pièce invalide",IF(N(E1784)+N(F1784)=0,"Temps manquant",IF(AND(G1784&lt;&gt;"",OR(NOT(ISNUMBER(G1784)),N(G1784)&lt;=0)),"Opérateurs invalide","OK"))))))))))</f>
        <v/>
      </c>
      <c r="N1784" s="71" t="str">
        <f>IF(AND(fiche_sel&lt;&gt;"",A1784=fiche_sel),COUNTIF(A$6:A1784,fiche_sel),"")</f>
        <v/>
      </c>
    </row>
    <row r="1785">
      <c r="A1785" s="60" t="n"/>
      <c r="B1785" s="73" t="n"/>
      <c r="C1785" s="60" t="n"/>
      <c r="D1785" s="61" t="n"/>
      <c r="E1785" s="74" t="n"/>
      <c r="F1785" s="74" t="n"/>
      <c r="G1785" s="73" t="n"/>
      <c r="H1785" s="66" t="str">
        <f>IF(M1785&lt;&gt;"OK","",INDEX(po_mo,MATCH(D1785,po_code,0)))</f>
        <v/>
      </c>
      <c r="I1785" s="66" t="str">
        <f>IF(M1785&lt;&gt;"OK","",INDEX(po_mac,MATCH(D1785,po_code,0)))</f>
        <v/>
      </c>
      <c r="J1785" s="66" t="str">
        <f>IF(M1785&lt;&gt;"OK","",N(E1785)*(H1785*IF(G1785="",1,G1785)+I1785))</f>
        <v/>
      </c>
      <c r="K1785" s="66" t="str">
        <f>IF(M1785&lt;&gt;"OK","",N(F1785)/60*H1785*IF(G1785="",1,G1785))</f>
        <v/>
      </c>
      <c r="L1785" s="66" t="str">
        <f>IF(M1785&lt;&gt;"OK","",N(F1785)/60*I1785)</f>
        <v/>
      </c>
      <c r="M1785" s="69" t="str">
        <f>IF(AND(A1785="",D1785=""),"",IF(A1785="","Produit manquant",IF(COUNTIF(prod_ref,A1785)=0,"Produit inconnu",IF(D1785="","Poste manquant",IF(ISNA(MATCH(D1785,po_code,0)),"Poste inconnu",IF(INDEX(po_check,MATCH(D1785,po_code,0))&lt;&gt;"OK","Poste à corriger",IF(AND(E1785&lt;&gt;"",OR(NOT(ISNUMBER(E1785)),N(E1785)&lt;0)),"Réglage invalide",IF(AND(F1785&lt;&gt;"",OR(NOT(ISNUMBER(F1785)),N(F1785)&lt;0)),"Temps par pièce invalide",IF(N(E1785)+N(F1785)=0,"Temps manquant",IF(AND(G1785&lt;&gt;"",OR(NOT(ISNUMBER(G1785)),N(G1785)&lt;=0)),"Opérateurs invalide","OK"))))))))))</f>
        <v/>
      </c>
      <c r="N1785" s="71" t="str">
        <f>IF(AND(fiche_sel&lt;&gt;"",A1785=fiche_sel),COUNTIF(A$6:A1785,fiche_sel),"")</f>
        <v/>
      </c>
    </row>
    <row r="1786">
      <c r="A1786" s="60" t="n"/>
      <c r="B1786" s="73" t="n"/>
      <c r="C1786" s="60" t="n"/>
      <c r="D1786" s="61" t="n"/>
      <c r="E1786" s="74" t="n"/>
      <c r="F1786" s="74" t="n"/>
      <c r="G1786" s="73" t="n"/>
      <c r="H1786" s="66" t="str">
        <f>IF(M1786&lt;&gt;"OK","",INDEX(po_mo,MATCH(D1786,po_code,0)))</f>
        <v/>
      </c>
      <c r="I1786" s="66" t="str">
        <f>IF(M1786&lt;&gt;"OK","",INDEX(po_mac,MATCH(D1786,po_code,0)))</f>
        <v/>
      </c>
      <c r="J1786" s="66" t="str">
        <f>IF(M1786&lt;&gt;"OK","",N(E1786)*(H1786*IF(G1786="",1,G1786)+I1786))</f>
        <v/>
      </c>
      <c r="K1786" s="66" t="str">
        <f>IF(M1786&lt;&gt;"OK","",N(F1786)/60*H1786*IF(G1786="",1,G1786))</f>
        <v/>
      </c>
      <c r="L1786" s="66" t="str">
        <f>IF(M1786&lt;&gt;"OK","",N(F1786)/60*I1786)</f>
        <v/>
      </c>
      <c r="M1786" s="69" t="str">
        <f>IF(AND(A1786="",D1786=""),"",IF(A1786="","Produit manquant",IF(COUNTIF(prod_ref,A1786)=0,"Produit inconnu",IF(D1786="","Poste manquant",IF(ISNA(MATCH(D1786,po_code,0)),"Poste inconnu",IF(INDEX(po_check,MATCH(D1786,po_code,0))&lt;&gt;"OK","Poste à corriger",IF(AND(E1786&lt;&gt;"",OR(NOT(ISNUMBER(E1786)),N(E1786)&lt;0)),"Réglage invalide",IF(AND(F1786&lt;&gt;"",OR(NOT(ISNUMBER(F1786)),N(F1786)&lt;0)),"Temps par pièce invalide",IF(N(E1786)+N(F1786)=0,"Temps manquant",IF(AND(G1786&lt;&gt;"",OR(NOT(ISNUMBER(G1786)),N(G1786)&lt;=0)),"Opérateurs invalide","OK"))))))))))</f>
        <v/>
      </c>
      <c r="N1786" s="71" t="str">
        <f>IF(AND(fiche_sel&lt;&gt;"",A1786=fiche_sel),COUNTIF(A$6:A1786,fiche_sel),"")</f>
        <v/>
      </c>
    </row>
    <row r="1787">
      <c r="A1787" s="60" t="n"/>
      <c r="B1787" s="73" t="n"/>
      <c r="C1787" s="60" t="n"/>
      <c r="D1787" s="61" t="n"/>
      <c r="E1787" s="74" t="n"/>
      <c r="F1787" s="74" t="n"/>
      <c r="G1787" s="73" t="n"/>
      <c r="H1787" s="66" t="str">
        <f>IF(M1787&lt;&gt;"OK","",INDEX(po_mo,MATCH(D1787,po_code,0)))</f>
        <v/>
      </c>
      <c r="I1787" s="66" t="str">
        <f>IF(M1787&lt;&gt;"OK","",INDEX(po_mac,MATCH(D1787,po_code,0)))</f>
        <v/>
      </c>
      <c r="J1787" s="66" t="str">
        <f>IF(M1787&lt;&gt;"OK","",N(E1787)*(H1787*IF(G1787="",1,G1787)+I1787))</f>
        <v/>
      </c>
      <c r="K1787" s="66" t="str">
        <f>IF(M1787&lt;&gt;"OK","",N(F1787)/60*H1787*IF(G1787="",1,G1787))</f>
        <v/>
      </c>
      <c r="L1787" s="66" t="str">
        <f>IF(M1787&lt;&gt;"OK","",N(F1787)/60*I1787)</f>
        <v/>
      </c>
      <c r="M1787" s="69" t="str">
        <f>IF(AND(A1787="",D1787=""),"",IF(A1787="","Produit manquant",IF(COUNTIF(prod_ref,A1787)=0,"Produit inconnu",IF(D1787="","Poste manquant",IF(ISNA(MATCH(D1787,po_code,0)),"Poste inconnu",IF(INDEX(po_check,MATCH(D1787,po_code,0))&lt;&gt;"OK","Poste à corriger",IF(AND(E1787&lt;&gt;"",OR(NOT(ISNUMBER(E1787)),N(E1787)&lt;0)),"Réglage invalide",IF(AND(F1787&lt;&gt;"",OR(NOT(ISNUMBER(F1787)),N(F1787)&lt;0)),"Temps par pièce invalide",IF(N(E1787)+N(F1787)=0,"Temps manquant",IF(AND(G1787&lt;&gt;"",OR(NOT(ISNUMBER(G1787)),N(G1787)&lt;=0)),"Opérateurs invalide","OK"))))))))))</f>
        <v/>
      </c>
      <c r="N1787" s="71" t="str">
        <f>IF(AND(fiche_sel&lt;&gt;"",A1787=fiche_sel),COUNTIF(A$6:A1787,fiche_sel),"")</f>
        <v/>
      </c>
    </row>
    <row r="1788">
      <c r="A1788" s="60" t="n"/>
      <c r="B1788" s="73" t="n"/>
      <c r="C1788" s="60" t="n"/>
      <c r="D1788" s="61" t="n"/>
      <c r="E1788" s="74" t="n"/>
      <c r="F1788" s="74" t="n"/>
      <c r="G1788" s="73" t="n"/>
      <c r="H1788" s="66" t="str">
        <f>IF(M1788&lt;&gt;"OK","",INDEX(po_mo,MATCH(D1788,po_code,0)))</f>
        <v/>
      </c>
      <c r="I1788" s="66" t="str">
        <f>IF(M1788&lt;&gt;"OK","",INDEX(po_mac,MATCH(D1788,po_code,0)))</f>
        <v/>
      </c>
      <c r="J1788" s="66" t="str">
        <f>IF(M1788&lt;&gt;"OK","",N(E1788)*(H1788*IF(G1788="",1,G1788)+I1788))</f>
        <v/>
      </c>
      <c r="K1788" s="66" t="str">
        <f>IF(M1788&lt;&gt;"OK","",N(F1788)/60*H1788*IF(G1788="",1,G1788))</f>
        <v/>
      </c>
      <c r="L1788" s="66" t="str">
        <f>IF(M1788&lt;&gt;"OK","",N(F1788)/60*I1788)</f>
        <v/>
      </c>
      <c r="M1788" s="69" t="str">
        <f>IF(AND(A1788="",D1788=""),"",IF(A1788="","Produit manquant",IF(COUNTIF(prod_ref,A1788)=0,"Produit inconnu",IF(D1788="","Poste manquant",IF(ISNA(MATCH(D1788,po_code,0)),"Poste inconnu",IF(INDEX(po_check,MATCH(D1788,po_code,0))&lt;&gt;"OK","Poste à corriger",IF(AND(E1788&lt;&gt;"",OR(NOT(ISNUMBER(E1788)),N(E1788)&lt;0)),"Réglage invalide",IF(AND(F1788&lt;&gt;"",OR(NOT(ISNUMBER(F1788)),N(F1788)&lt;0)),"Temps par pièce invalide",IF(N(E1788)+N(F1788)=0,"Temps manquant",IF(AND(G1788&lt;&gt;"",OR(NOT(ISNUMBER(G1788)),N(G1788)&lt;=0)),"Opérateurs invalide","OK"))))))))))</f>
        <v/>
      </c>
      <c r="N1788" s="71" t="str">
        <f>IF(AND(fiche_sel&lt;&gt;"",A1788=fiche_sel),COUNTIF(A$6:A1788,fiche_sel),"")</f>
        <v/>
      </c>
    </row>
    <row r="1789">
      <c r="A1789" s="60" t="n"/>
      <c r="B1789" s="73" t="n"/>
      <c r="C1789" s="60" t="n"/>
      <c r="D1789" s="61" t="n"/>
      <c r="E1789" s="74" t="n"/>
      <c r="F1789" s="74" t="n"/>
      <c r="G1789" s="73" t="n"/>
      <c r="H1789" s="66" t="str">
        <f>IF(M1789&lt;&gt;"OK","",INDEX(po_mo,MATCH(D1789,po_code,0)))</f>
        <v/>
      </c>
      <c r="I1789" s="66" t="str">
        <f>IF(M1789&lt;&gt;"OK","",INDEX(po_mac,MATCH(D1789,po_code,0)))</f>
        <v/>
      </c>
      <c r="J1789" s="66" t="str">
        <f>IF(M1789&lt;&gt;"OK","",N(E1789)*(H1789*IF(G1789="",1,G1789)+I1789))</f>
        <v/>
      </c>
      <c r="K1789" s="66" t="str">
        <f>IF(M1789&lt;&gt;"OK","",N(F1789)/60*H1789*IF(G1789="",1,G1789))</f>
        <v/>
      </c>
      <c r="L1789" s="66" t="str">
        <f>IF(M1789&lt;&gt;"OK","",N(F1789)/60*I1789)</f>
        <v/>
      </c>
      <c r="M1789" s="69" t="str">
        <f>IF(AND(A1789="",D1789=""),"",IF(A1789="","Produit manquant",IF(COUNTIF(prod_ref,A1789)=0,"Produit inconnu",IF(D1789="","Poste manquant",IF(ISNA(MATCH(D1789,po_code,0)),"Poste inconnu",IF(INDEX(po_check,MATCH(D1789,po_code,0))&lt;&gt;"OK","Poste à corriger",IF(AND(E1789&lt;&gt;"",OR(NOT(ISNUMBER(E1789)),N(E1789)&lt;0)),"Réglage invalide",IF(AND(F1789&lt;&gt;"",OR(NOT(ISNUMBER(F1789)),N(F1789)&lt;0)),"Temps par pièce invalide",IF(N(E1789)+N(F1789)=0,"Temps manquant",IF(AND(G1789&lt;&gt;"",OR(NOT(ISNUMBER(G1789)),N(G1789)&lt;=0)),"Opérateurs invalide","OK"))))))))))</f>
        <v/>
      </c>
      <c r="N1789" s="71" t="str">
        <f>IF(AND(fiche_sel&lt;&gt;"",A1789=fiche_sel),COUNTIF(A$6:A1789,fiche_sel),"")</f>
        <v/>
      </c>
    </row>
    <row r="1790">
      <c r="A1790" s="60" t="n"/>
      <c r="B1790" s="73" t="n"/>
      <c r="C1790" s="60" t="n"/>
      <c r="D1790" s="61" t="n"/>
      <c r="E1790" s="74" t="n"/>
      <c r="F1790" s="74" t="n"/>
      <c r="G1790" s="73" t="n"/>
      <c r="H1790" s="66" t="str">
        <f>IF(M1790&lt;&gt;"OK","",INDEX(po_mo,MATCH(D1790,po_code,0)))</f>
        <v/>
      </c>
      <c r="I1790" s="66" t="str">
        <f>IF(M1790&lt;&gt;"OK","",INDEX(po_mac,MATCH(D1790,po_code,0)))</f>
        <v/>
      </c>
      <c r="J1790" s="66" t="str">
        <f>IF(M1790&lt;&gt;"OK","",N(E1790)*(H1790*IF(G1790="",1,G1790)+I1790))</f>
        <v/>
      </c>
      <c r="K1790" s="66" t="str">
        <f>IF(M1790&lt;&gt;"OK","",N(F1790)/60*H1790*IF(G1790="",1,G1790))</f>
        <v/>
      </c>
      <c r="L1790" s="66" t="str">
        <f>IF(M1790&lt;&gt;"OK","",N(F1790)/60*I1790)</f>
        <v/>
      </c>
      <c r="M1790" s="69" t="str">
        <f>IF(AND(A1790="",D1790=""),"",IF(A1790="","Produit manquant",IF(COUNTIF(prod_ref,A1790)=0,"Produit inconnu",IF(D1790="","Poste manquant",IF(ISNA(MATCH(D1790,po_code,0)),"Poste inconnu",IF(INDEX(po_check,MATCH(D1790,po_code,0))&lt;&gt;"OK","Poste à corriger",IF(AND(E1790&lt;&gt;"",OR(NOT(ISNUMBER(E1790)),N(E1790)&lt;0)),"Réglage invalide",IF(AND(F1790&lt;&gt;"",OR(NOT(ISNUMBER(F1790)),N(F1790)&lt;0)),"Temps par pièce invalide",IF(N(E1790)+N(F1790)=0,"Temps manquant",IF(AND(G1790&lt;&gt;"",OR(NOT(ISNUMBER(G1790)),N(G1790)&lt;=0)),"Opérateurs invalide","OK"))))))))))</f>
        <v/>
      </c>
      <c r="N1790" s="71" t="str">
        <f>IF(AND(fiche_sel&lt;&gt;"",A1790=fiche_sel),COUNTIF(A$6:A1790,fiche_sel),"")</f>
        <v/>
      </c>
    </row>
    <row r="1791">
      <c r="A1791" s="60" t="n"/>
      <c r="B1791" s="73" t="n"/>
      <c r="C1791" s="60" t="n"/>
      <c r="D1791" s="61" t="n"/>
      <c r="E1791" s="74" t="n"/>
      <c r="F1791" s="74" t="n"/>
      <c r="G1791" s="73" t="n"/>
      <c r="H1791" s="66" t="str">
        <f>IF(M1791&lt;&gt;"OK","",INDEX(po_mo,MATCH(D1791,po_code,0)))</f>
        <v/>
      </c>
      <c r="I1791" s="66" t="str">
        <f>IF(M1791&lt;&gt;"OK","",INDEX(po_mac,MATCH(D1791,po_code,0)))</f>
        <v/>
      </c>
      <c r="J1791" s="66" t="str">
        <f>IF(M1791&lt;&gt;"OK","",N(E1791)*(H1791*IF(G1791="",1,G1791)+I1791))</f>
        <v/>
      </c>
      <c r="K1791" s="66" t="str">
        <f>IF(M1791&lt;&gt;"OK","",N(F1791)/60*H1791*IF(G1791="",1,G1791))</f>
        <v/>
      </c>
      <c r="L1791" s="66" t="str">
        <f>IF(M1791&lt;&gt;"OK","",N(F1791)/60*I1791)</f>
        <v/>
      </c>
      <c r="M1791" s="69" t="str">
        <f>IF(AND(A1791="",D1791=""),"",IF(A1791="","Produit manquant",IF(COUNTIF(prod_ref,A1791)=0,"Produit inconnu",IF(D1791="","Poste manquant",IF(ISNA(MATCH(D1791,po_code,0)),"Poste inconnu",IF(INDEX(po_check,MATCH(D1791,po_code,0))&lt;&gt;"OK","Poste à corriger",IF(AND(E1791&lt;&gt;"",OR(NOT(ISNUMBER(E1791)),N(E1791)&lt;0)),"Réglage invalide",IF(AND(F1791&lt;&gt;"",OR(NOT(ISNUMBER(F1791)),N(F1791)&lt;0)),"Temps par pièce invalide",IF(N(E1791)+N(F1791)=0,"Temps manquant",IF(AND(G1791&lt;&gt;"",OR(NOT(ISNUMBER(G1791)),N(G1791)&lt;=0)),"Opérateurs invalide","OK"))))))))))</f>
        <v/>
      </c>
      <c r="N1791" s="71" t="str">
        <f>IF(AND(fiche_sel&lt;&gt;"",A1791=fiche_sel),COUNTIF(A$6:A1791,fiche_sel),"")</f>
        <v/>
      </c>
    </row>
    <row r="1792">
      <c r="A1792" s="60" t="n"/>
      <c r="B1792" s="73" t="n"/>
      <c r="C1792" s="60" t="n"/>
      <c r="D1792" s="61" t="n"/>
      <c r="E1792" s="74" t="n"/>
      <c r="F1792" s="74" t="n"/>
      <c r="G1792" s="73" t="n"/>
      <c r="H1792" s="66" t="str">
        <f>IF(M1792&lt;&gt;"OK","",INDEX(po_mo,MATCH(D1792,po_code,0)))</f>
        <v/>
      </c>
      <c r="I1792" s="66" t="str">
        <f>IF(M1792&lt;&gt;"OK","",INDEX(po_mac,MATCH(D1792,po_code,0)))</f>
        <v/>
      </c>
      <c r="J1792" s="66" t="str">
        <f>IF(M1792&lt;&gt;"OK","",N(E1792)*(H1792*IF(G1792="",1,G1792)+I1792))</f>
        <v/>
      </c>
      <c r="K1792" s="66" t="str">
        <f>IF(M1792&lt;&gt;"OK","",N(F1792)/60*H1792*IF(G1792="",1,G1792))</f>
        <v/>
      </c>
      <c r="L1792" s="66" t="str">
        <f>IF(M1792&lt;&gt;"OK","",N(F1792)/60*I1792)</f>
        <v/>
      </c>
      <c r="M1792" s="69" t="str">
        <f>IF(AND(A1792="",D1792=""),"",IF(A1792="","Produit manquant",IF(COUNTIF(prod_ref,A1792)=0,"Produit inconnu",IF(D1792="","Poste manquant",IF(ISNA(MATCH(D1792,po_code,0)),"Poste inconnu",IF(INDEX(po_check,MATCH(D1792,po_code,0))&lt;&gt;"OK","Poste à corriger",IF(AND(E1792&lt;&gt;"",OR(NOT(ISNUMBER(E1792)),N(E1792)&lt;0)),"Réglage invalide",IF(AND(F1792&lt;&gt;"",OR(NOT(ISNUMBER(F1792)),N(F1792)&lt;0)),"Temps par pièce invalide",IF(N(E1792)+N(F1792)=0,"Temps manquant",IF(AND(G1792&lt;&gt;"",OR(NOT(ISNUMBER(G1792)),N(G1792)&lt;=0)),"Opérateurs invalide","OK"))))))))))</f>
        <v/>
      </c>
      <c r="N1792" s="71" t="str">
        <f>IF(AND(fiche_sel&lt;&gt;"",A1792=fiche_sel),COUNTIF(A$6:A1792,fiche_sel),"")</f>
        <v/>
      </c>
    </row>
    <row r="1793">
      <c r="A1793" s="60" t="n"/>
      <c r="B1793" s="73" t="n"/>
      <c r="C1793" s="60" t="n"/>
      <c r="D1793" s="61" t="n"/>
      <c r="E1793" s="74" t="n"/>
      <c r="F1793" s="74" t="n"/>
      <c r="G1793" s="73" t="n"/>
      <c r="H1793" s="66" t="str">
        <f>IF(M1793&lt;&gt;"OK","",INDEX(po_mo,MATCH(D1793,po_code,0)))</f>
        <v/>
      </c>
      <c r="I1793" s="66" t="str">
        <f>IF(M1793&lt;&gt;"OK","",INDEX(po_mac,MATCH(D1793,po_code,0)))</f>
        <v/>
      </c>
      <c r="J1793" s="66" t="str">
        <f>IF(M1793&lt;&gt;"OK","",N(E1793)*(H1793*IF(G1793="",1,G1793)+I1793))</f>
        <v/>
      </c>
      <c r="K1793" s="66" t="str">
        <f>IF(M1793&lt;&gt;"OK","",N(F1793)/60*H1793*IF(G1793="",1,G1793))</f>
        <v/>
      </c>
      <c r="L1793" s="66" t="str">
        <f>IF(M1793&lt;&gt;"OK","",N(F1793)/60*I1793)</f>
        <v/>
      </c>
      <c r="M1793" s="69" t="str">
        <f>IF(AND(A1793="",D1793=""),"",IF(A1793="","Produit manquant",IF(COUNTIF(prod_ref,A1793)=0,"Produit inconnu",IF(D1793="","Poste manquant",IF(ISNA(MATCH(D1793,po_code,0)),"Poste inconnu",IF(INDEX(po_check,MATCH(D1793,po_code,0))&lt;&gt;"OK","Poste à corriger",IF(AND(E1793&lt;&gt;"",OR(NOT(ISNUMBER(E1793)),N(E1793)&lt;0)),"Réglage invalide",IF(AND(F1793&lt;&gt;"",OR(NOT(ISNUMBER(F1793)),N(F1793)&lt;0)),"Temps par pièce invalide",IF(N(E1793)+N(F1793)=0,"Temps manquant",IF(AND(G1793&lt;&gt;"",OR(NOT(ISNUMBER(G1793)),N(G1793)&lt;=0)),"Opérateurs invalide","OK"))))))))))</f>
        <v/>
      </c>
      <c r="N1793" s="71" t="str">
        <f>IF(AND(fiche_sel&lt;&gt;"",A1793=fiche_sel),COUNTIF(A$6:A1793,fiche_sel),"")</f>
        <v/>
      </c>
    </row>
    <row r="1794">
      <c r="A1794" s="60" t="n"/>
      <c r="B1794" s="73" t="n"/>
      <c r="C1794" s="60" t="n"/>
      <c r="D1794" s="61" t="n"/>
      <c r="E1794" s="74" t="n"/>
      <c r="F1794" s="74" t="n"/>
      <c r="G1794" s="73" t="n"/>
      <c r="H1794" s="66" t="str">
        <f>IF(M1794&lt;&gt;"OK","",INDEX(po_mo,MATCH(D1794,po_code,0)))</f>
        <v/>
      </c>
      <c r="I1794" s="66" t="str">
        <f>IF(M1794&lt;&gt;"OK","",INDEX(po_mac,MATCH(D1794,po_code,0)))</f>
        <v/>
      </c>
      <c r="J1794" s="66" t="str">
        <f>IF(M1794&lt;&gt;"OK","",N(E1794)*(H1794*IF(G1794="",1,G1794)+I1794))</f>
        <v/>
      </c>
      <c r="K1794" s="66" t="str">
        <f>IF(M1794&lt;&gt;"OK","",N(F1794)/60*H1794*IF(G1794="",1,G1794))</f>
        <v/>
      </c>
      <c r="L1794" s="66" t="str">
        <f>IF(M1794&lt;&gt;"OK","",N(F1794)/60*I1794)</f>
        <v/>
      </c>
      <c r="M1794" s="69" t="str">
        <f>IF(AND(A1794="",D1794=""),"",IF(A1794="","Produit manquant",IF(COUNTIF(prod_ref,A1794)=0,"Produit inconnu",IF(D1794="","Poste manquant",IF(ISNA(MATCH(D1794,po_code,0)),"Poste inconnu",IF(INDEX(po_check,MATCH(D1794,po_code,0))&lt;&gt;"OK","Poste à corriger",IF(AND(E1794&lt;&gt;"",OR(NOT(ISNUMBER(E1794)),N(E1794)&lt;0)),"Réglage invalide",IF(AND(F1794&lt;&gt;"",OR(NOT(ISNUMBER(F1794)),N(F1794)&lt;0)),"Temps par pièce invalide",IF(N(E1794)+N(F1794)=0,"Temps manquant",IF(AND(G1794&lt;&gt;"",OR(NOT(ISNUMBER(G1794)),N(G1794)&lt;=0)),"Opérateurs invalide","OK"))))))))))</f>
        <v/>
      </c>
      <c r="N1794" s="71" t="str">
        <f>IF(AND(fiche_sel&lt;&gt;"",A1794=fiche_sel),COUNTIF(A$6:A1794,fiche_sel),"")</f>
        <v/>
      </c>
    </row>
    <row r="1795">
      <c r="A1795" s="60" t="n"/>
      <c r="B1795" s="73" t="n"/>
      <c r="C1795" s="60" t="n"/>
      <c r="D1795" s="61" t="n"/>
      <c r="E1795" s="74" t="n"/>
      <c r="F1795" s="74" t="n"/>
      <c r="G1795" s="73" t="n"/>
      <c r="H1795" s="66" t="str">
        <f>IF(M1795&lt;&gt;"OK","",INDEX(po_mo,MATCH(D1795,po_code,0)))</f>
        <v/>
      </c>
      <c r="I1795" s="66" t="str">
        <f>IF(M1795&lt;&gt;"OK","",INDEX(po_mac,MATCH(D1795,po_code,0)))</f>
        <v/>
      </c>
      <c r="J1795" s="66" t="str">
        <f>IF(M1795&lt;&gt;"OK","",N(E1795)*(H1795*IF(G1795="",1,G1795)+I1795))</f>
        <v/>
      </c>
      <c r="K1795" s="66" t="str">
        <f>IF(M1795&lt;&gt;"OK","",N(F1795)/60*H1795*IF(G1795="",1,G1795))</f>
        <v/>
      </c>
      <c r="L1795" s="66" t="str">
        <f>IF(M1795&lt;&gt;"OK","",N(F1795)/60*I1795)</f>
        <v/>
      </c>
      <c r="M1795" s="69" t="str">
        <f>IF(AND(A1795="",D1795=""),"",IF(A1795="","Produit manquant",IF(COUNTIF(prod_ref,A1795)=0,"Produit inconnu",IF(D1795="","Poste manquant",IF(ISNA(MATCH(D1795,po_code,0)),"Poste inconnu",IF(INDEX(po_check,MATCH(D1795,po_code,0))&lt;&gt;"OK","Poste à corriger",IF(AND(E1795&lt;&gt;"",OR(NOT(ISNUMBER(E1795)),N(E1795)&lt;0)),"Réglage invalide",IF(AND(F1795&lt;&gt;"",OR(NOT(ISNUMBER(F1795)),N(F1795)&lt;0)),"Temps par pièce invalide",IF(N(E1795)+N(F1795)=0,"Temps manquant",IF(AND(G1795&lt;&gt;"",OR(NOT(ISNUMBER(G1795)),N(G1795)&lt;=0)),"Opérateurs invalide","OK"))))))))))</f>
        <v/>
      </c>
      <c r="N1795" s="71" t="str">
        <f>IF(AND(fiche_sel&lt;&gt;"",A1795=fiche_sel),COUNTIF(A$6:A1795,fiche_sel),"")</f>
        <v/>
      </c>
    </row>
    <row r="1796">
      <c r="A1796" s="60" t="n"/>
      <c r="B1796" s="73" t="n"/>
      <c r="C1796" s="60" t="n"/>
      <c r="D1796" s="61" t="n"/>
      <c r="E1796" s="74" t="n"/>
      <c r="F1796" s="74" t="n"/>
      <c r="G1796" s="73" t="n"/>
      <c r="H1796" s="66" t="str">
        <f>IF(M1796&lt;&gt;"OK","",INDEX(po_mo,MATCH(D1796,po_code,0)))</f>
        <v/>
      </c>
      <c r="I1796" s="66" t="str">
        <f>IF(M1796&lt;&gt;"OK","",INDEX(po_mac,MATCH(D1796,po_code,0)))</f>
        <v/>
      </c>
      <c r="J1796" s="66" t="str">
        <f>IF(M1796&lt;&gt;"OK","",N(E1796)*(H1796*IF(G1796="",1,G1796)+I1796))</f>
        <v/>
      </c>
      <c r="K1796" s="66" t="str">
        <f>IF(M1796&lt;&gt;"OK","",N(F1796)/60*H1796*IF(G1796="",1,G1796))</f>
        <v/>
      </c>
      <c r="L1796" s="66" t="str">
        <f>IF(M1796&lt;&gt;"OK","",N(F1796)/60*I1796)</f>
        <v/>
      </c>
      <c r="M1796" s="69" t="str">
        <f>IF(AND(A1796="",D1796=""),"",IF(A1796="","Produit manquant",IF(COUNTIF(prod_ref,A1796)=0,"Produit inconnu",IF(D1796="","Poste manquant",IF(ISNA(MATCH(D1796,po_code,0)),"Poste inconnu",IF(INDEX(po_check,MATCH(D1796,po_code,0))&lt;&gt;"OK","Poste à corriger",IF(AND(E1796&lt;&gt;"",OR(NOT(ISNUMBER(E1796)),N(E1796)&lt;0)),"Réglage invalide",IF(AND(F1796&lt;&gt;"",OR(NOT(ISNUMBER(F1796)),N(F1796)&lt;0)),"Temps par pièce invalide",IF(N(E1796)+N(F1796)=0,"Temps manquant",IF(AND(G1796&lt;&gt;"",OR(NOT(ISNUMBER(G1796)),N(G1796)&lt;=0)),"Opérateurs invalide","OK"))))))))))</f>
        <v/>
      </c>
      <c r="N1796" s="71" t="str">
        <f>IF(AND(fiche_sel&lt;&gt;"",A1796=fiche_sel),COUNTIF(A$6:A1796,fiche_sel),"")</f>
        <v/>
      </c>
    </row>
    <row r="1797">
      <c r="A1797" s="60" t="n"/>
      <c r="B1797" s="73" t="n"/>
      <c r="C1797" s="60" t="n"/>
      <c r="D1797" s="61" t="n"/>
      <c r="E1797" s="74" t="n"/>
      <c r="F1797" s="74" t="n"/>
      <c r="G1797" s="73" t="n"/>
      <c r="H1797" s="66" t="str">
        <f>IF(M1797&lt;&gt;"OK","",INDEX(po_mo,MATCH(D1797,po_code,0)))</f>
        <v/>
      </c>
      <c r="I1797" s="66" t="str">
        <f>IF(M1797&lt;&gt;"OK","",INDEX(po_mac,MATCH(D1797,po_code,0)))</f>
        <v/>
      </c>
      <c r="J1797" s="66" t="str">
        <f>IF(M1797&lt;&gt;"OK","",N(E1797)*(H1797*IF(G1797="",1,G1797)+I1797))</f>
        <v/>
      </c>
      <c r="K1797" s="66" t="str">
        <f>IF(M1797&lt;&gt;"OK","",N(F1797)/60*H1797*IF(G1797="",1,G1797))</f>
        <v/>
      </c>
      <c r="L1797" s="66" t="str">
        <f>IF(M1797&lt;&gt;"OK","",N(F1797)/60*I1797)</f>
        <v/>
      </c>
      <c r="M1797" s="69" t="str">
        <f>IF(AND(A1797="",D1797=""),"",IF(A1797="","Produit manquant",IF(COUNTIF(prod_ref,A1797)=0,"Produit inconnu",IF(D1797="","Poste manquant",IF(ISNA(MATCH(D1797,po_code,0)),"Poste inconnu",IF(INDEX(po_check,MATCH(D1797,po_code,0))&lt;&gt;"OK","Poste à corriger",IF(AND(E1797&lt;&gt;"",OR(NOT(ISNUMBER(E1797)),N(E1797)&lt;0)),"Réglage invalide",IF(AND(F1797&lt;&gt;"",OR(NOT(ISNUMBER(F1797)),N(F1797)&lt;0)),"Temps par pièce invalide",IF(N(E1797)+N(F1797)=0,"Temps manquant",IF(AND(G1797&lt;&gt;"",OR(NOT(ISNUMBER(G1797)),N(G1797)&lt;=0)),"Opérateurs invalide","OK"))))))))))</f>
        <v/>
      </c>
      <c r="N1797" s="71" t="str">
        <f>IF(AND(fiche_sel&lt;&gt;"",A1797=fiche_sel),COUNTIF(A$6:A1797,fiche_sel),"")</f>
        <v/>
      </c>
    </row>
    <row r="1798">
      <c r="A1798" s="60" t="n"/>
      <c r="B1798" s="73" t="n"/>
      <c r="C1798" s="60" t="n"/>
      <c r="D1798" s="61" t="n"/>
      <c r="E1798" s="74" t="n"/>
      <c r="F1798" s="74" t="n"/>
      <c r="G1798" s="73" t="n"/>
      <c r="H1798" s="66" t="str">
        <f>IF(M1798&lt;&gt;"OK","",INDEX(po_mo,MATCH(D1798,po_code,0)))</f>
        <v/>
      </c>
      <c r="I1798" s="66" t="str">
        <f>IF(M1798&lt;&gt;"OK","",INDEX(po_mac,MATCH(D1798,po_code,0)))</f>
        <v/>
      </c>
      <c r="J1798" s="66" t="str">
        <f>IF(M1798&lt;&gt;"OK","",N(E1798)*(H1798*IF(G1798="",1,G1798)+I1798))</f>
        <v/>
      </c>
      <c r="K1798" s="66" t="str">
        <f>IF(M1798&lt;&gt;"OK","",N(F1798)/60*H1798*IF(G1798="",1,G1798))</f>
        <v/>
      </c>
      <c r="L1798" s="66" t="str">
        <f>IF(M1798&lt;&gt;"OK","",N(F1798)/60*I1798)</f>
        <v/>
      </c>
      <c r="M1798" s="69" t="str">
        <f>IF(AND(A1798="",D1798=""),"",IF(A1798="","Produit manquant",IF(COUNTIF(prod_ref,A1798)=0,"Produit inconnu",IF(D1798="","Poste manquant",IF(ISNA(MATCH(D1798,po_code,0)),"Poste inconnu",IF(INDEX(po_check,MATCH(D1798,po_code,0))&lt;&gt;"OK","Poste à corriger",IF(AND(E1798&lt;&gt;"",OR(NOT(ISNUMBER(E1798)),N(E1798)&lt;0)),"Réglage invalide",IF(AND(F1798&lt;&gt;"",OR(NOT(ISNUMBER(F1798)),N(F1798)&lt;0)),"Temps par pièce invalide",IF(N(E1798)+N(F1798)=0,"Temps manquant",IF(AND(G1798&lt;&gt;"",OR(NOT(ISNUMBER(G1798)),N(G1798)&lt;=0)),"Opérateurs invalide","OK"))))))))))</f>
        <v/>
      </c>
      <c r="N1798" s="71" t="str">
        <f>IF(AND(fiche_sel&lt;&gt;"",A1798=fiche_sel),COUNTIF(A$6:A1798,fiche_sel),"")</f>
        <v/>
      </c>
    </row>
    <row r="1799">
      <c r="A1799" s="60" t="n"/>
      <c r="B1799" s="73" t="n"/>
      <c r="C1799" s="60" t="n"/>
      <c r="D1799" s="61" t="n"/>
      <c r="E1799" s="74" t="n"/>
      <c r="F1799" s="74" t="n"/>
      <c r="G1799" s="73" t="n"/>
      <c r="H1799" s="66" t="str">
        <f>IF(M1799&lt;&gt;"OK","",INDEX(po_mo,MATCH(D1799,po_code,0)))</f>
        <v/>
      </c>
      <c r="I1799" s="66" t="str">
        <f>IF(M1799&lt;&gt;"OK","",INDEX(po_mac,MATCH(D1799,po_code,0)))</f>
        <v/>
      </c>
      <c r="J1799" s="66" t="str">
        <f>IF(M1799&lt;&gt;"OK","",N(E1799)*(H1799*IF(G1799="",1,G1799)+I1799))</f>
        <v/>
      </c>
      <c r="K1799" s="66" t="str">
        <f>IF(M1799&lt;&gt;"OK","",N(F1799)/60*H1799*IF(G1799="",1,G1799))</f>
        <v/>
      </c>
      <c r="L1799" s="66" t="str">
        <f>IF(M1799&lt;&gt;"OK","",N(F1799)/60*I1799)</f>
        <v/>
      </c>
      <c r="M1799" s="69" t="str">
        <f>IF(AND(A1799="",D1799=""),"",IF(A1799="","Produit manquant",IF(COUNTIF(prod_ref,A1799)=0,"Produit inconnu",IF(D1799="","Poste manquant",IF(ISNA(MATCH(D1799,po_code,0)),"Poste inconnu",IF(INDEX(po_check,MATCH(D1799,po_code,0))&lt;&gt;"OK","Poste à corriger",IF(AND(E1799&lt;&gt;"",OR(NOT(ISNUMBER(E1799)),N(E1799)&lt;0)),"Réglage invalide",IF(AND(F1799&lt;&gt;"",OR(NOT(ISNUMBER(F1799)),N(F1799)&lt;0)),"Temps par pièce invalide",IF(N(E1799)+N(F1799)=0,"Temps manquant",IF(AND(G1799&lt;&gt;"",OR(NOT(ISNUMBER(G1799)),N(G1799)&lt;=0)),"Opérateurs invalide","OK"))))))))))</f>
        <v/>
      </c>
      <c r="N1799" s="71" t="str">
        <f>IF(AND(fiche_sel&lt;&gt;"",A1799=fiche_sel),COUNTIF(A$6:A1799,fiche_sel),"")</f>
        <v/>
      </c>
    </row>
    <row r="1800">
      <c r="A1800" s="60" t="n"/>
      <c r="B1800" s="73" t="n"/>
      <c r="C1800" s="60" t="n"/>
      <c r="D1800" s="61" t="n"/>
      <c r="E1800" s="74" t="n"/>
      <c r="F1800" s="74" t="n"/>
      <c r="G1800" s="73" t="n"/>
      <c r="H1800" s="66" t="str">
        <f>IF(M1800&lt;&gt;"OK","",INDEX(po_mo,MATCH(D1800,po_code,0)))</f>
        <v/>
      </c>
      <c r="I1800" s="66" t="str">
        <f>IF(M1800&lt;&gt;"OK","",INDEX(po_mac,MATCH(D1800,po_code,0)))</f>
        <v/>
      </c>
      <c r="J1800" s="66" t="str">
        <f>IF(M1800&lt;&gt;"OK","",N(E1800)*(H1800*IF(G1800="",1,G1800)+I1800))</f>
        <v/>
      </c>
      <c r="K1800" s="66" t="str">
        <f>IF(M1800&lt;&gt;"OK","",N(F1800)/60*H1800*IF(G1800="",1,G1800))</f>
        <v/>
      </c>
      <c r="L1800" s="66" t="str">
        <f>IF(M1800&lt;&gt;"OK","",N(F1800)/60*I1800)</f>
        <v/>
      </c>
      <c r="M1800" s="69" t="str">
        <f>IF(AND(A1800="",D1800=""),"",IF(A1800="","Produit manquant",IF(COUNTIF(prod_ref,A1800)=0,"Produit inconnu",IF(D1800="","Poste manquant",IF(ISNA(MATCH(D1800,po_code,0)),"Poste inconnu",IF(INDEX(po_check,MATCH(D1800,po_code,0))&lt;&gt;"OK","Poste à corriger",IF(AND(E1800&lt;&gt;"",OR(NOT(ISNUMBER(E1800)),N(E1800)&lt;0)),"Réglage invalide",IF(AND(F1800&lt;&gt;"",OR(NOT(ISNUMBER(F1800)),N(F1800)&lt;0)),"Temps par pièce invalide",IF(N(E1800)+N(F1800)=0,"Temps manquant",IF(AND(G1800&lt;&gt;"",OR(NOT(ISNUMBER(G1800)),N(G1800)&lt;=0)),"Opérateurs invalide","OK"))))))))))</f>
        <v/>
      </c>
      <c r="N1800" s="71" t="str">
        <f>IF(AND(fiche_sel&lt;&gt;"",A1800=fiche_sel),COUNTIF(A$6:A1800,fiche_sel),"")</f>
        <v/>
      </c>
    </row>
    <row r="1801">
      <c r="A1801" s="60" t="n"/>
      <c r="B1801" s="73" t="n"/>
      <c r="C1801" s="60" t="n"/>
      <c r="D1801" s="61" t="n"/>
      <c r="E1801" s="74" t="n"/>
      <c r="F1801" s="74" t="n"/>
      <c r="G1801" s="73" t="n"/>
      <c r="H1801" s="66" t="str">
        <f>IF(M1801&lt;&gt;"OK","",INDEX(po_mo,MATCH(D1801,po_code,0)))</f>
        <v/>
      </c>
      <c r="I1801" s="66" t="str">
        <f>IF(M1801&lt;&gt;"OK","",INDEX(po_mac,MATCH(D1801,po_code,0)))</f>
        <v/>
      </c>
      <c r="J1801" s="66" t="str">
        <f>IF(M1801&lt;&gt;"OK","",N(E1801)*(H1801*IF(G1801="",1,G1801)+I1801))</f>
        <v/>
      </c>
      <c r="K1801" s="66" t="str">
        <f>IF(M1801&lt;&gt;"OK","",N(F1801)/60*H1801*IF(G1801="",1,G1801))</f>
        <v/>
      </c>
      <c r="L1801" s="66" t="str">
        <f>IF(M1801&lt;&gt;"OK","",N(F1801)/60*I1801)</f>
        <v/>
      </c>
      <c r="M1801" s="69" t="str">
        <f>IF(AND(A1801="",D1801=""),"",IF(A1801="","Produit manquant",IF(COUNTIF(prod_ref,A1801)=0,"Produit inconnu",IF(D1801="","Poste manquant",IF(ISNA(MATCH(D1801,po_code,0)),"Poste inconnu",IF(INDEX(po_check,MATCH(D1801,po_code,0))&lt;&gt;"OK","Poste à corriger",IF(AND(E1801&lt;&gt;"",OR(NOT(ISNUMBER(E1801)),N(E1801)&lt;0)),"Réglage invalide",IF(AND(F1801&lt;&gt;"",OR(NOT(ISNUMBER(F1801)),N(F1801)&lt;0)),"Temps par pièce invalide",IF(N(E1801)+N(F1801)=0,"Temps manquant",IF(AND(G1801&lt;&gt;"",OR(NOT(ISNUMBER(G1801)),N(G1801)&lt;=0)),"Opérateurs invalide","OK"))))))))))</f>
        <v/>
      </c>
      <c r="N1801" s="71" t="str">
        <f>IF(AND(fiche_sel&lt;&gt;"",A1801=fiche_sel),COUNTIF(A$6:A1801,fiche_sel),"")</f>
        <v/>
      </c>
    </row>
    <row r="1802">
      <c r="A1802" s="60" t="n"/>
      <c r="B1802" s="73" t="n"/>
      <c r="C1802" s="60" t="n"/>
      <c r="D1802" s="61" t="n"/>
      <c r="E1802" s="74" t="n"/>
      <c r="F1802" s="74" t="n"/>
      <c r="G1802" s="73" t="n"/>
      <c r="H1802" s="66" t="str">
        <f>IF(M1802&lt;&gt;"OK","",INDEX(po_mo,MATCH(D1802,po_code,0)))</f>
        <v/>
      </c>
      <c r="I1802" s="66" t="str">
        <f>IF(M1802&lt;&gt;"OK","",INDEX(po_mac,MATCH(D1802,po_code,0)))</f>
        <v/>
      </c>
      <c r="J1802" s="66" t="str">
        <f>IF(M1802&lt;&gt;"OK","",N(E1802)*(H1802*IF(G1802="",1,G1802)+I1802))</f>
        <v/>
      </c>
      <c r="K1802" s="66" t="str">
        <f>IF(M1802&lt;&gt;"OK","",N(F1802)/60*H1802*IF(G1802="",1,G1802))</f>
        <v/>
      </c>
      <c r="L1802" s="66" t="str">
        <f>IF(M1802&lt;&gt;"OK","",N(F1802)/60*I1802)</f>
        <v/>
      </c>
      <c r="M1802" s="69" t="str">
        <f>IF(AND(A1802="",D1802=""),"",IF(A1802="","Produit manquant",IF(COUNTIF(prod_ref,A1802)=0,"Produit inconnu",IF(D1802="","Poste manquant",IF(ISNA(MATCH(D1802,po_code,0)),"Poste inconnu",IF(INDEX(po_check,MATCH(D1802,po_code,0))&lt;&gt;"OK","Poste à corriger",IF(AND(E1802&lt;&gt;"",OR(NOT(ISNUMBER(E1802)),N(E1802)&lt;0)),"Réglage invalide",IF(AND(F1802&lt;&gt;"",OR(NOT(ISNUMBER(F1802)),N(F1802)&lt;0)),"Temps par pièce invalide",IF(N(E1802)+N(F1802)=0,"Temps manquant",IF(AND(G1802&lt;&gt;"",OR(NOT(ISNUMBER(G1802)),N(G1802)&lt;=0)),"Opérateurs invalide","OK"))))))))))</f>
        <v/>
      </c>
      <c r="N1802" s="71" t="str">
        <f>IF(AND(fiche_sel&lt;&gt;"",A1802=fiche_sel),COUNTIF(A$6:A1802,fiche_sel),"")</f>
        <v/>
      </c>
    </row>
    <row r="1803">
      <c r="A1803" s="60" t="n"/>
      <c r="B1803" s="73" t="n"/>
      <c r="C1803" s="60" t="n"/>
      <c r="D1803" s="61" t="n"/>
      <c r="E1803" s="74" t="n"/>
      <c r="F1803" s="74" t="n"/>
      <c r="G1803" s="73" t="n"/>
      <c r="H1803" s="66" t="str">
        <f>IF(M1803&lt;&gt;"OK","",INDEX(po_mo,MATCH(D1803,po_code,0)))</f>
        <v/>
      </c>
      <c r="I1803" s="66" t="str">
        <f>IF(M1803&lt;&gt;"OK","",INDEX(po_mac,MATCH(D1803,po_code,0)))</f>
        <v/>
      </c>
      <c r="J1803" s="66" t="str">
        <f>IF(M1803&lt;&gt;"OK","",N(E1803)*(H1803*IF(G1803="",1,G1803)+I1803))</f>
        <v/>
      </c>
      <c r="K1803" s="66" t="str">
        <f>IF(M1803&lt;&gt;"OK","",N(F1803)/60*H1803*IF(G1803="",1,G1803))</f>
        <v/>
      </c>
      <c r="L1803" s="66" t="str">
        <f>IF(M1803&lt;&gt;"OK","",N(F1803)/60*I1803)</f>
        <v/>
      </c>
      <c r="M1803" s="69" t="str">
        <f>IF(AND(A1803="",D1803=""),"",IF(A1803="","Produit manquant",IF(COUNTIF(prod_ref,A1803)=0,"Produit inconnu",IF(D1803="","Poste manquant",IF(ISNA(MATCH(D1803,po_code,0)),"Poste inconnu",IF(INDEX(po_check,MATCH(D1803,po_code,0))&lt;&gt;"OK","Poste à corriger",IF(AND(E1803&lt;&gt;"",OR(NOT(ISNUMBER(E1803)),N(E1803)&lt;0)),"Réglage invalide",IF(AND(F1803&lt;&gt;"",OR(NOT(ISNUMBER(F1803)),N(F1803)&lt;0)),"Temps par pièce invalide",IF(N(E1803)+N(F1803)=0,"Temps manquant",IF(AND(G1803&lt;&gt;"",OR(NOT(ISNUMBER(G1803)),N(G1803)&lt;=0)),"Opérateurs invalide","OK"))))))))))</f>
        <v/>
      </c>
      <c r="N1803" s="71" t="str">
        <f>IF(AND(fiche_sel&lt;&gt;"",A1803=fiche_sel),COUNTIF(A$6:A1803,fiche_sel),"")</f>
        <v/>
      </c>
    </row>
    <row r="1804">
      <c r="A1804" s="60" t="n"/>
      <c r="B1804" s="73" t="n"/>
      <c r="C1804" s="60" t="n"/>
      <c r="D1804" s="61" t="n"/>
      <c r="E1804" s="74" t="n"/>
      <c r="F1804" s="74" t="n"/>
      <c r="G1804" s="73" t="n"/>
      <c r="H1804" s="66" t="str">
        <f>IF(M1804&lt;&gt;"OK","",INDEX(po_mo,MATCH(D1804,po_code,0)))</f>
        <v/>
      </c>
      <c r="I1804" s="66" t="str">
        <f>IF(M1804&lt;&gt;"OK","",INDEX(po_mac,MATCH(D1804,po_code,0)))</f>
        <v/>
      </c>
      <c r="J1804" s="66" t="str">
        <f>IF(M1804&lt;&gt;"OK","",N(E1804)*(H1804*IF(G1804="",1,G1804)+I1804))</f>
        <v/>
      </c>
      <c r="K1804" s="66" t="str">
        <f>IF(M1804&lt;&gt;"OK","",N(F1804)/60*H1804*IF(G1804="",1,G1804))</f>
        <v/>
      </c>
      <c r="L1804" s="66" t="str">
        <f>IF(M1804&lt;&gt;"OK","",N(F1804)/60*I1804)</f>
        <v/>
      </c>
      <c r="M1804" s="69" t="str">
        <f>IF(AND(A1804="",D1804=""),"",IF(A1804="","Produit manquant",IF(COUNTIF(prod_ref,A1804)=0,"Produit inconnu",IF(D1804="","Poste manquant",IF(ISNA(MATCH(D1804,po_code,0)),"Poste inconnu",IF(INDEX(po_check,MATCH(D1804,po_code,0))&lt;&gt;"OK","Poste à corriger",IF(AND(E1804&lt;&gt;"",OR(NOT(ISNUMBER(E1804)),N(E1804)&lt;0)),"Réglage invalide",IF(AND(F1804&lt;&gt;"",OR(NOT(ISNUMBER(F1804)),N(F1804)&lt;0)),"Temps par pièce invalide",IF(N(E1804)+N(F1804)=0,"Temps manquant",IF(AND(G1804&lt;&gt;"",OR(NOT(ISNUMBER(G1804)),N(G1804)&lt;=0)),"Opérateurs invalide","OK"))))))))))</f>
        <v/>
      </c>
      <c r="N1804" s="71" t="str">
        <f>IF(AND(fiche_sel&lt;&gt;"",A1804=fiche_sel),COUNTIF(A$6:A1804,fiche_sel),"")</f>
        <v/>
      </c>
    </row>
    <row r="1805">
      <c r="A1805" s="60" t="n"/>
      <c r="B1805" s="73" t="n"/>
      <c r="C1805" s="60" t="n"/>
      <c r="D1805" s="61" t="n"/>
      <c r="E1805" s="74" t="n"/>
      <c r="F1805" s="74" t="n"/>
      <c r="G1805" s="73" t="n"/>
      <c r="H1805" s="66" t="str">
        <f>IF(M1805&lt;&gt;"OK","",INDEX(po_mo,MATCH(D1805,po_code,0)))</f>
        <v/>
      </c>
      <c r="I1805" s="66" t="str">
        <f>IF(M1805&lt;&gt;"OK","",INDEX(po_mac,MATCH(D1805,po_code,0)))</f>
        <v/>
      </c>
      <c r="J1805" s="66" t="str">
        <f>IF(M1805&lt;&gt;"OK","",N(E1805)*(H1805*IF(G1805="",1,G1805)+I1805))</f>
        <v/>
      </c>
      <c r="K1805" s="66" t="str">
        <f>IF(M1805&lt;&gt;"OK","",N(F1805)/60*H1805*IF(G1805="",1,G1805))</f>
        <v/>
      </c>
      <c r="L1805" s="66" t="str">
        <f>IF(M1805&lt;&gt;"OK","",N(F1805)/60*I1805)</f>
        <v/>
      </c>
      <c r="M1805" s="69" t="str">
        <f>IF(AND(A1805="",D1805=""),"",IF(A1805="","Produit manquant",IF(COUNTIF(prod_ref,A1805)=0,"Produit inconnu",IF(D1805="","Poste manquant",IF(ISNA(MATCH(D1805,po_code,0)),"Poste inconnu",IF(INDEX(po_check,MATCH(D1805,po_code,0))&lt;&gt;"OK","Poste à corriger",IF(AND(E1805&lt;&gt;"",OR(NOT(ISNUMBER(E1805)),N(E1805)&lt;0)),"Réglage invalide",IF(AND(F1805&lt;&gt;"",OR(NOT(ISNUMBER(F1805)),N(F1805)&lt;0)),"Temps par pièce invalide",IF(N(E1805)+N(F1805)=0,"Temps manquant",IF(AND(G1805&lt;&gt;"",OR(NOT(ISNUMBER(G1805)),N(G1805)&lt;=0)),"Opérateurs invalide","OK"))))))))))</f>
        <v/>
      </c>
      <c r="N1805" s="71" t="str">
        <f>IF(AND(fiche_sel&lt;&gt;"",A1805=fiche_sel),COUNTIF(A$6:A1805,fiche_sel),"")</f>
        <v/>
      </c>
    </row>
    <row r="1806">
      <c r="A1806" s="60" t="n"/>
      <c r="B1806" s="73" t="n"/>
      <c r="C1806" s="60" t="n"/>
      <c r="D1806" s="61" t="n"/>
      <c r="E1806" s="74" t="n"/>
      <c r="F1806" s="74" t="n"/>
      <c r="G1806" s="73" t="n"/>
      <c r="H1806" s="66" t="str">
        <f>IF(M1806&lt;&gt;"OK","",INDEX(po_mo,MATCH(D1806,po_code,0)))</f>
        <v/>
      </c>
      <c r="I1806" s="66" t="str">
        <f>IF(M1806&lt;&gt;"OK","",INDEX(po_mac,MATCH(D1806,po_code,0)))</f>
        <v/>
      </c>
      <c r="J1806" s="66" t="str">
        <f>IF(M1806&lt;&gt;"OK","",N(E1806)*(H1806*IF(G1806="",1,G1806)+I1806))</f>
        <v/>
      </c>
      <c r="K1806" s="66" t="str">
        <f>IF(M1806&lt;&gt;"OK","",N(F1806)/60*H1806*IF(G1806="",1,G1806))</f>
        <v/>
      </c>
      <c r="L1806" s="66" t="str">
        <f>IF(M1806&lt;&gt;"OK","",N(F1806)/60*I1806)</f>
        <v/>
      </c>
      <c r="M1806" s="69" t="str">
        <f>IF(AND(A1806="",D1806=""),"",IF(A1806="","Produit manquant",IF(COUNTIF(prod_ref,A1806)=0,"Produit inconnu",IF(D1806="","Poste manquant",IF(ISNA(MATCH(D1806,po_code,0)),"Poste inconnu",IF(INDEX(po_check,MATCH(D1806,po_code,0))&lt;&gt;"OK","Poste à corriger",IF(AND(E1806&lt;&gt;"",OR(NOT(ISNUMBER(E1806)),N(E1806)&lt;0)),"Réglage invalide",IF(AND(F1806&lt;&gt;"",OR(NOT(ISNUMBER(F1806)),N(F1806)&lt;0)),"Temps par pièce invalide",IF(N(E1806)+N(F1806)=0,"Temps manquant",IF(AND(G1806&lt;&gt;"",OR(NOT(ISNUMBER(G1806)),N(G1806)&lt;=0)),"Opérateurs invalide","OK"))))))))))</f>
        <v/>
      </c>
      <c r="N1806" s="71" t="str">
        <f>IF(AND(fiche_sel&lt;&gt;"",A1806=fiche_sel),COUNTIF(A$6:A1806,fiche_sel),"")</f>
        <v/>
      </c>
    </row>
    <row r="1807">
      <c r="A1807" s="60" t="n"/>
      <c r="B1807" s="73" t="n"/>
      <c r="C1807" s="60" t="n"/>
      <c r="D1807" s="61" t="n"/>
      <c r="E1807" s="74" t="n"/>
      <c r="F1807" s="74" t="n"/>
      <c r="G1807" s="73" t="n"/>
      <c r="H1807" s="66" t="str">
        <f>IF(M1807&lt;&gt;"OK","",INDEX(po_mo,MATCH(D1807,po_code,0)))</f>
        <v/>
      </c>
      <c r="I1807" s="66" t="str">
        <f>IF(M1807&lt;&gt;"OK","",INDEX(po_mac,MATCH(D1807,po_code,0)))</f>
        <v/>
      </c>
      <c r="J1807" s="66" t="str">
        <f>IF(M1807&lt;&gt;"OK","",N(E1807)*(H1807*IF(G1807="",1,G1807)+I1807))</f>
        <v/>
      </c>
      <c r="K1807" s="66" t="str">
        <f>IF(M1807&lt;&gt;"OK","",N(F1807)/60*H1807*IF(G1807="",1,G1807))</f>
        <v/>
      </c>
      <c r="L1807" s="66" t="str">
        <f>IF(M1807&lt;&gt;"OK","",N(F1807)/60*I1807)</f>
        <v/>
      </c>
      <c r="M1807" s="69" t="str">
        <f>IF(AND(A1807="",D1807=""),"",IF(A1807="","Produit manquant",IF(COUNTIF(prod_ref,A1807)=0,"Produit inconnu",IF(D1807="","Poste manquant",IF(ISNA(MATCH(D1807,po_code,0)),"Poste inconnu",IF(INDEX(po_check,MATCH(D1807,po_code,0))&lt;&gt;"OK","Poste à corriger",IF(AND(E1807&lt;&gt;"",OR(NOT(ISNUMBER(E1807)),N(E1807)&lt;0)),"Réglage invalide",IF(AND(F1807&lt;&gt;"",OR(NOT(ISNUMBER(F1807)),N(F1807)&lt;0)),"Temps par pièce invalide",IF(N(E1807)+N(F1807)=0,"Temps manquant",IF(AND(G1807&lt;&gt;"",OR(NOT(ISNUMBER(G1807)),N(G1807)&lt;=0)),"Opérateurs invalide","OK"))))))))))</f>
        <v/>
      </c>
      <c r="N1807" s="71" t="str">
        <f>IF(AND(fiche_sel&lt;&gt;"",A1807=fiche_sel),COUNTIF(A$6:A1807,fiche_sel),"")</f>
        <v/>
      </c>
    </row>
    <row r="1808">
      <c r="A1808" s="60" t="n"/>
      <c r="B1808" s="73" t="n"/>
      <c r="C1808" s="60" t="n"/>
      <c r="D1808" s="61" t="n"/>
      <c r="E1808" s="74" t="n"/>
      <c r="F1808" s="74" t="n"/>
      <c r="G1808" s="73" t="n"/>
      <c r="H1808" s="66" t="str">
        <f>IF(M1808&lt;&gt;"OK","",INDEX(po_mo,MATCH(D1808,po_code,0)))</f>
        <v/>
      </c>
      <c r="I1808" s="66" t="str">
        <f>IF(M1808&lt;&gt;"OK","",INDEX(po_mac,MATCH(D1808,po_code,0)))</f>
        <v/>
      </c>
      <c r="J1808" s="66" t="str">
        <f>IF(M1808&lt;&gt;"OK","",N(E1808)*(H1808*IF(G1808="",1,G1808)+I1808))</f>
        <v/>
      </c>
      <c r="K1808" s="66" t="str">
        <f>IF(M1808&lt;&gt;"OK","",N(F1808)/60*H1808*IF(G1808="",1,G1808))</f>
        <v/>
      </c>
      <c r="L1808" s="66" t="str">
        <f>IF(M1808&lt;&gt;"OK","",N(F1808)/60*I1808)</f>
        <v/>
      </c>
      <c r="M1808" s="69" t="str">
        <f>IF(AND(A1808="",D1808=""),"",IF(A1808="","Produit manquant",IF(COUNTIF(prod_ref,A1808)=0,"Produit inconnu",IF(D1808="","Poste manquant",IF(ISNA(MATCH(D1808,po_code,0)),"Poste inconnu",IF(INDEX(po_check,MATCH(D1808,po_code,0))&lt;&gt;"OK","Poste à corriger",IF(AND(E1808&lt;&gt;"",OR(NOT(ISNUMBER(E1808)),N(E1808)&lt;0)),"Réglage invalide",IF(AND(F1808&lt;&gt;"",OR(NOT(ISNUMBER(F1808)),N(F1808)&lt;0)),"Temps par pièce invalide",IF(N(E1808)+N(F1808)=0,"Temps manquant",IF(AND(G1808&lt;&gt;"",OR(NOT(ISNUMBER(G1808)),N(G1808)&lt;=0)),"Opérateurs invalide","OK"))))))))))</f>
        <v/>
      </c>
      <c r="N1808" s="71" t="str">
        <f>IF(AND(fiche_sel&lt;&gt;"",A1808=fiche_sel),COUNTIF(A$6:A1808,fiche_sel),"")</f>
        <v/>
      </c>
    </row>
    <row r="1809">
      <c r="A1809" s="60" t="n"/>
      <c r="B1809" s="73" t="n"/>
      <c r="C1809" s="60" t="n"/>
      <c r="D1809" s="61" t="n"/>
      <c r="E1809" s="74" t="n"/>
      <c r="F1809" s="74" t="n"/>
      <c r="G1809" s="73" t="n"/>
      <c r="H1809" s="66" t="str">
        <f>IF(M1809&lt;&gt;"OK","",INDEX(po_mo,MATCH(D1809,po_code,0)))</f>
        <v/>
      </c>
      <c r="I1809" s="66" t="str">
        <f>IF(M1809&lt;&gt;"OK","",INDEX(po_mac,MATCH(D1809,po_code,0)))</f>
        <v/>
      </c>
      <c r="J1809" s="66" t="str">
        <f>IF(M1809&lt;&gt;"OK","",N(E1809)*(H1809*IF(G1809="",1,G1809)+I1809))</f>
        <v/>
      </c>
      <c r="K1809" s="66" t="str">
        <f>IF(M1809&lt;&gt;"OK","",N(F1809)/60*H1809*IF(G1809="",1,G1809))</f>
        <v/>
      </c>
      <c r="L1809" s="66" t="str">
        <f>IF(M1809&lt;&gt;"OK","",N(F1809)/60*I1809)</f>
        <v/>
      </c>
      <c r="M1809" s="69" t="str">
        <f>IF(AND(A1809="",D1809=""),"",IF(A1809="","Produit manquant",IF(COUNTIF(prod_ref,A1809)=0,"Produit inconnu",IF(D1809="","Poste manquant",IF(ISNA(MATCH(D1809,po_code,0)),"Poste inconnu",IF(INDEX(po_check,MATCH(D1809,po_code,0))&lt;&gt;"OK","Poste à corriger",IF(AND(E1809&lt;&gt;"",OR(NOT(ISNUMBER(E1809)),N(E1809)&lt;0)),"Réglage invalide",IF(AND(F1809&lt;&gt;"",OR(NOT(ISNUMBER(F1809)),N(F1809)&lt;0)),"Temps par pièce invalide",IF(N(E1809)+N(F1809)=0,"Temps manquant",IF(AND(G1809&lt;&gt;"",OR(NOT(ISNUMBER(G1809)),N(G1809)&lt;=0)),"Opérateurs invalide","OK"))))))))))</f>
        <v/>
      </c>
      <c r="N1809" s="71" t="str">
        <f>IF(AND(fiche_sel&lt;&gt;"",A1809=fiche_sel),COUNTIF(A$6:A1809,fiche_sel),"")</f>
        <v/>
      </c>
    </row>
    <row r="1810">
      <c r="A1810" s="60" t="n"/>
      <c r="B1810" s="73" t="n"/>
      <c r="C1810" s="60" t="n"/>
      <c r="D1810" s="61" t="n"/>
      <c r="E1810" s="74" t="n"/>
      <c r="F1810" s="74" t="n"/>
      <c r="G1810" s="73" t="n"/>
      <c r="H1810" s="66" t="str">
        <f>IF(M1810&lt;&gt;"OK","",INDEX(po_mo,MATCH(D1810,po_code,0)))</f>
        <v/>
      </c>
      <c r="I1810" s="66" t="str">
        <f>IF(M1810&lt;&gt;"OK","",INDEX(po_mac,MATCH(D1810,po_code,0)))</f>
        <v/>
      </c>
      <c r="J1810" s="66" t="str">
        <f>IF(M1810&lt;&gt;"OK","",N(E1810)*(H1810*IF(G1810="",1,G1810)+I1810))</f>
        <v/>
      </c>
      <c r="K1810" s="66" t="str">
        <f>IF(M1810&lt;&gt;"OK","",N(F1810)/60*H1810*IF(G1810="",1,G1810))</f>
        <v/>
      </c>
      <c r="L1810" s="66" t="str">
        <f>IF(M1810&lt;&gt;"OK","",N(F1810)/60*I1810)</f>
        <v/>
      </c>
      <c r="M1810" s="69" t="str">
        <f>IF(AND(A1810="",D1810=""),"",IF(A1810="","Produit manquant",IF(COUNTIF(prod_ref,A1810)=0,"Produit inconnu",IF(D1810="","Poste manquant",IF(ISNA(MATCH(D1810,po_code,0)),"Poste inconnu",IF(INDEX(po_check,MATCH(D1810,po_code,0))&lt;&gt;"OK","Poste à corriger",IF(AND(E1810&lt;&gt;"",OR(NOT(ISNUMBER(E1810)),N(E1810)&lt;0)),"Réglage invalide",IF(AND(F1810&lt;&gt;"",OR(NOT(ISNUMBER(F1810)),N(F1810)&lt;0)),"Temps par pièce invalide",IF(N(E1810)+N(F1810)=0,"Temps manquant",IF(AND(G1810&lt;&gt;"",OR(NOT(ISNUMBER(G1810)),N(G1810)&lt;=0)),"Opérateurs invalide","OK"))))))))))</f>
        <v/>
      </c>
      <c r="N1810" s="71" t="str">
        <f>IF(AND(fiche_sel&lt;&gt;"",A1810=fiche_sel),COUNTIF(A$6:A1810,fiche_sel),"")</f>
        <v/>
      </c>
    </row>
    <row r="1811">
      <c r="A1811" s="60" t="n"/>
      <c r="B1811" s="73" t="n"/>
      <c r="C1811" s="60" t="n"/>
      <c r="D1811" s="61" t="n"/>
      <c r="E1811" s="74" t="n"/>
      <c r="F1811" s="74" t="n"/>
      <c r="G1811" s="73" t="n"/>
      <c r="H1811" s="66" t="str">
        <f>IF(M1811&lt;&gt;"OK","",INDEX(po_mo,MATCH(D1811,po_code,0)))</f>
        <v/>
      </c>
      <c r="I1811" s="66" t="str">
        <f>IF(M1811&lt;&gt;"OK","",INDEX(po_mac,MATCH(D1811,po_code,0)))</f>
        <v/>
      </c>
      <c r="J1811" s="66" t="str">
        <f>IF(M1811&lt;&gt;"OK","",N(E1811)*(H1811*IF(G1811="",1,G1811)+I1811))</f>
        <v/>
      </c>
      <c r="K1811" s="66" t="str">
        <f>IF(M1811&lt;&gt;"OK","",N(F1811)/60*H1811*IF(G1811="",1,G1811))</f>
        <v/>
      </c>
      <c r="L1811" s="66" t="str">
        <f>IF(M1811&lt;&gt;"OK","",N(F1811)/60*I1811)</f>
        <v/>
      </c>
      <c r="M1811" s="69" t="str">
        <f>IF(AND(A1811="",D1811=""),"",IF(A1811="","Produit manquant",IF(COUNTIF(prod_ref,A1811)=0,"Produit inconnu",IF(D1811="","Poste manquant",IF(ISNA(MATCH(D1811,po_code,0)),"Poste inconnu",IF(INDEX(po_check,MATCH(D1811,po_code,0))&lt;&gt;"OK","Poste à corriger",IF(AND(E1811&lt;&gt;"",OR(NOT(ISNUMBER(E1811)),N(E1811)&lt;0)),"Réglage invalide",IF(AND(F1811&lt;&gt;"",OR(NOT(ISNUMBER(F1811)),N(F1811)&lt;0)),"Temps par pièce invalide",IF(N(E1811)+N(F1811)=0,"Temps manquant",IF(AND(G1811&lt;&gt;"",OR(NOT(ISNUMBER(G1811)),N(G1811)&lt;=0)),"Opérateurs invalide","OK"))))))))))</f>
        <v/>
      </c>
      <c r="N1811" s="71" t="str">
        <f>IF(AND(fiche_sel&lt;&gt;"",A1811=fiche_sel),COUNTIF(A$6:A1811,fiche_sel),"")</f>
        <v/>
      </c>
    </row>
    <row r="1812">
      <c r="A1812" s="60" t="n"/>
      <c r="B1812" s="73" t="n"/>
      <c r="C1812" s="60" t="n"/>
      <c r="D1812" s="61" t="n"/>
      <c r="E1812" s="74" t="n"/>
      <c r="F1812" s="74" t="n"/>
      <c r="G1812" s="73" t="n"/>
      <c r="H1812" s="66" t="str">
        <f>IF(M1812&lt;&gt;"OK","",INDEX(po_mo,MATCH(D1812,po_code,0)))</f>
        <v/>
      </c>
      <c r="I1812" s="66" t="str">
        <f>IF(M1812&lt;&gt;"OK","",INDEX(po_mac,MATCH(D1812,po_code,0)))</f>
        <v/>
      </c>
      <c r="J1812" s="66" t="str">
        <f>IF(M1812&lt;&gt;"OK","",N(E1812)*(H1812*IF(G1812="",1,G1812)+I1812))</f>
        <v/>
      </c>
      <c r="K1812" s="66" t="str">
        <f>IF(M1812&lt;&gt;"OK","",N(F1812)/60*H1812*IF(G1812="",1,G1812))</f>
        <v/>
      </c>
      <c r="L1812" s="66" t="str">
        <f>IF(M1812&lt;&gt;"OK","",N(F1812)/60*I1812)</f>
        <v/>
      </c>
      <c r="M1812" s="69" t="str">
        <f>IF(AND(A1812="",D1812=""),"",IF(A1812="","Produit manquant",IF(COUNTIF(prod_ref,A1812)=0,"Produit inconnu",IF(D1812="","Poste manquant",IF(ISNA(MATCH(D1812,po_code,0)),"Poste inconnu",IF(INDEX(po_check,MATCH(D1812,po_code,0))&lt;&gt;"OK","Poste à corriger",IF(AND(E1812&lt;&gt;"",OR(NOT(ISNUMBER(E1812)),N(E1812)&lt;0)),"Réglage invalide",IF(AND(F1812&lt;&gt;"",OR(NOT(ISNUMBER(F1812)),N(F1812)&lt;0)),"Temps par pièce invalide",IF(N(E1812)+N(F1812)=0,"Temps manquant",IF(AND(G1812&lt;&gt;"",OR(NOT(ISNUMBER(G1812)),N(G1812)&lt;=0)),"Opérateurs invalide","OK"))))))))))</f>
        <v/>
      </c>
      <c r="N1812" s="71" t="str">
        <f>IF(AND(fiche_sel&lt;&gt;"",A1812=fiche_sel),COUNTIF(A$6:A1812,fiche_sel),"")</f>
        <v/>
      </c>
    </row>
    <row r="1813">
      <c r="A1813" s="60" t="n"/>
      <c r="B1813" s="73" t="n"/>
      <c r="C1813" s="60" t="n"/>
      <c r="D1813" s="61" t="n"/>
      <c r="E1813" s="74" t="n"/>
      <c r="F1813" s="74" t="n"/>
      <c r="G1813" s="73" t="n"/>
      <c r="H1813" s="66" t="str">
        <f>IF(M1813&lt;&gt;"OK","",INDEX(po_mo,MATCH(D1813,po_code,0)))</f>
        <v/>
      </c>
      <c r="I1813" s="66" t="str">
        <f>IF(M1813&lt;&gt;"OK","",INDEX(po_mac,MATCH(D1813,po_code,0)))</f>
        <v/>
      </c>
      <c r="J1813" s="66" t="str">
        <f>IF(M1813&lt;&gt;"OK","",N(E1813)*(H1813*IF(G1813="",1,G1813)+I1813))</f>
        <v/>
      </c>
      <c r="K1813" s="66" t="str">
        <f>IF(M1813&lt;&gt;"OK","",N(F1813)/60*H1813*IF(G1813="",1,G1813))</f>
        <v/>
      </c>
      <c r="L1813" s="66" t="str">
        <f>IF(M1813&lt;&gt;"OK","",N(F1813)/60*I1813)</f>
        <v/>
      </c>
      <c r="M1813" s="69" t="str">
        <f>IF(AND(A1813="",D1813=""),"",IF(A1813="","Produit manquant",IF(COUNTIF(prod_ref,A1813)=0,"Produit inconnu",IF(D1813="","Poste manquant",IF(ISNA(MATCH(D1813,po_code,0)),"Poste inconnu",IF(INDEX(po_check,MATCH(D1813,po_code,0))&lt;&gt;"OK","Poste à corriger",IF(AND(E1813&lt;&gt;"",OR(NOT(ISNUMBER(E1813)),N(E1813)&lt;0)),"Réglage invalide",IF(AND(F1813&lt;&gt;"",OR(NOT(ISNUMBER(F1813)),N(F1813)&lt;0)),"Temps par pièce invalide",IF(N(E1813)+N(F1813)=0,"Temps manquant",IF(AND(G1813&lt;&gt;"",OR(NOT(ISNUMBER(G1813)),N(G1813)&lt;=0)),"Opérateurs invalide","OK"))))))))))</f>
        <v/>
      </c>
      <c r="N1813" s="71" t="str">
        <f>IF(AND(fiche_sel&lt;&gt;"",A1813=fiche_sel),COUNTIF(A$6:A1813,fiche_sel),"")</f>
        <v/>
      </c>
    </row>
    <row r="1814">
      <c r="A1814" s="60" t="n"/>
      <c r="B1814" s="73" t="n"/>
      <c r="C1814" s="60" t="n"/>
      <c r="D1814" s="61" t="n"/>
      <c r="E1814" s="74" t="n"/>
      <c r="F1814" s="74" t="n"/>
      <c r="G1814" s="73" t="n"/>
      <c r="H1814" s="66" t="str">
        <f>IF(M1814&lt;&gt;"OK","",INDEX(po_mo,MATCH(D1814,po_code,0)))</f>
        <v/>
      </c>
      <c r="I1814" s="66" t="str">
        <f>IF(M1814&lt;&gt;"OK","",INDEX(po_mac,MATCH(D1814,po_code,0)))</f>
        <v/>
      </c>
      <c r="J1814" s="66" t="str">
        <f>IF(M1814&lt;&gt;"OK","",N(E1814)*(H1814*IF(G1814="",1,G1814)+I1814))</f>
        <v/>
      </c>
      <c r="K1814" s="66" t="str">
        <f>IF(M1814&lt;&gt;"OK","",N(F1814)/60*H1814*IF(G1814="",1,G1814))</f>
        <v/>
      </c>
      <c r="L1814" s="66" t="str">
        <f>IF(M1814&lt;&gt;"OK","",N(F1814)/60*I1814)</f>
        <v/>
      </c>
      <c r="M1814" s="69" t="str">
        <f>IF(AND(A1814="",D1814=""),"",IF(A1814="","Produit manquant",IF(COUNTIF(prod_ref,A1814)=0,"Produit inconnu",IF(D1814="","Poste manquant",IF(ISNA(MATCH(D1814,po_code,0)),"Poste inconnu",IF(INDEX(po_check,MATCH(D1814,po_code,0))&lt;&gt;"OK","Poste à corriger",IF(AND(E1814&lt;&gt;"",OR(NOT(ISNUMBER(E1814)),N(E1814)&lt;0)),"Réglage invalide",IF(AND(F1814&lt;&gt;"",OR(NOT(ISNUMBER(F1814)),N(F1814)&lt;0)),"Temps par pièce invalide",IF(N(E1814)+N(F1814)=0,"Temps manquant",IF(AND(G1814&lt;&gt;"",OR(NOT(ISNUMBER(G1814)),N(G1814)&lt;=0)),"Opérateurs invalide","OK"))))))))))</f>
        <v/>
      </c>
      <c r="N1814" s="71" t="str">
        <f>IF(AND(fiche_sel&lt;&gt;"",A1814=fiche_sel),COUNTIF(A$6:A1814,fiche_sel),"")</f>
        <v/>
      </c>
    </row>
    <row r="1815">
      <c r="A1815" s="60" t="n"/>
      <c r="B1815" s="73" t="n"/>
      <c r="C1815" s="60" t="n"/>
      <c r="D1815" s="61" t="n"/>
      <c r="E1815" s="74" t="n"/>
      <c r="F1815" s="74" t="n"/>
      <c r="G1815" s="73" t="n"/>
      <c r="H1815" s="66" t="str">
        <f>IF(M1815&lt;&gt;"OK","",INDEX(po_mo,MATCH(D1815,po_code,0)))</f>
        <v/>
      </c>
      <c r="I1815" s="66" t="str">
        <f>IF(M1815&lt;&gt;"OK","",INDEX(po_mac,MATCH(D1815,po_code,0)))</f>
        <v/>
      </c>
      <c r="J1815" s="66" t="str">
        <f>IF(M1815&lt;&gt;"OK","",N(E1815)*(H1815*IF(G1815="",1,G1815)+I1815))</f>
        <v/>
      </c>
      <c r="K1815" s="66" t="str">
        <f>IF(M1815&lt;&gt;"OK","",N(F1815)/60*H1815*IF(G1815="",1,G1815))</f>
        <v/>
      </c>
      <c r="L1815" s="66" t="str">
        <f>IF(M1815&lt;&gt;"OK","",N(F1815)/60*I1815)</f>
        <v/>
      </c>
      <c r="M1815" s="69" t="str">
        <f>IF(AND(A1815="",D1815=""),"",IF(A1815="","Produit manquant",IF(COUNTIF(prod_ref,A1815)=0,"Produit inconnu",IF(D1815="","Poste manquant",IF(ISNA(MATCH(D1815,po_code,0)),"Poste inconnu",IF(INDEX(po_check,MATCH(D1815,po_code,0))&lt;&gt;"OK","Poste à corriger",IF(AND(E1815&lt;&gt;"",OR(NOT(ISNUMBER(E1815)),N(E1815)&lt;0)),"Réglage invalide",IF(AND(F1815&lt;&gt;"",OR(NOT(ISNUMBER(F1815)),N(F1815)&lt;0)),"Temps par pièce invalide",IF(N(E1815)+N(F1815)=0,"Temps manquant",IF(AND(G1815&lt;&gt;"",OR(NOT(ISNUMBER(G1815)),N(G1815)&lt;=0)),"Opérateurs invalide","OK"))))))))))</f>
        <v/>
      </c>
      <c r="N1815" s="71" t="str">
        <f>IF(AND(fiche_sel&lt;&gt;"",A1815=fiche_sel),COUNTIF(A$6:A1815,fiche_sel),"")</f>
        <v/>
      </c>
    </row>
    <row r="1816">
      <c r="A1816" s="60" t="n"/>
      <c r="B1816" s="73" t="n"/>
      <c r="C1816" s="60" t="n"/>
      <c r="D1816" s="61" t="n"/>
      <c r="E1816" s="74" t="n"/>
      <c r="F1816" s="74" t="n"/>
      <c r="G1816" s="73" t="n"/>
      <c r="H1816" s="66" t="str">
        <f>IF(M1816&lt;&gt;"OK","",INDEX(po_mo,MATCH(D1816,po_code,0)))</f>
        <v/>
      </c>
      <c r="I1816" s="66" t="str">
        <f>IF(M1816&lt;&gt;"OK","",INDEX(po_mac,MATCH(D1816,po_code,0)))</f>
        <v/>
      </c>
      <c r="J1816" s="66" t="str">
        <f>IF(M1816&lt;&gt;"OK","",N(E1816)*(H1816*IF(G1816="",1,G1816)+I1816))</f>
        <v/>
      </c>
      <c r="K1816" s="66" t="str">
        <f>IF(M1816&lt;&gt;"OK","",N(F1816)/60*H1816*IF(G1816="",1,G1816))</f>
        <v/>
      </c>
      <c r="L1816" s="66" t="str">
        <f>IF(M1816&lt;&gt;"OK","",N(F1816)/60*I1816)</f>
        <v/>
      </c>
      <c r="M1816" s="69" t="str">
        <f>IF(AND(A1816="",D1816=""),"",IF(A1816="","Produit manquant",IF(COUNTIF(prod_ref,A1816)=0,"Produit inconnu",IF(D1816="","Poste manquant",IF(ISNA(MATCH(D1816,po_code,0)),"Poste inconnu",IF(INDEX(po_check,MATCH(D1816,po_code,0))&lt;&gt;"OK","Poste à corriger",IF(AND(E1816&lt;&gt;"",OR(NOT(ISNUMBER(E1816)),N(E1816)&lt;0)),"Réglage invalide",IF(AND(F1816&lt;&gt;"",OR(NOT(ISNUMBER(F1816)),N(F1816)&lt;0)),"Temps par pièce invalide",IF(N(E1816)+N(F1816)=0,"Temps manquant",IF(AND(G1816&lt;&gt;"",OR(NOT(ISNUMBER(G1816)),N(G1816)&lt;=0)),"Opérateurs invalide","OK"))))))))))</f>
        <v/>
      </c>
      <c r="N1816" s="71" t="str">
        <f>IF(AND(fiche_sel&lt;&gt;"",A1816=fiche_sel),COUNTIF(A$6:A1816,fiche_sel),"")</f>
        <v/>
      </c>
    </row>
    <row r="1817">
      <c r="A1817" s="60" t="n"/>
      <c r="B1817" s="73" t="n"/>
      <c r="C1817" s="60" t="n"/>
      <c r="D1817" s="61" t="n"/>
      <c r="E1817" s="74" t="n"/>
      <c r="F1817" s="74" t="n"/>
      <c r="G1817" s="73" t="n"/>
      <c r="H1817" s="66" t="str">
        <f>IF(M1817&lt;&gt;"OK","",INDEX(po_mo,MATCH(D1817,po_code,0)))</f>
        <v/>
      </c>
      <c r="I1817" s="66" t="str">
        <f>IF(M1817&lt;&gt;"OK","",INDEX(po_mac,MATCH(D1817,po_code,0)))</f>
        <v/>
      </c>
      <c r="J1817" s="66" t="str">
        <f>IF(M1817&lt;&gt;"OK","",N(E1817)*(H1817*IF(G1817="",1,G1817)+I1817))</f>
        <v/>
      </c>
      <c r="K1817" s="66" t="str">
        <f>IF(M1817&lt;&gt;"OK","",N(F1817)/60*H1817*IF(G1817="",1,G1817))</f>
        <v/>
      </c>
      <c r="L1817" s="66" t="str">
        <f>IF(M1817&lt;&gt;"OK","",N(F1817)/60*I1817)</f>
        <v/>
      </c>
      <c r="M1817" s="69" t="str">
        <f>IF(AND(A1817="",D1817=""),"",IF(A1817="","Produit manquant",IF(COUNTIF(prod_ref,A1817)=0,"Produit inconnu",IF(D1817="","Poste manquant",IF(ISNA(MATCH(D1817,po_code,0)),"Poste inconnu",IF(INDEX(po_check,MATCH(D1817,po_code,0))&lt;&gt;"OK","Poste à corriger",IF(AND(E1817&lt;&gt;"",OR(NOT(ISNUMBER(E1817)),N(E1817)&lt;0)),"Réglage invalide",IF(AND(F1817&lt;&gt;"",OR(NOT(ISNUMBER(F1817)),N(F1817)&lt;0)),"Temps par pièce invalide",IF(N(E1817)+N(F1817)=0,"Temps manquant",IF(AND(G1817&lt;&gt;"",OR(NOT(ISNUMBER(G1817)),N(G1817)&lt;=0)),"Opérateurs invalide","OK"))))))))))</f>
        <v/>
      </c>
      <c r="N1817" s="71" t="str">
        <f>IF(AND(fiche_sel&lt;&gt;"",A1817=fiche_sel),COUNTIF(A$6:A1817,fiche_sel),"")</f>
        <v/>
      </c>
    </row>
    <row r="1818">
      <c r="A1818" s="60" t="n"/>
      <c r="B1818" s="73" t="n"/>
      <c r="C1818" s="60" t="n"/>
      <c r="D1818" s="61" t="n"/>
      <c r="E1818" s="74" t="n"/>
      <c r="F1818" s="74" t="n"/>
      <c r="G1818" s="73" t="n"/>
      <c r="H1818" s="66" t="str">
        <f>IF(M1818&lt;&gt;"OK","",INDEX(po_mo,MATCH(D1818,po_code,0)))</f>
        <v/>
      </c>
      <c r="I1818" s="66" t="str">
        <f>IF(M1818&lt;&gt;"OK","",INDEX(po_mac,MATCH(D1818,po_code,0)))</f>
        <v/>
      </c>
      <c r="J1818" s="66" t="str">
        <f>IF(M1818&lt;&gt;"OK","",N(E1818)*(H1818*IF(G1818="",1,G1818)+I1818))</f>
        <v/>
      </c>
      <c r="K1818" s="66" t="str">
        <f>IF(M1818&lt;&gt;"OK","",N(F1818)/60*H1818*IF(G1818="",1,G1818))</f>
        <v/>
      </c>
      <c r="L1818" s="66" t="str">
        <f>IF(M1818&lt;&gt;"OK","",N(F1818)/60*I1818)</f>
        <v/>
      </c>
      <c r="M1818" s="69" t="str">
        <f>IF(AND(A1818="",D1818=""),"",IF(A1818="","Produit manquant",IF(COUNTIF(prod_ref,A1818)=0,"Produit inconnu",IF(D1818="","Poste manquant",IF(ISNA(MATCH(D1818,po_code,0)),"Poste inconnu",IF(INDEX(po_check,MATCH(D1818,po_code,0))&lt;&gt;"OK","Poste à corriger",IF(AND(E1818&lt;&gt;"",OR(NOT(ISNUMBER(E1818)),N(E1818)&lt;0)),"Réglage invalide",IF(AND(F1818&lt;&gt;"",OR(NOT(ISNUMBER(F1818)),N(F1818)&lt;0)),"Temps par pièce invalide",IF(N(E1818)+N(F1818)=0,"Temps manquant",IF(AND(G1818&lt;&gt;"",OR(NOT(ISNUMBER(G1818)),N(G1818)&lt;=0)),"Opérateurs invalide","OK"))))))))))</f>
        <v/>
      </c>
      <c r="N1818" s="71" t="str">
        <f>IF(AND(fiche_sel&lt;&gt;"",A1818=fiche_sel),COUNTIF(A$6:A1818,fiche_sel),"")</f>
        <v/>
      </c>
    </row>
    <row r="1819">
      <c r="A1819" s="60" t="n"/>
      <c r="B1819" s="73" t="n"/>
      <c r="C1819" s="60" t="n"/>
      <c r="D1819" s="61" t="n"/>
      <c r="E1819" s="74" t="n"/>
      <c r="F1819" s="74" t="n"/>
      <c r="G1819" s="73" t="n"/>
      <c r="H1819" s="66" t="str">
        <f>IF(M1819&lt;&gt;"OK","",INDEX(po_mo,MATCH(D1819,po_code,0)))</f>
        <v/>
      </c>
      <c r="I1819" s="66" t="str">
        <f>IF(M1819&lt;&gt;"OK","",INDEX(po_mac,MATCH(D1819,po_code,0)))</f>
        <v/>
      </c>
      <c r="J1819" s="66" t="str">
        <f>IF(M1819&lt;&gt;"OK","",N(E1819)*(H1819*IF(G1819="",1,G1819)+I1819))</f>
        <v/>
      </c>
      <c r="K1819" s="66" t="str">
        <f>IF(M1819&lt;&gt;"OK","",N(F1819)/60*H1819*IF(G1819="",1,G1819))</f>
        <v/>
      </c>
      <c r="L1819" s="66" t="str">
        <f>IF(M1819&lt;&gt;"OK","",N(F1819)/60*I1819)</f>
        <v/>
      </c>
      <c r="M1819" s="69" t="str">
        <f>IF(AND(A1819="",D1819=""),"",IF(A1819="","Produit manquant",IF(COUNTIF(prod_ref,A1819)=0,"Produit inconnu",IF(D1819="","Poste manquant",IF(ISNA(MATCH(D1819,po_code,0)),"Poste inconnu",IF(INDEX(po_check,MATCH(D1819,po_code,0))&lt;&gt;"OK","Poste à corriger",IF(AND(E1819&lt;&gt;"",OR(NOT(ISNUMBER(E1819)),N(E1819)&lt;0)),"Réglage invalide",IF(AND(F1819&lt;&gt;"",OR(NOT(ISNUMBER(F1819)),N(F1819)&lt;0)),"Temps par pièce invalide",IF(N(E1819)+N(F1819)=0,"Temps manquant",IF(AND(G1819&lt;&gt;"",OR(NOT(ISNUMBER(G1819)),N(G1819)&lt;=0)),"Opérateurs invalide","OK"))))))))))</f>
        <v/>
      </c>
      <c r="N1819" s="71" t="str">
        <f>IF(AND(fiche_sel&lt;&gt;"",A1819=fiche_sel),COUNTIF(A$6:A1819,fiche_sel),"")</f>
        <v/>
      </c>
    </row>
    <row r="1820">
      <c r="A1820" s="60" t="n"/>
      <c r="B1820" s="73" t="n"/>
      <c r="C1820" s="60" t="n"/>
      <c r="D1820" s="61" t="n"/>
      <c r="E1820" s="74" t="n"/>
      <c r="F1820" s="74" t="n"/>
      <c r="G1820" s="73" t="n"/>
      <c r="H1820" s="66" t="str">
        <f>IF(M1820&lt;&gt;"OK","",INDEX(po_mo,MATCH(D1820,po_code,0)))</f>
        <v/>
      </c>
      <c r="I1820" s="66" t="str">
        <f>IF(M1820&lt;&gt;"OK","",INDEX(po_mac,MATCH(D1820,po_code,0)))</f>
        <v/>
      </c>
      <c r="J1820" s="66" t="str">
        <f>IF(M1820&lt;&gt;"OK","",N(E1820)*(H1820*IF(G1820="",1,G1820)+I1820))</f>
        <v/>
      </c>
      <c r="K1820" s="66" t="str">
        <f>IF(M1820&lt;&gt;"OK","",N(F1820)/60*H1820*IF(G1820="",1,G1820))</f>
        <v/>
      </c>
      <c r="L1820" s="66" t="str">
        <f>IF(M1820&lt;&gt;"OK","",N(F1820)/60*I1820)</f>
        <v/>
      </c>
      <c r="M1820" s="69" t="str">
        <f>IF(AND(A1820="",D1820=""),"",IF(A1820="","Produit manquant",IF(COUNTIF(prod_ref,A1820)=0,"Produit inconnu",IF(D1820="","Poste manquant",IF(ISNA(MATCH(D1820,po_code,0)),"Poste inconnu",IF(INDEX(po_check,MATCH(D1820,po_code,0))&lt;&gt;"OK","Poste à corriger",IF(AND(E1820&lt;&gt;"",OR(NOT(ISNUMBER(E1820)),N(E1820)&lt;0)),"Réglage invalide",IF(AND(F1820&lt;&gt;"",OR(NOT(ISNUMBER(F1820)),N(F1820)&lt;0)),"Temps par pièce invalide",IF(N(E1820)+N(F1820)=0,"Temps manquant",IF(AND(G1820&lt;&gt;"",OR(NOT(ISNUMBER(G1820)),N(G1820)&lt;=0)),"Opérateurs invalide","OK"))))))))))</f>
        <v/>
      </c>
      <c r="N1820" s="71" t="str">
        <f>IF(AND(fiche_sel&lt;&gt;"",A1820=fiche_sel),COUNTIF(A$6:A1820,fiche_sel),"")</f>
        <v/>
      </c>
    </row>
    <row r="1821">
      <c r="A1821" s="60" t="n"/>
      <c r="B1821" s="73" t="n"/>
      <c r="C1821" s="60" t="n"/>
      <c r="D1821" s="61" t="n"/>
      <c r="E1821" s="74" t="n"/>
      <c r="F1821" s="74" t="n"/>
      <c r="G1821" s="73" t="n"/>
      <c r="H1821" s="66" t="str">
        <f>IF(M1821&lt;&gt;"OK","",INDEX(po_mo,MATCH(D1821,po_code,0)))</f>
        <v/>
      </c>
      <c r="I1821" s="66" t="str">
        <f>IF(M1821&lt;&gt;"OK","",INDEX(po_mac,MATCH(D1821,po_code,0)))</f>
        <v/>
      </c>
      <c r="J1821" s="66" t="str">
        <f>IF(M1821&lt;&gt;"OK","",N(E1821)*(H1821*IF(G1821="",1,G1821)+I1821))</f>
        <v/>
      </c>
      <c r="K1821" s="66" t="str">
        <f>IF(M1821&lt;&gt;"OK","",N(F1821)/60*H1821*IF(G1821="",1,G1821))</f>
        <v/>
      </c>
      <c r="L1821" s="66" t="str">
        <f>IF(M1821&lt;&gt;"OK","",N(F1821)/60*I1821)</f>
        <v/>
      </c>
      <c r="M1821" s="69" t="str">
        <f>IF(AND(A1821="",D1821=""),"",IF(A1821="","Produit manquant",IF(COUNTIF(prod_ref,A1821)=0,"Produit inconnu",IF(D1821="","Poste manquant",IF(ISNA(MATCH(D1821,po_code,0)),"Poste inconnu",IF(INDEX(po_check,MATCH(D1821,po_code,0))&lt;&gt;"OK","Poste à corriger",IF(AND(E1821&lt;&gt;"",OR(NOT(ISNUMBER(E1821)),N(E1821)&lt;0)),"Réglage invalide",IF(AND(F1821&lt;&gt;"",OR(NOT(ISNUMBER(F1821)),N(F1821)&lt;0)),"Temps par pièce invalide",IF(N(E1821)+N(F1821)=0,"Temps manquant",IF(AND(G1821&lt;&gt;"",OR(NOT(ISNUMBER(G1821)),N(G1821)&lt;=0)),"Opérateurs invalide","OK"))))))))))</f>
        <v/>
      </c>
      <c r="N1821" s="71" t="str">
        <f>IF(AND(fiche_sel&lt;&gt;"",A1821=fiche_sel),COUNTIF(A$6:A1821,fiche_sel),"")</f>
        <v/>
      </c>
    </row>
    <row r="1822">
      <c r="A1822" s="60" t="n"/>
      <c r="B1822" s="73" t="n"/>
      <c r="C1822" s="60" t="n"/>
      <c r="D1822" s="61" t="n"/>
      <c r="E1822" s="74" t="n"/>
      <c r="F1822" s="74" t="n"/>
      <c r="G1822" s="73" t="n"/>
      <c r="H1822" s="66" t="str">
        <f>IF(M1822&lt;&gt;"OK","",INDEX(po_mo,MATCH(D1822,po_code,0)))</f>
        <v/>
      </c>
      <c r="I1822" s="66" t="str">
        <f>IF(M1822&lt;&gt;"OK","",INDEX(po_mac,MATCH(D1822,po_code,0)))</f>
        <v/>
      </c>
      <c r="J1822" s="66" t="str">
        <f>IF(M1822&lt;&gt;"OK","",N(E1822)*(H1822*IF(G1822="",1,G1822)+I1822))</f>
        <v/>
      </c>
      <c r="K1822" s="66" t="str">
        <f>IF(M1822&lt;&gt;"OK","",N(F1822)/60*H1822*IF(G1822="",1,G1822))</f>
        <v/>
      </c>
      <c r="L1822" s="66" t="str">
        <f>IF(M1822&lt;&gt;"OK","",N(F1822)/60*I1822)</f>
        <v/>
      </c>
      <c r="M1822" s="69" t="str">
        <f>IF(AND(A1822="",D1822=""),"",IF(A1822="","Produit manquant",IF(COUNTIF(prod_ref,A1822)=0,"Produit inconnu",IF(D1822="","Poste manquant",IF(ISNA(MATCH(D1822,po_code,0)),"Poste inconnu",IF(INDEX(po_check,MATCH(D1822,po_code,0))&lt;&gt;"OK","Poste à corriger",IF(AND(E1822&lt;&gt;"",OR(NOT(ISNUMBER(E1822)),N(E1822)&lt;0)),"Réglage invalide",IF(AND(F1822&lt;&gt;"",OR(NOT(ISNUMBER(F1822)),N(F1822)&lt;0)),"Temps par pièce invalide",IF(N(E1822)+N(F1822)=0,"Temps manquant",IF(AND(G1822&lt;&gt;"",OR(NOT(ISNUMBER(G1822)),N(G1822)&lt;=0)),"Opérateurs invalide","OK"))))))))))</f>
        <v/>
      </c>
      <c r="N1822" s="71" t="str">
        <f>IF(AND(fiche_sel&lt;&gt;"",A1822=fiche_sel),COUNTIF(A$6:A1822,fiche_sel),"")</f>
        <v/>
      </c>
    </row>
    <row r="1823">
      <c r="A1823" s="60" t="n"/>
      <c r="B1823" s="73" t="n"/>
      <c r="C1823" s="60" t="n"/>
      <c r="D1823" s="61" t="n"/>
      <c r="E1823" s="74" t="n"/>
      <c r="F1823" s="74" t="n"/>
      <c r="G1823" s="73" t="n"/>
      <c r="H1823" s="66" t="str">
        <f>IF(M1823&lt;&gt;"OK","",INDEX(po_mo,MATCH(D1823,po_code,0)))</f>
        <v/>
      </c>
      <c r="I1823" s="66" t="str">
        <f>IF(M1823&lt;&gt;"OK","",INDEX(po_mac,MATCH(D1823,po_code,0)))</f>
        <v/>
      </c>
      <c r="J1823" s="66" t="str">
        <f>IF(M1823&lt;&gt;"OK","",N(E1823)*(H1823*IF(G1823="",1,G1823)+I1823))</f>
        <v/>
      </c>
      <c r="K1823" s="66" t="str">
        <f>IF(M1823&lt;&gt;"OK","",N(F1823)/60*H1823*IF(G1823="",1,G1823))</f>
        <v/>
      </c>
      <c r="L1823" s="66" t="str">
        <f>IF(M1823&lt;&gt;"OK","",N(F1823)/60*I1823)</f>
        <v/>
      </c>
      <c r="M1823" s="69" t="str">
        <f>IF(AND(A1823="",D1823=""),"",IF(A1823="","Produit manquant",IF(COUNTIF(prod_ref,A1823)=0,"Produit inconnu",IF(D1823="","Poste manquant",IF(ISNA(MATCH(D1823,po_code,0)),"Poste inconnu",IF(INDEX(po_check,MATCH(D1823,po_code,0))&lt;&gt;"OK","Poste à corriger",IF(AND(E1823&lt;&gt;"",OR(NOT(ISNUMBER(E1823)),N(E1823)&lt;0)),"Réglage invalide",IF(AND(F1823&lt;&gt;"",OR(NOT(ISNUMBER(F1823)),N(F1823)&lt;0)),"Temps par pièce invalide",IF(N(E1823)+N(F1823)=0,"Temps manquant",IF(AND(G1823&lt;&gt;"",OR(NOT(ISNUMBER(G1823)),N(G1823)&lt;=0)),"Opérateurs invalide","OK"))))))))))</f>
        <v/>
      </c>
      <c r="N1823" s="71" t="str">
        <f>IF(AND(fiche_sel&lt;&gt;"",A1823=fiche_sel),COUNTIF(A$6:A1823,fiche_sel),"")</f>
        <v/>
      </c>
    </row>
    <row r="1824">
      <c r="A1824" s="60" t="n"/>
      <c r="B1824" s="73" t="n"/>
      <c r="C1824" s="60" t="n"/>
      <c r="D1824" s="61" t="n"/>
      <c r="E1824" s="74" t="n"/>
      <c r="F1824" s="74" t="n"/>
      <c r="G1824" s="73" t="n"/>
      <c r="H1824" s="66" t="str">
        <f>IF(M1824&lt;&gt;"OK","",INDEX(po_mo,MATCH(D1824,po_code,0)))</f>
        <v/>
      </c>
      <c r="I1824" s="66" t="str">
        <f>IF(M1824&lt;&gt;"OK","",INDEX(po_mac,MATCH(D1824,po_code,0)))</f>
        <v/>
      </c>
      <c r="J1824" s="66" t="str">
        <f>IF(M1824&lt;&gt;"OK","",N(E1824)*(H1824*IF(G1824="",1,G1824)+I1824))</f>
        <v/>
      </c>
      <c r="K1824" s="66" t="str">
        <f>IF(M1824&lt;&gt;"OK","",N(F1824)/60*H1824*IF(G1824="",1,G1824))</f>
        <v/>
      </c>
      <c r="L1824" s="66" t="str">
        <f>IF(M1824&lt;&gt;"OK","",N(F1824)/60*I1824)</f>
        <v/>
      </c>
      <c r="M1824" s="69" t="str">
        <f>IF(AND(A1824="",D1824=""),"",IF(A1824="","Produit manquant",IF(COUNTIF(prod_ref,A1824)=0,"Produit inconnu",IF(D1824="","Poste manquant",IF(ISNA(MATCH(D1824,po_code,0)),"Poste inconnu",IF(INDEX(po_check,MATCH(D1824,po_code,0))&lt;&gt;"OK","Poste à corriger",IF(AND(E1824&lt;&gt;"",OR(NOT(ISNUMBER(E1824)),N(E1824)&lt;0)),"Réglage invalide",IF(AND(F1824&lt;&gt;"",OR(NOT(ISNUMBER(F1824)),N(F1824)&lt;0)),"Temps par pièce invalide",IF(N(E1824)+N(F1824)=0,"Temps manquant",IF(AND(G1824&lt;&gt;"",OR(NOT(ISNUMBER(G1824)),N(G1824)&lt;=0)),"Opérateurs invalide","OK"))))))))))</f>
        <v/>
      </c>
      <c r="N1824" s="71" t="str">
        <f>IF(AND(fiche_sel&lt;&gt;"",A1824=fiche_sel),COUNTIF(A$6:A1824,fiche_sel),"")</f>
        <v/>
      </c>
    </row>
    <row r="1825">
      <c r="A1825" s="60" t="n"/>
      <c r="B1825" s="73" t="n"/>
      <c r="C1825" s="60" t="n"/>
      <c r="D1825" s="61" t="n"/>
      <c r="E1825" s="74" t="n"/>
      <c r="F1825" s="74" t="n"/>
      <c r="G1825" s="73" t="n"/>
      <c r="H1825" s="66" t="str">
        <f>IF(M1825&lt;&gt;"OK","",INDEX(po_mo,MATCH(D1825,po_code,0)))</f>
        <v/>
      </c>
      <c r="I1825" s="66" t="str">
        <f>IF(M1825&lt;&gt;"OK","",INDEX(po_mac,MATCH(D1825,po_code,0)))</f>
        <v/>
      </c>
      <c r="J1825" s="66" t="str">
        <f>IF(M1825&lt;&gt;"OK","",N(E1825)*(H1825*IF(G1825="",1,G1825)+I1825))</f>
        <v/>
      </c>
      <c r="K1825" s="66" t="str">
        <f>IF(M1825&lt;&gt;"OK","",N(F1825)/60*H1825*IF(G1825="",1,G1825))</f>
        <v/>
      </c>
      <c r="L1825" s="66" t="str">
        <f>IF(M1825&lt;&gt;"OK","",N(F1825)/60*I1825)</f>
        <v/>
      </c>
      <c r="M1825" s="69" t="str">
        <f>IF(AND(A1825="",D1825=""),"",IF(A1825="","Produit manquant",IF(COUNTIF(prod_ref,A1825)=0,"Produit inconnu",IF(D1825="","Poste manquant",IF(ISNA(MATCH(D1825,po_code,0)),"Poste inconnu",IF(INDEX(po_check,MATCH(D1825,po_code,0))&lt;&gt;"OK","Poste à corriger",IF(AND(E1825&lt;&gt;"",OR(NOT(ISNUMBER(E1825)),N(E1825)&lt;0)),"Réglage invalide",IF(AND(F1825&lt;&gt;"",OR(NOT(ISNUMBER(F1825)),N(F1825)&lt;0)),"Temps par pièce invalide",IF(N(E1825)+N(F1825)=0,"Temps manquant",IF(AND(G1825&lt;&gt;"",OR(NOT(ISNUMBER(G1825)),N(G1825)&lt;=0)),"Opérateurs invalide","OK"))))))))))</f>
        <v/>
      </c>
      <c r="N1825" s="71" t="str">
        <f>IF(AND(fiche_sel&lt;&gt;"",A1825=fiche_sel),COUNTIF(A$6:A1825,fiche_sel),"")</f>
        <v/>
      </c>
    </row>
    <row r="1826">
      <c r="A1826" s="60" t="n"/>
      <c r="B1826" s="73" t="n"/>
      <c r="C1826" s="60" t="n"/>
      <c r="D1826" s="61" t="n"/>
      <c r="E1826" s="74" t="n"/>
      <c r="F1826" s="74" t="n"/>
      <c r="G1826" s="73" t="n"/>
      <c r="H1826" s="66" t="str">
        <f>IF(M1826&lt;&gt;"OK","",INDEX(po_mo,MATCH(D1826,po_code,0)))</f>
        <v/>
      </c>
      <c r="I1826" s="66" t="str">
        <f>IF(M1826&lt;&gt;"OK","",INDEX(po_mac,MATCH(D1826,po_code,0)))</f>
        <v/>
      </c>
      <c r="J1826" s="66" t="str">
        <f>IF(M1826&lt;&gt;"OK","",N(E1826)*(H1826*IF(G1826="",1,G1826)+I1826))</f>
        <v/>
      </c>
      <c r="K1826" s="66" t="str">
        <f>IF(M1826&lt;&gt;"OK","",N(F1826)/60*H1826*IF(G1826="",1,G1826))</f>
        <v/>
      </c>
      <c r="L1826" s="66" t="str">
        <f>IF(M1826&lt;&gt;"OK","",N(F1826)/60*I1826)</f>
        <v/>
      </c>
      <c r="M1826" s="69" t="str">
        <f>IF(AND(A1826="",D1826=""),"",IF(A1826="","Produit manquant",IF(COUNTIF(prod_ref,A1826)=0,"Produit inconnu",IF(D1826="","Poste manquant",IF(ISNA(MATCH(D1826,po_code,0)),"Poste inconnu",IF(INDEX(po_check,MATCH(D1826,po_code,0))&lt;&gt;"OK","Poste à corriger",IF(AND(E1826&lt;&gt;"",OR(NOT(ISNUMBER(E1826)),N(E1826)&lt;0)),"Réglage invalide",IF(AND(F1826&lt;&gt;"",OR(NOT(ISNUMBER(F1826)),N(F1826)&lt;0)),"Temps par pièce invalide",IF(N(E1826)+N(F1826)=0,"Temps manquant",IF(AND(G1826&lt;&gt;"",OR(NOT(ISNUMBER(G1826)),N(G1826)&lt;=0)),"Opérateurs invalide","OK"))))))))))</f>
        <v/>
      </c>
      <c r="N1826" s="71" t="str">
        <f>IF(AND(fiche_sel&lt;&gt;"",A1826=fiche_sel),COUNTIF(A$6:A1826,fiche_sel),"")</f>
        <v/>
      </c>
    </row>
    <row r="1827">
      <c r="A1827" s="60" t="n"/>
      <c r="B1827" s="73" t="n"/>
      <c r="C1827" s="60" t="n"/>
      <c r="D1827" s="61" t="n"/>
      <c r="E1827" s="74" t="n"/>
      <c r="F1827" s="74" t="n"/>
      <c r="G1827" s="73" t="n"/>
      <c r="H1827" s="66" t="str">
        <f>IF(M1827&lt;&gt;"OK","",INDEX(po_mo,MATCH(D1827,po_code,0)))</f>
        <v/>
      </c>
      <c r="I1827" s="66" t="str">
        <f>IF(M1827&lt;&gt;"OK","",INDEX(po_mac,MATCH(D1827,po_code,0)))</f>
        <v/>
      </c>
      <c r="J1827" s="66" t="str">
        <f>IF(M1827&lt;&gt;"OK","",N(E1827)*(H1827*IF(G1827="",1,G1827)+I1827))</f>
        <v/>
      </c>
      <c r="K1827" s="66" t="str">
        <f>IF(M1827&lt;&gt;"OK","",N(F1827)/60*H1827*IF(G1827="",1,G1827))</f>
        <v/>
      </c>
      <c r="L1827" s="66" t="str">
        <f>IF(M1827&lt;&gt;"OK","",N(F1827)/60*I1827)</f>
        <v/>
      </c>
      <c r="M1827" s="69" t="str">
        <f>IF(AND(A1827="",D1827=""),"",IF(A1827="","Produit manquant",IF(COUNTIF(prod_ref,A1827)=0,"Produit inconnu",IF(D1827="","Poste manquant",IF(ISNA(MATCH(D1827,po_code,0)),"Poste inconnu",IF(INDEX(po_check,MATCH(D1827,po_code,0))&lt;&gt;"OK","Poste à corriger",IF(AND(E1827&lt;&gt;"",OR(NOT(ISNUMBER(E1827)),N(E1827)&lt;0)),"Réglage invalide",IF(AND(F1827&lt;&gt;"",OR(NOT(ISNUMBER(F1827)),N(F1827)&lt;0)),"Temps par pièce invalide",IF(N(E1827)+N(F1827)=0,"Temps manquant",IF(AND(G1827&lt;&gt;"",OR(NOT(ISNUMBER(G1827)),N(G1827)&lt;=0)),"Opérateurs invalide","OK"))))))))))</f>
        <v/>
      </c>
      <c r="N1827" s="71" t="str">
        <f>IF(AND(fiche_sel&lt;&gt;"",A1827=fiche_sel),COUNTIF(A$6:A1827,fiche_sel),"")</f>
        <v/>
      </c>
    </row>
    <row r="1828">
      <c r="A1828" s="60" t="n"/>
      <c r="B1828" s="73" t="n"/>
      <c r="C1828" s="60" t="n"/>
      <c r="D1828" s="61" t="n"/>
      <c r="E1828" s="74" t="n"/>
      <c r="F1828" s="74" t="n"/>
      <c r="G1828" s="73" t="n"/>
      <c r="H1828" s="66" t="str">
        <f>IF(M1828&lt;&gt;"OK","",INDEX(po_mo,MATCH(D1828,po_code,0)))</f>
        <v/>
      </c>
      <c r="I1828" s="66" t="str">
        <f>IF(M1828&lt;&gt;"OK","",INDEX(po_mac,MATCH(D1828,po_code,0)))</f>
        <v/>
      </c>
      <c r="J1828" s="66" t="str">
        <f>IF(M1828&lt;&gt;"OK","",N(E1828)*(H1828*IF(G1828="",1,G1828)+I1828))</f>
        <v/>
      </c>
      <c r="K1828" s="66" t="str">
        <f>IF(M1828&lt;&gt;"OK","",N(F1828)/60*H1828*IF(G1828="",1,G1828))</f>
        <v/>
      </c>
      <c r="L1828" s="66" t="str">
        <f>IF(M1828&lt;&gt;"OK","",N(F1828)/60*I1828)</f>
        <v/>
      </c>
      <c r="M1828" s="69" t="str">
        <f>IF(AND(A1828="",D1828=""),"",IF(A1828="","Produit manquant",IF(COUNTIF(prod_ref,A1828)=0,"Produit inconnu",IF(D1828="","Poste manquant",IF(ISNA(MATCH(D1828,po_code,0)),"Poste inconnu",IF(INDEX(po_check,MATCH(D1828,po_code,0))&lt;&gt;"OK","Poste à corriger",IF(AND(E1828&lt;&gt;"",OR(NOT(ISNUMBER(E1828)),N(E1828)&lt;0)),"Réglage invalide",IF(AND(F1828&lt;&gt;"",OR(NOT(ISNUMBER(F1828)),N(F1828)&lt;0)),"Temps par pièce invalide",IF(N(E1828)+N(F1828)=0,"Temps manquant",IF(AND(G1828&lt;&gt;"",OR(NOT(ISNUMBER(G1828)),N(G1828)&lt;=0)),"Opérateurs invalide","OK"))))))))))</f>
        <v/>
      </c>
      <c r="N1828" s="71" t="str">
        <f>IF(AND(fiche_sel&lt;&gt;"",A1828=fiche_sel),COUNTIF(A$6:A1828,fiche_sel),"")</f>
        <v/>
      </c>
    </row>
    <row r="1829">
      <c r="A1829" s="60" t="n"/>
      <c r="B1829" s="73" t="n"/>
      <c r="C1829" s="60" t="n"/>
      <c r="D1829" s="61" t="n"/>
      <c r="E1829" s="74" t="n"/>
      <c r="F1829" s="74" t="n"/>
      <c r="G1829" s="73" t="n"/>
      <c r="H1829" s="66" t="str">
        <f>IF(M1829&lt;&gt;"OK","",INDEX(po_mo,MATCH(D1829,po_code,0)))</f>
        <v/>
      </c>
      <c r="I1829" s="66" t="str">
        <f>IF(M1829&lt;&gt;"OK","",INDEX(po_mac,MATCH(D1829,po_code,0)))</f>
        <v/>
      </c>
      <c r="J1829" s="66" t="str">
        <f>IF(M1829&lt;&gt;"OK","",N(E1829)*(H1829*IF(G1829="",1,G1829)+I1829))</f>
        <v/>
      </c>
      <c r="K1829" s="66" t="str">
        <f>IF(M1829&lt;&gt;"OK","",N(F1829)/60*H1829*IF(G1829="",1,G1829))</f>
        <v/>
      </c>
      <c r="L1829" s="66" t="str">
        <f>IF(M1829&lt;&gt;"OK","",N(F1829)/60*I1829)</f>
        <v/>
      </c>
      <c r="M1829" s="69" t="str">
        <f>IF(AND(A1829="",D1829=""),"",IF(A1829="","Produit manquant",IF(COUNTIF(prod_ref,A1829)=0,"Produit inconnu",IF(D1829="","Poste manquant",IF(ISNA(MATCH(D1829,po_code,0)),"Poste inconnu",IF(INDEX(po_check,MATCH(D1829,po_code,0))&lt;&gt;"OK","Poste à corriger",IF(AND(E1829&lt;&gt;"",OR(NOT(ISNUMBER(E1829)),N(E1829)&lt;0)),"Réglage invalide",IF(AND(F1829&lt;&gt;"",OR(NOT(ISNUMBER(F1829)),N(F1829)&lt;0)),"Temps par pièce invalide",IF(N(E1829)+N(F1829)=0,"Temps manquant",IF(AND(G1829&lt;&gt;"",OR(NOT(ISNUMBER(G1829)),N(G1829)&lt;=0)),"Opérateurs invalide","OK"))))))))))</f>
        <v/>
      </c>
      <c r="N1829" s="71" t="str">
        <f>IF(AND(fiche_sel&lt;&gt;"",A1829=fiche_sel),COUNTIF(A$6:A1829,fiche_sel),"")</f>
        <v/>
      </c>
    </row>
    <row r="1830">
      <c r="A1830" s="60" t="n"/>
      <c r="B1830" s="73" t="n"/>
      <c r="C1830" s="60" t="n"/>
      <c r="D1830" s="61" t="n"/>
      <c r="E1830" s="74" t="n"/>
      <c r="F1830" s="74" t="n"/>
      <c r="G1830" s="73" t="n"/>
      <c r="H1830" s="66" t="str">
        <f>IF(M1830&lt;&gt;"OK","",INDEX(po_mo,MATCH(D1830,po_code,0)))</f>
        <v/>
      </c>
      <c r="I1830" s="66" t="str">
        <f>IF(M1830&lt;&gt;"OK","",INDEX(po_mac,MATCH(D1830,po_code,0)))</f>
        <v/>
      </c>
      <c r="J1830" s="66" t="str">
        <f>IF(M1830&lt;&gt;"OK","",N(E1830)*(H1830*IF(G1830="",1,G1830)+I1830))</f>
        <v/>
      </c>
      <c r="K1830" s="66" t="str">
        <f>IF(M1830&lt;&gt;"OK","",N(F1830)/60*H1830*IF(G1830="",1,G1830))</f>
        <v/>
      </c>
      <c r="L1830" s="66" t="str">
        <f>IF(M1830&lt;&gt;"OK","",N(F1830)/60*I1830)</f>
        <v/>
      </c>
      <c r="M1830" s="69" t="str">
        <f>IF(AND(A1830="",D1830=""),"",IF(A1830="","Produit manquant",IF(COUNTIF(prod_ref,A1830)=0,"Produit inconnu",IF(D1830="","Poste manquant",IF(ISNA(MATCH(D1830,po_code,0)),"Poste inconnu",IF(INDEX(po_check,MATCH(D1830,po_code,0))&lt;&gt;"OK","Poste à corriger",IF(AND(E1830&lt;&gt;"",OR(NOT(ISNUMBER(E1830)),N(E1830)&lt;0)),"Réglage invalide",IF(AND(F1830&lt;&gt;"",OR(NOT(ISNUMBER(F1830)),N(F1830)&lt;0)),"Temps par pièce invalide",IF(N(E1830)+N(F1830)=0,"Temps manquant",IF(AND(G1830&lt;&gt;"",OR(NOT(ISNUMBER(G1830)),N(G1830)&lt;=0)),"Opérateurs invalide","OK"))))))))))</f>
        <v/>
      </c>
      <c r="N1830" s="71" t="str">
        <f>IF(AND(fiche_sel&lt;&gt;"",A1830=fiche_sel),COUNTIF(A$6:A1830,fiche_sel),"")</f>
        <v/>
      </c>
    </row>
    <row r="1831">
      <c r="A1831" s="60" t="n"/>
      <c r="B1831" s="73" t="n"/>
      <c r="C1831" s="60" t="n"/>
      <c r="D1831" s="61" t="n"/>
      <c r="E1831" s="74" t="n"/>
      <c r="F1831" s="74" t="n"/>
      <c r="G1831" s="73" t="n"/>
      <c r="H1831" s="66" t="str">
        <f>IF(M1831&lt;&gt;"OK","",INDEX(po_mo,MATCH(D1831,po_code,0)))</f>
        <v/>
      </c>
      <c r="I1831" s="66" t="str">
        <f>IF(M1831&lt;&gt;"OK","",INDEX(po_mac,MATCH(D1831,po_code,0)))</f>
        <v/>
      </c>
      <c r="J1831" s="66" t="str">
        <f>IF(M1831&lt;&gt;"OK","",N(E1831)*(H1831*IF(G1831="",1,G1831)+I1831))</f>
        <v/>
      </c>
      <c r="K1831" s="66" t="str">
        <f>IF(M1831&lt;&gt;"OK","",N(F1831)/60*H1831*IF(G1831="",1,G1831))</f>
        <v/>
      </c>
      <c r="L1831" s="66" t="str">
        <f>IF(M1831&lt;&gt;"OK","",N(F1831)/60*I1831)</f>
        <v/>
      </c>
      <c r="M1831" s="69" t="str">
        <f>IF(AND(A1831="",D1831=""),"",IF(A1831="","Produit manquant",IF(COUNTIF(prod_ref,A1831)=0,"Produit inconnu",IF(D1831="","Poste manquant",IF(ISNA(MATCH(D1831,po_code,0)),"Poste inconnu",IF(INDEX(po_check,MATCH(D1831,po_code,0))&lt;&gt;"OK","Poste à corriger",IF(AND(E1831&lt;&gt;"",OR(NOT(ISNUMBER(E1831)),N(E1831)&lt;0)),"Réglage invalide",IF(AND(F1831&lt;&gt;"",OR(NOT(ISNUMBER(F1831)),N(F1831)&lt;0)),"Temps par pièce invalide",IF(N(E1831)+N(F1831)=0,"Temps manquant",IF(AND(G1831&lt;&gt;"",OR(NOT(ISNUMBER(G1831)),N(G1831)&lt;=0)),"Opérateurs invalide","OK"))))))))))</f>
        <v/>
      </c>
      <c r="N1831" s="71" t="str">
        <f>IF(AND(fiche_sel&lt;&gt;"",A1831=fiche_sel),COUNTIF(A$6:A1831,fiche_sel),"")</f>
        <v/>
      </c>
    </row>
    <row r="1832">
      <c r="A1832" s="60" t="n"/>
      <c r="B1832" s="73" t="n"/>
      <c r="C1832" s="60" t="n"/>
      <c r="D1832" s="61" t="n"/>
      <c r="E1832" s="74" t="n"/>
      <c r="F1832" s="74" t="n"/>
      <c r="G1832" s="73" t="n"/>
      <c r="H1832" s="66" t="str">
        <f>IF(M1832&lt;&gt;"OK","",INDEX(po_mo,MATCH(D1832,po_code,0)))</f>
        <v/>
      </c>
      <c r="I1832" s="66" t="str">
        <f>IF(M1832&lt;&gt;"OK","",INDEX(po_mac,MATCH(D1832,po_code,0)))</f>
        <v/>
      </c>
      <c r="J1832" s="66" t="str">
        <f>IF(M1832&lt;&gt;"OK","",N(E1832)*(H1832*IF(G1832="",1,G1832)+I1832))</f>
        <v/>
      </c>
      <c r="K1832" s="66" t="str">
        <f>IF(M1832&lt;&gt;"OK","",N(F1832)/60*H1832*IF(G1832="",1,G1832))</f>
        <v/>
      </c>
      <c r="L1832" s="66" t="str">
        <f>IF(M1832&lt;&gt;"OK","",N(F1832)/60*I1832)</f>
        <v/>
      </c>
      <c r="M1832" s="69" t="str">
        <f>IF(AND(A1832="",D1832=""),"",IF(A1832="","Produit manquant",IF(COUNTIF(prod_ref,A1832)=0,"Produit inconnu",IF(D1832="","Poste manquant",IF(ISNA(MATCH(D1832,po_code,0)),"Poste inconnu",IF(INDEX(po_check,MATCH(D1832,po_code,0))&lt;&gt;"OK","Poste à corriger",IF(AND(E1832&lt;&gt;"",OR(NOT(ISNUMBER(E1832)),N(E1832)&lt;0)),"Réglage invalide",IF(AND(F1832&lt;&gt;"",OR(NOT(ISNUMBER(F1832)),N(F1832)&lt;0)),"Temps par pièce invalide",IF(N(E1832)+N(F1832)=0,"Temps manquant",IF(AND(G1832&lt;&gt;"",OR(NOT(ISNUMBER(G1832)),N(G1832)&lt;=0)),"Opérateurs invalide","OK"))))))))))</f>
        <v/>
      </c>
      <c r="N1832" s="71" t="str">
        <f>IF(AND(fiche_sel&lt;&gt;"",A1832=fiche_sel),COUNTIF(A$6:A1832,fiche_sel),"")</f>
        <v/>
      </c>
    </row>
    <row r="1833">
      <c r="A1833" s="60" t="n"/>
      <c r="B1833" s="73" t="n"/>
      <c r="C1833" s="60" t="n"/>
      <c r="D1833" s="61" t="n"/>
      <c r="E1833" s="74" t="n"/>
      <c r="F1833" s="74" t="n"/>
      <c r="G1833" s="73" t="n"/>
      <c r="H1833" s="66" t="str">
        <f>IF(M1833&lt;&gt;"OK","",INDEX(po_mo,MATCH(D1833,po_code,0)))</f>
        <v/>
      </c>
      <c r="I1833" s="66" t="str">
        <f>IF(M1833&lt;&gt;"OK","",INDEX(po_mac,MATCH(D1833,po_code,0)))</f>
        <v/>
      </c>
      <c r="J1833" s="66" t="str">
        <f>IF(M1833&lt;&gt;"OK","",N(E1833)*(H1833*IF(G1833="",1,G1833)+I1833))</f>
        <v/>
      </c>
      <c r="K1833" s="66" t="str">
        <f>IF(M1833&lt;&gt;"OK","",N(F1833)/60*H1833*IF(G1833="",1,G1833))</f>
        <v/>
      </c>
      <c r="L1833" s="66" t="str">
        <f>IF(M1833&lt;&gt;"OK","",N(F1833)/60*I1833)</f>
        <v/>
      </c>
      <c r="M1833" s="69" t="str">
        <f>IF(AND(A1833="",D1833=""),"",IF(A1833="","Produit manquant",IF(COUNTIF(prod_ref,A1833)=0,"Produit inconnu",IF(D1833="","Poste manquant",IF(ISNA(MATCH(D1833,po_code,0)),"Poste inconnu",IF(INDEX(po_check,MATCH(D1833,po_code,0))&lt;&gt;"OK","Poste à corriger",IF(AND(E1833&lt;&gt;"",OR(NOT(ISNUMBER(E1833)),N(E1833)&lt;0)),"Réglage invalide",IF(AND(F1833&lt;&gt;"",OR(NOT(ISNUMBER(F1833)),N(F1833)&lt;0)),"Temps par pièce invalide",IF(N(E1833)+N(F1833)=0,"Temps manquant",IF(AND(G1833&lt;&gt;"",OR(NOT(ISNUMBER(G1833)),N(G1833)&lt;=0)),"Opérateurs invalide","OK"))))))))))</f>
        <v/>
      </c>
      <c r="N1833" s="71" t="str">
        <f>IF(AND(fiche_sel&lt;&gt;"",A1833=fiche_sel),COUNTIF(A$6:A1833,fiche_sel),"")</f>
        <v/>
      </c>
    </row>
    <row r="1834">
      <c r="A1834" s="60" t="n"/>
      <c r="B1834" s="73" t="n"/>
      <c r="C1834" s="60" t="n"/>
      <c r="D1834" s="61" t="n"/>
      <c r="E1834" s="74" t="n"/>
      <c r="F1834" s="74" t="n"/>
      <c r="G1834" s="73" t="n"/>
      <c r="H1834" s="66" t="str">
        <f>IF(M1834&lt;&gt;"OK","",INDEX(po_mo,MATCH(D1834,po_code,0)))</f>
        <v/>
      </c>
      <c r="I1834" s="66" t="str">
        <f>IF(M1834&lt;&gt;"OK","",INDEX(po_mac,MATCH(D1834,po_code,0)))</f>
        <v/>
      </c>
      <c r="J1834" s="66" t="str">
        <f>IF(M1834&lt;&gt;"OK","",N(E1834)*(H1834*IF(G1834="",1,G1834)+I1834))</f>
        <v/>
      </c>
      <c r="K1834" s="66" t="str">
        <f>IF(M1834&lt;&gt;"OK","",N(F1834)/60*H1834*IF(G1834="",1,G1834))</f>
        <v/>
      </c>
      <c r="L1834" s="66" t="str">
        <f>IF(M1834&lt;&gt;"OK","",N(F1834)/60*I1834)</f>
        <v/>
      </c>
      <c r="M1834" s="69" t="str">
        <f>IF(AND(A1834="",D1834=""),"",IF(A1834="","Produit manquant",IF(COUNTIF(prod_ref,A1834)=0,"Produit inconnu",IF(D1834="","Poste manquant",IF(ISNA(MATCH(D1834,po_code,0)),"Poste inconnu",IF(INDEX(po_check,MATCH(D1834,po_code,0))&lt;&gt;"OK","Poste à corriger",IF(AND(E1834&lt;&gt;"",OR(NOT(ISNUMBER(E1834)),N(E1834)&lt;0)),"Réglage invalide",IF(AND(F1834&lt;&gt;"",OR(NOT(ISNUMBER(F1834)),N(F1834)&lt;0)),"Temps par pièce invalide",IF(N(E1834)+N(F1834)=0,"Temps manquant",IF(AND(G1834&lt;&gt;"",OR(NOT(ISNUMBER(G1834)),N(G1834)&lt;=0)),"Opérateurs invalide","OK"))))))))))</f>
        <v/>
      </c>
      <c r="N1834" s="71" t="str">
        <f>IF(AND(fiche_sel&lt;&gt;"",A1834=fiche_sel),COUNTIF(A$6:A1834,fiche_sel),"")</f>
        <v/>
      </c>
    </row>
    <row r="1835">
      <c r="A1835" s="60" t="n"/>
      <c r="B1835" s="73" t="n"/>
      <c r="C1835" s="60" t="n"/>
      <c r="D1835" s="61" t="n"/>
      <c r="E1835" s="74" t="n"/>
      <c r="F1835" s="74" t="n"/>
      <c r="G1835" s="73" t="n"/>
      <c r="H1835" s="66" t="str">
        <f>IF(M1835&lt;&gt;"OK","",INDEX(po_mo,MATCH(D1835,po_code,0)))</f>
        <v/>
      </c>
      <c r="I1835" s="66" t="str">
        <f>IF(M1835&lt;&gt;"OK","",INDEX(po_mac,MATCH(D1835,po_code,0)))</f>
        <v/>
      </c>
      <c r="J1835" s="66" t="str">
        <f>IF(M1835&lt;&gt;"OK","",N(E1835)*(H1835*IF(G1835="",1,G1835)+I1835))</f>
        <v/>
      </c>
      <c r="K1835" s="66" t="str">
        <f>IF(M1835&lt;&gt;"OK","",N(F1835)/60*H1835*IF(G1835="",1,G1835))</f>
        <v/>
      </c>
      <c r="L1835" s="66" t="str">
        <f>IF(M1835&lt;&gt;"OK","",N(F1835)/60*I1835)</f>
        <v/>
      </c>
      <c r="M1835" s="69" t="str">
        <f>IF(AND(A1835="",D1835=""),"",IF(A1835="","Produit manquant",IF(COUNTIF(prod_ref,A1835)=0,"Produit inconnu",IF(D1835="","Poste manquant",IF(ISNA(MATCH(D1835,po_code,0)),"Poste inconnu",IF(INDEX(po_check,MATCH(D1835,po_code,0))&lt;&gt;"OK","Poste à corriger",IF(AND(E1835&lt;&gt;"",OR(NOT(ISNUMBER(E1835)),N(E1835)&lt;0)),"Réglage invalide",IF(AND(F1835&lt;&gt;"",OR(NOT(ISNUMBER(F1835)),N(F1835)&lt;0)),"Temps par pièce invalide",IF(N(E1835)+N(F1835)=0,"Temps manquant",IF(AND(G1835&lt;&gt;"",OR(NOT(ISNUMBER(G1835)),N(G1835)&lt;=0)),"Opérateurs invalide","OK"))))))))))</f>
        <v/>
      </c>
      <c r="N1835" s="71" t="str">
        <f>IF(AND(fiche_sel&lt;&gt;"",A1835=fiche_sel),COUNTIF(A$6:A1835,fiche_sel),"")</f>
        <v/>
      </c>
    </row>
    <row r="1836">
      <c r="A1836" s="60" t="n"/>
      <c r="B1836" s="73" t="n"/>
      <c r="C1836" s="60" t="n"/>
      <c r="D1836" s="61" t="n"/>
      <c r="E1836" s="74" t="n"/>
      <c r="F1836" s="74" t="n"/>
      <c r="G1836" s="73" t="n"/>
      <c r="H1836" s="66" t="str">
        <f>IF(M1836&lt;&gt;"OK","",INDEX(po_mo,MATCH(D1836,po_code,0)))</f>
        <v/>
      </c>
      <c r="I1836" s="66" t="str">
        <f>IF(M1836&lt;&gt;"OK","",INDEX(po_mac,MATCH(D1836,po_code,0)))</f>
        <v/>
      </c>
      <c r="J1836" s="66" t="str">
        <f>IF(M1836&lt;&gt;"OK","",N(E1836)*(H1836*IF(G1836="",1,G1836)+I1836))</f>
        <v/>
      </c>
      <c r="K1836" s="66" t="str">
        <f>IF(M1836&lt;&gt;"OK","",N(F1836)/60*H1836*IF(G1836="",1,G1836))</f>
        <v/>
      </c>
      <c r="L1836" s="66" t="str">
        <f>IF(M1836&lt;&gt;"OK","",N(F1836)/60*I1836)</f>
        <v/>
      </c>
      <c r="M1836" s="69" t="str">
        <f>IF(AND(A1836="",D1836=""),"",IF(A1836="","Produit manquant",IF(COUNTIF(prod_ref,A1836)=0,"Produit inconnu",IF(D1836="","Poste manquant",IF(ISNA(MATCH(D1836,po_code,0)),"Poste inconnu",IF(INDEX(po_check,MATCH(D1836,po_code,0))&lt;&gt;"OK","Poste à corriger",IF(AND(E1836&lt;&gt;"",OR(NOT(ISNUMBER(E1836)),N(E1836)&lt;0)),"Réglage invalide",IF(AND(F1836&lt;&gt;"",OR(NOT(ISNUMBER(F1836)),N(F1836)&lt;0)),"Temps par pièce invalide",IF(N(E1836)+N(F1836)=0,"Temps manquant",IF(AND(G1836&lt;&gt;"",OR(NOT(ISNUMBER(G1836)),N(G1836)&lt;=0)),"Opérateurs invalide","OK"))))))))))</f>
        <v/>
      </c>
      <c r="N1836" s="71" t="str">
        <f>IF(AND(fiche_sel&lt;&gt;"",A1836=fiche_sel),COUNTIF(A$6:A1836,fiche_sel),"")</f>
        <v/>
      </c>
    </row>
    <row r="1837">
      <c r="A1837" s="60" t="n"/>
      <c r="B1837" s="73" t="n"/>
      <c r="C1837" s="60" t="n"/>
      <c r="D1837" s="61" t="n"/>
      <c r="E1837" s="74" t="n"/>
      <c r="F1837" s="74" t="n"/>
      <c r="G1837" s="73" t="n"/>
      <c r="H1837" s="66" t="str">
        <f>IF(M1837&lt;&gt;"OK","",INDEX(po_mo,MATCH(D1837,po_code,0)))</f>
        <v/>
      </c>
      <c r="I1837" s="66" t="str">
        <f>IF(M1837&lt;&gt;"OK","",INDEX(po_mac,MATCH(D1837,po_code,0)))</f>
        <v/>
      </c>
      <c r="J1837" s="66" t="str">
        <f>IF(M1837&lt;&gt;"OK","",N(E1837)*(H1837*IF(G1837="",1,G1837)+I1837))</f>
        <v/>
      </c>
      <c r="K1837" s="66" t="str">
        <f>IF(M1837&lt;&gt;"OK","",N(F1837)/60*H1837*IF(G1837="",1,G1837))</f>
        <v/>
      </c>
      <c r="L1837" s="66" t="str">
        <f>IF(M1837&lt;&gt;"OK","",N(F1837)/60*I1837)</f>
        <v/>
      </c>
      <c r="M1837" s="69" t="str">
        <f>IF(AND(A1837="",D1837=""),"",IF(A1837="","Produit manquant",IF(COUNTIF(prod_ref,A1837)=0,"Produit inconnu",IF(D1837="","Poste manquant",IF(ISNA(MATCH(D1837,po_code,0)),"Poste inconnu",IF(INDEX(po_check,MATCH(D1837,po_code,0))&lt;&gt;"OK","Poste à corriger",IF(AND(E1837&lt;&gt;"",OR(NOT(ISNUMBER(E1837)),N(E1837)&lt;0)),"Réglage invalide",IF(AND(F1837&lt;&gt;"",OR(NOT(ISNUMBER(F1837)),N(F1837)&lt;0)),"Temps par pièce invalide",IF(N(E1837)+N(F1837)=0,"Temps manquant",IF(AND(G1837&lt;&gt;"",OR(NOT(ISNUMBER(G1837)),N(G1837)&lt;=0)),"Opérateurs invalide","OK"))))))))))</f>
        <v/>
      </c>
      <c r="N1837" s="71" t="str">
        <f>IF(AND(fiche_sel&lt;&gt;"",A1837=fiche_sel),COUNTIF(A$6:A1837,fiche_sel),"")</f>
        <v/>
      </c>
    </row>
    <row r="1838">
      <c r="A1838" s="60" t="n"/>
      <c r="B1838" s="73" t="n"/>
      <c r="C1838" s="60" t="n"/>
      <c r="D1838" s="61" t="n"/>
      <c r="E1838" s="74" t="n"/>
      <c r="F1838" s="74" t="n"/>
      <c r="G1838" s="73" t="n"/>
      <c r="H1838" s="66" t="str">
        <f>IF(M1838&lt;&gt;"OK","",INDEX(po_mo,MATCH(D1838,po_code,0)))</f>
        <v/>
      </c>
      <c r="I1838" s="66" t="str">
        <f>IF(M1838&lt;&gt;"OK","",INDEX(po_mac,MATCH(D1838,po_code,0)))</f>
        <v/>
      </c>
      <c r="J1838" s="66" t="str">
        <f>IF(M1838&lt;&gt;"OK","",N(E1838)*(H1838*IF(G1838="",1,G1838)+I1838))</f>
        <v/>
      </c>
      <c r="K1838" s="66" t="str">
        <f>IF(M1838&lt;&gt;"OK","",N(F1838)/60*H1838*IF(G1838="",1,G1838))</f>
        <v/>
      </c>
      <c r="L1838" s="66" t="str">
        <f>IF(M1838&lt;&gt;"OK","",N(F1838)/60*I1838)</f>
        <v/>
      </c>
      <c r="M1838" s="69" t="str">
        <f>IF(AND(A1838="",D1838=""),"",IF(A1838="","Produit manquant",IF(COUNTIF(prod_ref,A1838)=0,"Produit inconnu",IF(D1838="","Poste manquant",IF(ISNA(MATCH(D1838,po_code,0)),"Poste inconnu",IF(INDEX(po_check,MATCH(D1838,po_code,0))&lt;&gt;"OK","Poste à corriger",IF(AND(E1838&lt;&gt;"",OR(NOT(ISNUMBER(E1838)),N(E1838)&lt;0)),"Réglage invalide",IF(AND(F1838&lt;&gt;"",OR(NOT(ISNUMBER(F1838)),N(F1838)&lt;0)),"Temps par pièce invalide",IF(N(E1838)+N(F1838)=0,"Temps manquant",IF(AND(G1838&lt;&gt;"",OR(NOT(ISNUMBER(G1838)),N(G1838)&lt;=0)),"Opérateurs invalide","OK"))))))))))</f>
        <v/>
      </c>
      <c r="N1838" s="71" t="str">
        <f>IF(AND(fiche_sel&lt;&gt;"",A1838=fiche_sel),COUNTIF(A$6:A1838,fiche_sel),"")</f>
        <v/>
      </c>
    </row>
    <row r="1839">
      <c r="A1839" s="60" t="n"/>
      <c r="B1839" s="73" t="n"/>
      <c r="C1839" s="60" t="n"/>
      <c r="D1839" s="61" t="n"/>
      <c r="E1839" s="74" t="n"/>
      <c r="F1839" s="74" t="n"/>
      <c r="G1839" s="73" t="n"/>
      <c r="H1839" s="66" t="str">
        <f>IF(M1839&lt;&gt;"OK","",INDEX(po_mo,MATCH(D1839,po_code,0)))</f>
        <v/>
      </c>
      <c r="I1839" s="66" t="str">
        <f>IF(M1839&lt;&gt;"OK","",INDEX(po_mac,MATCH(D1839,po_code,0)))</f>
        <v/>
      </c>
      <c r="J1839" s="66" t="str">
        <f>IF(M1839&lt;&gt;"OK","",N(E1839)*(H1839*IF(G1839="",1,G1839)+I1839))</f>
        <v/>
      </c>
      <c r="K1839" s="66" t="str">
        <f>IF(M1839&lt;&gt;"OK","",N(F1839)/60*H1839*IF(G1839="",1,G1839))</f>
        <v/>
      </c>
      <c r="L1839" s="66" t="str">
        <f>IF(M1839&lt;&gt;"OK","",N(F1839)/60*I1839)</f>
        <v/>
      </c>
      <c r="M1839" s="69" t="str">
        <f>IF(AND(A1839="",D1839=""),"",IF(A1839="","Produit manquant",IF(COUNTIF(prod_ref,A1839)=0,"Produit inconnu",IF(D1839="","Poste manquant",IF(ISNA(MATCH(D1839,po_code,0)),"Poste inconnu",IF(INDEX(po_check,MATCH(D1839,po_code,0))&lt;&gt;"OK","Poste à corriger",IF(AND(E1839&lt;&gt;"",OR(NOT(ISNUMBER(E1839)),N(E1839)&lt;0)),"Réglage invalide",IF(AND(F1839&lt;&gt;"",OR(NOT(ISNUMBER(F1839)),N(F1839)&lt;0)),"Temps par pièce invalide",IF(N(E1839)+N(F1839)=0,"Temps manquant",IF(AND(G1839&lt;&gt;"",OR(NOT(ISNUMBER(G1839)),N(G1839)&lt;=0)),"Opérateurs invalide","OK"))))))))))</f>
        <v/>
      </c>
      <c r="N1839" s="71" t="str">
        <f>IF(AND(fiche_sel&lt;&gt;"",A1839=fiche_sel),COUNTIF(A$6:A1839,fiche_sel),"")</f>
        <v/>
      </c>
    </row>
    <row r="1840">
      <c r="A1840" s="60" t="n"/>
      <c r="B1840" s="73" t="n"/>
      <c r="C1840" s="60" t="n"/>
      <c r="D1840" s="61" t="n"/>
      <c r="E1840" s="74" t="n"/>
      <c r="F1840" s="74" t="n"/>
      <c r="G1840" s="73" t="n"/>
      <c r="H1840" s="66" t="str">
        <f>IF(M1840&lt;&gt;"OK","",INDEX(po_mo,MATCH(D1840,po_code,0)))</f>
        <v/>
      </c>
      <c r="I1840" s="66" t="str">
        <f>IF(M1840&lt;&gt;"OK","",INDEX(po_mac,MATCH(D1840,po_code,0)))</f>
        <v/>
      </c>
      <c r="J1840" s="66" t="str">
        <f>IF(M1840&lt;&gt;"OK","",N(E1840)*(H1840*IF(G1840="",1,G1840)+I1840))</f>
        <v/>
      </c>
      <c r="K1840" s="66" t="str">
        <f>IF(M1840&lt;&gt;"OK","",N(F1840)/60*H1840*IF(G1840="",1,G1840))</f>
        <v/>
      </c>
      <c r="L1840" s="66" t="str">
        <f>IF(M1840&lt;&gt;"OK","",N(F1840)/60*I1840)</f>
        <v/>
      </c>
      <c r="M1840" s="69" t="str">
        <f>IF(AND(A1840="",D1840=""),"",IF(A1840="","Produit manquant",IF(COUNTIF(prod_ref,A1840)=0,"Produit inconnu",IF(D1840="","Poste manquant",IF(ISNA(MATCH(D1840,po_code,0)),"Poste inconnu",IF(INDEX(po_check,MATCH(D1840,po_code,0))&lt;&gt;"OK","Poste à corriger",IF(AND(E1840&lt;&gt;"",OR(NOT(ISNUMBER(E1840)),N(E1840)&lt;0)),"Réglage invalide",IF(AND(F1840&lt;&gt;"",OR(NOT(ISNUMBER(F1840)),N(F1840)&lt;0)),"Temps par pièce invalide",IF(N(E1840)+N(F1840)=0,"Temps manquant",IF(AND(G1840&lt;&gt;"",OR(NOT(ISNUMBER(G1840)),N(G1840)&lt;=0)),"Opérateurs invalide","OK"))))))))))</f>
        <v/>
      </c>
      <c r="N1840" s="71" t="str">
        <f>IF(AND(fiche_sel&lt;&gt;"",A1840=fiche_sel),COUNTIF(A$6:A1840,fiche_sel),"")</f>
        <v/>
      </c>
    </row>
    <row r="1841">
      <c r="A1841" s="60" t="n"/>
      <c r="B1841" s="73" t="n"/>
      <c r="C1841" s="60" t="n"/>
      <c r="D1841" s="61" t="n"/>
      <c r="E1841" s="74" t="n"/>
      <c r="F1841" s="74" t="n"/>
      <c r="G1841" s="73" t="n"/>
      <c r="H1841" s="66" t="str">
        <f>IF(M1841&lt;&gt;"OK","",INDEX(po_mo,MATCH(D1841,po_code,0)))</f>
        <v/>
      </c>
      <c r="I1841" s="66" t="str">
        <f>IF(M1841&lt;&gt;"OK","",INDEX(po_mac,MATCH(D1841,po_code,0)))</f>
        <v/>
      </c>
      <c r="J1841" s="66" t="str">
        <f>IF(M1841&lt;&gt;"OK","",N(E1841)*(H1841*IF(G1841="",1,G1841)+I1841))</f>
        <v/>
      </c>
      <c r="K1841" s="66" t="str">
        <f>IF(M1841&lt;&gt;"OK","",N(F1841)/60*H1841*IF(G1841="",1,G1841))</f>
        <v/>
      </c>
      <c r="L1841" s="66" t="str">
        <f>IF(M1841&lt;&gt;"OK","",N(F1841)/60*I1841)</f>
        <v/>
      </c>
      <c r="M1841" s="69" t="str">
        <f>IF(AND(A1841="",D1841=""),"",IF(A1841="","Produit manquant",IF(COUNTIF(prod_ref,A1841)=0,"Produit inconnu",IF(D1841="","Poste manquant",IF(ISNA(MATCH(D1841,po_code,0)),"Poste inconnu",IF(INDEX(po_check,MATCH(D1841,po_code,0))&lt;&gt;"OK","Poste à corriger",IF(AND(E1841&lt;&gt;"",OR(NOT(ISNUMBER(E1841)),N(E1841)&lt;0)),"Réglage invalide",IF(AND(F1841&lt;&gt;"",OR(NOT(ISNUMBER(F1841)),N(F1841)&lt;0)),"Temps par pièce invalide",IF(N(E1841)+N(F1841)=0,"Temps manquant",IF(AND(G1841&lt;&gt;"",OR(NOT(ISNUMBER(G1841)),N(G1841)&lt;=0)),"Opérateurs invalide","OK"))))))))))</f>
        <v/>
      </c>
      <c r="N1841" s="71" t="str">
        <f>IF(AND(fiche_sel&lt;&gt;"",A1841=fiche_sel),COUNTIF(A$6:A1841,fiche_sel),"")</f>
        <v/>
      </c>
    </row>
    <row r="1842">
      <c r="A1842" s="60" t="n"/>
      <c r="B1842" s="73" t="n"/>
      <c r="C1842" s="60" t="n"/>
      <c r="D1842" s="61" t="n"/>
      <c r="E1842" s="74" t="n"/>
      <c r="F1842" s="74" t="n"/>
      <c r="G1842" s="73" t="n"/>
      <c r="H1842" s="66" t="str">
        <f>IF(M1842&lt;&gt;"OK","",INDEX(po_mo,MATCH(D1842,po_code,0)))</f>
        <v/>
      </c>
      <c r="I1842" s="66" t="str">
        <f>IF(M1842&lt;&gt;"OK","",INDEX(po_mac,MATCH(D1842,po_code,0)))</f>
        <v/>
      </c>
      <c r="J1842" s="66" t="str">
        <f>IF(M1842&lt;&gt;"OK","",N(E1842)*(H1842*IF(G1842="",1,G1842)+I1842))</f>
        <v/>
      </c>
      <c r="K1842" s="66" t="str">
        <f>IF(M1842&lt;&gt;"OK","",N(F1842)/60*H1842*IF(G1842="",1,G1842))</f>
        <v/>
      </c>
      <c r="L1842" s="66" t="str">
        <f>IF(M1842&lt;&gt;"OK","",N(F1842)/60*I1842)</f>
        <v/>
      </c>
      <c r="M1842" s="69" t="str">
        <f>IF(AND(A1842="",D1842=""),"",IF(A1842="","Produit manquant",IF(COUNTIF(prod_ref,A1842)=0,"Produit inconnu",IF(D1842="","Poste manquant",IF(ISNA(MATCH(D1842,po_code,0)),"Poste inconnu",IF(INDEX(po_check,MATCH(D1842,po_code,0))&lt;&gt;"OK","Poste à corriger",IF(AND(E1842&lt;&gt;"",OR(NOT(ISNUMBER(E1842)),N(E1842)&lt;0)),"Réglage invalide",IF(AND(F1842&lt;&gt;"",OR(NOT(ISNUMBER(F1842)),N(F1842)&lt;0)),"Temps par pièce invalide",IF(N(E1842)+N(F1842)=0,"Temps manquant",IF(AND(G1842&lt;&gt;"",OR(NOT(ISNUMBER(G1842)),N(G1842)&lt;=0)),"Opérateurs invalide","OK"))))))))))</f>
        <v/>
      </c>
      <c r="N1842" s="71" t="str">
        <f>IF(AND(fiche_sel&lt;&gt;"",A1842=fiche_sel),COUNTIF(A$6:A1842,fiche_sel),"")</f>
        <v/>
      </c>
    </row>
    <row r="1843">
      <c r="A1843" s="60" t="n"/>
      <c r="B1843" s="73" t="n"/>
      <c r="C1843" s="60" t="n"/>
      <c r="D1843" s="61" t="n"/>
      <c r="E1843" s="74" t="n"/>
      <c r="F1843" s="74" t="n"/>
      <c r="G1843" s="73" t="n"/>
      <c r="H1843" s="66" t="str">
        <f>IF(M1843&lt;&gt;"OK","",INDEX(po_mo,MATCH(D1843,po_code,0)))</f>
        <v/>
      </c>
      <c r="I1843" s="66" t="str">
        <f>IF(M1843&lt;&gt;"OK","",INDEX(po_mac,MATCH(D1843,po_code,0)))</f>
        <v/>
      </c>
      <c r="J1843" s="66" t="str">
        <f>IF(M1843&lt;&gt;"OK","",N(E1843)*(H1843*IF(G1843="",1,G1843)+I1843))</f>
        <v/>
      </c>
      <c r="K1843" s="66" t="str">
        <f>IF(M1843&lt;&gt;"OK","",N(F1843)/60*H1843*IF(G1843="",1,G1843))</f>
        <v/>
      </c>
      <c r="L1843" s="66" t="str">
        <f>IF(M1843&lt;&gt;"OK","",N(F1843)/60*I1843)</f>
        <v/>
      </c>
      <c r="M1843" s="69" t="str">
        <f>IF(AND(A1843="",D1843=""),"",IF(A1843="","Produit manquant",IF(COUNTIF(prod_ref,A1843)=0,"Produit inconnu",IF(D1843="","Poste manquant",IF(ISNA(MATCH(D1843,po_code,0)),"Poste inconnu",IF(INDEX(po_check,MATCH(D1843,po_code,0))&lt;&gt;"OK","Poste à corriger",IF(AND(E1843&lt;&gt;"",OR(NOT(ISNUMBER(E1843)),N(E1843)&lt;0)),"Réglage invalide",IF(AND(F1843&lt;&gt;"",OR(NOT(ISNUMBER(F1843)),N(F1843)&lt;0)),"Temps par pièce invalide",IF(N(E1843)+N(F1843)=0,"Temps manquant",IF(AND(G1843&lt;&gt;"",OR(NOT(ISNUMBER(G1843)),N(G1843)&lt;=0)),"Opérateurs invalide","OK"))))))))))</f>
        <v/>
      </c>
      <c r="N1843" s="71" t="str">
        <f>IF(AND(fiche_sel&lt;&gt;"",A1843=fiche_sel),COUNTIF(A$6:A1843,fiche_sel),"")</f>
        <v/>
      </c>
    </row>
    <row r="1844">
      <c r="A1844" s="60" t="n"/>
      <c r="B1844" s="73" t="n"/>
      <c r="C1844" s="60" t="n"/>
      <c r="D1844" s="61" t="n"/>
      <c r="E1844" s="74" t="n"/>
      <c r="F1844" s="74" t="n"/>
      <c r="G1844" s="73" t="n"/>
      <c r="H1844" s="66" t="str">
        <f>IF(M1844&lt;&gt;"OK","",INDEX(po_mo,MATCH(D1844,po_code,0)))</f>
        <v/>
      </c>
      <c r="I1844" s="66" t="str">
        <f>IF(M1844&lt;&gt;"OK","",INDEX(po_mac,MATCH(D1844,po_code,0)))</f>
        <v/>
      </c>
      <c r="J1844" s="66" t="str">
        <f>IF(M1844&lt;&gt;"OK","",N(E1844)*(H1844*IF(G1844="",1,G1844)+I1844))</f>
        <v/>
      </c>
      <c r="K1844" s="66" t="str">
        <f>IF(M1844&lt;&gt;"OK","",N(F1844)/60*H1844*IF(G1844="",1,G1844))</f>
        <v/>
      </c>
      <c r="L1844" s="66" t="str">
        <f>IF(M1844&lt;&gt;"OK","",N(F1844)/60*I1844)</f>
        <v/>
      </c>
      <c r="M1844" s="69" t="str">
        <f>IF(AND(A1844="",D1844=""),"",IF(A1844="","Produit manquant",IF(COUNTIF(prod_ref,A1844)=0,"Produit inconnu",IF(D1844="","Poste manquant",IF(ISNA(MATCH(D1844,po_code,0)),"Poste inconnu",IF(INDEX(po_check,MATCH(D1844,po_code,0))&lt;&gt;"OK","Poste à corriger",IF(AND(E1844&lt;&gt;"",OR(NOT(ISNUMBER(E1844)),N(E1844)&lt;0)),"Réglage invalide",IF(AND(F1844&lt;&gt;"",OR(NOT(ISNUMBER(F1844)),N(F1844)&lt;0)),"Temps par pièce invalide",IF(N(E1844)+N(F1844)=0,"Temps manquant",IF(AND(G1844&lt;&gt;"",OR(NOT(ISNUMBER(G1844)),N(G1844)&lt;=0)),"Opérateurs invalide","OK"))))))))))</f>
        <v/>
      </c>
      <c r="N1844" s="71" t="str">
        <f>IF(AND(fiche_sel&lt;&gt;"",A1844=fiche_sel),COUNTIF(A$6:A1844,fiche_sel),"")</f>
        <v/>
      </c>
    </row>
    <row r="1845">
      <c r="A1845" s="60" t="n"/>
      <c r="B1845" s="73" t="n"/>
      <c r="C1845" s="60" t="n"/>
      <c r="D1845" s="61" t="n"/>
      <c r="E1845" s="74" t="n"/>
      <c r="F1845" s="74" t="n"/>
      <c r="G1845" s="73" t="n"/>
      <c r="H1845" s="66" t="str">
        <f>IF(M1845&lt;&gt;"OK","",INDEX(po_mo,MATCH(D1845,po_code,0)))</f>
        <v/>
      </c>
      <c r="I1845" s="66" t="str">
        <f>IF(M1845&lt;&gt;"OK","",INDEX(po_mac,MATCH(D1845,po_code,0)))</f>
        <v/>
      </c>
      <c r="J1845" s="66" t="str">
        <f>IF(M1845&lt;&gt;"OK","",N(E1845)*(H1845*IF(G1845="",1,G1845)+I1845))</f>
        <v/>
      </c>
      <c r="K1845" s="66" t="str">
        <f>IF(M1845&lt;&gt;"OK","",N(F1845)/60*H1845*IF(G1845="",1,G1845))</f>
        <v/>
      </c>
      <c r="L1845" s="66" t="str">
        <f>IF(M1845&lt;&gt;"OK","",N(F1845)/60*I1845)</f>
        <v/>
      </c>
      <c r="M1845" s="69" t="str">
        <f>IF(AND(A1845="",D1845=""),"",IF(A1845="","Produit manquant",IF(COUNTIF(prod_ref,A1845)=0,"Produit inconnu",IF(D1845="","Poste manquant",IF(ISNA(MATCH(D1845,po_code,0)),"Poste inconnu",IF(INDEX(po_check,MATCH(D1845,po_code,0))&lt;&gt;"OK","Poste à corriger",IF(AND(E1845&lt;&gt;"",OR(NOT(ISNUMBER(E1845)),N(E1845)&lt;0)),"Réglage invalide",IF(AND(F1845&lt;&gt;"",OR(NOT(ISNUMBER(F1845)),N(F1845)&lt;0)),"Temps par pièce invalide",IF(N(E1845)+N(F1845)=0,"Temps manquant",IF(AND(G1845&lt;&gt;"",OR(NOT(ISNUMBER(G1845)),N(G1845)&lt;=0)),"Opérateurs invalide","OK"))))))))))</f>
        <v/>
      </c>
      <c r="N1845" s="71" t="str">
        <f>IF(AND(fiche_sel&lt;&gt;"",A1845=fiche_sel),COUNTIF(A$6:A1845,fiche_sel),"")</f>
        <v/>
      </c>
    </row>
    <row r="1846">
      <c r="A1846" s="60" t="n"/>
      <c r="B1846" s="73" t="n"/>
      <c r="C1846" s="60" t="n"/>
      <c r="D1846" s="61" t="n"/>
      <c r="E1846" s="74" t="n"/>
      <c r="F1846" s="74" t="n"/>
      <c r="G1846" s="73" t="n"/>
      <c r="H1846" s="66" t="str">
        <f>IF(M1846&lt;&gt;"OK","",INDEX(po_mo,MATCH(D1846,po_code,0)))</f>
        <v/>
      </c>
      <c r="I1846" s="66" t="str">
        <f>IF(M1846&lt;&gt;"OK","",INDEX(po_mac,MATCH(D1846,po_code,0)))</f>
        <v/>
      </c>
      <c r="J1846" s="66" t="str">
        <f>IF(M1846&lt;&gt;"OK","",N(E1846)*(H1846*IF(G1846="",1,G1846)+I1846))</f>
        <v/>
      </c>
      <c r="K1846" s="66" t="str">
        <f>IF(M1846&lt;&gt;"OK","",N(F1846)/60*H1846*IF(G1846="",1,G1846))</f>
        <v/>
      </c>
      <c r="L1846" s="66" t="str">
        <f>IF(M1846&lt;&gt;"OK","",N(F1846)/60*I1846)</f>
        <v/>
      </c>
      <c r="M1846" s="69" t="str">
        <f>IF(AND(A1846="",D1846=""),"",IF(A1846="","Produit manquant",IF(COUNTIF(prod_ref,A1846)=0,"Produit inconnu",IF(D1846="","Poste manquant",IF(ISNA(MATCH(D1846,po_code,0)),"Poste inconnu",IF(INDEX(po_check,MATCH(D1846,po_code,0))&lt;&gt;"OK","Poste à corriger",IF(AND(E1846&lt;&gt;"",OR(NOT(ISNUMBER(E1846)),N(E1846)&lt;0)),"Réglage invalide",IF(AND(F1846&lt;&gt;"",OR(NOT(ISNUMBER(F1846)),N(F1846)&lt;0)),"Temps par pièce invalide",IF(N(E1846)+N(F1846)=0,"Temps manquant",IF(AND(G1846&lt;&gt;"",OR(NOT(ISNUMBER(G1846)),N(G1846)&lt;=0)),"Opérateurs invalide","OK"))))))))))</f>
        <v/>
      </c>
      <c r="N1846" s="71" t="str">
        <f>IF(AND(fiche_sel&lt;&gt;"",A1846=fiche_sel),COUNTIF(A$6:A1846,fiche_sel),"")</f>
        <v/>
      </c>
    </row>
    <row r="1847">
      <c r="A1847" s="60" t="n"/>
      <c r="B1847" s="73" t="n"/>
      <c r="C1847" s="60" t="n"/>
      <c r="D1847" s="61" t="n"/>
      <c r="E1847" s="74" t="n"/>
      <c r="F1847" s="74" t="n"/>
      <c r="G1847" s="73" t="n"/>
      <c r="H1847" s="66" t="str">
        <f>IF(M1847&lt;&gt;"OK","",INDEX(po_mo,MATCH(D1847,po_code,0)))</f>
        <v/>
      </c>
      <c r="I1847" s="66" t="str">
        <f>IF(M1847&lt;&gt;"OK","",INDEX(po_mac,MATCH(D1847,po_code,0)))</f>
        <v/>
      </c>
      <c r="J1847" s="66" t="str">
        <f>IF(M1847&lt;&gt;"OK","",N(E1847)*(H1847*IF(G1847="",1,G1847)+I1847))</f>
        <v/>
      </c>
      <c r="K1847" s="66" t="str">
        <f>IF(M1847&lt;&gt;"OK","",N(F1847)/60*H1847*IF(G1847="",1,G1847))</f>
        <v/>
      </c>
      <c r="L1847" s="66" t="str">
        <f>IF(M1847&lt;&gt;"OK","",N(F1847)/60*I1847)</f>
        <v/>
      </c>
      <c r="M1847" s="69" t="str">
        <f>IF(AND(A1847="",D1847=""),"",IF(A1847="","Produit manquant",IF(COUNTIF(prod_ref,A1847)=0,"Produit inconnu",IF(D1847="","Poste manquant",IF(ISNA(MATCH(D1847,po_code,0)),"Poste inconnu",IF(INDEX(po_check,MATCH(D1847,po_code,0))&lt;&gt;"OK","Poste à corriger",IF(AND(E1847&lt;&gt;"",OR(NOT(ISNUMBER(E1847)),N(E1847)&lt;0)),"Réglage invalide",IF(AND(F1847&lt;&gt;"",OR(NOT(ISNUMBER(F1847)),N(F1847)&lt;0)),"Temps par pièce invalide",IF(N(E1847)+N(F1847)=0,"Temps manquant",IF(AND(G1847&lt;&gt;"",OR(NOT(ISNUMBER(G1847)),N(G1847)&lt;=0)),"Opérateurs invalide","OK"))))))))))</f>
        <v/>
      </c>
      <c r="N1847" s="71" t="str">
        <f>IF(AND(fiche_sel&lt;&gt;"",A1847=fiche_sel),COUNTIF(A$6:A1847,fiche_sel),"")</f>
        <v/>
      </c>
    </row>
    <row r="1848">
      <c r="A1848" s="60" t="n"/>
      <c r="B1848" s="73" t="n"/>
      <c r="C1848" s="60" t="n"/>
      <c r="D1848" s="61" t="n"/>
      <c r="E1848" s="74" t="n"/>
      <c r="F1848" s="74" t="n"/>
      <c r="G1848" s="73" t="n"/>
      <c r="H1848" s="66" t="str">
        <f>IF(M1848&lt;&gt;"OK","",INDEX(po_mo,MATCH(D1848,po_code,0)))</f>
        <v/>
      </c>
      <c r="I1848" s="66" t="str">
        <f>IF(M1848&lt;&gt;"OK","",INDEX(po_mac,MATCH(D1848,po_code,0)))</f>
        <v/>
      </c>
      <c r="J1848" s="66" t="str">
        <f>IF(M1848&lt;&gt;"OK","",N(E1848)*(H1848*IF(G1848="",1,G1848)+I1848))</f>
        <v/>
      </c>
      <c r="K1848" s="66" t="str">
        <f>IF(M1848&lt;&gt;"OK","",N(F1848)/60*H1848*IF(G1848="",1,G1848))</f>
        <v/>
      </c>
      <c r="L1848" s="66" t="str">
        <f>IF(M1848&lt;&gt;"OK","",N(F1848)/60*I1848)</f>
        <v/>
      </c>
      <c r="M1848" s="69" t="str">
        <f>IF(AND(A1848="",D1848=""),"",IF(A1848="","Produit manquant",IF(COUNTIF(prod_ref,A1848)=0,"Produit inconnu",IF(D1848="","Poste manquant",IF(ISNA(MATCH(D1848,po_code,0)),"Poste inconnu",IF(INDEX(po_check,MATCH(D1848,po_code,0))&lt;&gt;"OK","Poste à corriger",IF(AND(E1848&lt;&gt;"",OR(NOT(ISNUMBER(E1848)),N(E1848)&lt;0)),"Réglage invalide",IF(AND(F1848&lt;&gt;"",OR(NOT(ISNUMBER(F1848)),N(F1848)&lt;0)),"Temps par pièce invalide",IF(N(E1848)+N(F1848)=0,"Temps manquant",IF(AND(G1848&lt;&gt;"",OR(NOT(ISNUMBER(G1848)),N(G1848)&lt;=0)),"Opérateurs invalide","OK"))))))))))</f>
        <v/>
      </c>
      <c r="N1848" s="71" t="str">
        <f>IF(AND(fiche_sel&lt;&gt;"",A1848=fiche_sel),COUNTIF(A$6:A1848,fiche_sel),"")</f>
        <v/>
      </c>
    </row>
    <row r="1849">
      <c r="A1849" s="60" t="n"/>
      <c r="B1849" s="73" t="n"/>
      <c r="C1849" s="60" t="n"/>
      <c r="D1849" s="61" t="n"/>
      <c r="E1849" s="74" t="n"/>
      <c r="F1849" s="74" t="n"/>
      <c r="G1849" s="73" t="n"/>
      <c r="H1849" s="66" t="str">
        <f>IF(M1849&lt;&gt;"OK","",INDEX(po_mo,MATCH(D1849,po_code,0)))</f>
        <v/>
      </c>
      <c r="I1849" s="66" t="str">
        <f>IF(M1849&lt;&gt;"OK","",INDEX(po_mac,MATCH(D1849,po_code,0)))</f>
        <v/>
      </c>
      <c r="J1849" s="66" t="str">
        <f>IF(M1849&lt;&gt;"OK","",N(E1849)*(H1849*IF(G1849="",1,G1849)+I1849))</f>
        <v/>
      </c>
      <c r="K1849" s="66" t="str">
        <f>IF(M1849&lt;&gt;"OK","",N(F1849)/60*H1849*IF(G1849="",1,G1849))</f>
        <v/>
      </c>
      <c r="L1849" s="66" t="str">
        <f>IF(M1849&lt;&gt;"OK","",N(F1849)/60*I1849)</f>
        <v/>
      </c>
      <c r="M1849" s="69" t="str">
        <f>IF(AND(A1849="",D1849=""),"",IF(A1849="","Produit manquant",IF(COUNTIF(prod_ref,A1849)=0,"Produit inconnu",IF(D1849="","Poste manquant",IF(ISNA(MATCH(D1849,po_code,0)),"Poste inconnu",IF(INDEX(po_check,MATCH(D1849,po_code,0))&lt;&gt;"OK","Poste à corriger",IF(AND(E1849&lt;&gt;"",OR(NOT(ISNUMBER(E1849)),N(E1849)&lt;0)),"Réglage invalide",IF(AND(F1849&lt;&gt;"",OR(NOT(ISNUMBER(F1849)),N(F1849)&lt;0)),"Temps par pièce invalide",IF(N(E1849)+N(F1849)=0,"Temps manquant",IF(AND(G1849&lt;&gt;"",OR(NOT(ISNUMBER(G1849)),N(G1849)&lt;=0)),"Opérateurs invalide","OK"))))))))))</f>
        <v/>
      </c>
      <c r="N1849" s="71" t="str">
        <f>IF(AND(fiche_sel&lt;&gt;"",A1849=fiche_sel),COUNTIF(A$6:A1849,fiche_sel),"")</f>
        <v/>
      </c>
    </row>
    <row r="1850">
      <c r="A1850" s="60" t="n"/>
      <c r="B1850" s="73" t="n"/>
      <c r="C1850" s="60" t="n"/>
      <c r="D1850" s="61" t="n"/>
      <c r="E1850" s="74" t="n"/>
      <c r="F1850" s="74" t="n"/>
      <c r="G1850" s="73" t="n"/>
      <c r="H1850" s="66" t="str">
        <f>IF(M1850&lt;&gt;"OK","",INDEX(po_mo,MATCH(D1850,po_code,0)))</f>
        <v/>
      </c>
      <c r="I1850" s="66" t="str">
        <f>IF(M1850&lt;&gt;"OK","",INDEX(po_mac,MATCH(D1850,po_code,0)))</f>
        <v/>
      </c>
      <c r="J1850" s="66" t="str">
        <f>IF(M1850&lt;&gt;"OK","",N(E1850)*(H1850*IF(G1850="",1,G1850)+I1850))</f>
        <v/>
      </c>
      <c r="K1850" s="66" t="str">
        <f>IF(M1850&lt;&gt;"OK","",N(F1850)/60*H1850*IF(G1850="",1,G1850))</f>
        <v/>
      </c>
      <c r="L1850" s="66" t="str">
        <f>IF(M1850&lt;&gt;"OK","",N(F1850)/60*I1850)</f>
        <v/>
      </c>
      <c r="M1850" s="69" t="str">
        <f>IF(AND(A1850="",D1850=""),"",IF(A1850="","Produit manquant",IF(COUNTIF(prod_ref,A1850)=0,"Produit inconnu",IF(D1850="","Poste manquant",IF(ISNA(MATCH(D1850,po_code,0)),"Poste inconnu",IF(INDEX(po_check,MATCH(D1850,po_code,0))&lt;&gt;"OK","Poste à corriger",IF(AND(E1850&lt;&gt;"",OR(NOT(ISNUMBER(E1850)),N(E1850)&lt;0)),"Réglage invalide",IF(AND(F1850&lt;&gt;"",OR(NOT(ISNUMBER(F1850)),N(F1850)&lt;0)),"Temps par pièce invalide",IF(N(E1850)+N(F1850)=0,"Temps manquant",IF(AND(G1850&lt;&gt;"",OR(NOT(ISNUMBER(G1850)),N(G1850)&lt;=0)),"Opérateurs invalide","OK"))))))))))</f>
        <v/>
      </c>
      <c r="N1850" s="71" t="str">
        <f>IF(AND(fiche_sel&lt;&gt;"",A1850=fiche_sel),COUNTIF(A$6:A1850,fiche_sel),"")</f>
        <v/>
      </c>
    </row>
    <row r="1851">
      <c r="A1851" s="60" t="n"/>
      <c r="B1851" s="73" t="n"/>
      <c r="C1851" s="60" t="n"/>
      <c r="D1851" s="61" t="n"/>
      <c r="E1851" s="74" t="n"/>
      <c r="F1851" s="74" t="n"/>
      <c r="G1851" s="73" t="n"/>
      <c r="H1851" s="66" t="str">
        <f>IF(M1851&lt;&gt;"OK","",INDEX(po_mo,MATCH(D1851,po_code,0)))</f>
        <v/>
      </c>
      <c r="I1851" s="66" t="str">
        <f>IF(M1851&lt;&gt;"OK","",INDEX(po_mac,MATCH(D1851,po_code,0)))</f>
        <v/>
      </c>
      <c r="J1851" s="66" t="str">
        <f>IF(M1851&lt;&gt;"OK","",N(E1851)*(H1851*IF(G1851="",1,G1851)+I1851))</f>
        <v/>
      </c>
      <c r="K1851" s="66" t="str">
        <f>IF(M1851&lt;&gt;"OK","",N(F1851)/60*H1851*IF(G1851="",1,G1851))</f>
        <v/>
      </c>
      <c r="L1851" s="66" t="str">
        <f>IF(M1851&lt;&gt;"OK","",N(F1851)/60*I1851)</f>
        <v/>
      </c>
      <c r="M1851" s="69" t="str">
        <f>IF(AND(A1851="",D1851=""),"",IF(A1851="","Produit manquant",IF(COUNTIF(prod_ref,A1851)=0,"Produit inconnu",IF(D1851="","Poste manquant",IF(ISNA(MATCH(D1851,po_code,0)),"Poste inconnu",IF(INDEX(po_check,MATCH(D1851,po_code,0))&lt;&gt;"OK","Poste à corriger",IF(AND(E1851&lt;&gt;"",OR(NOT(ISNUMBER(E1851)),N(E1851)&lt;0)),"Réglage invalide",IF(AND(F1851&lt;&gt;"",OR(NOT(ISNUMBER(F1851)),N(F1851)&lt;0)),"Temps par pièce invalide",IF(N(E1851)+N(F1851)=0,"Temps manquant",IF(AND(G1851&lt;&gt;"",OR(NOT(ISNUMBER(G1851)),N(G1851)&lt;=0)),"Opérateurs invalide","OK"))))))))))</f>
        <v/>
      </c>
      <c r="N1851" s="71" t="str">
        <f>IF(AND(fiche_sel&lt;&gt;"",A1851=fiche_sel),COUNTIF(A$6:A1851,fiche_sel),"")</f>
        <v/>
      </c>
    </row>
    <row r="1852">
      <c r="A1852" s="60" t="n"/>
      <c r="B1852" s="73" t="n"/>
      <c r="C1852" s="60" t="n"/>
      <c r="D1852" s="61" t="n"/>
      <c r="E1852" s="74" t="n"/>
      <c r="F1852" s="74" t="n"/>
      <c r="G1852" s="73" t="n"/>
      <c r="H1852" s="66" t="str">
        <f>IF(M1852&lt;&gt;"OK","",INDEX(po_mo,MATCH(D1852,po_code,0)))</f>
        <v/>
      </c>
      <c r="I1852" s="66" t="str">
        <f>IF(M1852&lt;&gt;"OK","",INDEX(po_mac,MATCH(D1852,po_code,0)))</f>
        <v/>
      </c>
      <c r="J1852" s="66" t="str">
        <f>IF(M1852&lt;&gt;"OK","",N(E1852)*(H1852*IF(G1852="",1,G1852)+I1852))</f>
        <v/>
      </c>
      <c r="K1852" s="66" t="str">
        <f>IF(M1852&lt;&gt;"OK","",N(F1852)/60*H1852*IF(G1852="",1,G1852))</f>
        <v/>
      </c>
      <c r="L1852" s="66" t="str">
        <f>IF(M1852&lt;&gt;"OK","",N(F1852)/60*I1852)</f>
        <v/>
      </c>
      <c r="M1852" s="69" t="str">
        <f>IF(AND(A1852="",D1852=""),"",IF(A1852="","Produit manquant",IF(COUNTIF(prod_ref,A1852)=0,"Produit inconnu",IF(D1852="","Poste manquant",IF(ISNA(MATCH(D1852,po_code,0)),"Poste inconnu",IF(INDEX(po_check,MATCH(D1852,po_code,0))&lt;&gt;"OK","Poste à corriger",IF(AND(E1852&lt;&gt;"",OR(NOT(ISNUMBER(E1852)),N(E1852)&lt;0)),"Réglage invalide",IF(AND(F1852&lt;&gt;"",OR(NOT(ISNUMBER(F1852)),N(F1852)&lt;0)),"Temps par pièce invalide",IF(N(E1852)+N(F1852)=0,"Temps manquant",IF(AND(G1852&lt;&gt;"",OR(NOT(ISNUMBER(G1852)),N(G1852)&lt;=0)),"Opérateurs invalide","OK"))))))))))</f>
        <v/>
      </c>
      <c r="N1852" s="71" t="str">
        <f>IF(AND(fiche_sel&lt;&gt;"",A1852=fiche_sel),COUNTIF(A$6:A1852,fiche_sel),"")</f>
        <v/>
      </c>
    </row>
    <row r="1853">
      <c r="A1853" s="60" t="n"/>
      <c r="B1853" s="73" t="n"/>
      <c r="C1853" s="60" t="n"/>
      <c r="D1853" s="61" t="n"/>
      <c r="E1853" s="74" t="n"/>
      <c r="F1853" s="74" t="n"/>
      <c r="G1853" s="73" t="n"/>
      <c r="H1853" s="66" t="str">
        <f>IF(M1853&lt;&gt;"OK","",INDEX(po_mo,MATCH(D1853,po_code,0)))</f>
        <v/>
      </c>
      <c r="I1853" s="66" t="str">
        <f>IF(M1853&lt;&gt;"OK","",INDEX(po_mac,MATCH(D1853,po_code,0)))</f>
        <v/>
      </c>
      <c r="J1853" s="66" t="str">
        <f>IF(M1853&lt;&gt;"OK","",N(E1853)*(H1853*IF(G1853="",1,G1853)+I1853))</f>
        <v/>
      </c>
      <c r="K1853" s="66" t="str">
        <f>IF(M1853&lt;&gt;"OK","",N(F1853)/60*H1853*IF(G1853="",1,G1853))</f>
        <v/>
      </c>
      <c r="L1853" s="66" t="str">
        <f>IF(M1853&lt;&gt;"OK","",N(F1853)/60*I1853)</f>
        <v/>
      </c>
      <c r="M1853" s="69" t="str">
        <f>IF(AND(A1853="",D1853=""),"",IF(A1853="","Produit manquant",IF(COUNTIF(prod_ref,A1853)=0,"Produit inconnu",IF(D1853="","Poste manquant",IF(ISNA(MATCH(D1853,po_code,0)),"Poste inconnu",IF(INDEX(po_check,MATCH(D1853,po_code,0))&lt;&gt;"OK","Poste à corriger",IF(AND(E1853&lt;&gt;"",OR(NOT(ISNUMBER(E1853)),N(E1853)&lt;0)),"Réglage invalide",IF(AND(F1853&lt;&gt;"",OR(NOT(ISNUMBER(F1853)),N(F1853)&lt;0)),"Temps par pièce invalide",IF(N(E1853)+N(F1853)=0,"Temps manquant",IF(AND(G1853&lt;&gt;"",OR(NOT(ISNUMBER(G1853)),N(G1853)&lt;=0)),"Opérateurs invalide","OK"))))))))))</f>
        <v/>
      </c>
      <c r="N1853" s="71" t="str">
        <f>IF(AND(fiche_sel&lt;&gt;"",A1853=fiche_sel),COUNTIF(A$6:A1853,fiche_sel),"")</f>
        <v/>
      </c>
    </row>
    <row r="1854">
      <c r="A1854" s="60" t="n"/>
      <c r="B1854" s="73" t="n"/>
      <c r="C1854" s="60" t="n"/>
      <c r="D1854" s="61" t="n"/>
      <c r="E1854" s="74" t="n"/>
      <c r="F1854" s="74" t="n"/>
      <c r="G1854" s="73" t="n"/>
      <c r="H1854" s="66" t="str">
        <f>IF(M1854&lt;&gt;"OK","",INDEX(po_mo,MATCH(D1854,po_code,0)))</f>
        <v/>
      </c>
      <c r="I1854" s="66" t="str">
        <f>IF(M1854&lt;&gt;"OK","",INDEX(po_mac,MATCH(D1854,po_code,0)))</f>
        <v/>
      </c>
      <c r="J1854" s="66" t="str">
        <f>IF(M1854&lt;&gt;"OK","",N(E1854)*(H1854*IF(G1854="",1,G1854)+I1854))</f>
        <v/>
      </c>
      <c r="K1854" s="66" t="str">
        <f>IF(M1854&lt;&gt;"OK","",N(F1854)/60*H1854*IF(G1854="",1,G1854))</f>
        <v/>
      </c>
      <c r="L1854" s="66" t="str">
        <f>IF(M1854&lt;&gt;"OK","",N(F1854)/60*I1854)</f>
        <v/>
      </c>
      <c r="M1854" s="69" t="str">
        <f>IF(AND(A1854="",D1854=""),"",IF(A1854="","Produit manquant",IF(COUNTIF(prod_ref,A1854)=0,"Produit inconnu",IF(D1854="","Poste manquant",IF(ISNA(MATCH(D1854,po_code,0)),"Poste inconnu",IF(INDEX(po_check,MATCH(D1854,po_code,0))&lt;&gt;"OK","Poste à corriger",IF(AND(E1854&lt;&gt;"",OR(NOT(ISNUMBER(E1854)),N(E1854)&lt;0)),"Réglage invalide",IF(AND(F1854&lt;&gt;"",OR(NOT(ISNUMBER(F1854)),N(F1854)&lt;0)),"Temps par pièce invalide",IF(N(E1854)+N(F1854)=0,"Temps manquant",IF(AND(G1854&lt;&gt;"",OR(NOT(ISNUMBER(G1854)),N(G1854)&lt;=0)),"Opérateurs invalide","OK"))))))))))</f>
        <v/>
      </c>
      <c r="N1854" s="71" t="str">
        <f>IF(AND(fiche_sel&lt;&gt;"",A1854=fiche_sel),COUNTIF(A$6:A1854,fiche_sel),"")</f>
        <v/>
      </c>
    </row>
    <row r="1855">
      <c r="A1855" s="60" t="n"/>
      <c r="B1855" s="73" t="n"/>
      <c r="C1855" s="60" t="n"/>
      <c r="D1855" s="61" t="n"/>
      <c r="E1855" s="74" t="n"/>
      <c r="F1855" s="74" t="n"/>
      <c r="G1855" s="73" t="n"/>
      <c r="H1855" s="66" t="str">
        <f>IF(M1855&lt;&gt;"OK","",INDEX(po_mo,MATCH(D1855,po_code,0)))</f>
        <v/>
      </c>
      <c r="I1855" s="66" t="str">
        <f>IF(M1855&lt;&gt;"OK","",INDEX(po_mac,MATCH(D1855,po_code,0)))</f>
        <v/>
      </c>
      <c r="J1855" s="66" t="str">
        <f>IF(M1855&lt;&gt;"OK","",N(E1855)*(H1855*IF(G1855="",1,G1855)+I1855))</f>
        <v/>
      </c>
      <c r="K1855" s="66" t="str">
        <f>IF(M1855&lt;&gt;"OK","",N(F1855)/60*H1855*IF(G1855="",1,G1855))</f>
        <v/>
      </c>
      <c r="L1855" s="66" t="str">
        <f>IF(M1855&lt;&gt;"OK","",N(F1855)/60*I1855)</f>
        <v/>
      </c>
      <c r="M1855" s="69" t="str">
        <f>IF(AND(A1855="",D1855=""),"",IF(A1855="","Produit manquant",IF(COUNTIF(prod_ref,A1855)=0,"Produit inconnu",IF(D1855="","Poste manquant",IF(ISNA(MATCH(D1855,po_code,0)),"Poste inconnu",IF(INDEX(po_check,MATCH(D1855,po_code,0))&lt;&gt;"OK","Poste à corriger",IF(AND(E1855&lt;&gt;"",OR(NOT(ISNUMBER(E1855)),N(E1855)&lt;0)),"Réglage invalide",IF(AND(F1855&lt;&gt;"",OR(NOT(ISNUMBER(F1855)),N(F1855)&lt;0)),"Temps par pièce invalide",IF(N(E1855)+N(F1855)=0,"Temps manquant",IF(AND(G1855&lt;&gt;"",OR(NOT(ISNUMBER(G1855)),N(G1855)&lt;=0)),"Opérateurs invalide","OK"))))))))))</f>
        <v/>
      </c>
      <c r="N1855" s="71" t="str">
        <f>IF(AND(fiche_sel&lt;&gt;"",A1855=fiche_sel),COUNTIF(A$6:A1855,fiche_sel),"")</f>
        <v/>
      </c>
    </row>
    <row r="1856">
      <c r="A1856" s="60" t="n"/>
      <c r="B1856" s="73" t="n"/>
      <c r="C1856" s="60" t="n"/>
      <c r="D1856" s="61" t="n"/>
      <c r="E1856" s="74" t="n"/>
      <c r="F1856" s="74" t="n"/>
      <c r="G1856" s="73" t="n"/>
      <c r="H1856" s="66" t="str">
        <f>IF(M1856&lt;&gt;"OK","",INDEX(po_mo,MATCH(D1856,po_code,0)))</f>
        <v/>
      </c>
      <c r="I1856" s="66" t="str">
        <f>IF(M1856&lt;&gt;"OK","",INDEX(po_mac,MATCH(D1856,po_code,0)))</f>
        <v/>
      </c>
      <c r="J1856" s="66" t="str">
        <f>IF(M1856&lt;&gt;"OK","",N(E1856)*(H1856*IF(G1856="",1,G1856)+I1856))</f>
        <v/>
      </c>
      <c r="K1856" s="66" t="str">
        <f>IF(M1856&lt;&gt;"OK","",N(F1856)/60*H1856*IF(G1856="",1,G1856))</f>
        <v/>
      </c>
      <c r="L1856" s="66" t="str">
        <f>IF(M1856&lt;&gt;"OK","",N(F1856)/60*I1856)</f>
        <v/>
      </c>
      <c r="M1856" s="69" t="str">
        <f>IF(AND(A1856="",D1856=""),"",IF(A1856="","Produit manquant",IF(COUNTIF(prod_ref,A1856)=0,"Produit inconnu",IF(D1856="","Poste manquant",IF(ISNA(MATCH(D1856,po_code,0)),"Poste inconnu",IF(INDEX(po_check,MATCH(D1856,po_code,0))&lt;&gt;"OK","Poste à corriger",IF(AND(E1856&lt;&gt;"",OR(NOT(ISNUMBER(E1856)),N(E1856)&lt;0)),"Réglage invalide",IF(AND(F1856&lt;&gt;"",OR(NOT(ISNUMBER(F1856)),N(F1856)&lt;0)),"Temps par pièce invalide",IF(N(E1856)+N(F1856)=0,"Temps manquant",IF(AND(G1856&lt;&gt;"",OR(NOT(ISNUMBER(G1856)),N(G1856)&lt;=0)),"Opérateurs invalide","OK"))))))))))</f>
        <v/>
      </c>
      <c r="N1856" s="71" t="str">
        <f>IF(AND(fiche_sel&lt;&gt;"",A1856=fiche_sel),COUNTIF(A$6:A1856,fiche_sel),"")</f>
        <v/>
      </c>
    </row>
    <row r="1857">
      <c r="A1857" s="60" t="n"/>
      <c r="B1857" s="73" t="n"/>
      <c r="C1857" s="60" t="n"/>
      <c r="D1857" s="61" t="n"/>
      <c r="E1857" s="74" t="n"/>
      <c r="F1857" s="74" t="n"/>
      <c r="G1857" s="73" t="n"/>
      <c r="H1857" s="66" t="str">
        <f>IF(M1857&lt;&gt;"OK","",INDEX(po_mo,MATCH(D1857,po_code,0)))</f>
        <v/>
      </c>
      <c r="I1857" s="66" t="str">
        <f>IF(M1857&lt;&gt;"OK","",INDEX(po_mac,MATCH(D1857,po_code,0)))</f>
        <v/>
      </c>
      <c r="J1857" s="66" t="str">
        <f>IF(M1857&lt;&gt;"OK","",N(E1857)*(H1857*IF(G1857="",1,G1857)+I1857))</f>
        <v/>
      </c>
      <c r="K1857" s="66" t="str">
        <f>IF(M1857&lt;&gt;"OK","",N(F1857)/60*H1857*IF(G1857="",1,G1857))</f>
        <v/>
      </c>
      <c r="L1857" s="66" t="str">
        <f>IF(M1857&lt;&gt;"OK","",N(F1857)/60*I1857)</f>
        <v/>
      </c>
      <c r="M1857" s="69" t="str">
        <f>IF(AND(A1857="",D1857=""),"",IF(A1857="","Produit manquant",IF(COUNTIF(prod_ref,A1857)=0,"Produit inconnu",IF(D1857="","Poste manquant",IF(ISNA(MATCH(D1857,po_code,0)),"Poste inconnu",IF(INDEX(po_check,MATCH(D1857,po_code,0))&lt;&gt;"OK","Poste à corriger",IF(AND(E1857&lt;&gt;"",OR(NOT(ISNUMBER(E1857)),N(E1857)&lt;0)),"Réglage invalide",IF(AND(F1857&lt;&gt;"",OR(NOT(ISNUMBER(F1857)),N(F1857)&lt;0)),"Temps par pièce invalide",IF(N(E1857)+N(F1857)=0,"Temps manquant",IF(AND(G1857&lt;&gt;"",OR(NOT(ISNUMBER(G1857)),N(G1857)&lt;=0)),"Opérateurs invalide","OK"))))))))))</f>
        <v/>
      </c>
      <c r="N1857" s="71" t="str">
        <f>IF(AND(fiche_sel&lt;&gt;"",A1857=fiche_sel),COUNTIF(A$6:A1857,fiche_sel),"")</f>
        <v/>
      </c>
    </row>
    <row r="1858">
      <c r="A1858" s="60" t="n"/>
      <c r="B1858" s="73" t="n"/>
      <c r="C1858" s="60" t="n"/>
      <c r="D1858" s="61" t="n"/>
      <c r="E1858" s="74" t="n"/>
      <c r="F1858" s="74" t="n"/>
      <c r="G1858" s="73" t="n"/>
      <c r="H1858" s="66" t="str">
        <f>IF(M1858&lt;&gt;"OK","",INDEX(po_mo,MATCH(D1858,po_code,0)))</f>
        <v/>
      </c>
      <c r="I1858" s="66" t="str">
        <f>IF(M1858&lt;&gt;"OK","",INDEX(po_mac,MATCH(D1858,po_code,0)))</f>
        <v/>
      </c>
      <c r="J1858" s="66" t="str">
        <f>IF(M1858&lt;&gt;"OK","",N(E1858)*(H1858*IF(G1858="",1,G1858)+I1858))</f>
        <v/>
      </c>
      <c r="K1858" s="66" t="str">
        <f>IF(M1858&lt;&gt;"OK","",N(F1858)/60*H1858*IF(G1858="",1,G1858))</f>
        <v/>
      </c>
      <c r="L1858" s="66" t="str">
        <f>IF(M1858&lt;&gt;"OK","",N(F1858)/60*I1858)</f>
        <v/>
      </c>
      <c r="M1858" s="69" t="str">
        <f>IF(AND(A1858="",D1858=""),"",IF(A1858="","Produit manquant",IF(COUNTIF(prod_ref,A1858)=0,"Produit inconnu",IF(D1858="","Poste manquant",IF(ISNA(MATCH(D1858,po_code,0)),"Poste inconnu",IF(INDEX(po_check,MATCH(D1858,po_code,0))&lt;&gt;"OK","Poste à corriger",IF(AND(E1858&lt;&gt;"",OR(NOT(ISNUMBER(E1858)),N(E1858)&lt;0)),"Réglage invalide",IF(AND(F1858&lt;&gt;"",OR(NOT(ISNUMBER(F1858)),N(F1858)&lt;0)),"Temps par pièce invalide",IF(N(E1858)+N(F1858)=0,"Temps manquant",IF(AND(G1858&lt;&gt;"",OR(NOT(ISNUMBER(G1858)),N(G1858)&lt;=0)),"Opérateurs invalide","OK"))))))))))</f>
        <v/>
      </c>
      <c r="N1858" s="71" t="str">
        <f>IF(AND(fiche_sel&lt;&gt;"",A1858=fiche_sel),COUNTIF(A$6:A1858,fiche_sel),"")</f>
        <v/>
      </c>
    </row>
    <row r="1859">
      <c r="A1859" s="60" t="n"/>
      <c r="B1859" s="73" t="n"/>
      <c r="C1859" s="60" t="n"/>
      <c r="D1859" s="61" t="n"/>
      <c r="E1859" s="74" t="n"/>
      <c r="F1859" s="74" t="n"/>
      <c r="G1859" s="73" t="n"/>
      <c r="H1859" s="66" t="str">
        <f>IF(M1859&lt;&gt;"OK","",INDEX(po_mo,MATCH(D1859,po_code,0)))</f>
        <v/>
      </c>
      <c r="I1859" s="66" t="str">
        <f>IF(M1859&lt;&gt;"OK","",INDEX(po_mac,MATCH(D1859,po_code,0)))</f>
        <v/>
      </c>
      <c r="J1859" s="66" t="str">
        <f>IF(M1859&lt;&gt;"OK","",N(E1859)*(H1859*IF(G1859="",1,G1859)+I1859))</f>
        <v/>
      </c>
      <c r="K1859" s="66" t="str">
        <f>IF(M1859&lt;&gt;"OK","",N(F1859)/60*H1859*IF(G1859="",1,G1859))</f>
        <v/>
      </c>
      <c r="L1859" s="66" t="str">
        <f>IF(M1859&lt;&gt;"OK","",N(F1859)/60*I1859)</f>
        <v/>
      </c>
      <c r="M1859" s="69" t="str">
        <f>IF(AND(A1859="",D1859=""),"",IF(A1859="","Produit manquant",IF(COUNTIF(prod_ref,A1859)=0,"Produit inconnu",IF(D1859="","Poste manquant",IF(ISNA(MATCH(D1859,po_code,0)),"Poste inconnu",IF(INDEX(po_check,MATCH(D1859,po_code,0))&lt;&gt;"OK","Poste à corriger",IF(AND(E1859&lt;&gt;"",OR(NOT(ISNUMBER(E1859)),N(E1859)&lt;0)),"Réglage invalide",IF(AND(F1859&lt;&gt;"",OR(NOT(ISNUMBER(F1859)),N(F1859)&lt;0)),"Temps par pièce invalide",IF(N(E1859)+N(F1859)=0,"Temps manquant",IF(AND(G1859&lt;&gt;"",OR(NOT(ISNUMBER(G1859)),N(G1859)&lt;=0)),"Opérateurs invalide","OK"))))))))))</f>
        <v/>
      </c>
      <c r="N1859" s="71" t="str">
        <f>IF(AND(fiche_sel&lt;&gt;"",A1859=fiche_sel),COUNTIF(A$6:A1859,fiche_sel),"")</f>
        <v/>
      </c>
    </row>
    <row r="1860">
      <c r="A1860" s="60" t="n"/>
      <c r="B1860" s="73" t="n"/>
      <c r="C1860" s="60" t="n"/>
      <c r="D1860" s="61" t="n"/>
      <c r="E1860" s="74" t="n"/>
      <c r="F1860" s="74" t="n"/>
      <c r="G1860" s="73" t="n"/>
      <c r="H1860" s="66" t="str">
        <f>IF(M1860&lt;&gt;"OK","",INDEX(po_mo,MATCH(D1860,po_code,0)))</f>
        <v/>
      </c>
      <c r="I1860" s="66" t="str">
        <f>IF(M1860&lt;&gt;"OK","",INDEX(po_mac,MATCH(D1860,po_code,0)))</f>
        <v/>
      </c>
      <c r="J1860" s="66" t="str">
        <f>IF(M1860&lt;&gt;"OK","",N(E1860)*(H1860*IF(G1860="",1,G1860)+I1860))</f>
        <v/>
      </c>
      <c r="K1860" s="66" t="str">
        <f>IF(M1860&lt;&gt;"OK","",N(F1860)/60*H1860*IF(G1860="",1,G1860))</f>
        <v/>
      </c>
      <c r="L1860" s="66" t="str">
        <f>IF(M1860&lt;&gt;"OK","",N(F1860)/60*I1860)</f>
        <v/>
      </c>
      <c r="M1860" s="69" t="str">
        <f>IF(AND(A1860="",D1860=""),"",IF(A1860="","Produit manquant",IF(COUNTIF(prod_ref,A1860)=0,"Produit inconnu",IF(D1860="","Poste manquant",IF(ISNA(MATCH(D1860,po_code,0)),"Poste inconnu",IF(INDEX(po_check,MATCH(D1860,po_code,0))&lt;&gt;"OK","Poste à corriger",IF(AND(E1860&lt;&gt;"",OR(NOT(ISNUMBER(E1860)),N(E1860)&lt;0)),"Réglage invalide",IF(AND(F1860&lt;&gt;"",OR(NOT(ISNUMBER(F1860)),N(F1860)&lt;0)),"Temps par pièce invalide",IF(N(E1860)+N(F1860)=0,"Temps manquant",IF(AND(G1860&lt;&gt;"",OR(NOT(ISNUMBER(G1860)),N(G1860)&lt;=0)),"Opérateurs invalide","OK"))))))))))</f>
        <v/>
      </c>
      <c r="N1860" s="71" t="str">
        <f>IF(AND(fiche_sel&lt;&gt;"",A1860=fiche_sel),COUNTIF(A$6:A1860,fiche_sel),"")</f>
        <v/>
      </c>
    </row>
    <row r="1861">
      <c r="A1861" s="60" t="n"/>
      <c r="B1861" s="73" t="n"/>
      <c r="C1861" s="60" t="n"/>
      <c r="D1861" s="61" t="n"/>
      <c r="E1861" s="74" t="n"/>
      <c r="F1861" s="74" t="n"/>
      <c r="G1861" s="73" t="n"/>
      <c r="H1861" s="66" t="str">
        <f>IF(M1861&lt;&gt;"OK","",INDEX(po_mo,MATCH(D1861,po_code,0)))</f>
        <v/>
      </c>
      <c r="I1861" s="66" t="str">
        <f>IF(M1861&lt;&gt;"OK","",INDEX(po_mac,MATCH(D1861,po_code,0)))</f>
        <v/>
      </c>
      <c r="J1861" s="66" t="str">
        <f>IF(M1861&lt;&gt;"OK","",N(E1861)*(H1861*IF(G1861="",1,G1861)+I1861))</f>
        <v/>
      </c>
      <c r="K1861" s="66" t="str">
        <f>IF(M1861&lt;&gt;"OK","",N(F1861)/60*H1861*IF(G1861="",1,G1861))</f>
        <v/>
      </c>
      <c r="L1861" s="66" t="str">
        <f>IF(M1861&lt;&gt;"OK","",N(F1861)/60*I1861)</f>
        <v/>
      </c>
      <c r="M1861" s="69" t="str">
        <f>IF(AND(A1861="",D1861=""),"",IF(A1861="","Produit manquant",IF(COUNTIF(prod_ref,A1861)=0,"Produit inconnu",IF(D1861="","Poste manquant",IF(ISNA(MATCH(D1861,po_code,0)),"Poste inconnu",IF(INDEX(po_check,MATCH(D1861,po_code,0))&lt;&gt;"OK","Poste à corriger",IF(AND(E1861&lt;&gt;"",OR(NOT(ISNUMBER(E1861)),N(E1861)&lt;0)),"Réglage invalide",IF(AND(F1861&lt;&gt;"",OR(NOT(ISNUMBER(F1861)),N(F1861)&lt;0)),"Temps par pièce invalide",IF(N(E1861)+N(F1861)=0,"Temps manquant",IF(AND(G1861&lt;&gt;"",OR(NOT(ISNUMBER(G1861)),N(G1861)&lt;=0)),"Opérateurs invalide","OK"))))))))))</f>
        <v/>
      </c>
      <c r="N1861" s="71" t="str">
        <f>IF(AND(fiche_sel&lt;&gt;"",A1861=fiche_sel),COUNTIF(A$6:A1861,fiche_sel),"")</f>
        <v/>
      </c>
    </row>
    <row r="1862">
      <c r="A1862" s="60" t="n"/>
      <c r="B1862" s="73" t="n"/>
      <c r="C1862" s="60" t="n"/>
      <c r="D1862" s="61" t="n"/>
      <c r="E1862" s="74" t="n"/>
      <c r="F1862" s="74" t="n"/>
      <c r="G1862" s="73" t="n"/>
      <c r="H1862" s="66" t="str">
        <f>IF(M1862&lt;&gt;"OK","",INDEX(po_mo,MATCH(D1862,po_code,0)))</f>
        <v/>
      </c>
      <c r="I1862" s="66" t="str">
        <f>IF(M1862&lt;&gt;"OK","",INDEX(po_mac,MATCH(D1862,po_code,0)))</f>
        <v/>
      </c>
      <c r="J1862" s="66" t="str">
        <f>IF(M1862&lt;&gt;"OK","",N(E1862)*(H1862*IF(G1862="",1,G1862)+I1862))</f>
        <v/>
      </c>
      <c r="K1862" s="66" t="str">
        <f>IF(M1862&lt;&gt;"OK","",N(F1862)/60*H1862*IF(G1862="",1,G1862))</f>
        <v/>
      </c>
      <c r="L1862" s="66" t="str">
        <f>IF(M1862&lt;&gt;"OK","",N(F1862)/60*I1862)</f>
        <v/>
      </c>
      <c r="M1862" s="69" t="str">
        <f>IF(AND(A1862="",D1862=""),"",IF(A1862="","Produit manquant",IF(COUNTIF(prod_ref,A1862)=0,"Produit inconnu",IF(D1862="","Poste manquant",IF(ISNA(MATCH(D1862,po_code,0)),"Poste inconnu",IF(INDEX(po_check,MATCH(D1862,po_code,0))&lt;&gt;"OK","Poste à corriger",IF(AND(E1862&lt;&gt;"",OR(NOT(ISNUMBER(E1862)),N(E1862)&lt;0)),"Réglage invalide",IF(AND(F1862&lt;&gt;"",OR(NOT(ISNUMBER(F1862)),N(F1862)&lt;0)),"Temps par pièce invalide",IF(N(E1862)+N(F1862)=0,"Temps manquant",IF(AND(G1862&lt;&gt;"",OR(NOT(ISNUMBER(G1862)),N(G1862)&lt;=0)),"Opérateurs invalide","OK"))))))))))</f>
        <v/>
      </c>
      <c r="N1862" s="71" t="str">
        <f>IF(AND(fiche_sel&lt;&gt;"",A1862=fiche_sel),COUNTIF(A$6:A1862,fiche_sel),"")</f>
        <v/>
      </c>
    </row>
    <row r="1863">
      <c r="A1863" s="60" t="n"/>
      <c r="B1863" s="73" t="n"/>
      <c r="C1863" s="60" t="n"/>
      <c r="D1863" s="61" t="n"/>
      <c r="E1863" s="74" t="n"/>
      <c r="F1863" s="74" t="n"/>
      <c r="G1863" s="73" t="n"/>
      <c r="H1863" s="66" t="str">
        <f>IF(M1863&lt;&gt;"OK","",INDEX(po_mo,MATCH(D1863,po_code,0)))</f>
        <v/>
      </c>
      <c r="I1863" s="66" t="str">
        <f>IF(M1863&lt;&gt;"OK","",INDEX(po_mac,MATCH(D1863,po_code,0)))</f>
        <v/>
      </c>
      <c r="J1863" s="66" t="str">
        <f>IF(M1863&lt;&gt;"OK","",N(E1863)*(H1863*IF(G1863="",1,G1863)+I1863))</f>
        <v/>
      </c>
      <c r="K1863" s="66" t="str">
        <f>IF(M1863&lt;&gt;"OK","",N(F1863)/60*H1863*IF(G1863="",1,G1863))</f>
        <v/>
      </c>
      <c r="L1863" s="66" t="str">
        <f>IF(M1863&lt;&gt;"OK","",N(F1863)/60*I1863)</f>
        <v/>
      </c>
      <c r="M1863" s="69" t="str">
        <f>IF(AND(A1863="",D1863=""),"",IF(A1863="","Produit manquant",IF(COUNTIF(prod_ref,A1863)=0,"Produit inconnu",IF(D1863="","Poste manquant",IF(ISNA(MATCH(D1863,po_code,0)),"Poste inconnu",IF(INDEX(po_check,MATCH(D1863,po_code,0))&lt;&gt;"OK","Poste à corriger",IF(AND(E1863&lt;&gt;"",OR(NOT(ISNUMBER(E1863)),N(E1863)&lt;0)),"Réglage invalide",IF(AND(F1863&lt;&gt;"",OR(NOT(ISNUMBER(F1863)),N(F1863)&lt;0)),"Temps par pièce invalide",IF(N(E1863)+N(F1863)=0,"Temps manquant",IF(AND(G1863&lt;&gt;"",OR(NOT(ISNUMBER(G1863)),N(G1863)&lt;=0)),"Opérateurs invalide","OK"))))))))))</f>
        <v/>
      </c>
      <c r="N1863" s="71" t="str">
        <f>IF(AND(fiche_sel&lt;&gt;"",A1863=fiche_sel),COUNTIF(A$6:A1863,fiche_sel),"")</f>
        <v/>
      </c>
    </row>
    <row r="1864">
      <c r="A1864" s="60" t="n"/>
      <c r="B1864" s="73" t="n"/>
      <c r="C1864" s="60" t="n"/>
      <c r="D1864" s="61" t="n"/>
      <c r="E1864" s="74" t="n"/>
      <c r="F1864" s="74" t="n"/>
      <c r="G1864" s="73" t="n"/>
      <c r="H1864" s="66" t="str">
        <f>IF(M1864&lt;&gt;"OK","",INDEX(po_mo,MATCH(D1864,po_code,0)))</f>
        <v/>
      </c>
      <c r="I1864" s="66" t="str">
        <f>IF(M1864&lt;&gt;"OK","",INDEX(po_mac,MATCH(D1864,po_code,0)))</f>
        <v/>
      </c>
      <c r="J1864" s="66" t="str">
        <f>IF(M1864&lt;&gt;"OK","",N(E1864)*(H1864*IF(G1864="",1,G1864)+I1864))</f>
        <v/>
      </c>
      <c r="K1864" s="66" t="str">
        <f>IF(M1864&lt;&gt;"OK","",N(F1864)/60*H1864*IF(G1864="",1,G1864))</f>
        <v/>
      </c>
      <c r="L1864" s="66" t="str">
        <f>IF(M1864&lt;&gt;"OK","",N(F1864)/60*I1864)</f>
        <v/>
      </c>
      <c r="M1864" s="69" t="str">
        <f>IF(AND(A1864="",D1864=""),"",IF(A1864="","Produit manquant",IF(COUNTIF(prod_ref,A1864)=0,"Produit inconnu",IF(D1864="","Poste manquant",IF(ISNA(MATCH(D1864,po_code,0)),"Poste inconnu",IF(INDEX(po_check,MATCH(D1864,po_code,0))&lt;&gt;"OK","Poste à corriger",IF(AND(E1864&lt;&gt;"",OR(NOT(ISNUMBER(E1864)),N(E1864)&lt;0)),"Réglage invalide",IF(AND(F1864&lt;&gt;"",OR(NOT(ISNUMBER(F1864)),N(F1864)&lt;0)),"Temps par pièce invalide",IF(N(E1864)+N(F1864)=0,"Temps manquant",IF(AND(G1864&lt;&gt;"",OR(NOT(ISNUMBER(G1864)),N(G1864)&lt;=0)),"Opérateurs invalide","OK"))))))))))</f>
        <v/>
      </c>
      <c r="N1864" s="71" t="str">
        <f>IF(AND(fiche_sel&lt;&gt;"",A1864=fiche_sel),COUNTIF(A$6:A1864,fiche_sel),"")</f>
        <v/>
      </c>
    </row>
    <row r="1865">
      <c r="A1865" s="60" t="n"/>
      <c r="B1865" s="73" t="n"/>
      <c r="C1865" s="60" t="n"/>
      <c r="D1865" s="61" t="n"/>
      <c r="E1865" s="74" t="n"/>
      <c r="F1865" s="74" t="n"/>
      <c r="G1865" s="73" t="n"/>
      <c r="H1865" s="66" t="str">
        <f>IF(M1865&lt;&gt;"OK","",INDEX(po_mo,MATCH(D1865,po_code,0)))</f>
        <v/>
      </c>
      <c r="I1865" s="66" t="str">
        <f>IF(M1865&lt;&gt;"OK","",INDEX(po_mac,MATCH(D1865,po_code,0)))</f>
        <v/>
      </c>
      <c r="J1865" s="66" t="str">
        <f>IF(M1865&lt;&gt;"OK","",N(E1865)*(H1865*IF(G1865="",1,G1865)+I1865))</f>
        <v/>
      </c>
      <c r="K1865" s="66" t="str">
        <f>IF(M1865&lt;&gt;"OK","",N(F1865)/60*H1865*IF(G1865="",1,G1865))</f>
        <v/>
      </c>
      <c r="L1865" s="66" t="str">
        <f>IF(M1865&lt;&gt;"OK","",N(F1865)/60*I1865)</f>
        <v/>
      </c>
      <c r="M1865" s="69" t="str">
        <f>IF(AND(A1865="",D1865=""),"",IF(A1865="","Produit manquant",IF(COUNTIF(prod_ref,A1865)=0,"Produit inconnu",IF(D1865="","Poste manquant",IF(ISNA(MATCH(D1865,po_code,0)),"Poste inconnu",IF(INDEX(po_check,MATCH(D1865,po_code,0))&lt;&gt;"OK","Poste à corriger",IF(AND(E1865&lt;&gt;"",OR(NOT(ISNUMBER(E1865)),N(E1865)&lt;0)),"Réglage invalide",IF(AND(F1865&lt;&gt;"",OR(NOT(ISNUMBER(F1865)),N(F1865)&lt;0)),"Temps par pièce invalide",IF(N(E1865)+N(F1865)=0,"Temps manquant",IF(AND(G1865&lt;&gt;"",OR(NOT(ISNUMBER(G1865)),N(G1865)&lt;=0)),"Opérateurs invalide","OK"))))))))))</f>
        <v/>
      </c>
      <c r="N1865" s="71" t="str">
        <f>IF(AND(fiche_sel&lt;&gt;"",A1865=fiche_sel),COUNTIF(A$6:A1865,fiche_sel),"")</f>
        <v/>
      </c>
    </row>
    <row r="1866">
      <c r="A1866" s="60" t="n"/>
      <c r="B1866" s="73" t="n"/>
      <c r="C1866" s="60" t="n"/>
      <c r="D1866" s="61" t="n"/>
      <c r="E1866" s="74" t="n"/>
      <c r="F1866" s="74" t="n"/>
      <c r="G1866" s="73" t="n"/>
      <c r="H1866" s="66" t="str">
        <f>IF(M1866&lt;&gt;"OK","",INDEX(po_mo,MATCH(D1866,po_code,0)))</f>
        <v/>
      </c>
      <c r="I1866" s="66" t="str">
        <f>IF(M1866&lt;&gt;"OK","",INDEX(po_mac,MATCH(D1866,po_code,0)))</f>
        <v/>
      </c>
      <c r="J1866" s="66" t="str">
        <f>IF(M1866&lt;&gt;"OK","",N(E1866)*(H1866*IF(G1866="",1,G1866)+I1866))</f>
        <v/>
      </c>
      <c r="K1866" s="66" t="str">
        <f>IF(M1866&lt;&gt;"OK","",N(F1866)/60*H1866*IF(G1866="",1,G1866))</f>
        <v/>
      </c>
      <c r="L1866" s="66" t="str">
        <f>IF(M1866&lt;&gt;"OK","",N(F1866)/60*I1866)</f>
        <v/>
      </c>
      <c r="M1866" s="69" t="str">
        <f>IF(AND(A1866="",D1866=""),"",IF(A1866="","Produit manquant",IF(COUNTIF(prod_ref,A1866)=0,"Produit inconnu",IF(D1866="","Poste manquant",IF(ISNA(MATCH(D1866,po_code,0)),"Poste inconnu",IF(INDEX(po_check,MATCH(D1866,po_code,0))&lt;&gt;"OK","Poste à corriger",IF(AND(E1866&lt;&gt;"",OR(NOT(ISNUMBER(E1866)),N(E1866)&lt;0)),"Réglage invalide",IF(AND(F1866&lt;&gt;"",OR(NOT(ISNUMBER(F1866)),N(F1866)&lt;0)),"Temps par pièce invalide",IF(N(E1866)+N(F1866)=0,"Temps manquant",IF(AND(G1866&lt;&gt;"",OR(NOT(ISNUMBER(G1866)),N(G1866)&lt;=0)),"Opérateurs invalide","OK"))))))))))</f>
        <v/>
      </c>
      <c r="N1866" s="71" t="str">
        <f>IF(AND(fiche_sel&lt;&gt;"",A1866=fiche_sel),COUNTIF(A$6:A1866,fiche_sel),"")</f>
        <v/>
      </c>
    </row>
    <row r="1867">
      <c r="A1867" s="60" t="n"/>
      <c r="B1867" s="73" t="n"/>
      <c r="C1867" s="60" t="n"/>
      <c r="D1867" s="61" t="n"/>
      <c r="E1867" s="74" t="n"/>
      <c r="F1867" s="74" t="n"/>
      <c r="G1867" s="73" t="n"/>
      <c r="H1867" s="66" t="str">
        <f>IF(M1867&lt;&gt;"OK","",INDEX(po_mo,MATCH(D1867,po_code,0)))</f>
        <v/>
      </c>
      <c r="I1867" s="66" t="str">
        <f>IF(M1867&lt;&gt;"OK","",INDEX(po_mac,MATCH(D1867,po_code,0)))</f>
        <v/>
      </c>
      <c r="J1867" s="66" t="str">
        <f>IF(M1867&lt;&gt;"OK","",N(E1867)*(H1867*IF(G1867="",1,G1867)+I1867))</f>
        <v/>
      </c>
      <c r="K1867" s="66" t="str">
        <f>IF(M1867&lt;&gt;"OK","",N(F1867)/60*H1867*IF(G1867="",1,G1867))</f>
        <v/>
      </c>
      <c r="L1867" s="66" t="str">
        <f>IF(M1867&lt;&gt;"OK","",N(F1867)/60*I1867)</f>
        <v/>
      </c>
      <c r="M1867" s="69" t="str">
        <f>IF(AND(A1867="",D1867=""),"",IF(A1867="","Produit manquant",IF(COUNTIF(prod_ref,A1867)=0,"Produit inconnu",IF(D1867="","Poste manquant",IF(ISNA(MATCH(D1867,po_code,0)),"Poste inconnu",IF(INDEX(po_check,MATCH(D1867,po_code,0))&lt;&gt;"OK","Poste à corriger",IF(AND(E1867&lt;&gt;"",OR(NOT(ISNUMBER(E1867)),N(E1867)&lt;0)),"Réglage invalide",IF(AND(F1867&lt;&gt;"",OR(NOT(ISNUMBER(F1867)),N(F1867)&lt;0)),"Temps par pièce invalide",IF(N(E1867)+N(F1867)=0,"Temps manquant",IF(AND(G1867&lt;&gt;"",OR(NOT(ISNUMBER(G1867)),N(G1867)&lt;=0)),"Opérateurs invalide","OK"))))))))))</f>
        <v/>
      </c>
      <c r="N1867" s="71" t="str">
        <f>IF(AND(fiche_sel&lt;&gt;"",A1867=fiche_sel),COUNTIF(A$6:A1867,fiche_sel),"")</f>
        <v/>
      </c>
    </row>
    <row r="1868">
      <c r="A1868" s="60" t="n"/>
      <c r="B1868" s="73" t="n"/>
      <c r="C1868" s="60" t="n"/>
      <c r="D1868" s="61" t="n"/>
      <c r="E1868" s="74" t="n"/>
      <c r="F1868" s="74" t="n"/>
      <c r="G1868" s="73" t="n"/>
      <c r="H1868" s="66" t="str">
        <f>IF(M1868&lt;&gt;"OK","",INDEX(po_mo,MATCH(D1868,po_code,0)))</f>
        <v/>
      </c>
      <c r="I1868" s="66" t="str">
        <f>IF(M1868&lt;&gt;"OK","",INDEX(po_mac,MATCH(D1868,po_code,0)))</f>
        <v/>
      </c>
      <c r="J1868" s="66" t="str">
        <f>IF(M1868&lt;&gt;"OK","",N(E1868)*(H1868*IF(G1868="",1,G1868)+I1868))</f>
        <v/>
      </c>
      <c r="K1868" s="66" t="str">
        <f>IF(M1868&lt;&gt;"OK","",N(F1868)/60*H1868*IF(G1868="",1,G1868))</f>
        <v/>
      </c>
      <c r="L1868" s="66" t="str">
        <f>IF(M1868&lt;&gt;"OK","",N(F1868)/60*I1868)</f>
        <v/>
      </c>
      <c r="M1868" s="69" t="str">
        <f>IF(AND(A1868="",D1868=""),"",IF(A1868="","Produit manquant",IF(COUNTIF(prod_ref,A1868)=0,"Produit inconnu",IF(D1868="","Poste manquant",IF(ISNA(MATCH(D1868,po_code,0)),"Poste inconnu",IF(INDEX(po_check,MATCH(D1868,po_code,0))&lt;&gt;"OK","Poste à corriger",IF(AND(E1868&lt;&gt;"",OR(NOT(ISNUMBER(E1868)),N(E1868)&lt;0)),"Réglage invalide",IF(AND(F1868&lt;&gt;"",OR(NOT(ISNUMBER(F1868)),N(F1868)&lt;0)),"Temps par pièce invalide",IF(N(E1868)+N(F1868)=0,"Temps manquant",IF(AND(G1868&lt;&gt;"",OR(NOT(ISNUMBER(G1868)),N(G1868)&lt;=0)),"Opérateurs invalide","OK"))))))))))</f>
        <v/>
      </c>
      <c r="N1868" s="71" t="str">
        <f>IF(AND(fiche_sel&lt;&gt;"",A1868=fiche_sel),COUNTIF(A$6:A1868,fiche_sel),"")</f>
        <v/>
      </c>
    </row>
    <row r="1869">
      <c r="A1869" s="60" t="n"/>
      <c r="B1869" s="73" t="n"/>
      <c r="C1869" s="60" t="n"/>
      <c r="D1869" s="61" t="n"/>
      <c r="E1869" s="74" t="n"/>
      <c r="F1869" s="74" t="n"/>
      <c r="G1869" s="73" t="n"/>
      <c r="H1869" s="66" t="str">
        <f>IF(M1869&lt;&gt;"OK","",INDEX(po_mo,MATCH(D1869,po_code,0)))</f>
        <v/>
      </c>
      <c r="I1869" s="66" t="str">
        <f>IF(M1869&lt;&gt;"OK","",INDEX(po_mac,MATCH(D1869,po_code,0)))</f>
        <v/>
      </c>
      <c r="J1869" s="66" t="str">
        <f>IF(M1869&lt;&gt;"OK","",N(E1869)*(H1869*IF(G1869="",1,G1869)+I1869))</f>
        <v/>
      </c>
      <c r="K1869" s="66" t="str">
        <f>IF(M1869&lt;&gt;"OK","",N(F1869)/60*H1869*IF(G1869="",1,G1869))</f>
        <v/>
      </c>
      <c r="L1869" s="66" t="str">
        <f>IF(M1869&lt;&gt;"OK","",N(F1869)/60*I1869)</f>
        <v/>
      </c>
      <c r="M1869" s="69" t="str">
        <f>IF(AND(A1869="",D1869=""),"",IF(A1869="","Produit manquant",IF(COUNTIF(prod_ref,A1869)=0,"Produit inconnu",IF(D1869="","Poste manquant",IF(ISNA(MATCH(D1869,po_code,0)),"Poste inconnu",IF(INDEX(po_check,MATCH(D1869,po_code,0))&lt;&gt;"OK","Poste à corriger",IF(AND(E1869&lt;&gt;"",OR(NOT(ISNUMBER(E1869)),N(E1869)&lt;0)),"Réglage invalide",IF(AND(F1869&lt;&gt;"",OR(NOT(ISNUMBER(F1869)),N(F1869)&lt;0)),"Temps par pièce invalide",IF(N(E1869)+N(F1869)=0,"Temps manquant",IF(AND(G1869&lt;&gt;"",OR(NOT(ISNUMBER(G1869)),N(G1869)&lt;=0)),"Opérateurs invalide","OK"))))))))))</f>
        <v/>
      </c>
      <c r="N1869" s="71" t="str">
        <f>IF(AND(fiche_sel&lt;&gt;"",A1869=fiche_sel),COUNTIF(A$6:A1869,fiche_sel),"")</f>
        <v/>
      </c>
    </row>
    <row r="1870">
      <c r="A1870" s="60" t="n"/>
      <c r="B1870" s="73" t="n"/>
      <c r="C1870" s="60" t="n"/>
      <c r="D1870" s="61" t="n"/>
      <c r="E1870" s="74" t="n"/>
      <c r="F1870" s="74" t="n"/>
      <c r="G1870" s="73" t="n"/>
      <c r="H1870" s="66" t="str">
        <f>IF(M1870&lt;&gt;"OK","",INDEX(po_mo,MATCH(D1870,po_code,0)))</f>
        <v/>
      </c>
      <c r="I1870" s="66" t="str">
        <f>IF(M1870&lt;&gt;"OK","",INDEX(po_mac,MATCH(D1870,po_code,0)))</f>
        <v/>
      </c>
      <c r="J1870" s="66" t="str">
        <f>IF(M1870&lt;&gt;"OK","",N(E1870)*(H1870*IF(G1870="",1,G1870)+I1870))</f>
        <v/>
      </c>
      <c r="K1870" s="66" t="str">
        <f>IF(M1870&lt;&gt;"OK","",N(F1870)/60*H1870*IF(G1870="",1,G1870))</f>
        <v/>
      </c>
      <c r="L1870" s="66" t="str">
        <f>IF(M1870&lt;&gt;"OK","",N(F1870)/60*I1870)</f>
        <v/>
      </c>
      <c r="M1870" s="69" t="str">
        <f>IF(AND(A1870="",D1870=""),"",IF(A1870="","Produit manquant",IF(COUNTIF(prod_ref,A1870)=0,"Produit inconnu",IF(D1870="","Poste manquant",IF(ISNA(MATCH(D1870,po_code,0)),"Poste inconnu",IF(INDEX(po_check,MATCH(D1870,po_code,0))&lt;&gt;"OK","Poste à corriger",IF(AND(E1870&lt;&gt;"",OR(NOT(ISNUMBER(E1870)),N(E1870)&lt;0)),"Réglage invalide",IF(AND(F1870&lt;&gt;"",OR(NOT(ISNUMBER(F1870)),N(F1870)&lt;0)),"Temps par pièce invalide",IF(N(E1870)+N(F1870)=0,"Temps manquant",IF(AND(G1870&lt;&gt;"",OR(NOT(ISNUMBER(G1870)),N(G1870)&lt;=0)),"Opérateurs invalide","OK"))))))))))</f>
        <v/>
      </c>
      <c r="N1870" s="71" t="str">
        <f>IF(AND(fiche_sel&lt;&gt;"",A1870=fiche_sel),COUNTIF(A$6:A1870,fiche_sel),"")</f>
        <v/>
      </c>
    </row>
    <row r="1871">
      <c r="A1871" s="60" t="n"/>
      <c r="B1871" s="73" t="n"/>
      <c r="C1871" s="60" t="n"/>
      <c r="D1871" s="61" t="n"/>
      <c r="E1871" s="74" t="n"/>
      <c r="F1871" s="74" t="n"/>
      <c r="G1871" s="73" t="n"/>
      <c r="H1871" s="66" t="str">
        <f>IF(M1871&lt;&gt;"OK","",INDEX(po_mo,MATCH(D1871,po_code,0)))</f>
        <v/>
      </c>
      <c r="I1871" s="66" t="str">
        <f>IF(M1871&lt;&gt;"OK","",INDEX(po_mac,MATCH(D1871,po_code,0)))</f>
        <v/>
      </c>
      <c r="J1871" s="66" t="str">
        <f>IF(M1871&lt;&gt;"OK","",N(E1871)*(H1871*IF(G1871="",1,G1871)+I1871))</f>
        <v/>
      </c>
      <c r="K1871" s="66" t="str">
        <f>IF(M1871&lt;&gt;"OK","",N(F1871)/60*H1871*IF(G1871="",1,G1871))</f>
        <v/>
      </c>
      <c r="L1871" s="66" t="str">
        <f>IF(M1871&lt;&gt;"OK","",N(F1871)/60*I1871)</f>
        <v/>
      </c>
      <c r="M1871" s="69" t="str">
        <f>IF(AND(A1871="",D1871=""),"",IF(A1871="","Produit manquant",IF(COUNTIF(prod_ref,A1871)=0,"Produit inconnu",IF(D1871="","Poste manquant",IF(ISNA(MATCH(D1871,po_code,0)),"Poste inconnu",IF(INDEX(po_check,MATCH(D1871,po_code,0))&lt;&gt;"OK","Poste à corriger",IF(AND(E1871&lt;&gt;"",OR(NOT(ISNUMBER(E1871)),N(E1871)&lt;0)),"Réglage invalide",IF(AND(F1871&lt;&gt;"",OR(NOT(ISNUMBER(F1871)),N(F1871)&lt;0)),"Temps par pièce invalide",IF(N(E1871)+N(F1871)=0,"Temps manquant",IF(AND(G1871&lt;&gt;"",OR(NOT(ISNUMBER(G1871)),N(G1871)&lt;=0)),"Opérateurs invalide","OK"))))))))))</f>
        <v/>
      </c>
      <c r="N1871" s="71" t="str">
        <f>IF(AND(fiche_sel&lt;&gt;"",A1871=fiche_sel),COUNTIF(A$6:A1871,fiche_sel),"")</f>
        <v/>
      </c>
    </row>
    <row r="1872">
      <c r="A1872" s="60" t="n"/>
      <c r="B1872" s="73" t="n"/>
      <c r="C1872" s="60" t="n"/>
      <c r="D1872" s="61" t="n"/>
      <c r="E1872" s="74" t="n"/>
      <c r="F1872" s="74" t="n"/>
      <c r="G1872" s="73" t="n"/>
      <c r="H1872" s="66" t="str">
        <f>IF(M1872&lt;&gt;"OK","",INDEX(po_mo,MATCH(D1872,po_code,0)))</f>
        <v/>
      </c>
      <c r="I1872" s="66" t="str">
        <f>IF(M1872&lt;&gt;"OK","",INDEX(po_mac,MATCH(D1872,po_code,0)))</f>
        <v/>
      </c>
      <c r="J1872" s="66" t="str">
        <f>IF(M1872&lt;&gt;"OK","",N(E1872)*(H1872*IF(G1872="",1,G1872)+I1872))</f>
        <v/>
      </c>
      <c r="K1872" s="66" t="str">
        <f>IF(M1872&lt;&gt;"OK","",N(F1872)/60*H1872*IF(G1872="",1,G1872))</f>
        <v/>
      </c>
      <c r="L1872" s="66" t="str">
        <f>IF(M1872&lt;&gt;"OK","",N(F1872)/60*I1872)</f>
        <v/>
      </c>
      <c r="M1872" s="69" t="str">
        <f>IF(AND(A1872="",D1872=""),"",IF(A1872="","Produit manquant",IF(COUNTIF(prod_ref,A1872)=0,"Produit inconnu",IF(D1872="","Poste manquant",IF(ISNA(MATCH(D1872,po_code,0)),"Poste inconnu",IF(INDEX(po_check,MATCH(D1872,po_code,0))&lt;&gt;"OK","Poste à corriger",IF(AND(E1872&lt;&gt;"",OR(NOT(ISNUMBER(E1872)),N(E1872)&lt;0)),"Réglage invalide",IF(AND(F1872&lt;&gt;"",OR(NOT(ISNUMBER(F1872)),N(F1872)&lt;0)),"Temps par pièce invalide",IF(N(E1872)+N(F1872)=0,"Temps manquant",IF(AND(G1872&lt;&gt;"",OR(NOT(ISNUMBER(G1872)),N(G1872)&lt;=0)),"Opérateurs invalide","OK"))))))))))</f>
        <v/>
      </c>
      <c r="N1872" s="71" t="str">
        <f>IF(AND(fiche_sel&lt;&gt;"",A1872=fiche_sel),COUNTIF(A$6:A1872,fiche_sel),"")</f>
        <v/>
      </c>
    </row>
    <row r="1873">
      <c r="A1873" s="60" t="n"/>
      <c r="B1873" s="73" t="n"/>
      <c r="C1873" s="60" t="n"/>
      <c r="D1873" s="61" t="n"/>
      <c r="E1873" s="74" t="n"/>
      <c r="F1873" s="74" t="n"/>
      <c r="G1873" s="73" t="n"/>
      <c r="H1873" s="66" t="str">
        <f>IF(M1873&lt;&gt;"OK","",INDEX(po_mo,MATCH(D1873,po_code,0)))</f>
        <v/>
      </c>
      <c r="I1873" s="66" t="str">
        <f>IF(M1873&lt;&gt;"OK","",INDEX(po_mac,MATCH(D1873,po_code,0)))</f>
        <v/>
      </c>
      <c r="J1873" s="66" t="str">
        <f>IF(M1873&lt;&gt;"OK","",N(E1873)*(H1873*IF(G1873="",1,G1873)+I1873))</f>
        <v/>
      </c>
      <c r="K1873" s="66" t="str">
        <f>IF(M1873&lt;&gt;"OK","",N(F1873)/60*H1873*IF(G1873="",1,G1873))</f>
        <v/>
      </c>
      <c r="L1873" s="66" t="str">
        <f>IF(M1873&lt;&gt;"OK","",N(F1873)/60*I1873)</f>
        <v/>
      </c>
      <c r="M1873" s="69" t="str">
        <f>IF(AND(A1873="",D1873=""),"",IF(A1873="","Produit manquant",IF(COUNTIF(prod_ref,A1873)=0,"Produit inconnu",IF(D1873="","Poste manquant",IF(ISNA(MATCH(D1873,po_code,0)),"Poste inconnu",IF(INDEX(po_check,MATCH(D1873,po_code,0))&lt;&gt;"OK","Poste à corriger",IF(AND(E1873&lt;&gt;"",OR(NOT(ISNUMBER(E1873)),N(E1873)&lt;0)),"Réglage invalide",IF(AND(F1873&lt;&gt;"",OR(NOT(ISNUMBER(F1873)),N(F1873)&lt;0)),"Temps par pièce invalide",IF(N(E1873)+N(F1873)=0,"Temps manquant",IF(AND(G1873&lt;&gt;"",OR(NOT(ISNUMBER(G1873)),N(G1873)&lt;=0)),"Opérateurs invalide","OK"))))))))))</f>
        <v/>
      </c>
      <c r="N1873" s="71" t="str">
        <f>IF(AND(fiche_sel&lt;&gt;"",A1873=fiche_sel),COUNTIF(A$6:A1873,fiche_sel),"")</f>
        <v/>
      </c>
    </row>
    <row r="1874">
      <c r="A1874" s="60" t="n"/>
      <c r="B1874" s="73" t="n"/>
      <c r="C1874" s="60" t="n"/>
      <c r="D1874" s="61" t="n"/>
      <c r="E1874" s="74" t="n"/>
      <c r="F1874" s="74" t="n"/>
      <c r="G1874" s="73" t="n"/>
      <c r="H1874" s="66" t="str">
        <f>IF(M1874&lt;&gt;"OK","",INDEX(po_mo,MATCH(D1874,po_code,0)))</f>
        <v/>
      </c>
      <c r="I1874" s="66" t="str">
        <f>IF(M1874&lt;&gt;"OK","",INDEX(po_mac,MATCH(D1874,po_code,0)))</f>
        <v/>
      </c>
      <c r="J1874" s="66" t="str">
        <f>IF(M1874&lt;&gt;"OK","",N(E1874)*(H1874*IF(G1874="",1,G1874)+I1874))</f>
        <v/>
      </c>
      <c r="K1874" s="66" t="str">
        <f>IF(M1874&lt;&gt;"OK","",N(F1874)/60*H1874*IF(G1874="",1,G1874))</f>
        <v/>
      </c>
      <c r="L1874" s="66" t="str">
        <f>IF(M1874&lt;&gt;"OK","",N(F1874)/60*I1874)</f>
        <v/>
      </c>
      <c r="M1874" s="69" t="str">
        <f>IF(AND(A1874="",D1874=""),"",IF(A1874="","Produit manquant",IF(COUNTIF(prod_ref,A1874)=0,"Produit inconnu",IF(D1874="","Poste manquant",IF(ISNA(MATCH(D1874,po_code,0)),"Poste inconnu",IF(INDEX(po_check,MATCH(D1874,po_code,0))&lt;&gt;"OK","Poste à corriger",IF(AND(E1874&lt;&gt;"",OR(NOT(ISNUMBER(E1874)),N(E1874)&lt;0)),"Réglage invalide",IF(AND(F1874&lt;&gt;"",OR(NOT(ISNUMBER(F1874)),N(F1874)&lt;0)),"Temps par pièce invalide",IF(N(E1874)+N(F1874)=0,"Temps manquant",IF(AND(G1874&lt;&gt;"",OR(NOT(ISNUMBER(G1874)),N(G1874)&lt;=0)),"Opérateurs invalide","OK"))))))))))</f>
        <v/>
      </c>
      <c r="N1874" s="71" t="str">
        <f>IF(AND(fiche_sel&lt;&gt;"",A1874=fiche_sel),COUNTIF(A$6:A1874,fiche_sel),"")</f>
        <v/>
      </c>
    </row>
    <row r="1875">
      <c r="A1875" s="60" t="n"/>
      <c r="B1875" s="73" t="n"/>
      <c r="C1875" s="60" t="n"/>
      <c r="D1875" s="61" t="n"/>
      <c r="E1875" s="74" t="n"/>
      <c r="F1875" s="74" t="n"/>
      <c r="G1875" s="73" t="n"/>
      <c r="H1875" s="66" t="str">
        <f>IF(M1875&lt;&gt;"OK","",INDEX(po_mo,MATCH(D1875,po_code,0)))</f>
        <v/>
      </c>
      <c r="I1875" s="66" t="str">
        <f>IF(M1875&lt;&gt;"OK","",INDEX(po_mac,MATCH(D1875,po_code,0)))</f>
        <v/>
      </c>
      <c r="J1875" s="66" t="str">
        <f>IF(M1875&lt;&gt;"OK","",N(E1875)*(H1875*IF(G1875="",1,G1875)+I1875))</f>
        <v/>
      </c>
      <c r="K1875" s="66" t="str">
        <f>IF(M1875&lt;&gt;"OK","",N(F1875)/60*H1875*IF(G1875="",1,G1875))</f>
        <v/>
      </c>
      <c r="L1875" s="66" t="str">
        <f>IF(M1875&lt;&gt;"OK","",N(F1875)/60*I1875)</f>
        <v/>
      </c>
      <c r="M1875" s="69" t="str">
        <f>IF(AND(A1875="",D1875=""),"",IF(A1875="","Produit manquant",IF(COUNTIF(prod_ref,A1875)=0,"Produit inconnu",IF(D1875="","Poste manquant",IF(ISNA(MATCH(D1875,po_code,0)),"Poste inconnu",IF(INDEX(po_check,MATCH(D1875,po_code,0))&lt;&gt;"OK","Poste à corriger",IF(AND(E1875&lt;&gt;"",OR(NOT(ISNUMBER(E1875)),N(E1875)&lt;0)),"Réglage invalide",IF(AND(F1875&lt;&gt;"",OR(NOT(ISNUMBER(F1875)),N(F1875)&lt;0)),"Temps par pièce invalide",IF(N(E1875)+N(F1875)=0,"Temps manquant",IF(AND(G1875&lt;&gt;"",OR(NOT(ISNUMBER(G1875)),N(G1875)&lt;=0)),"Opérateurs invalide","OK"))))))))))</f>
        <v/>
      </c>
      <c r="N1875" s="71" t="str">
        <f>IF(AND(fiche_sel&lt;&gt;"",A1875=fiche_sel),COUNTIF(A$6:A1875,fiche_sel),"")</f>
        <v/>
      </c>
    </row>
    <row r="1876">
      <c r="A1876" s="60" t="n"/>
      <c r="B1876" s="73" t="n"/>
      <c r="C1876" s="60" t="n"/>
      <c r="D1876" s="61" t="n"/>
      <c r="E1876" s="74" t="n"/>
      <c r="F1876" s="74" t="n"/>
      <c r="G1876" s="73" t="n"/>
      <c r="H1876" s="66" t="str">
        <f>IF(M1876&lt;&gt;"OK","",INDEX(po_mo,MATCH(D1876,po_code,0)))</f>
        <v/>
      </c>
      <c r="I1876" s="66" t="str">
        <f>IF(M1876&lt;&gt;"OK","",INDEX(po_mac,MATCH(D1876,po_code,0)))</f>
        <v/>
      </c>
      <c r="J1876" s="66" t="str">
        <f>IF(M1876&lt;&gt;"OK","",N(E1876)*(H1876*IF(G1876="",1,G1876)+I1876))</f>
        <v/>
      </c>
      <c r="K1876" s="66" t="str">
        <f>IF(M1876&lt;&gt;"OK","",N(F1876)/60*H1876*IF(G1876="",1,G1876))</f>
        <v/>
      </c>
      <c r="L1876" s="66" t="str">
        <f>IF(M1876&lt;&gt;"OK","",N(F1876)/60*I1876)</f>
        <v/>
      </c>
      <c r="M1876" s="69" t="str">
        <f>IF(AND(A1876="",D1876=""),"",IF(A1876="","Produit manquant",IF(COUNTIF(prod_ref,A1876)=0,"Produit inconnu",IF(D1876="","Poste manquant",IF(ISNA(MATCH(D1876,po_code,0)),"Poste inconnu",IF(INDEX(po_check,MATCH(D1876,po_code,0))&lt;&gt;"OK","Poste à corriger",IF(AND(E1876&lt;&gt;"",OR(NOT(ISNUMBER(E1876)),N(E1876)&lt;0)),"Réglage invalide",IF(AND(F1876&lt;&gt;"",OR(NOT(ISNUMBER(F1876)),N(F1876)&lt;0)),"Temps par pièce invalide",IF(N(E1876)+N(F1876)=0,"Temps manquant",IF(AND(G1876&lt;&gt;"",OR(NOT(ISNUMBER(G1876)),N(G1876)&lt;=0)),"Opérateurs invalide","OK"))))))))))</f>
        <v/>
      </c>
      <c r="N1876" s="71" t="str">
        <f>IF(AND(fiche_sel&lt;&gt;"",A1876=fiche_sel),COUNTIF(A$6:A1876,fiche_sel),"")</f>
        <v/>
      </c>
    </row>
    <row r="1877">
      <c r="A1877" s="60" t="n"/>
      <c r="B1877" s="73" t="n"/>
      <c r="C1877" s="60" t="n"/>
      <c r="D1877" s="61" t="n"/>
      <c r="E1877" s="74" t="n"/>
      <c r="F1877" s="74" t="n"/>
      <c r="G1877" s="73" t="n"/>
      <c r="H1877" s="66" t="str">
        <f>IF(M1877&lt;&gt;"OK","",INDEX(po_mo,MATCH(D1877,po_code,0)))</f>
        <v/>
      </c>
      <c r="I1877" s="66" t="str">
        <f>IF(M1877&lt;&gt;"OK","",INDEX(po_mac,MATCH(D1877,po_code,0)))</f>
        <v/>
      </c>
      <c r="J1877" s="66" t="str">
        <f>IF(M1877&lt;&gt;"OK","",N(E1877)*(H1877*IF(G1877="",1,G1877)+I1877))</f>
        <v/>
      </c>
      <c r="K1877" s="66" t="str">
        <f>IF(M1877&lt;&gt;"OK","",N(F1877)/60*H1877*IF(G1877="",1,G1877))</f>
        <v/>
      </c>
      <c r="L1877" s="66" t="str">
        <f>IF(M1877&lt;&gt;"OK","",N(F1877)/60*I1877)</f>
        <v/>
      </c>
      <c r="M1877" s="69" t="str">
        <f>IF(AND(A1877="",D1877=""),"",IF(A1877="","Produit manquant",IF(COUNTIF(prod_ref,A1877)=0,"Produit inconnu",IF(D1877="","Poste manquant",IF(ISNA(MATCH(D1877,po_code,0)),"Poste inconnu",IF(INDEX(po_check,MATCH(D1877,po_code,0))&lt;&gt;"OK","Poste à corriger",IF(AND(E1877&lt;&gt;"",OR(NOT(ISNUMBER(E1877)),N(E1877)&lt;0)),"Réglage invalide",IF(AND(F1877&lt;&gt;"",OR(NOT(ISNUMBER(F1877)),N(F1877)&lt;0)),"Temps par pièce invalide",IF(N(E1877)+N(F1877)=0,"Temps manquant",IF(AND(G1877&lt;&gt;"",OR(NOT(ISNUMBER(G1877)),N(G1877)&lt;=0)),"Opérateurs invalide","OK"))))))))))</f>
        <v/>
      </c>
      <c r="N1877" s="71" t="str">
        <f>IF(AND(fiche_sel&lt;&gt;"",A1877=fiche_sel),COUNTIF(A$6:A1877,fiche_sel),"")</f>
        <v/>
      </c>
    </row>
    <row r="1878">
      <c r="A1878" s="60" t="n"/>
      <c r="B1878" s="73" t="n"/>
      <c r="C1878" s="60" t="n"/>
      <c r="D1878" s="61" t="n"/>
      <c r="E1878" s="74" t="n"/>
      <c r="F1878" s="74" t="n"/>
      <c r="G1878" s="73" t="n"/>
      <c r="H1878" s="66" t="str">
        <f>IF(M1878&lt;&gt;"OK","",INDEX(po_mo,MATCH(D1878,po_code,0)))</f>
        <v/>
      </c>
      <c r="I1878" s="66" t="str">
        <f>IF(M1878&lt;&gt;"OK","",INDEX(po_mac,MATCH(D1878,po_code,0)))</f>
        <v/>
      </c>
      <c r="J1878" s="66" t="str">
        <f>IF(M1878&lt;&gt;"OK","",N(E1878)*(H1878*IF(G1878="",1,G1878)+I1878))</f>
        <v/>
      </c>
      <c r="K1878" s="66" t="str">
        <f>IF(M1878&lt;&gt;"OK","",N(F1878)/60*H1878*IF(G1878="",1,G1878))</f>
        <v/>
      </c>
      <c r="L1878" s="66" t="str">
        <f>IF(M1878&lt;&gt;"OK","",N(F1878)/60*I1878)</f>
        <v/>
      </c>
      <c r="M1878" s="69" t="str">
        <f>IF(AND(A1878="",D1878=""),"",IF(A1878="","Produit manquant",IF(COUNTIF(prod_ref,A1878)=0,"Produit inconnu",IF(D1878="","Poste manquant",IF(ISNA(MATCH(D1878,po_code,0)),"Poste inconnu",IF(INDEX(po_check,MATCH(D1878,po_code,0))&lt;&gt;"OK","Poste à corriger",IF(AND(E1878&lt;&gt;"",OR(NOT(ISNUMBER(E1878)),N(E1878)&lt;0)),"Réglage invalide",IF(AND(F1878&lt;&gt;"",OR(NOT(ISNUMBER(F1878)),N(F1878)&lt;0)),"Temps par pièce invalide",IF(N(E1878)+N(F1878)=0,"Temps manquant",IF(AND(G1878&lt;&gt;"",OR(NOT(ISNUMBER(G1878)),N(G1878)&lt;=0)),"Opérateurs invalide","OK"))))))))))</f>
        <v/>
      </c>
      <c r="N1878" s="71" t="str">
        <f>IF(AND(fiche_sel&lt;&gt;"",A1878=fiche_sel),COUNTIF(A$6:A1878,fiche_sel),"")</f>
        <v/>
      </c>
    </row>
    <row r="1879">
      <c r="A1879" s="60" t="n"/>
      <c r="B1879" s="73" t="n"/>
      <c r="C1879" s="60" t="n"/>
      <c r="D1879" s="61" t="n"/>
      <c r="E1879" s="74" t="n"/>
      <c r="F1879" s="74" t="n"/>
      <c r="G1879" s="73" t="n"/>
      <c r="H1879" s="66" t="str">
        <f>IF(M1879&lt;&gt;"OK","",INDEX(po_mo,MATCH(D1879,po_code,0)))</f>
        <v/>
      </c>
      <c r="I1879" s="66" t="str">
        <f>IF(M1879&lt;&gt;"OK","",INDEX(po_mac,MATCH(D1879,po_code,0)))</f>
        <v/>
      </c>
      <c r="J1879" s="66" t="str">
        <f>IF(M1879&lt;&gt;"OK","",N(E1879)*(H1879*IF(G1879="",1,G1879)+I1879))</f>
        <v/>
      </c>
      <c r="K1879" s="66" t="str">
        <f>IF(M1879&lt;&gt;"OK","",N(F1879)/60*H1879*IF(G1879="",1,G1879))</f>
        <v/>
      </c>
      <c r="L1879" s="66" t="str">
        <f>IF(M1879&lt;&gt;"OK","",N(F1879)/60*I1879)</f>
        <v/>
      </c>
      <c r="M1879" s="69" t="str">
        <f>IF(AND(A1879="",D1879=""),"",IF(A1879="","Produit manquant",IF(COUNTIF(prod_ref,A1879)=0,"Produit inconnu",IF(D1879="","Poste manquant",IF(ISNA(MATCH(D1879,po_code,0)),"Poste inconnu",IF(INDEX(po_check,MATCH(D1879,po_code,0))&lt;&gt;"OK","Poste à corriger",IF(AND(E1879&lt;&gt;"",OR(NOT(ISNUMBER(E1879)),N(E1879)&lt;0)),"Réglage invalide",IF(AND(F1879&lt;&gt;"",OR(NOT(ISNUMBER(F1879)),N(F1879)&lt;0)),"Temps par pièce invalide",IF(N(E1879)+N(F1879)=0,"Temps manquant",IF(AND(G1879&lt;&gt;"",OR(NOT(ISNUMBER(G1879)),N(G1879)&lt;=0)),"Opérateurs invalide","OK"))))))))))</f>
        <v/>
      </c>
      <c r="N1879" s="71" t="str">
        <f>IF(AND(fiche_sel&lt;&gt;"",A1879=fiche_sel),COUNTIF(A$6:A1879,fiche_sel),"")</f>
        <v/>
      </c>
    </row>
    <row r="1880">
      <c r="A1880" s="60" t="n"/>
      <c r="B1880" s="73" t="n"/>
      <c r="C1880" s="60" t="n"/>
      <c r="D1880" s="61" t="n"/>
      <c r="E1880" s="74" t="n"/>
      <c r="F1880" s="74" t="n"/>
      <c r="G1880" s="73" t="n"/>
      <c r="H1880" s="66" t="str">
        <f>IF(M1880&lt;&gt;"OK","",INDEX(po_mo,MATCH(D1880,po_code,0)))</f>
        <v/>
      </c>
      <c r="I1880" s="66" t="str">
        <f>IF(M1880&lt;&gt;"OK","",INDEX(po_mac,MATCH(D1880,po_code,0)))</f>
        <v/>
      </c>
      <c r="J1880" s="66" t="str">
        <f>IF(M1880&lt;&gt;"OK","",N(E1880)*(H1880*IF(G1880="",1,G1880)+I1880))</f>
        <v/>
      </c>
      <c r="K1880" s="66" t="str">
        <f>IF(M1880&lt;&gt;"OK","",N(F1880)/60*H1880*IF(G1880="",1,G1880))</f>
        <v/>
      </c>
      <c r="L1880" s="66" t="str">
        <f>IF(M1880&lt;&gt;"OK","",N(F1880)/60*I1880)</f>
        <v/>
      </c>
      <c r="M1880" s="69" t="str">
        <f>IF(AND(A1880="",D1880=""),"",IF(A1880="","Produit manquant",IF(COUNTIF(prod_ref,A1880)=0,"Produit inconnu",IF(D1880="","Poste manquant",IF(ISNA(MATCH(D1880,po_code,0)),"Poste inconnu",IF(INDEX(po_check,MATCH(D1880,po_code,0))&lt;&gt;"OK","Poste à corriger",IF(AND(E1880&lt;&gt;"",OR(NOT(ISNUMBER(E1880)),N(E1880)&lt;0)),"Réglage invalide",IF(AND(F1880&lt;&gt;"",OR(NOT(ISNUMBER(F1880)),N(F1880)&lt;0)),"Temps par pièce invalide",IF(N(E1880)+N(F1880)=0,"Temps manquant",IF(AND(G1880&lt;&gt;"",OR(NOT(ISNUMBER(G1880)),N(G1880)&lt;=0)),"Opérateurs invalide","OK"))))))))))</f>
        <v/>
      </c>
      <c r="N1880" s="71" t="str">
        <f>IF(AND(fiche_sel&lt;&gt;"",A1880=fiche_sel),COUNTIF(A$6:A1880,fiche_sel),"")</f>
        <v/>
      </c>
    </row>
    <row r="1881">
      <c r="A1881" s="60" t="n"/>
      <c r="B1881" s="73" t="n"/>
      <c r="C1881" s="60" t="n"/>
      <c r="D1881" s="61" t="n"/>
      <c r="E1881" s="74" t="n"/>
      <c r="F1881" s="74" t="n"/>
      <c r="G1881" s="73" t="n"/>
      <c r="H1881" s="66" t="str">
        <f>IF(M1881&lt;&gt;"OK","",INDEX(po_mo,MATCH(D1881,po_code,0)))</f>
        <v/>
      </c>
      <c r="I1881" s="66" t="str">
        <f>IF(M1881&lt;&gt;"OK","",INDEX(po_mac,MATCH(D1881,po_code,0)))</f>
        <v/>
      </c>
      <c r="J1881" s="66" t="str">
        <f>IF(M1881&lt;&gt;"OK","",N(E1881)*(H1881*IF(G1881="",1,G1881)+I1881))</f>
        <v/>
      </c>
      <c r="K1881" s="66" t="str">
        <f>IF(M1881&lt;&gt;"OK","",N(F1881)/60*H1881*IF(G1881="",1,G1881))</f>
        <v/>
      </c>
      <c r="L1881" s="66" t="str">
        <f>IF(M1881&lt;&gt;"OK","",N(F1881)/60*I1881)</f>
        <v/>
      </c>
      <c r="M1881" s="69" t="str">
        <f>IF(AND(A1881="",D1881=""),"",IF(A1881="","Produit manquant",IF(COUNTIF(prod_ref,A1881)=0,"Produit inconnu",IF(D1881="","Poste manquant",IF(ISNA(MATCH(D1881,po_code,0)),"Poste inconnu",IF(INDEX(po_check,MATCH(D1881,po_code,0))&lt;&gt;"OK","Poste à corriger",IF(AND(E1881&lt;&gt;"",OR(NOT(ISNUMBER(E1881)),N(E1881)&lt;0)),"Réglage invalide",IF(AND(F1881&lt;&gt;"",OR(NOT(ISNUMBER(F1881)),N(F1881)&lt;0)),"Temps par pièce invalide",IF(N(E1881)+N(F1881)=0,"Temps manquant",IF(AND(G1881&lt;&gt;"",OR(NOT(ISNUMBER(G1881)),N(G1881)&lt;=0)),"Opérateurs invalide","OK"))))))))))</f>
        <v/>
      </c>
      <c r="N1881" s="71" t="str">
        <f>IF(AND(fiche_sel&lt;&gt;"",A1881=fiche_sel),COUNTIF(A$6:A1881,fiche_sel),"")</f>
        <v/>
      </c>
    </row>
    <row r="1882">
      <c r="A1882" s="60" t="n"/>
      <c r="B1882" s="73" t="n"/>
      <c r="C1882" s="60" t="n"/>
      <c r="D1882" s="61" t="n"/>
      <c r="E1882" s="74" t="n"/>
      <c r="F1882" s="74" t="n"/>
      <c r="G1882" s="73" t="n"/>
      <c r="H1882" s="66" t="str">
        <f>IF(M1882&lt;&gt;"OK","",INDEX(po_mo,MATCH(D1882,po_code,0)))</f>
        <v/>
      </c>
      <c r="I1882" s="66" t="str">
        <f>IF(M1882&lt;&gt;"OK","",INDEX(po_mac,MATCH(D1882,po_code,0)))</f>
        <v/>
      </c>
      <c r="J1882" s="66" t="str">
        <f>IF(M1882&lt;&gt;"OK","",N(E1882)*(H1882*IF(G1882="",1,G1882)+I1882))</f>
        <v/>
      </c>
      <c r="K1882" s="66" t="str">
        <f>IF(M1882&lt;&gt;"OK","",N(F1882)/60*H1882*IF(G1882="",1,G1882))</f>
        <v/>
      </c>
      <c r="L1882" s="66" t="str">
        <f>IF(M1882&lt;&gt;"OK","",N(F1882)/60*I1882)</f>
        <v/>
      </c>
      <c r="M1882" s="69" t="str">
        <f>IF(AND(A1882="",D1882=""),"",IF(A1882="","Produit manquant",IF(COUNTIF(prod_ref,A1882)=0,"Produit inconnu",IF(D1882="","Poste manquant",IF(ISNA(MATCH(D1882,po_code,0)),"Poste inconnu",IF(INDEX(po_check,MATCH(D1882,po_code,0))&lt;&gt;"OK","Poste à corriger",IF(AND(E1882&lt;&gt;"",OR(NOT(ISNUMBER(E1882)),N(E1882)&lt;0)),"Réglage invalide",IF(AND(F1882&lt;&gt;"",OR(NOT(ISNUMBER(F1882)),N(F1882)&lt;0)),"Temps par pièce invalide",IF(N(E1882)+N(F1882)=0,"Temps manquant",IF(AND(G1882&lt;&gt;"",OR(NOT(ISNUMBER(G1882)),N(G1882)&lt;=0)),"Opérateurs invalide","OK"))))))))))</f>
        <v/>
      </c>
      <c r="N1882" s="71" t="str">
        <f>IF(AND(fiche_sel&lt;&gt;"",A1882=fiche_sel),COUNTIF(A$6:A1882,fiche_sel),"")</f>
        <v/>
      </c>
    </row>
    <row r="1883">
      <c r="A1883" s="60" t="n"/>
      <c r="B1883" s="73" t="n"/>
      <c r="C1883" s="60" t="n"/>
      <c r="D1883" s="61" t="n"/>
      <c r="E1883" s="74" t="n"/>
      <c r="F1883" s="74" t="n"/>
      <c r="G1883" s="73" t="n"/>
      <c r="H1883" s="66" t="str">
        <f>IF(M1883&lt;&gt;"OK","",INDEX(po_mo,MATCH(D1883,po_code,0)))</f>
        <v/>
      </c>
      <c r="I1883" s="66" t="str">
        <f>IF(M1883&lt;&gt;"OK","",INDEX(po_mac,MATCH(D1883,po_code,0)))</f>
        <v/>
      </c>
      <c r="J1883" s="66" t="str">
        <f>IF(M1883&lt;&gt;"OK","",N(E1883)*(H1883*IF(G1883="",1,G1883)+I1883))</f>
        <v/>
      </c>
      <c r="K1883" s="66" t="str">
        <f>IF(M1883&lt;&gt;"OK","",N(F1883)/60*H1883*IF(G1883="",1,G1883))</f>
        <v/>
      </c>
      <c r="L1883" s="66" t="str">
        <f>IF(M1883&lt;&gt;"OK","",N(F1883)/60*I1883)</f>
        <v/>
      </c>
      <c r="M1883" s="69" t="str">
        <f>IF(AND(A1883="",D1883=""),"",IF(A1883="","Produit manquant",IF(COUNTIF(prod_ref,A1883)=0,"Produit inconnu",IF(D1883="","Poste manquant",IF(ISNA(MATCH(D1883,po_code,0)),"Poste inconnu",IF(INDEX(po_check,MATCH(D1883,po_code,0))&lt;&gt;"OK","Poste à corriger",IF(AND(E1883&lt;&gt;"",OR(NOT(ISNUMBER(E1883)),N(E1883)&lt;0)),"Réglage invalide",IF(AND(F1883&lt;&gt;"",OR(NOT(ISNUMBER(F1883)),N(F1883)&lt;0)),"Temps par pièce invalide",IF(N(E1883)+N(F1883)=0,"Temps manquant",IF(AND(G1883&lt;&gt;"",OR(NOT(ISNUMBER(G1883)),N(G1883)&lt;=0)),"Opérateurs invalide","OK"))))))))))</f>
        <v/>
      </c>
      <c r="N1883" s="71" t="str">
        <f>IF(AND(fiche_sel&lt;&gt;"",A1883=fiche_sel),COUNTIF(A$6:A1883,fiche_sel),"")</f>
        <v/>
      </c>
    </row>
    <row r="1884">
      <c r="A1884" s="60" t="n"/>
      <c r="B1884" s="73" t="n"/>
      <c r="C1884" s="60" t="n"/>
      <c r="D1884" s="61" t="n"/>
      <c r="E1884" s="74" t="n"/>
      <c r="F1884" s="74" t="n"/>
      <c r="G1884" s="73" t="n"/>
      <c r="H1884" s="66" t="str">
        <f>IF(M1884&lt;&gt;"OK","",INDEX(po_mo,MATCH(D1884,po_code,0)))</f>
        <v/>
      </c>
      <c r="I1884" s="66" t="str">
        <f>IF(M1884&lt;&gt;"OK","",INDEX(po_mac,MATCH(D1884,po_code,0)))</f>
        <v/>
      </c>
      <c r="J1884" s="66" t="str">
        <f>IF(M1884&lt;&gt;"OK","",N(E1884)*(H1884*IF(G1884="",1,G1884)+I1884))</f>
        <v/>
      </c>
      <c r="K1884" s="66" t="str">
        <f>IF(M1884&lt;&gt;"OK","",N(F1884)/60*H1884*IF(G1884="",1,G1884))</f>
        <v/>
      </c>
      <c r="L1884" s="66" t="str">
        <f>IF(M1884&lt;&gt;"OK","",N(F1884)/60*I1884)</f>
        <v/>
      </c>
      <c r="M1884" s="69" t="str">
        <f>IF(AND(A1884="",D1884=""),"",IF(A1884="","Produit manquant",IF(COUNTIF(prod_ref,A1884)=0,"Produit inconnu",IF(D1884="","Poste manquant",IF(ISNA(MATCH(D1884,po_code,0)),"Poste inconnu",IF(INDEX(po_check,MATCH(D1884,po_code,0))&lt;&gt;"OK","Poste à corriger",IF(AND(E1884&lt;&gt;"",OR(NOT(ISNUMBER(E1884)),N(E1884)&lt;0)),"Réglage invalide",IF(AND(F1884&lt;&gt;"",OR(NOT(ISNUMBER(F1884)),N(F1884)&lt;0)),"Temps par pièce invalide",IF(N(E1884)+N(F1884)=0,"Temps manquant",IF(AND(G1884&lt;&gt;"",OR(NOT(ISNUMBER(G1884)),N(G1884)&lt;=0)),"Opérateurs invalide","OK"))))))))))</f>
        <v/>
      </c>
      <c r="N1884" s="71" t="str">
        <f>IF(AND(fiche_sel&lt;&gt;"",A1884=fiche_sel),COUNTIF(A$6:A1884,fiche_sel),"")</f>
        <v/>
      </c>
    </row>
    <row r="1885">
      <c r="A1885" s="60" t="n"/>
      <c r="B1885" s="73" t="n"/>
      <c r="C1885" s="60" t="n"/>
      <c r="D1885" s="61" t="n"/>
      <c r="E1885" s="74" t="n"/>
      <c r="F1885" s="74" t="n"/>
      <c r="G1885" s="73" t="n"/>
      <c r="H1885" s="66" t="str">
        <f>IF(M1885&lt;&gt;"OK","",INDEX(po_mo,MATCH(D1885,po_code,0)))</f>
        <v/>
      </c>
      <c r="I1885" s="66" t="str">
        <f>IF(M1885&lt;&gt;"OK","",INDEX(po_mac,MATCH(D1885,po_code,0)))</f>
        <v/>
      </c>
      <c r="J1885" s="66" t="str">
        <f>IF(M1885&lt;&gt;"OK","",N(E1885)*(H1885*IF(G1885="",1,G1885)+I1885))</f>
        <v/>
      </c>
      <c r="K1885" s="66" t="str">
        <f>IF(M1885&lt;&gt;"OK","",N(F1885)/60*H1885*IF(G1885="",1,G1885))</f>
        <v/>
      </c>
      <c r="L1885" s="66" t="str">
        <f>IF(M1885&lt;&gt;"OK","",N(F1885)/60*I1885)</f>
        <v/>
      </c>
      <c r="M1885" s="69" t="str">
        <f>IF(AND(A1885="",D1885=""),"",IF(A1885="","Produit manquant",IF(COUNTIF(prod_ref,A1885)=0,"Produit inconnu",IF(D1885="","Poste manquant",IF(ISNA(MATCH(D1885,po_code,0)),"Poste inconnu",IF(INDEX(po_check,MATCH(D1885,po_code,0))&lt;&gt;"OK","Poste à corriger",IF(AND(E1885&lt;&gt;"",OR(NOT(ISNUMBER(E1885)),N(E1885)&lt;0)),"Réglage invalide",IF(AND(F1885&lt;&gt;"",OR(NOT(ISNUMBER(F1885)),N(F1885)&lt;0)),"Temps par pièce invalide",IF(N(E1885)+N(F1885)=0,"Temps manquant",IF(AND(G1885&lt;&gt;"",OR(NOT(ISNUMBER(G1885)),N(G1885)&lt;=0)),"Opérateurs invalide","OK"))))))))))</f>
        <v/>
      </c>
      <c r="N1885" s="71" t="str">
        <f>IF(AND(fiche_sel&lt;&gt;"",A1885=fiche_sel),COUNTIF(A$6:A1885,fiche_sel),"")</f>
        <v/>
      </c>
    </row>
    <row r="1886">
      <c r="A1886" s="60" t="n"/>
      <c r="B1886" s="73" t="n"/>
      <c r="C1886" s="60" t="n"/>
      <c r="D1886" s="61" t="n"/>
      <c r="E1886" s="74" t="n"/>
      <c r="F1886" s="74" t="n"/>
      <c r="G1886" s="73" t="n"/>
      <c r="H1886" s="66" t="str">
        <f>IF(M1886&lt;&gt;"OK","",INDEX(po_mo,MATCH(D1886,po_code,0)))</f>
        <v/>
      </c>
      <c r="I1886" s="66" t="str">
        <f>IF(M1886&lt;&gt;"OK","",INDEX(po_mac,MATCH(D1886,po_code,0)))</f>
        <v/>
      </c>
      <c r="J1886" s="66" t="str">
        <f>IF(M1886&lt;&gt;"OK","",N(E1886)*(H1886*IF(G1886="",1,G1886)+I1886))</f>
        <v/>
      </c>
      <c r="K1886" s="66" t="str">
        <f>IF(M1886&lt;&gt;"OK","",N(F1886)/60*H1886*IF(G1886="",1,G1886))</f>
        <v/>
      </c>
      <c r="L1886" s="66" t="str">
        <f>IF(M1886&lt;&gt;"OK","",N(F1886)/60*I1886)</f>
        <v/>
      </c>
      <c r="M1886" s="69" t="str">
        <f>IF(AND(A1886="",D1886=""),"",IF(A1886="","Produit manquant",IF(COUNTIF(prod_ref,A1886)=0,"Produit inconnu",IF(D1886="","Poste manquant",IF(ISNA(MATCH(D1886,po_code,0)),"Poste inconnu",IF(INDEX(po_check,MATCH(D1886,po_code,0))&lt;&gt;"OK","Poste à corriger",IF(AND(E1886&lt;&gt;"",OR(NOT(ISNUMBER(E1886)),N(E1886)&lt;0)),"Réglage invalide",IF(AND(F1886&lt;&gt;"",OR(NOT(ISNUMBER(F1886)),N(F1886)&lt;0)),"Temps par pièce invalide",IF(N(E1886)+N(F1886)=0,"Temps manquant",IF(AND(G1886&lt;&gt;"",OR(NOT(ISNUMBER(G1886)),N(G1886)&lt;=0)),"Opérateurs invalide","OK"))))))))))</f>
        <v/>
      </c>
      <c r="N1886" s="71" t="str">
        <f>IF(AND(fiche_sel&lt;&gt;"",A1886=fiche_sel),COUNTIF(A$6:A1886,fiche_sel),"")</f>
        <v/>
      </c>
    </row>
    <row r="1887">
      <c r="A1887" s="60" t="n"/>
      <c r="B1887" s="73" t="n"/>
      <c r="C1887" s="60" t="n"/>
      <c r="D1887" s="61" t="n"/>
      <c r="E1887" s="74" t="n"/>
      <c r="F1887" s="74" t="n"/>
      <c r="G1887" s="73" t="n"/>
      <c r="H1887" s="66" t="str">
        <f>IF(M1887&lt;&gt;"OK","",INDEX(po_mo,MATCH(D1887,po_code,0)))</f>
        <v/>
      </c>
      <c r="I1887" s="66" t="str">
        <f>IF(M1887&lt;&gt;"OK","",INDEX(po_mac,MATCH(D1887,po_code,0)))</f>
        <v/>
      </c>
      <c r="J1887" s="66" t="str">
        <f>IF(M1887&lt;&gt;"OK","",N(E1887)*(H1887*IF(G1887="",1,G1887)+I1887))</f>
        <v/>
      </c>
      <c r="K1887" s="66" t="str">
        <f>IF(M1887&lt;&gt;"OK","",N(F1887)/60*H1887*IF(G1887="",1,G1887))</f>
        <v/>
      </c>
      <c r="L1887" s="66" t="str">
        <f>IF(M1887&lt;&gt;"OK","",N(F1887)/60*I1887)</f>
        <v/>
      </c>
      <c r="M1887" s="69" t="str">
        <f>IF(AND(A1887="",D1887=""),"",IF(A1887="","Produit manquant",IF(COUNTIF(prod_ref,A1887)=0,"Produit inconnu",IF(D1887="","Poste manquant",IF(ISNA(MATCH(D1887,po_code,0)),"Poste inconnu",IF(INDEX(po_check,MATCH(D1887,po_code,0))&lt;&gt;"OK","Poste à corriger",IF(AND(E1887&lt;&gt;"",OR(NOT(ISNUMBER(E1887)),N(E1887)&lt;0)),"Réglage invalide",IF(AND(F1887&lt;&gt;"",OR(NOT(ISNUMBER(F1887)),N(F1887)&lt;0)),"Temps par pièce invalide",IF(N(E1887)+N(F1887)=0,"Temps manquant",IF(AND(G1887&lt;&gt;"",OR(NOT(ISNUMBER(G1887)),N(G1887)&lt;=0)),"Opérateurs invalide","OK"))))))))))</f>
        <v/>
      </c>
      <c r="N1887" s="71" t="str">
        <f>IF(AND(fiche_sel&lt;&gt;"",A1887=fiche_sel),COUNTIF(A$6:A1887,fiche_sel),"")</f>
        <v/>
      </c>
    </row>
    <row r="1888">
      <c r="A1888" s="60" t="n"/>
      <c r="B1888" s="73" t="n"/>
      <c r="C1888" s="60" t="n"/>
      <c r="D1888" s="61" t="n"/>
      <c r="E1888" s="74" t="n"/>
      <c r="F1888" s="74" t="n"/>
      <c r="G1888" s="73" t="n"/>
      <c r="H1888" s="66" t="str">
        <f>IF(M1888&lt;&gt;"OK","",INDEX(po_mo,MATCH(D1888,po_code,0)))</f>
        <v/>
      </c>
      <c r="I1888" s="66" t="str">
        <f>IF(M1888&lt;&gt;"OK","",INDEX(po_mac,MATCH(D1888,po_code,0)))</f>
        <v/>
      </c>
      <c r="J1888" s="66" t="str">
        <f>IF(M1888&lt;&gt;"OK","",N(E1888)*(H1888*IF(G1888="",1,G1888)+I1888))</f>
        <v/>
      </c>
      <c r="K1888" s="66" t="str">
        <f>IF(M1888&lt;&gt;"OK","",N(F1888)/60*H1888*IF(G1888="",1,G1888))</f>
        <v/>
      </c>
      <c r="L1888" s="66" t="str">
        <f>IF(M1888&lt;&gt;"OK","",N(F1888)/60*I1888)</f>
        <v/>
      </c>
      <c r="M1888" s="69" t="str">
        <f>IF(AND(A1888="",D1888=""),"",IF(A1888="","Produit manquant",IF(COUNTIF(prod_ref,A1888)=0,"Produit inconnu",IF(D1888="","Poste manquant",IF(ISNA(MATCH(D1888,po_code,0)),"Poste inconnu",IF(INDEX(po_check,MATCH(D1888,po_code,0))&lt;&gt;"OK","Poste à corriger",IF(AND(E1888&lt;&gt;"",OR(NOT(ISNUMBER(E1888)),N(E1888)&lt;0)),"Réglage invalide",IF(AND(F1888&lt;&gt;"",OR(NOT(ISNUMBER(F1888)),N(F1888)&lt;0)),"Temps par pièce invalide",IF(N(E1888)+N(F1888)=0,"Temps manquant",IF(AND(G1888&lt;&gt;"",OR(NOT(ISNUMBER(G1888)),N(G1888)&lt;=0)),"Opérateurs invalide","OK"))))))))))</f>
        <v/>
      </c>
      <c r="N1888" s="71" t="str">
        <f>IF(AND(fiche_sel&lt;&gt;"",A1888=fiche_sel),COUNTIF(A$6:A1888,fiche_sel),"")</f>
        <v/>
      </c>
    </row>
    <row r="1889">
      <c r="A1889" s="60" t="n"/>
      <c r="B1889" s="73" t="n"/>
      <c r="C1889" s="60" t="n"/>
      <c r="D1889" s="61" t="n"/>
      <c r="E1889" s="74" t="n"/>
      <c r="F1889" s="74" t="n"/>
      <c r="G1889" s="73" t="n"/>
      <c r="H1889" s="66" t="str">
        <f>IF(M1889&lt;&gt;"OK","",INDEX(po_mo,MATCH(D1889,po_code,0)))</f>
        <v/>
      </c>
      <c r="I1889" s="66" t="str">
        <f>IF(M1889&lt;&gt;"OK","",INDEX(po_mac,MATCH(D1889,po_code,0)))</f>
        <v/>
      </c>
      <c r="J1889" s="66" t="str">
        <f>IF(M1889&lt;&gt;"OK","",N(E1889)*(H1889*IF(G1889="",1,G1889)+I1889))</f>
        <v/>
      </c>
      <c r="K1889" s="66" t="str">
        <f>IF(M1889&lt;&gt;"OK","",N(F1889)/60*H1889*IF(G1889="",1,G1889))</f>
        <v/>
      </c>
      <c r="L1889" s="66" t="str">
        <f>IF(M1889&lt;&gt;"OK","",N(F1889)/60*I1889)</f>
        <v/>
      </c>
      <c r="M1889" s="69" t="str">
        <f>IF(AND(A1889="",D1889=""),"",IF(A1889="","Produit manquant",IF(COUNTIF(prod_ref,A1889)=0,"Produit inconnu",IF(D1889="","Poste manquant",IF(ISNA(MATCH(D1889,po_code,0)),"Poste inconnu",IF(INDEX(po_check,MATCH(D1889,po_code,0))&lt;&gt;"OK","Poste à corriger",IF(AND(E1889&lt;&gt;"",OR(NOT(ISNUMBER(E1889)),N(E1889)&lt;0)),"Réglage invalide",IF(AND(F1889&lt;&gt;"",OR(NOT(ISNUMBER(F1889)),N(F1889)&lt;0)),"Temps par pièce invalide",IF(N(E1889)+N(F1889)=0,"Temps manquant",IF(AND(G1889&lt;&gt;"",OR(NOT(ISNUMBER(G1889)),N(G1889)&lt;=0)),"Opérateurs invalide","OK"))))))))))</f>
        <v/>
      </c>
      <c r="N1889" s="71" t="str">
        <f>IF(AND(fiche_sel&lt;&gt;"",A1889=fiche_sel),COUNTIF(A$6:A1889,fiche_sel),"")</f>
        <v/>
      </c>
    </row>
    <row r="1890">
      <c r="A1890" s="60" t="n"/>
      <c r="B1890" s="73" t="n"/>
      <c r="C1890" s="60" t="n"/>
      <c r="D1890" s="61" t="n"/>
      <c r="E1890" s="74" t="n"/>
      <c r="F1890" s="74" t="n"/>
      <c r="G1890" s="73" t="n"/>
      <c r="H1890" s="66" t="str">
        <f>IF(M1890&lt;&gt;"OK","",INDEX(po_mo,MATCH(D1890,po_code,0)))</f>
        <v/>
      </c>
      <c r="I1890" s="66" t="str">
        <f>IF(M1890&lt;&gt;"OK","",INDEX(po_mac,MATCH(D1890,po_code,0)))</f>
        <v/>
      </c>
      <c r="J1890" s="66" t="str">
        <f>IF(M1890&lt;&gt;"OK","",N(E1890)*(H1890*IF(G1890="",1,G1890)+I1890))</f>
        <v/>
      </c>
      <c r="K1890" s="66" t="str">
        <f>IF(M1890&lt;&gt;"OK","",N(F1890)/60*H1890*IF(G1890="",1,G1890))</f>
        <v/>
      </c>
      <c r="L1890" s="66" t="str">
        <f>IF(M1890&lt;&gt;"OK","",N(F1890)/60*I1890)</f>
        <v/>
      </c>
      <c r="M1890" s="69" t="str">
        <f>IF(AND(A1890="",D1890=""),"",IF(A1890="","Produit manquant",IF(COUNTIF(prod_ref,A1890)=0,"Produit inconnu",IF(D1890="","Poste manquant",IF(ISNA(MATCH(D1890,po_code,0)),"Poste inconnu",IF(INDEX(po_check,MATCH(D1890,po_code,0))&lt;&gt;"OK","Poste à corriger",IF(AND(E1890&lt;&gt;"",OR(NOT(ISNUMBER(E1890)),N(E1890)&lt;0)),"Réglage invalide",IF(AND(F1890&lt;&gt;"",OR(NOT(ISNUMBER(F1890)),N(F1890)&lt;0)),"Temps par pièce invalide",IF(N(E1890)+N(F1890)=0,"Temps manquant",IF(AND(G1890&lt;&gt;"",OR(NOT(ISNUMBER(G1890)),N(G1890)&lt;=0)),"Opérateurs invalide","OK"))))))))))</f>
        <v/>
      </c>
      <c r="N1890" s="71" t="str">
        <f>IF(AND(fiche_sel&lt;&gt;"",A1890=fiche_sel),COUNTIF(A$6:A1890,fiche_sel),"")</f>
        <v/>
      </c>
    </row>
    <row r="1891">
      <c r="A1891" s="60" t="n"/>
      <c r="B1891" s="73" t="n"/>
      <c r="C1891" s="60" t="n"/>
      <c r="D1891" s="61" t="n"/>
      <c r="E1891" s="74" t="n"/>
      <c r="F1891" s="74" t="n"/>
      <c r="G1891" s="73" t="n"/>
      <c r="H1891" s="66" t="str">
        <f>IF(M1891&lt;&gt;"OK","",INDEX(po_mo,MATCH(D1891,po_code,0)))</f>
        <v/>
      </c>
      <c r="I1891" s="66" t="str">
        <f>IF(M1891&lt;&gt;"OK","",INDEX(po_mac,MATCH(D1891,po_code,0)))</f>
        <v/>
      </c>
      <c r="J1891" s="66" t="str">
        <f>IF(M1891&lt;&gt;"OK","",N(E1891)*(H1891*IF(G1891="",1,G1891)+I1891))</f>
        <v/>
      </c>
      <c r="K1891" s="66" t="str">
        <f>IF(M1891&lt;&gt;"OK","",N(F1891)/60*H1891*IF(G1891="",1,G1891))</f>
        <v/>
      </c>
      <c r="L1891" s="66" t="str">
        <f>IF(M1891&lt;&gt;"OK","",N(F1891)/60*I1891)</f>
        <v/>
      </c>
      <c r="M1891" s="69" t="str">
        <f>IF(AND(A1891="",D1891=""),"",IF(A1891="","Produit manquant",IF(COUNTIF(prod_ref,A1891)=0,"Produit inconnu",IF(D1891="","Poste manquant",IF(ISNA(MATCH(D1891,po_code,0)),"Poste inconnu",IF(INDEX(po_check,MATCH(D1891,po_code,0))&lt;&gt;"OK","Poste à corriger",IF(AND(E1891&lt;&gt;"",OR(NOT(ISNUMBER(E1891)),N(E1891)&lt;0)),"Réglage invalide",IF(AND(F1891&lt;&gt;"",OR(NOT(ISNUMBER(F1891)),N(F1891)&lt;0)),"Temps par pièce invalide",IF(N(E1891)+N(F1891)=0,"Temps manquant",IF(AND(G1891&lt;&gt;"",OR(NOT(ISNUMBER(G1891)),N(G1891)&lt;=0)),"Opérateurs invalide","OK"))))))))))</f>
        <v/>
      </c>
      <c r="N1891" s="71" t="str">
        <f>IF(AND(fiche_sel&lt;&gt;"",A1891=fiche_sel),COUNTIF(A$6:A1891,fiche_sel),"")</f>
        <v/>
      </c>
    </row>
    <row r="1892">
      <c r="A1892" s="60" t="n"/>
      <c r="B1892" s="73" t="n"/>
      <c r="C1892" s="60" t="n"/>
      <c r="D1892" s="61" t="n"/>
      <c r="E1892" s="74" t="n"/>
      <c r="F1892" s="74" t="n"/>
      <c r="G1892" s="73" t="n"/>
      <c r="H1892" s="66" t="str">
        <f>IF(M1892&lt;&gt;"OK","",INDEX(po_mo,MATCH(D1892,po_code,0)))</f>
        <v/>
      </c>
      <c r="I1892" s="66" t="str">
        <f>IF(M1892&lt;&gt;"OK","",INDEX(po_mac,MATCH(D1892,po_code,0)))</f>
        <v/>
      </c>
      <c r="J1892" s="66" t="str">
        <f>IF(M1892&lt;&gt;"OK","",N(E1892)*(H1892*IF(G1892="",1,G1892)+I1892))</f>
        <v/>
      </c>
      <c r="K1892" s="66" t="str">
        <f>IF(M1892&lt;&gt;"OK","",N(F1892)/60*H1892*IF(G1892="",1,G1892))</f>
        <v/>
      </c>
      <c r="L1892" s="66" t="str">
        <f>IF(M1892&lt;&gt;"OK","",N(F1892)/60*I1892)</f>
        <v/>
      </c>
      <c r="M1892" s="69" t="str">
        <f>IF(AND(A1892="",D1892=""),"",IF(A1892="","Produit manquant",IF(COUNTIF(prod_ref,A1892)=0,"Produit inconnu",IF(D1892="","Poste manquant",IF(ISNA(MATCH(D1892,po_code,0)),"Poste inconnu",IF(INDEX(po_check,MATCH(D1892,po_code,0))&lt;&gt;"OK","Poste à corriger",IF(AND(E1892&lt;&gt;"",OR(NOT(ISNUMBER(E1892)),N(E1892)&lt;0)),"Réglage invalide",IF(AND(F1892&lt;&gt;"",OR(NOT(ISNUMBER(F1892)),N(F1892)&lt;0)),"Temps par pièce invalide",IF(N(E1892)+N(F1892)=0,"Temps manquant",IF(AND(G1892&lt;&gt;"",OR(NOT(ISNUMBER(G1892)),N(G1892)&lt;=0)),"Opérateurs invalide","OK"))))))))))</f>
        <v/>
      </c>
      <c r="N1892" s="71" t="str">
        <f>IF(AND(fiche_sel&lt;&gt;"",A1892=fiche_sel),COUNTIF(A$6:A1892,fiche_sel),"")</f>
        <v/>
      </c>
    </row>
    <row r="1893">
      <c r="A1893" s="60" t="n"/>
      <c r="B1893" s="73" t="n"/>
      <c r="C1893" s="60" t="n"/>
      <c r="D1893" s="61" t="n"/>
      <c r="E1893" s="74" t="n"/>
      <c r="F1893" s="74" t="n"/>
      <c r="G1893" s="73" t="n"/>
      <c r="H1893" s="66" t="str">
        <f>IF(M1893&lt;&gt;"OK","",INDEX(po_mo,MATCH(D1893,po_code,0)))</f>
        <v/>
      </c>
      <c r="I1893" s="66" t="str">
        <f>IF(M1893&lt;&gt;"OK","",INDEX(po_mac,MATCH(D1893,po_code,0)))</f>
        <v/>
      </c>
      <c r="J1893" s="66" t="str">
        <f>IF(M1893&lt;&gt;"OK","",N(E1893)*(H1893*IF(G1893="",1,G1893)+I1893))</f>
        <v/>
      </c>
      <c r="K1893" s="66" t="str">
        <f>IF(M1893&lt;&gt;"OK","",N(F1893)/60*H1893*IF(G1893="",1,G1893))</f>
        <v/>
      </c>
      <c r="L1893" s="66" t="str">
        <f>IF(M1893&lt;&gt;"OK","",N(F1893)/60*I1893)</f>
        <v/>
      </c>
      <c r="M1893" s="69" t="str">
        <f>IF(AND(A1893="",D1893=""),"",IF(A1893="","Produit manquant",IF(COUNTIF(prod_ref,A1893)=0,"Produit inconnu",IF(D1893="","Poste manquant",IF(ISNA(MATCH(D1893,po_code,0)),"Poste inconnu",IF(INDEX(po_check,MATCH(D1893,po_code,0))&lt;&gt;"OK","Poste à corriger",IF(AND(E1893&lt;&gt;"",OR(NOT(ISNUMBER(E1893)),N(E1893)&lt;0)),"Réglage invalide",IF(AND(F1893&lt;&gt;"",OR(NOT(ISNUMBER(F1893)),N(F1893)&lt;0)),"Temps par pièce invalide",IF(N(E1893)+N(F1893)=0,"Temps manquant",IF(AND(G1893&lt;&gt;"",OR(NOT(ISNUMBER(G1893)),N(G1893)&lt;=0)),"Opérateurs invalide","OK"))))))))))</f>
        <v/>
      </c>
      <c r="N1893" s="71" t="str">
        <f>IF(AND(fiche_sel&lt;&gt;"",A1893=fiche_sel),COUNTIF(A$6:A1893,fiche_sel),"")</f>
        <v/>
      </c>
    </row>
    <row r="1894">
      <c r="A1894" s="60" t="n"/>
      <c r="B1894" s="73" t="n"/>
      <c r="C1894" s="60" t="n"/>
      <c r="D1894" s="61" t="n"/>
      <c r="E1894" s="74" t="n"/>
      <c r="F1894" s="74" t="n"/>
      <c r="G1894" s="73" t="n"/>
      <c r="H1894" s="66" t="str">
        <f>IF(M1894&lt;&gt;"OK","",INDEX(po_mo,MATCH(D1894,po_code,0)))</f>
        <v/>
      </c>
      <c r="I1894" s="66" t="str">
        <f>IF(M1894&lt;&gt;"OK","",INDEX(po_mac,MATCH(D1894,po_code,0)))</f>
        <v/>
      </c>
      <c r="J1894" s="66" t="str">
        <f>IF(M1894&lt;&gt;"OK","",N(E1894)*(H1894*IF(G1894="",1,G1894)+I1894))</f>
        <v/>
      </c>
      <c r="K1894" s="66" t="str">
        <f>IF(M1894&lt;&gt;"OK","",N(F1894)/60*H1894*IF(G1894="",1,G1894))</f>
        <v/>
      </c>
      <c r="L1894" s="66" t="str">
        <f>IF(M1894&lt;&gt;"OK","",N(F1894)/60*I1894)</f>
        <v/>
      </c>
      <c r="M1894" s="69" t="str">
        <f>IF(AND(A1894="",D1894=""),"",IF(A1894="","Produit manquant",IF(COUNTIF(prod_ref,A1894)=0,"Produit inconnu",IF(D1894="","Poste manquant",IF(ISNA(MATCH(D1894,po_code,0)),"Poste inconnu",IF(INDEX(po_check,MATCH(D1894,po_code,0))&lt;&gt;"OK","Poste à corriger",IF(AND(E1894&lt;&gt;"",OR(NOT(ISNUMBER(E1894)),N(E1894)&lt;0)),"Réglage invalide",IF(AND(F1894&lt;&gt;"",OR(NOT(ISNUMBER(F1894)),N(F1894)&lt;0)),"Temps par pièce invalide",IF(N(E1894)+N(F1894)=0,"Temps manquant",IF(AND(G1894&lt;&gt;"",OR(NOT(ISNUMBER(G1894)),N(G1894)&lt;=0)),"Opérateurs invalide","OK"))))))))))</f>
        <v/>
      </c>
      <c r="N1894" s="71" t="str">
        <f>IF(AND(fiche_sel&lt;&gt;"",A1894=fiche_sel),COUNTIF(A$6:A1894,fiche_sel),"")</f>
        <v/>
      </c>
    </row>
    <row r="1895">
      <c r="A1895" s="60" t="n"/>
      <c r="B1895" s="73" t="n"/>
      <c r="C1895" s="60" t="n"/>
      <c r="D1895" s="61" t="n"/>
      <c r="E1895" s="74" t="n"/>
      <c r="F1895" s="74" t="n"/>
      <c r="G1895" s="73" t="n"/>
      <c r="H1895" s="66" t="str">
        <f>IF(M1895&lt;&gt;"OK","",INDEX(po_mo,MATCH(D1895,po_code,0)))</f>
        <v/>
      </c>
      <c r="I1895" s="66" t="str">
        <f>IF(M1895&lt;&gt;"OK","",INDEX(po_mac,MATCH(D1895,po_code,0)))</f>
        <v/>
      </c>
      <c r="J1895" s="66" t="str">
        <f>IF(M1895&lt;&gt;"OK","",N(E1895)*(H1895*IF(G1895="",1,G1895)+I1895))</f>
        <v/>
      </c>
      <c r="K1895" s="66" t="str">
        <f>IF(M1895&lt;&gt;"OK","",N(F1895)/60*H1895*IF(G1895="",1,G1895))</f>
        <v/>
      </c>
      <c r="L1895" s="66" t="str">
        <f>IF(M1895&lt;&gt;"OK","",N(F1895)/60*I1895)</f>
        <v/>
      </c>
      <c r="M1895" s="69" t="str">
        <f>IF(AND(A1895="",D1895=""),"",IF(A1895="","Produit manquant",IF(COUNTIF(prod_ref,A1895)=0,"Produit inconnu",IF(D1895="","Poste manquant",IF(ISNA(MATCH(D1895,po_code,0)),"Poste inconnu",IF(INDEX(po_check,MATCH(D1895,po_code,0))&lt;&gt;"OK","Poste à corriger",IF(AND(E1895&lt;&gt;"",OR(NOT(ISNUMBER(E1895)),N(E1895)&lt;0)),"Réglage invalide",IF(AND(F1895&lt;&gt;"",OR(NOT(ISNUMBER(F1895)),N(F1895)&lt;0)),"Temps par pièce invalide",IF(N(E1895)+N(F1895)=0,"Temps manquant",IF(AND(G1895&lt;&gt;"",OR(NOT(ISNUMBER(G1895)),N(G1895)&lt;=0)),"Opérateurs invalide","OK"))))))))))</f>
        <v/>
      </c>
      <c r="N1895" s="71" t="str">
        <f>IF(AND(fiche_sel&lt;&gt;"",A1895=fiche_sel),COUNTIF(A$6:A1895,fiche_sel),"")</f>
        <v/>
      </c>
    </row>
    <row r="1896">
      <c r="A1896" s="60" t="n"/>
      <c r="B1896" s="73" t="n"/>
      <c r="C1896" s="60" t="n"/>
      <c r="D1896" s="61" t="n"/>
      <c r="E1896" s="74" t="n"/>
      <c r="F1896" s="74" t="n"/>
      <c r="G1896" s="73" t="n"/>
      <c r="H1896" s="66" t="str">
        <f>IF(M1896&lt;&gt;"OK","",INDEX(po_mo,MATCH(D1896,po_code,0)))</f>
        <v/>
      </c>
      <c r="I1896" s="66" t="str">
        <f>IF(M1896&lt;&gt;"OK","",INDEX(po_mac,MATCH(D1896,po_code,0)))</f>
        <v/>
      </c>
      <c r="J1896" s="66" t="str">
        <f>IF(M1896&lt;&gt;"OK","",N(E1896)*(H1896*IF(G1896="",1,G1896)+I1896))</f>
        <v/>
      </c>
      <c r="K1896" s="66" t="str">
        <f>IF(M1896&lt;&gt;"OK","",N(F1896)/60*H1896*IF(G1896="",1,G1896))</f>
        <v/>
      </c>
      <c r="L1896" s="66" t="str">
        <f>IF(M1896&lt;&gt;"OK","",N(F1896)/60*I1896)</f>
        <v/>
      </c>
      <c r="M1896" s="69" t="str">
        <f>IF(AND(A1896="",D1896=""),"",IF(A1896="","Produit manquant",IF(COUNTIF(prod_ref,A1896)=0,"Produit inconnu",IF(D1896="","Poste manquant",IF(ISNA(MATCH(D1896,po_code,0)),"Poste inconnu",IF(INDEX(po_check,MATCH(D1896,po_code,0))&lt;&gt;"OK","Poste à corriger",IF(AND(E1896&lt;&gt;"",OR(NOT(ISNUMBER(E1896)),N(E1896)&lt;0)),"Réglage invalide",IF(AND(F1896&lt;&gt;"",OR(NOT(ISNUMBER(F1896)),N(F1896)&lt;0)),"Temps par pièce invalide",IF(N(E1896)+N(F1896)=0,"Temps manquant",IF(AND(G1896&lt;&gt;"",OR(NOT(ISNUMBER(G1896)),N(G1896)&lt;=0)),"Opérateurs invalide","OK"))))))))))</f>
        <v/>
      </c>
      <c r="N1896" s="71" t="str">
        <f>IF(AND(fiche_sel&lt;&gt;"",A1896=fiche_sel),COUNTIF(A$6:A1896,fiche_sel),"")</f>
        <v/>
      </c>
    </row>
    <row r="1897">
      <c r="A1897" s="60" t="n"/>
      <c r="B1897" s="73" t="n"/>
      <c r="C1897" s="60" t="n"/>
      <c r="D1897" s="61" t="n"/>
      <c r="E1897" s="74" t="n"/>
      <c r="F1897" s="74" t="n"/>
      <c r="G1897" s="73" t="n"/>
      <c r="H1897" s="66" t="str">
        <f>IF(M1897&lt;&gt;"OK","",INDEX(po_mo,MATCH(D1897,po_code,0)))</f>
        <v/>
      </c>
      <c r="I1897" s="66" t="str">
        <f>IF(M1897&lt;&gt;"OK","",INDEX(po_mac,MATCH(D1897,po_code,0)))</f>
        <v/>
      </c>
      <c r="J1897" s="66" t="str">
        <f>IF(M1897&lt;&gt;"OK","",N(E1897)*(H1897*IF(G1897="",1,G1897)+I1897))</f>
        <v/>
      </c>
      <c r="K1897" s="66" t="str">
        <f>IF(M1897&lt;&gt;"OK","",N(F1897)/60*H1897*IF(G1897="",1,G1897))</f>
        <v/>
      </c>
      <c r="L1897" s="66" t="str">
        <f>IF(M1897&lt;&gt;"OK","",N(F1897)/60*I1897)</f>
        <v/>
      </c>
      <c r="M1897" s="69" t="str">
        <f>IF(AND(A1897="",D1897=""),"",IF(A1897="","Produit manquant",IF(COUNTIF(prod_ref,A1897)=0,"Produit inconnu",IF(D1897="","Poste manquant",IF(ISNA(MATCH(D1897,po_code,0)),"Poste inconnu",IF(INDEX(po_check,MATCH(D1897,po_code,0))&lt;&gt;"OK","Poste à corriger",IF(AND(E1897&lt;&gt;"",OR(NOT(ISNUMBER(E1897)),N(E1897)&lt;0)),"Réglage invalide",IF(AND(F1897&lt;&gt;"",OR(NOT(ISNUMBER(F1897)),N(F1897)&lt;0)),"Temps par pièce invalide",IF(N(E1897)+N(F1897)=0,"Temps manquant",IF(AND(G1897&lt;&gt;"",OR(NOT(ISNUMBER(G1897)),N(G1897)&lt;=0)),"Opérateurs invalide","OK"))))))))))</f>
        <v/>
      </c>
      <c r="N1897" s="71" t="str">
        <f>IF(AND(fiche_sel&lt;&gt;"",A1897=fiche_sel),COUNTIF(A$6:A1897,fiche_sel),"")</f>
        <v/>
      </c>
    </row>
    <row r="1898">
      <c r="A1898" s="60" t="n"/>
      <c r="B1898" s="73" t="n"/>
      <c r="C1898" s="60" t="n"/>
      <c r="D1898" s="61" t="n"/>
      <c r="E1898" s="74" t="n"/>
      <c r="F1898" s="74" t="n"/>
      <c r="G1898" s="73" t="n"/>
      <c r="H1898" s="66" t="str">
        <f>IF(M1898&lt;&gt;"OK","",INDEX(po_mo,MATCH(D1898,po_code,0)))</f>
        <v/>
      </c>
      <c r="I1898" s="66" t="str">
        <f>IF(M1898&lt;&gt;"OK","",INDEX(po_mac,MATCH(D1898,po_code,0)))</f>
        <v/>
      </c>
      <c r="J1898" s="66" t="str">
        <f>IF(M1898&lt;&gt;"OK","",N(E1898)*(H1898*IF(G1898="",1,G1898)+I1898))</f>
        <v/>
      </c>
      <c r="K1898" s="66" t="str">
        <f>IF(M1898&lt;&gt;"OK","",N(F1898)/60*H1898*IF(G1898="",1,G1898))</f>
        <v/>
      </c>
      <c r="L1898" s="66" t="str">
        <f>IF(M1898&lt;&gt;"OK","",N(F1898)/60*I1898)</f>
        <v/>
      </c>
      <c r="M1898" s="69" t="str">
        <f>IF(AND(A1898="",D1898=""),"",IF(A1898="","Produit manquant",IF(COUNTIF(prod_ref,A1898)=0,"Produit inconnu",IF(D1898="","Poste manquant",IF(ISNA(MATCH(D1898,po_code,0)),"Poste inconnu",IF(INDEX(po_check,MATCH(D1898,po_code,0))&lt;&gt;"OK","Poste à corriger",IF(AND(E1898&lt;&gt;"",OR(NOT(ISNUMBER(E1898)),N(E1898)&lt;0)),"Réglage invalide",IF(AND(F1898&lt;&gt;"",OR(NOT(ISNUMBER(F1898)),N(F1898)&lt;0)),"Temps par pièce invalide",IF(N(E1898)+N(F1898)=0,"Temps manquant",IF(AND(G1898&lt;&gt;"",OR(NOT(ISNUMBER(G1898)),N(G1898)&lt;=0)),"Opérateurs invalide","OK"))))))))))</f>
        <v/>
      </c>
      <c r="N1898" s="71" t="str">
        <f>IF(AND(fiche_sel&lt;&gt;"",A1898=fiche_sel),COUNTIF(A$6:A1898,fiche_sel),"")</f>
        <v/>
      </c>
    </row>
    <row r="1899">
      <c r="A1899" s="60" t="n"/>
      <c r="B1899" s="73" t="n"/>
      <c r="C1899" s="60" t="n"/>
      <c r="D1899" s="61" t="n"/>
      <c r="E1899" s="74" t="n"/>
      <c r="F1899" s="74" t="n"/>
      <c r="G1899" s="73" t="n"/>
      <c r="H1899" s="66" t="str">
        <f>IF(M1899&lt;&gt;"OK","",INDEX(po_mo,MATCH(D1899,po_code,0)))</f>
        <v/>
      </c>
      <c r="I1899" s="66" t="str">
        <f>IF(M1899&lt;&gt;"OK","",INDEX(po_mac,MATCH(D1899,po_code,0)))</f>
        <v/>
      </c>
      <c r="J1899" s="66" t="str">
        <f>IF(M1899&lt;&gt;"OK","",N(E1899)*(H1899*IF(G1899="",1,G1899)+I1899))</f>
        <v/>
      </c>
      <c r="K1899" s="66" t="str">
        <f>IF(M1899&lt;&gt;"OK","",N(F1899)/60*H1899*IF(G1899="",1,G1899))</f>
        <v/>
      </c>
      <c r="L1899" s="66" t="str">
        <f>IF(M1899&lt;&gt;"OK","",N(F1899)/60*I1899)</f>
        <v/>
      </c>
      <c r="M1899" s="69" t="str">
        <f>IF(AND(A1899="",D1899=""),"",IF(A1899="","Produit manquant",IF(COUNTIF(prod_ref,A1899)=0,"Produit inconnu",IF(D1899="","Poste manquant",IF(ISNA(MATCH(D1899,po_code,0)),"Poste inconnu",IF(INDEX(po_check,MATCH(D1899,po_code,0))&lt;&gt;"OK","Poste à corriger",IF(AND(E1899&lt;&gt;"",OR(NOT(ISNUMBER(E1899)),N(E1899)&lt;0)),"Réglage invalide",IF(AND(F1899&lt;&gt;"",OR(NOT(ISNUMBER(F1899)),N(F1899)&lt;0)),"Temps par pièce invalide",IF(N(E1899)+N(F1899)=0,"Temps manquant",IF(AND(G1899&lt;&gt;"",OR(NOT(ISNUMBER(G1899)),N(G1899)&lt;=0)),"Opérateurs invalide","OK"))))))))))</f>
        <v/>
      </c>
      <c r="N1899" s="71" t="str">
        <f>IF(AND(fiche_sel&lt;&gt;"",A1899=fiche_sel),COUNTIF(A$6:A1899,fiche_sel),"")</f>
        <v/>
      </c>
    </row>
    <row r="1900">
      <c r="A1900" s="60" t="n"/>
      <c r="B1900" s="73" t="n"/>
      <c r="C1900" s="60" t="n"/>
      <c r="D1900" s="61" t="n"/>
      <c r="E1900" s="74" t="n"/>
      <c r="F1900" s="74" t="n"/>
      <c r="G1900" s="73" t="n"/>
      <c r="H1900" s="66" t="str">
        <f>IF(M1900&lt;&gt;"OK","",INDEX(po_mo,MATCH(D1900,po_code,0)))</f>
        <v/>
      </c>
      <c r="I1900" s="66" t="str">
        <f>IF(M1900&lt;&gt;"OK","",INDEX(po_mac,MATCH(D1900,po_code,0)))</f>
        <v/>
      </c>
      <c r="J1900" s="66" t="str">
        <f>IF(M1900&lt;&gt;"OK","",N(E1900)*(H1900*IF(G1900="",1,G1900)+I1900))</f>
        <v/>
      </c>
      <c r="K1900" s="66" t="str">
        <f>IF(M1900&lt;&gt;"OK","",N(F1900)/60*H1900*IF(G1900="",1,G1900))</f>
        <v/>
      </c>
      <c r="L1900" s="66" t="str">
        <f>IF(M1900&lt;&gt;"OK","",N(F1900)/60*I1900)</f>
        <v/>
      </c>
      <c r="M1900" s="69" t="str">
        <f>IF(AND(A1900="",D1900=""),"",IF(A1900="","Produit manquant",IF(COUNTIF(prod_ref,A1900)=0,"Produit inconnu",IF(D1900="","Poste manquant",IF(ISNA(MATCH(D1900,po_code,0)),"Poste inconnu",IF(INDEX(po_check,MATCH(D1900,po_code,0))&lt;&gt;"OK","Poste à corriger",IF(AND(E1900&lt;&gt;"",OR(NOT(ISNUMBER(E1900)),N(E1900)&lt;0)),"Réglage invalide",IF(AND(F1900&lt;&gt;"",OR(NOT(ISNUMBER(F1900)),N(F1900)&lt;0)),"Temps par pièce invalide",IF(N(E1900)+N(F1900)=0,"Temps manquant",IF(AND(G1900&lt;&gt;"",OR(NOT(ISNUMBER(G1900)),N(G1900)&lt;=0)),"Opérateurs invalide","OK"))))))))))</f>
        <v/>
      </c>
      <c r="N1900" s="71" t="str">
        <f>IF(AND(fiche_sel&lt;&gt;"",A1900=fiche_sel),COUNTIF(A$6:A1900,fiche_sel),"")</f>
        <v/>
      </c>
    </row>
    <row r="1901">
      <c r="A1901" s="60" t="n"/>
      <c r="B1901" s="73" t="n"/>
      <c r="C1901" s="60" t="n"/>
      <c r="D1901" s="61" t="n"/>
      <c r="E1901" s="74" t="n"/>
      <c r="F1901" s="74" t="n"/>
      <c r="G1901" s="73" t="n"/>
      <c r="H1901" s="66" t="str">
        <f>IF(M1901&lt;&gt;"OK","",INDEX(po_mo,MATCH(D1901,po_code,0)))</f>
        <v/>
      </c>
      <c r="I1901" s="66" t="str">
        <f>IF(M1901&lt;&gt;"OK","",INDEX(po_mac,MATCH(D1901,po_code,0)))</f>
        <v/>
      </c>
      <c r="J1901" s="66" t="str">
        <f>IF(M1901&lt;&gt;"OK","",N(E1901)*(H1901*IF(G1901="",1,G1901)+I1901))</f>
        <v/>
      </c>
      <c r="K1901" s="66" t="str">
        <f>IF(M1901&lt;&gt;"OK","",N(F1901)/60*H1901*IF(G1901="",1,G1901))</f>
        <v/>
      </c>
      <c r="L1901" s="66" t="str">
        <f>IF(M1901&lt;&gt;"OK","",N(F1901)/60*I1901)</f>
        <v/>
      </c>
      <c r="M1901" s="69" t="str">
        <f>IF(AND(A1901="",D1901=""),"",IF(A1901="","Produit manquant",IF(COUNTIF(prod_ref,A1901)=0,"Produit inconnu",IF(D1901="","Poste manquant",IF(ISNA(MATCH(D1901,po_code,0)),"Poste inconnu",IF(INDEX(po_check,MATCH(D1901,po_code,0))&lt;&gt;"OK","Poste à corriger",IF(AND(E1901&lt;&gt;"",OR(NOT(ISNUMBER(E1901)),N(E1901)&lt;0)),"Réglage invalide",IF(AND(F1901&lt;&gt;"",OR(NOT(ISNUMBER(F1901)),N(F1901)&lt;0)),"Temps par pièce invalide",IF(N(E1901)+N(F1901)=0,"Temps manquant",IF(AND(G1901&lt;&gt;"",OR(NOT(ISNUMBER(G1901)),N(G1901)&lt;=0)),"Opérateurs invalide","OK"))))))))))</f>
        <v/>
      </c>
      <c r="N1901" s="71" t="str">
        <f>IF(AND(fiche_sel&lt;&gt;"",A1901=fiche_sel),COUNTIF(A$6:A1901,fiche_sel),"")</f>
        <v/>
      </c>
    </row>
    <row r="1902">
      <c r="A1902" s="60" t="n"/>
      <c r="B1902" s="73" t="n"/>
      <c r="C1902" s="60" t="n"/>
      <c r="D1902" s="61" t="n"/>
      <c r="E1902" s="74" t="n"/>
      <c r="F1902" s="74" t="n"/>
      <c r="G1902" s="73" t="n"/>
      <c r="H1902" s="66" t="str">
        <f>IF(M1902&lt;&gt;"OK","",INDEX(po_mo,MATCH(D1902,po_code,0)))</f>
        <v/>
      </c>
      <c r="I1902" s="66" t="str">
        <f>IF(M1902&lt;&gt;"OK","",INDEX(po_mac,MATCH(D1902,po_code,0)))</f>
        <v/>
      </c>
      <c r="J1902" s="66" t="str">
        <f>IF(M1902&lt;&gt;"OK","",N(E1902)*(H1902*IF(G1902="",1,G1902)+I1902))</f>
        <v/>
      </c>
      <c r="K1902" s="66" t="str">
        <f>IF(M1902&lt;&gt;"OK","",N(F1902)/60*H1902*IF(G1902="",1,G1902))</f>
        <v/>
      </c>
      <c r="L1902" s="66" t="str">
        <f>IF(M1902&lt;&gt;"OK","",N(F1902)/60*I1902)</f>
        <v/>
      </c>
      <c r="M1902" s="69" t="str">
        <f>IF(AND(A1902="",D1902=""),"",IF(A1902="","Produit manquant",IF(COUNTIF(prod_ref,A1902)=0,"Produit inconnu",IF(D1902="","Poste manquant",IF(ISNA(MATCH(D1902,po_code,0)),"Poste inconnu",IF(INDEX(po_check,MATCH(D1902,po_code,0))&lt;&gt;"OK","Poste à corriger",IF(AND(E1902&lt;&gt;"",OR(NOT(ISNUMBER(E1902)),N(E1902)&lt;0)),"Réglage invalide",IF(AND(F1902&lt;&gt;"",OR(NOT(ISNUMBER(F1902)),N(F1902)&lt;0)),"Temps par pièce invalide",IF(N(E1902)+N(F1902)=0,"Temps manquant",IF(AND(G1902&lt;&gt;"",OR(NOT(ISNUMBER(G1902)),N(G1902)&lt;=0)),"Opérateurs invalide","OK"))))))))))</f>
        <v/>
      </c>
      <c r="N1902" s="71" t="str">
        <f>IF(AND(fiche_sel&lt;&gt;"",A1902=fiche_sel),COUNTIF(A$6:A1902,fiche_sel),"")</f>
        <v/>
      </c>
    </row>
    <row r="1903">
      <c r="A1903" s="60" t="n"/>
      <c r="B1903" s="73" t="n"/>
      <c r="C1903" s="60" t="n"/>
      <c r="D1903" s="61" t="n"/>
      <c r="E1903" s="74" t="n"/>
      <c r="F1903" s="74" t="n"/>
      <c r="G1903" s="73" t="n"/>
      <c r="H1903" s="66" t="str">
        <f>IF(M1903&lt;&gt;"OK","",INDEX(po_mo,MATCH(D1903,po_code,0)))</f>
        <v/>
      </c>
      <c r="I1903" s="66" t="str">
        <f>IF(M1903&lt;&gt;"OK","",INDEX(po_mac,MATCH(D1903,po_code,0)))</f>
        <v/>
      </c>
      <c r="J1903" s="66" t="str">
        <f>IF(M1903&lt;&gt;"OK","",N(E1903)*(H1903*IF(G1903="",1,G1903)+I1903))</f>
        <v/>
      </c>
      <c r="K1903" s="66" t="str">
        <f>IF(M1903&lt;&gt;"OK","",N(F1903)/60*H1903*IF(G1903="",1,G1903))</f>
        <v/>
      </c>
      <c r="L1903" s="66" t="str">
        <f>IF(M1903&lt;&gt;"OK","",N(F1903)/60*I1903)</f>
        <v/>
      </c>
      <c r="M1903" s="69" t="str">
        <f>IF(AND(A1903="",D1903=""),"",IF(A1903="","Produit manquant",IF(COUNTIF(prod_ref,A1903)=0,"Produit inconnu",IF(D1903="","Poste manquant",IF(ISNA(MATCH(D1903,po_code,0)),"Poste inconnu",IF(INDEX(po_check,MATCH(D1903,po_code,0))&lt;&gt;"OK","Poste à corriger",IF(AND(E1903&lt;&gt;"",OR(NOT(ISNUMBER(E1903)),N(E1903)&lt;0)),"Réglage invalide",IF(AND(F1903&lt;&gt;"",OR(NOT(ISNUMBER(F1903)),N(F1903)&lt;0)),"Temps par pièce invalide",IF(N(E1903)+N(F1903)=0,"Temps manquant",IF(AND(G1903&lt;&gt;"",OR(NOT(ISNUMBER(G1903)),N(G1903)&lt;=0)),"Opérateurs invalide","OK"))))))))))</f>
        <v/>
      </c>
      <c r="N1903" s="71" t="str">
        <f>IF(AND(fiche_sel&lt;&gt;"",A1903=fiche_sel),COUNTIF(A$6:A1903,fiche_sel),"")</f>
        <v/>
      </c>
    </row>
    <row r="1904">
      <c r="A1904" s="60" t="n"/>
      <c r="B1904" s="73" t="n"/>
      <c r="C1904" s="60" t="n"/>
      <c r="D1904" s="61" t="n"/>
      <c r="E1904" s="74" t="n"/>
      <c r="F1904" s="74" t="n"/>
      <c r="G1904" s="73" t="n"/>
      <c r="H1904" s="66" t="str">
        <f>IF(M1904&lt;&gt;"OK","",INDEX(po_mo,MATCH(D1904,po_code,0)))</f>
        <v/>
      </c>
      <c r="I1904" s="66" t="str">
        <f>IF(M1904&lt;&gt;"OK","",INDEX(po_mac,MATCH(D1904,po_code,0)))</f>
        <v/>
      </c>
      <c r="J1904" s="66" t="str">
        <f>IF(M1904&lt;&gt;"OK","",N(E1904)*(H1904*IF(G1904="",1,G1904)+I1904))</f>
        <v/>
      </c>
      <c r="K1904" s="66" t="str">
        <f>IF(M1904&lt;&gt;"OK","",N(F1904)/60*H1904*IF(G1904="",1,G1904))</f>
        <v/>
      </c>
      <c r="L1904" s="66" t="str">
        <f>IF(M1904&lt;&gt;"OK","",N(F1904)/60*I1904)</f>
        <v/>
      </c>
      <c r="M1904" s="69" t="str">
        <f>IF(AND(A1904="",D1904=""),"",IF(A1904="","Produit manquant",IF(COUNTIF(prod_ref,A1904)=0,"Produit inconnu",IF(D1904="","Poste manquant",IF(ISNA(MATCH(D1904,po_code,0)),"Poste inconnu",IF(INDEX(po_check,MATCH(D1904,po_code,0))&lt;&gt;"OK","Poste à corriger",IF(AND(E1904&lt;&gt;"",OR(NOT(ISNUMBER(E1904)),N(E1904)&lt;0)),"Réglage invalide",IF(AND(F1904&lt;&gt;"",OR(NOT(ISNUMBER(F1904)),N(F1904)&lt;0)),"Temps par pièce invalide",IF(N(E1904)+N(F1904)=0,"Temps manquant",IF(AND(G1904&lt;&gt;"",OR(NOT(ISNUMBER(G1904)),N(G1904)&lt;=0)),"Opérateurs invalide","OK"))))))))))</f>
        <v/>
      </c>
      <c r="N1904" s="71" t="str">
        <f>IF(AND(fiche_sel&lt;&gt;"",A1904=fiche_sel),COUNTIF(A$6:A1904,fiche_sel),"")</f>
        <v/>
      </c>
    </row>
    <row r="1905">
      <c r="A1905" s="60" t="n"/>
      <c r="B1905" s="73" t="n"/>
      <c r="C1905" s="60" t="n"/>
      <c r="D1905" s="61" t="n"/>
      <c r="E1905" s="74" t="n"/>
      <c r="F1905" s="74" t="n"/>
      <c r="G1905" s="73" t="n"/>
      <c r="H1905" s="66" t="str">
        <f>IF(M1905&lt;&gt;"OK","",INDEX(po_mo,MATCH(D1905,po_code,0)))</f>
        <v/>
      </c>
      <c r="I1905" s="66" t="str">
        <f>IF(M1905&lt;&gt;"OK","",INDEX(po_mac,MATCH(D1905,po_code,0)))</f>
        <v/>
      </c>
      <c r="J1905" s="66" t="str">
        <f>IF(M1905&lt;&gt;"OK","",N(E1905)*(H1905*IF(G1905="",1,G1905)+I1905))</f>
        <v/>
      </c>
      <c r="K1905" s="66" t="str">
        <f>IF(M1905&lt;&gt;"OK","",N(F1905)/60*H1905*IF(G1905="",1,G1905))</f>
        <v/>
      </c>
      <c r="L1905" s="66" t="str">
        <f>IF(M1905&lt;&gt;"OK","",N(F1905)/60*I1905)</f>
        <v/>
      </c>
      <c r="M1905" s="69" t="str">
        <f>IF(AND(A1905="",D1905=""),"",IF(A1905="","Produit manquant",IF(COUNTIF(prod_ref,A1905)=0,"Produit inconnu",IF(D1905="","Poste manquant",IF(ISNA(MATCH(D1905,po_code,0)),"Poste inconnu",IF(INDEX(po_check,MATCH(D1905,po_code,0))&lt;&gt;"OK","Poste à corriger",IF(AND(E1905&lt;&gt;"",OR(NOT(ISNUMBER(E1905)),N(E1905)&lt;0)),"Réglage invalide",IF(AND(F1905&lt;&gt;"",OR(NOT(ISNUMBER(F1905)),N(F1905)&lt;0)),"Temps par pièce invalide",IF(N(E1905)+N(F1905)=0,"Temps manquant",IF(AND(G1905&lt;&gt;"",OR(NOT(ISNUMBER(G1905)),N(G1905)&lt;=0)),"Opérateurs invalide","OK"))))))))))</f>
        <v/>
      </c>
      <c r="N1905" s="71" t="str">
        <f>IF(AND(fiche_sel&lt;&gt;"",A1905=fiche_sel),COUNTIF(A$6:A1905,fiche_sel),"")</f>
        <v/>
      </c>
    </row>
    <row r="1906">
      <c r="A1906" s="60" t="n"/>
      <c r="B1906" s="73" t="n"/>
      <c r="C1906" s="60" t="n"/>
      <c r="D1906" s="61" t="n"/>
      <c r="E1906" s="74" t="n"/>
      <c r="F1906" s="74" t="n"/>
      <c r="G1906" s="73" t="n"/>
      <c r="H1906" s="66" t="str">
        <f>IF(M1906&lt;&gt;"OK","",INDEX(po_mo,MATCH(D1906,po_code,0)))</f>
        <v/>
      </c>
      <c r="I1906" s="66" t="str">
        <f>IF(M1906&lt;&gt;"OK","",INDEX(po_mac,MATCH(D1906,po_code,0)))</f>
        <v/>
      </c>
      <c r="J1906" s="66" t="str">
        <f>IF(M1906&lt;&gt;"OK","",N(E1906)*(H1906*IF(G1906="",1,G1906)+I1906))</f>
        <v/>
      </c>
      <c r="K1906" s="66" t="str">
        <f>IF(M1906&lt;&gt;"OK","",N(F1906)/60*H1906*IF(G1906="",1,G1906))</f>
        <v/>
      </c>
      <c r="L1906" s="66" t="str">
        <f>IF(M1906&lt;&gt;"OK","",N(F1906)/60*I1906)</f>
        <v/>
      </c>
      <c r="M1906" s="69" t="str">
        <f>IF(AND(A1906="",D1906=""),"",IF(A1906="","Produit manquant",IF(COUNTIF(prod_ref,A1906)=0,"Produit inconnu",IF(D1906="","Poste manquant",IF(ISNA(MATCH(D1906,po_code,0)),"Poste inconnu",IF(INDEX(po_check,MATCH(D1906,po_code,0))&lt;&gt;"OK","Poste à corriger",IF(AND(E1906&lt;&gt;"",OR(NOT(ISNUMBER(E1906)),N(E1906)&lt;0)),"Réglage invalide",IF(AND(F1906&lt;&gt;"",OR(NOT(ISNUMBER(F1906)),N(F1906)&lt;0)),"Temps par pièce invalide",IF(N(E1906)+N(F1906)=0,"Temps manquant",IF(AND(G1906&lt;&gt;"",OR(NOT(ISNUMBER(G1906)),N(G1906)&lt;=0)),"Opérateurs invalide","OK"))))))))))</f>
        <v/>
      </c>
      <c r="N1906" s="71" t="str">
        <f>IF(AND(fiche_sel&lt;&gt;"",A1906=fiche_sel),COUNTIF(A$6:A1906,fiche_sel),"")</f>
        <v/>
      </c>
    </row>
    <row r="1907">
      <c r="A1907" s="60" t="n"/>
      <c r="B1907" s="73" t="n"/>
      <c r="C1907" s="60" t="n"/>
      <c r="D1907" s="61" t="n"/>
      <c r="E1907" s="74" t="n"/>
      <c r="F1907" s="74" t="n"/>
      <c r="G1907" s="73" t="n"/>
      <c r="H1907" s="66" t="str">
        <f>IF(M1907&lt;&gt;"OK","",INDEX(po_mo,MATCH(D1907,po_code,0)))</f>
        <v/>
      </c>
      <c r="I1907" s="66" t="str">
        <f>IF(M1907&lt;&gt;"OK","",INDEX(po_mac,MATCH(D1907,po_code,0)))</f>
        <v/>
      </c>
      <c r="J1907" s="66" t="str">
        <f>IF(M1907&lt;&gt;"OK","",N(E1907)*(H1907*IF(G1907="",1,G1907)+I1907))</f>
        <v/>
      </c>
      <c r="K1907" s="66" t="str">
        <f>IF(M1907&lt;&gt;"OK","",N(F1907)/60*H1907*IF(G1907="",1,G1907))</f>
        <v/>
      </c>
      <c r="L1907" s="66" t="str">
        <f>IF(M1907&lt;&gt;"OK","",N(F1907)/60*I1907)</f>
        <v/>
      </c>
      <c r="M1907" s="69" t="str">
        <f>IF(AND(A1907="",D1907=""),"",IF(A1907="","Produit manquant",IF(COUNTIF(prod_ref,A1907)=0,"Produit inconnu",IF(D1907="","Poste manquant",IF(ISNA(MATCH(D1907,po_code,0)),"Poste inconnu",IF(INDEX(po_check,MATCH(D1907,po_code,0))&lt;&gt;"OK","Poste à corriger",IF(AND(E1907&lt;&gt;"",OR(NOT(ISNUMBER(E1907)),N(E1907)&lt;0)),"Réglage invalide",IF(AND(F1907&lt;&gt;"",OR(NOT(ISNUMBER(F1907)),N(F1907)&lt;0)),"Temps par pièce invalide",IF(N(E1907)+N(F1907)=0,"Temps manquant",IF(AND(G1907&lt;&gt;"",OR(NOT(ISNUMBER(G1907)),N(G1907)&lt;=0)),"Opérateurs invalide","OK"))))))))))</f>
        <v/>
      </c>
      <c r="N1907" s="71" t="str">
        <f>IF(AND(fiche_sel&lt;&gt;"",A1907=fiche_sel),COUNTIF(A$6:A1907,fiche_sel),"")</f>
        <v/>
      </c>
    </row>
    <row r="1908">
      <c r="A1908" s="60" t="n"/>
      <c r="B1908" s="73" t="n"/>
      <c r="C1908" s="60" t="n"/>
      <c r="D1908" s="61" t="n"/>
      <c r="E1908" s="74" t="n"/>
      <c r="F1908" s="74" t="n"/>
      <c r="G1908" s="73" t="n"/>
      <c r="H1908" s="66" t="str">
        <f>IF(M1908&lt;&gt;"OK","",INDEX(po_mo,MATCH(D1908,po_code,0)))</f>
        <v/>
      </c>
      <c r="I1908" s="66" t="str">
        <f>IF(M1908&lt;&gt;"OK","",INDEX(po_mac,MATCH(D1908,po_code,0)))</f>
        <v/>
      </c>
      <c r="J1908" s="66" t="str">
        <f>IF(M1908&lt;&gt;"OK","",N(E1908)*(H1908*IF(G1908="",1,G1908)+I1908))</f>
        <v/>
      </c>
      <c r="K1908" s="66" t="str">
        <f>IF(M1908&lt;&gt;"OK","",N(F1908)/60*H1908*IF(G1908="",1,G1908))</f>
        <v/>
      </c>
      <c r="L1908" s="66" t="str">
        <f>IF(M1908&lt;&gt;"OK","",N(F1908)/60*I1908)</f>
        <v/>
      </c>
      <c r="M1908" s="69" t="str">
        <f>IF(AND(A1908="",D1908=""),"",IF(A1908="","Produit manquant",IF(COUNTIF(prod_ref,A1908)=0,"Produit inconnu",IF(D1908="","Poste manquant",IF(ISNA(MATCH(D1908,po_code,0)),"Poste inconnu",IF(INDEX(po_check,MATCH(D1908,po_code,0))&lt;&gt;"OK","Poste à corriger",IF(AND(E1908&lt;&gt;"",OR(NOT(ISNUMBER(E1908)),N(E1908)&lt;0)),"Réglage invalide",IF(AND(F1908&lt;&gt;"",OR(NOT(ISNUMBER(F1908)),N(F1908)&lt;0)),"Temps par pièce invalide",IF(N(E1908)+N(F1908)=0,"Temps manquant",IF(AND(G1908&lt;&gt;"",OR(NOT(ISNUMBER(G1908)),N(G1908)&lt;=0)),"Opérateurs invalide","OK"))))))))))</f>
        <v/>
      </c>
      <c r="N1908" s="71" t="str">
        <f>IF(AND(fiche_sel&lt;&gt;"",A1908=fiche_sel),COUNTIF(A$6:A1908,fiche_sel),"")</f>
        <v/>
      </c>
    </row>
    <row r="1909">
      <c r="A1909" s="60" t="n"/>
      <c r="B1909" s="73" t="n"/>
      <c r="C1909" s="60" t="n"/>
      <c r="D1909" s="61" t="n"/>
      <c r="E1909" s="74" t="n"/>
      <c r="F1909" s="74" t="n"/>
      <c r="G1909" s="73" t="n"/>
      <c r="H1909" s="66" t="str">
        <f>IF(M1909&lt;&gt;"OK","",INDEX(po_mo,MATCH(D1909,po_code,0)))</f>
        <v/>
      </c>
      <c r="I1909" s="66" t="str">
        <f>IF(M1909&lt;&gt;"OK","",INDEX(po_mac,MATCH(D1909,po_code,0)))</f>
        <v/>
      </c>
      <c r="J1909" s="66" t="str">
        <f>IF(M1909&lt;&gt;"OK","",N(E1909)*(H1909*IF(G1909="",1,G1909)+I1909))</f>
        <v/>
      </c>
      <c r="K1909" s="66" t="str">
        <f>IF(M1909&lt;&gt;"OK","",N(F1909)/60*H1909*IF(G1909="",1,G1909))</f>
        <v/>
      </c>
      <c r="L1909" s="66" t="str">
        <f>IF(M1909&lt;&gt;"OK","",N(F1909)/60*I1909)</f>
        <v/>
      </c>
      <c r="M1909" s="69" t="str">
        <f>IF(AND(A1909="",D1909=""),"",IF(A1909="","Produit manquant",IF(COUNTIF(prod_ref,A1909)=0,"Produit inconnu",IF(D1909="","Poste manquant",IF(ISNA(MATCH(D1909,po_code,0)),"Poste inconnu",IF(INDEX(po_check,MATCH(D1909,po_code,0))&lt;&gt;"OK","Poste à corriger",IF(AND(E1909&lt;&gt;"",OR(NOT(ISNUMBER(E1909)),N(E1909)&lt;0)),"Réglage invalide",IF(AND(F1909&lt;&gt;"",OR(NOT(ISNUMBER(F1909)),N(F1909)&lt;0)),"Temps par pièce invalide",IF(N(E1909)+N(F1909)=0,"Temps manquant",IF(AND(G1909&lt;&gt;"",OR(NOT(ISNUMBER(G1909)),N(G1909)&lt;=0)),"Opérateurs invalide","OK"))))))))))</f>
        <v/>
      </c>
      <c r="N1909" s="71" t="str">
        <f>IF(AND(fiche_sel&lt;&gt;"",A1909=fiche_sel),COUNTIF(A$6:A1909,fiche_sel),"")</f>
        <v/>
      </c>
    </row>
    <row r="1910">
      <c r="A1910" s="60" t="n"/>
      <c r="B1910" s="73" t="n"/>
      <c r="C1910" s="60" t="n"/>
      <c r="D1910" s="61" t="n"/>
      <c r="E1910" s="74" t="n"/>
      <c r="F1910" s="74" t="n"/>
      <c r="G1910" s="73" t="n"/>
      <c r="H1910" s="66" t="str">
        <f>IF(M1910&lt;&gt;"OK","",INDEX(po_mo,MATCH(D1910,po_code,0)))</f>
        <v/>
      </c>
      <c r="I1910" s="66" t="str">
        <f>IF(M1910&lt;&gt;"OK","",INDEX(po_mac,MATCH(D1910,po_code,0)))</f>
        <v/>
      </c>
      <c r="J1910" s="66" t="str">
        <f>IF(M1910&lt;&gt;"OK","",N(E1910)*(H1910*IF(G1910="",1,G1910)+I1910))</f>
        <v/>
      </c>
      <c r="K1910" s="66" t="str">
        <f>IF(M1910&lt;&gt;"OK","",N(F1910)/60*H1910*IF(G1910="",1,G1910))</f>
        <v/>
      </c>
      <c r="L1910" s="66" t="str">
        <f>IF(M1910&lt;&gt;"OK","",N(F1910)/60*I1910)</f>
        <v/>
      </c>
      <c r="M1910" s="69" t="str">
        <f>IF(AND(A1910="",D1910=""),"",IF(A1910="","Produit manquant",IF(COUNTIF(prod_ref,A1910)=0,"Produit inconnu",IF(D1910="","Poste manquant",IF(ISNA(MATCH(D1910,po_code,0)),"Poste inconnu",IF(INDEX(po_check,MATCH(D1910,po_code,0))&lt;&gt;"OK","Poste à corriger",IF(AND(E1910&lt;&gt;"",OR(NOT(ISNUMBER(E1910)),N(E1910)&lt;0)),"Réglage invalide",IF(AND(F1910&lt;&gt;"",OR(NOT(ISNUMBER(F1910)),N(F1910)&lt;0)),"Temps par pièce invalide",IF(N(E1910)+N(F1910)=0,"Temps manquant",IF(AND(G1910&lt;&gt;"",OR(NOT(ISNUMBER(G1910)),N(G1910)&lt;=0)),"Opérateurs invalide","OK"))))))))))</f>
        <v/>
      </c>
      <c r="N1910" s="71" t="str">
        <f>IF(AND(fiche_sel&lt;&gt;"",A1910=fiche_sel),COUNTIF(A$6:A1910,fiche_sel),"")</f>
        <v/>
      </c>
    </row>
    <row r="1911">
      <c r="A1911" s="60" t="n"/>
      <c r="B1911" s="73" t="n"/>
      <c r="C1911" s="60" t="n"/>
      <c r="D1911" s="61" t="n"/>
      <c r="E1911" s="74" t="n"/>
      <c r="F1911" s="74" t="n"/>
      <c r="G1911" s="73" t="n"/>
      <c r="H1911" s="66" t="str">
        <f>IF(M1911&lt;&gt;"OK","",INDEX(po_mo,MATCH(D1911,po_code,0)))</f>
        <v/>
      </c>
      <c r="I1911" s="66" t="str">
        <f>IF(M1911&lt;&gt;"OK","",INDEX(po_mac,MATCH(D1911,po_code,0)))</f>
        <v/>
      </c>
      <c r="J1911" s="66" t="str">
        <f>IF(M1911&lt;&gt;"OK","",N(E1911)*(H1911*IF(G1911="",1,G1911)+I1911))</f>
        <v/>
      </c>
      <c r="K1911" s="66" t="str">
        <f>IF(M1911&lt;&gt;"OK","",N(F1911)/60*H1911*IF(G1911="",1,G1911))</f>
        <v/>
      </c>
      <c r="L1911" s="66" t="str">
        <f>IF(M1911&lt;&gt;"OK","",N(F1911)/60*I1911)</f>
        <v/>
      </c>
      <c r="M1911" s="69" t="str">
        <f>IF(AND(A1911="",D1911=""),"",IF(A1911="","Produit manquant",IF(COUNTIF(prod_ref,A1911)=0,"Produit inconnu",IF(D1911="","Poste manquant",IF(ISNA(MATCH(D1911,po_code,0)),"Poste inconnu",IF(INDEX(po_check,MATCH(D1911,po_code,0))&lt;&gt;"OK","Poste à corriger",IF(AND(E1911&lt;&gt;"",OR(NOT(ISNUMBER(E1911)),N(E1911)&lt;0)),"Réglage invalide",IF(AND(F1911&lt;&gt;"",OR(NOT(ISNUMBER(F1911)),N(F1911)&lt;0)),"Temps par pièce invalide",IF(N(E1911)+N(F1911)=0,"Temps manquant",IF(AND(G1911&lt;&gt;"",OR(NOT(ISNUMBER(G1911)),N(G1911)&lt;=0)),"Opérateurs invalide","OK"))))))))))</f>
        <v/>
      </c>
      <c r="N1911" s="71" t="str">
        <f>IF(AND(fiche_sel&lt;&gt;"",A1911=fiche_sel),COUNTIF(A$6:A1911,fiche_sel),"")</f>
        <v/>
      </c>
    </row>
    <row r="1912">
      <c r="A1912" s="60" t="n"/>
      <c r="B1912" s="73" t="n"/>
      <c r="C1912" s="60" t="n"/>
      <c r="D1912" s="61" t="n"/>
      <c r="E1912" s="74" t="n"/>
      <c r="F1912" s="74" t="n"/>
      <c r="G1912" s="73" t="n"/>
      <c r="H1912" s="66" t="str">
        <f>IF(M1912&lt;&gt;"OK","",INDEX(po_mo,MATCH(D1912,po_code,0)))</f>
        <v/>
      </c>
      <c r="I1912" s="66" t="str">
        <f>IF(M1912&lt;&gt;"OK","",INDEX(po_mac,MATCH(D1912,po_code,0)))</f>
        <v/>
      </c>
      <c r="J1912" s="66" t="str">
        <f>IF(M1912&lt;&gt;"OK","",N(E1912)*(H1912*IF(G1912="",1,G1912)+I1912))</f>
        <v/>
      </c>
      <c r="K1912" s="66" t="str">
        <f>IF(M1912&lt;&gt;"OK","",N(F1912)/60*H1912*IF(G1912="",1,G1912))</f>
        <v/>
      </c>
      <c r="L1912" s="66" t="str">
        <f>IF(M1912&lt;&gt;"OK","",N(F1912)/60*I1912)</f>
        <v/>
      </c>
      <c r="M1912" s="69" t="str">
        <f>IF(AND(A1912="",D1912=""),"",IF(A1912="","Produit manquant",IF(COUNTIF(prod_ref,A1912)=0,"Produit inconnu",IF(D1912="","Poste manquant",IF(ISNA(MATCH(D1912,po_code,0)),"Poste inconnu",IF(INDEX(po_check,MATCH(D1912,po_code,0))&lt;&gt;"OK","Poste à corriger",IF(AND(E1912&lt;&gt;"",OR(NOT(ISNUMBER(E1912)),N(E1912)&lt;0)),"Réglage invalide",IF(AND(F1912&lt;&gt;"",OR(NOT(ISNUMBER(F1912)),N(F1912)&lt;0)),"Temps par pièce invalide",IF(N(E1912)+N(F1912)=0,"Temps manquant",IF(AND(G1912&lt;&gt;"",OR(NOT(ISNUMBER(G1912)),N(G1912)&lt;=0)),"Opérateurs invalide","OK"))))))))))</f>
        <v/>
      </c>
      <c r="N1912" s="71" t="str">
        <f>IF(AND(fiche_sel&lt;&gt;"",A1912=fiche_sel),COUNTIF(A$6:A1912,fiche_sel),"")</f>
        <v/>
      </c>
    </row>
    <row r="1913">
      <c r="A1913" s="60" t="n"/>
      <c r="B1913" s="73" t="n"/>
      <c r="C1913" s="60" t="n"/>
      <c r="D1913" s="61" t="n"/>
      <c r="E1913" s="74" t="n"/>
      <c r="F1913" s="74" t="n"/>
      <c r="G1913" s="73" t="n"/>
      <c r="H1913" s="66" t="str">
        <f>IF(M1913&lt;&gt;"OK","",INDEX(po_mo,MATCH(D1913,po_code,0)))</f>
        <v/>
      </c>
      <c r="I1913" s="66" t="str">
        <f>IF(M1913&lt;&gt;"OK","",INDEX(po_mac,MATCH(D1913,po_code,0)))</f>
        <v/>
      </c>
      <c r="J1913" s="66" t="str">
        <f>IF(M1913&lt;&gt;"OK","",N(E1913)*(H1913*IF(G1913="",1,G1913)+I1913))</f>
        <v/>
      </c>
      <c r="K1913" s="66" t="str">
        <f>IF(M1913&lt;&gt;"OK","",N(F1913)/60*H1913*IF(G1913="",1,G1913))</f>
        <v/>
      </c>
      <c r="L1913" s="66" t="str">
        <f>IF(M1913&lt;&gt;"OK","",N(F1913)/60*I1913)</f>
        <v/>
      </c>
      <c r="M1913" s="69" t="str">
        <f>IF(AND(A1913="",D1913=""),"",IF(A1913="","Produit manquant",IF(COUNTIF(prod_ref,A1913)=0,"Produit inconnu",IF(D1913="","Poste manquant",IF(ISNA(MATCH(D1913,po_code,0)),"Poste inconnu",IF(INDEX(po_check,MATCH(D1913,po_code,0))&lt;&gt;"OK","Poste à corriger",IF(AND(E1913&lt;&gt;"",OR(NOT(ISNUMBER(E1913)),N(E1913)&lt;0)),"Réglage invalide",IF(AND(F1913&lt;&gt;"",OR(NOT(ISNUMBER(F1913)),N(F1913)&lt;0)),"Temps par pièce invalide",IF(N(E1913)+N(F1913)=0,"Temps manquant",IF(AND(G1913&lt;&gt;"",OR(NOT(ISNUMBER(G1913)),N(G1913)&lt;=0)),"Opérateurs invalide","OK"))))))))))</f>
        <v/>
      </c>
      <c r="N1913" s="71" t="str">
        <f>IF(AND(fiche_sel&lt;&gt;"",A1913=fiche_sel),COUNTIF(A$6:A1913,fiche_sel),"")</f>
        <v/>
      </c>
    </row>
    <row r="1914">
      <c r="A1914" s="60" t="n"/>
      <c r="B1914" s="73" t="n"/>
      <c r="C1914" s="60" t="n"/>
      <c r="D1914" s="61" t="n"/>
      <c r="E1914" s="74" t="n"/>
      <c r="F1914" s="74" t="n"/>
      <c r="G1914" s="73" t="n"/>
      <c r="H1914" s="66" t="str">
        <f>IF(M1914&lt;&gt;"OK","",INDEX(po_mo,MATCH(D1914,po_code,0)))</f>
        <v/>
      </c>
      <c r="I1914" s="66" t="str">
        <f>IF(M1914&lt;&gt;"OK","",INDEX(po_mac,MATCH(D1914,po_code,0)))</f>
        <v/>
      </c>
      <c r="J1914" s="66" t="str">
        <f>IF(M1914&lt;&gt;"OK","",N(E1914)*(H1914*IF(G1914="",1,G1914)+I1914))</f>
        <v/>
      </c>
      <c r="K1914" s="66" t="str">
        <f>IF(M1914&lt;&gt;"OK","",N(F1914)/60*H1914*IF(G1914="",1,G1914))</f>
        <v/>
      </c>
      <c r="L1914" s="66" t="str">
        <f>IF(M1914&lt;&gt;"OK","",N(F1914)/60*I1914)</f>
        <v/>
      </c>
      <c r="M1914" s="69" t="str">
        <f>IF(AND(A1914="",D1914=""),"",IF(A1914="","Produit manquant",IF(COUNTIF(prod_ref,A1914)=0,"Produit inconnu",IF(D1914="","Poste manquant",IF(ISNA(MATCH(D1914,po_code,0)),"Poste inconnu",IF(INDEX(po_check,MATCH(D1914,po_code,0))&lt;&gt;"OK","Poste à corriger",IF(AND(E1914&lt;&gt;"",OR(NOT(ISNUMBER(E1914)),N(E1914)&lt;0)),"Réglage invalide",IF(AND(F1914&lt;&gt;"",OR(NOT(ISNUMBER(F1914)),N(F1914)&lt;0)),"Temps par pièce invalide",IF(N(E1914)+N(F1914)=0,"Temps manquant",IF(AND(G1914&lt;&gt;"",OR(NOT(ISNUMBER(G1914)),N(G1914)&lt;=0)),"Opérateurs invalide","OK"))))))))))</f>
        <v/>
      </c>
      <c r="N1914" s="71" t="str">
        <f>IF(AND(fiche_sel&lt;&gt;"",A1914=fiche_sel),COUNTIF(A$6:A1914,fiche_sel),"")</f>
        <v/>
      </c>
    </row>
    <row r="1915">
      <c r="A1915" s="60" t="n"/>
      <c r="B1915" s="73" t="n"/>
      <c r="C1915" s="60" t="n"/>
      <c r="D1915" s="61" t="n"/>
      <c r="E1915" s="74" t="n"/>
      <c r="F1915" s="74" t="n"/>
      <c r="G1915" s="73" t="n"/>
      <c r="H1915" s="66" t="str">
        <f>IF(M1915&lt;&gt;"OK","",INDEX(po_mo,MATCH(D1915,po_code,0)))</f>
        <v/>
      </c>
      <c r="I1915" s="66" t="str">
        <f>IF(M1915&lt;&gt;"OK","",INDEX(po_mac,MATCH(D1915,po_code,0)))</f>
        <v/>
      </c>
      <c r="J1915" s="66" t="str">
        <f>IF(M1915&lt;&gt;"OK","",N(E1915)*(H1915*IF(G1915="",1,G1915)+I1915))</f>
        <v/>
      </c>
      <c r="K1915" s="66" t="str">
        <f>IF(M1915&lt;&gt;"OK","",N(F1915)/60*H1915*IF(G1915="",1,G1915))</f>
        <v/>
      </c>
      <c r="L1915" s="66" t="str">
        <f>IF(M1915&lt;&gt;"OK","",N(F1915)/60*I1915)</f>
        <v/>
      </c>
      <c r="M1915" s="69" t="str">
        <f>IF(AND(A1915="",D1915=""),"",IF(A1915="","Produit manquant",IF(COUNTIF(prod_ref,A1915)=0,"Produit inconnu",IF(D1915="","Poste manquant",IF(ISNA(MATCH(D1915,po_code,0)),"Poste inconnu",IF(INDEX(po_check,MATCH(D1915,po_code,0))&lt;&gt;"OK","Poste à corriger",IF(AND(E1915&lt;&gt;"",OR(NOT(ISNUMBER(E1915)),N(E1915)&lt;0)),"Réglage invalide",IF(AND(F1915&lt;&gt;"",OR(NOT(ISNUMBER(F1915)),N(F1915)&lt;0)),"Temps par pièce invalide",IF(N(E1915)+N(F1915)=0,"Temps manquant",IF(AND(G1915&lt;&gt;"",OR(NOT(ISNUMBER(G1915)),N(G1915)&lt;=0)),"Opérateurs invalide","OK"))))))))))</f>
        <v/>
      </c>
      <c r="N1915" s="71" t="str">
        <f>IF(AND(fiche_sel&lt;&gt;"",A1915=fiche_sel),COUNTIF(A$6:A1915,fiche_sel),"")</f>
        <v/>
      </c>
    </row>
    <row r="1916">
      <c r="A1916" s="60" t="n"/>
      <c r="B1916" s="73" t="n"/>
      <c r="C1916" s="60" t="n"/>
      <c r="D1916" s="61" t="n"/>
      <c r="E1916" s="74" t="n"/>
      <c r="F1916" s="74" t="n"/>
      <c r="G1916" s="73" t="n"/>
      <c r="H1916" s="66" t="str">
        <f>IF(M1916&lt;&gt;"OK","",INDEX(po_mo,MATCH(D1916,po_code,0)))</f>
        <v/>
      </c>
      <c r="I1916" s="66" t="str">
        <f>IF(M1916&lt;&gt;"OK","",INDEX(po_mac,MATCH(D1916,po_code,0)))</f>
        <v/>
      </c>
      <c r="J1916" s="66" t="str">
        <f>IF(M1916&lt;&gt;"OK","",N(E1916)*(H1916*IF(G1916="",1,G1916)+I1916))</f>
        <v/>
      </c>
      <c r="K1916" s="66" t="str">
        <f>IF(M1916&lt;&gt;"OK","",N(F1916)/60*H1916*IF(G1916="",1,G1916))</f>
        <v/>
      </c>
      <c r="L1916" s="66" t="str">
        <f>IF(M1916&lt;&gt;"OK","",N(F1916)/60*I1916)</f>
        <v/>
      </c>
      <c r="M1916" s="69" t="str">
        <f>IF(AND(A1916="",D1916=""),"",IF(A1916="","Produit manquant",IF(COUNTIF(prod_ref,A1916)=0,"Produit inconnu",IF(D1916="","Poste manquant",IF(ISNA(MATCH(D1916,po_code,0)),"Poste inconnu",IF(INDEX(po_check,MATCH(D1916,po_code,0))&lt;&gt;"OK","Poste à corriger",IF(AND(E1916&lt;&gt;"",OR(NOT(ISNUMBER(E1916)),N(E1916)&lt;0)),"Réglage invalide",IF(AND(F1916&lt;&gt;"",OR(NOT(ISNUMBER(F1916)),N(F1916)&lt;0)),"Temps par pièce invalide",IF(N(E1916)+N(F1916)=0,"Temps manquant",IF(AND(G1916&lt;&gt;"",OR(NOT(ISNUMBER(G1916)),N(G1916)&lt;=0)),"Opérateurs invalide","OK"))))))))))</f>
        <v/>
      </c>
      <c r="N1916" s="71" t="str">
        <f>IF(AND(fiche_sel&lt;&gt;"",A1916=fiche_sel),COUNTIF(A$6:A1916,fiche_sel),"")</f>
        <v/>
      </c>
    </row>
    <row r="1917">
      <c r="A1917" s="60" t="n"/>
      <c r="B1917" s="73" t="n"/>
      <c r="C1917" s="60" t="n"/>
      <c r="D1917" s="61" t="n"/>
      <c r="E1917" s="74" t="n"/>
      <c r="F1917" s="74" t="n"/>
      <c r="G1917" s="73" t="n"/>
      <c r="H1917" s="66" t="str">
        <f>IF(M1917&lt;&gt;"OK","",INDEX(po_mo,MATCH(D1917,po_code,0)))</f>
        <v/>
      </c>
      <c r="I1917" s="66" t="str">
        <f>IF(M1917&lt;&gt;"OK","",INDEX(po_mac,MATCH(D1917,po_code,0)))</f>
        <v/>
      </c>
      <c r="J1917" s="66" t="str">
        <f>IF(M1917&lt;&gt;"OK","",N(E1917)*(H1917*IF(G1917="",1,G1917)+I1917))</f>
        <v/>
      </c>
      <c r="K1917" s="66" t="str">
        <f>IF(M1917&lt;&gt;"OK","",N(F1917)/60*H1917*IF(G1917="",1,G1917))</f>
        <v/>
      </c>
      <c r="L1917" s="66" t="str">
        <f>IF(M1917&lt;&gt;"OK","",N(F1917)/60*I1917)</f>
        <v/>
      </c>
      <c r="M1917" s="69" t="str">
        <f>IF(AND(A1917="",D1917=""),"",IF(A1917="","Produit manquant",IF(COUNTIF(prod_ref,A1917)=0,"Produit inconnu",IF(D1917="","Poste manquant",IF(ISNA(MATCH(D1917,po_code,0)),"Poste inconnu",IF(INDEX(po_check,MATCH(D1917,po_code,0))&lt;&gt;"OK","Poste à corriger",IF(AND(E1917&lt;&gt;"",OR(NOT(ISNUMBER(E1917)),N(E1917)&lt;0)),"Réglage invalide",IF(AND(F1917&lt;&gt;"",OR(NOT(ISNUMBER(F1917)),N(F1917)&lt;0)),"Temps par pièce invalide",IF(N(E1917)+N(F1917)=0,"Temps manquant",IF(AND(G1917&lt;&gt;"",OR(NOT(ISNUMBER(G1917)),N(G1917)&lt;=0)),"Opérateurs invalide","OK"))))))))))</f>
        <v/>
      </c>
      <c r="N1917" s="71" t="str">
        <f>IF(AND(fiche_sel&lt;&gt;"",A1917=fiche_sel),COUNTIF(A$6:A1917,fiche_sel),"")</f>
        <v/>
      </c>
    </row>
    <row r="1918">
      <c r="A1918" s="60" t="n"/>
      <c r="B1918" s="73" t="n"/>
      <c r="C1918" s="60" t="n"/>
      <c r="D1918" s="61" t="n"/>
      <c r="E1918" s="74" t="n"/>
      <c r="F1918" s="74" t="n"/>
      <c r="G1918" s="73" t="n"/>
      <c r="H1918" s="66" t="str">
        <f>IF(M1918&lt;&gt;"OK","",INDEX(po_mo,MATCH(D1918,po_code,0)))</f>
        <v/>
      </c>
      <c r="I1918" s="66" t="str">
        <f>IF(M1918&lt;&gt;"OK","",INDEX(po_mac,MATCH(D1918,po_code,0)))</f>
        <v/>
      </c>
      <c r="J1918" s="66" t="str">
        <f>IF(M1918&lt;&gt;"OK","",N(E1918)*(H1918*IF(G1918="",1,G1918)+I1918))</f>
        <v/>
      </c>
      <c r="K1918" s="66" t="str">
        <f>IF(M1918&lt;&gt;"OK","",N(F1918)/60*H1918*IF(G1918="",1,G1918))</f>
        <v/>
      </c>
      <c r="L1918" s="66" t="str">
        <f>IF(M1918&lt;&gt;"OK","",N(F1918)/60*I1918)</f>
        <v/>
      </c>
      <c r="M1918" s="69" t="str">
        <f>IF(AND(A1918="",D1918=""),"",IF(A1918="","Produit manquant",IF(COUNTIF(prod_ref,A1918)=0,"Produit inconnu",IF(D1918="","Poste manquant",IF(ISNA(MATCH(D1918,po_code,0)),"Poste inconnu",IF(INDEX(po_check,MATCH(D1918,po_code,0))&lt;&gt;"OK","Poste à corriger",IF(AND(E1918&lt;&gt;"",OR(NOT(ISNUMBER(E1918)),N(E1918)&lt;0)),"Réglage invalide",IF(AND(F1918&lt;&gt;"",OR(NOT(ISNUMBER(F1918)),N(F1918)&lt;0)),"Temps par pièce invalide",IF(N(E1918)+N(F1918)=0,"Temps manquant",IF(AND(G1918&lt;&gt;"",OR(NOT(ISNUMBER(G1918)),N(G1918)&lt;=0)),"Opérateurs invalide","OK"))))))))))</f>
        <v/>
      </c>
      <c r="N1918" s="71" t="str">
        <f>IF(AND(fiche_sel&lt;&gt;"",A1918=fiche_sel),COUNTIF(A$6:A1918,fiche_sel),"")</f>
        <v/>
      </c>
    </row>
    <row r="1919">
      <c r="A1919" s="60" t="n"/>
      <c r="B1919" s="73" t="n"/>
      <c r="C1919" s="60" t="n"/>
      <c r="D1919" s="61" t="n"/>
      <c r="E1919" s="74" t="n"/>
      <c r="F1919" s="74" t="n"/>
      <c r="G1919" s="73" t="n"/>
      <c r="H1919" s="66" t="str">
        <f>IF(M1919&lt;&gt;"OK","",INDEX(po_mo,MATCH(D1919,po_code,0)))</f>
        <v/>
      </c>
      <c r="I1919" s="66" t="str">
        <f>IF(M1919&lt;&gt;"OK","",INDEX(po_mac,MATCH(D1919,po_code,0)))</f>
        <v/>
      </c>
      <c r="J1919" s="66" t="str">
        <f>IF(M1919&lt;&gt;"OK","",N(E1919)*(H1919*IF(G1919="",1,G1919)+I1919))</f>
        <v/>
      </c>
      <c r="K1919" s="66" t="str">
        <f>IF(M1919&lt;&gt;"OK","",N(F1919)/60*H1919*IF(G1919="",1,G1919))</f>
        <v/>
      </c>
      <c r="L1919" s="66" t="str">
        <f>IF(M1919&lt;&gt;"OK","",N(F1919)/60*I1919)</f>
        <v/>
      </c>
      <c r="M1919" s="69" t="str">
        <f>IF(AND(A1919="",D1919=""),"",IF(A1919="","Produit manquant",IF(COUNTIF(prod_ref,A1919)=0,"Produit inconnu",IF(D1919="","Poste manquant",IF(ISNA(MATCH(D1919,po_code,0)),"Poste inconnu",IF(INDEX(po_check,MATCH(D1919,po_code,0))&lt;&gt;"OK","Poste à corriger",IF(AND(E1919&lt;&gt;"",OR(NOT(ISNUMBER(E1919)),N(E1919)&lt;0)),"Réglage invalide",IF(AND(F1919&lt;&gt;"",OR(NOT(ISNUMBER(F1919)),N(F1919)&lt;0)),"Temps par pièce invalide",IF(N(E1919)+N(F1919)=0,"Temps manquant",IF(AND(G1919&lt;&gt;"",OR(NOT(ISNUMBER(G1919)),N(G1919)&lt;=0)),"Opérateurs invalide","OK"))))))))))</f>
        <v/>
      </c>
      <c r="N1919" s="71" t="str">
        <f>IF(AND(fiche_sel&lt;&gt;"",A1919=fiche_sel),COUNTIF(A$6:A1919,fiche_sel),"")</f>
        <v/>
      </c>
    </row>
    <row r="1920">
      <c r="A1920" s="60" t="n"/>
      <c r="B1920" s="73" t="n"/>
      <c r="C1920" s="60" t="n"/>
      <c r="D1920" s="61" t="n"/>
      <c r="E1920" s="74" t="n"/>
      <c r="F1920" s="74" t="n"/>
      <c r="G1920" s="73" t="n"/>
      <c r="H1920" s="66" t="str">
        <f>IF(M1920&lt;&gt;"OK","",INDEX(po_mo,MATCH(D1920,po_code,0)))</f>
        <v/>
      </c>
      <c r="I1920" s="66" t="str">
        <f>IF(M1920&lt;&gt;"OK","",INDEX(po_mac,MATCH(D1920,po_code,0)))</f>
        <v/>
      </c>
      <c r="J1920" s="66" t="str">
        <f>IF(M1920&lt;&gt;"OK","",N(E1920)*(H1920*IF(G1920="",1,G1920)+I1920))</f>
        <v/>
      </c>
      <c r="K1920" s="66" t="str">
        <f>IF(M1920&lt;&gt;"OK","",N(F1920)/60*H1920*IF(G1920="",1,G1920))</f>
        <v/>
      </c>
      <c r="L1920" s="66" t="str">
        <f>IF(M1920&lt;&gt;"OK","",N(F1920)/60*I1920)</f>
        <v/>
      </c>
      <c r="M1920" s="69" t="str">
        <f>IF(AND(A1920="",D1920=""),"",IF(A1920="","Produit manquant",IF(COUNTIF(prod_ref,A1920)=0,"Produit inconnu",IF(D1920="","Poste manquant",IF(ISNA(MATCH(D1920,po_code,0)),"Poste inconnu",IF(INDEX(po_check,MATCH(D1920,po_code,0))&lt;&gt;"OK","Poste à corriger",IF(AND(E1920&lt;&gt;"",OR(NOT(ISNUMBER(E1920)),N(E1920)&lt;0)),"Réglage invalide",IF(AND(F1920&lt;&gt;"",OR(NOT(ISNUMBER(F1920)),N(F1920)&lt;0)),"Temps par pièce invalide",IF(N(E1920)+N(F1920)=0,"Temps manquant",IF(AND(G1920&lt;&gt;"",OR(NOT(ISNUMBER(G1920)),N(G1920)&lt;=0)),"Opérateurs invalide","OK"))))))))))</f>
        <v/>
      </c>
      <c r="N1920" s="71" t="str">
        <f>IF(AND(fiche_sel&lt;&gt;"",A1920=fiche_sel),COUNTIF(A$6:A1920,fiche_sel),"")</f>
        <v/>
      </c>
    </row>
    <row r="1921">
      <c r="A1921" s="60" t="n"/>
      <c r="B1921" s="73" t="n"/>
      <c r="C1921" s="60" t="n"/>
      <c r="D1921" s="61" t="n"/>
      <c r="E1921" s="74" t="n"/>
      <c r="F1921" s="74" t="n"/>
      <c r="G1921" s="73" t="n"/>
      <c r="H1921" s="66" t="str">
        <f>IF(M1921&lt;&gt;"OK","",INDEX(po_mo,MATCH(D1921,po_code,0)))</f>
        <v/>
      </c>
      <c r="I1921" s="66" t="str">
        <f>IF(M1921&lt;&gt;"OK","",INDEX(po_mac,MATCH(D1921,po_code,0)))</f>
        <v/>
      </c>
      <c r="J1921" s="66" t="str">
        <f>IF(M1921&lt;&gt;"OK","",N(E1921)*(H1921*IF(G1921="",1,G1921)+I1921))</f>
        <v/>
      </c>
      <c r="K1921" s="66" t="str">
        <f>IF(M1921&lt;&gt;"OK","",N(F1921)/60*H1921*IF(G1921="",1,G1921))</f>
        <v/>
      </c>
      <c r="L1921" s="66" t="str">
        <f>IF(M1921&lt;&gt;"OK","",N(F1921)/60*I1921)</f>
        <v/>
      </c>
      <c r="M1921" s="69" t="str">
        <f>IF(AND(A1921="",D1921=""),"",IF(A1921="","Produit manquant",IF(COUNTIF(prod_ref,A1921)=0,"Produit inconnu",IF(D1921="","Poste manquant",IF(ISNA(MATCH(D1921,po_code,0)),"Poste inconnu",IF(INDEX(po_check,MATCH(D1921,po_code,0))&lt;&gt;"OK","Poste à corriger",IF(AND(E1921&lt;&gt;"",OR(NOT(ISNUMBER(E1921)),N(E1921)&lt;0)),"Réglage invalide",IF(AND(F1921&lt;&gt;"",OR(NOT(ISNUMBER(F1921)),N(F1921)&lt;0)),"Temps par pièce invalide",IF(N(E1921)+N(F1921)=0,"Temps manquant",IF(AND(G1921&lt;&gt;"",OR(NOT(ISNUMBER(G1921)),N(G1921)&lt;=0)),"Opérateurs invalide","OK"))))))))))</f>
        <v/>
      </c>
      <c r="N1921" s="71" t="str">
        <f>IF(AND(fiche_sel&lt;&gt;"",A1921=fiche_sel),COUNTIF(A$6:A1921,fiche_sel),"")</f>
        <v/>
      </c>
    </row>
    <row r="1922">
      <c r="A1922" s="60" t="n"/>
      <c r="B1922" s="73" t="n"/>
      <c r="C1922" s="60" t="n"/>
      <c r="D1922" s="61" t="n"/>
      <c r="E1922" s="74" t="n"/>
      <c r="F1922" s="74" t="n"/>
      <c r="G1922" s="73" t="n"/>
      <c r="H1922" s="66" t="str">
        <f>IF(M1922&lt;&gt;"OK","",INDEX(po_mo,MATCH(D1922,po_code,0)))</f>
        <v/>
      </c>
      <c r="I1922" s="66" t="str">
        <f>IF(M1922&lt;&gt;"OK","",INDEX(po_mac,MATCH(D1922,po_code,0)))</f>
        <v/>
      </c>
      <c r="J1922" s="66" t="str">
        <f>IF(M1922&lt;&gt;"OK","",N(E1922)*(H1922*IF(G1922="",1,G1922)+I1922))</f>
        <v/>
      </c>
      <c r="K1922" s="66" t="str">
        <f>IF(M1922&lt;&gt;"OK","",N(F1922)/60*H1922*IF(G1922="",1,G1922))</f>
        <v/>
      </c>
      <c r="L1922" s="66" t="str">
        <f>IF(M1922&lt;&gt;"OK","",N(F1922)/60*I1922)</f>
        <v/>
      </c>
      <c r="M1922" s="69" t="str">
        <f>IF(AND(A1922="",D1922=""),"",IF(A1922="","Produit manquant",IF(COUNTIF(prod_ref,A1922)=0,"Produit inconnu",IF(D1922="","Poste manquant",IF(ISNA(MATCH(D1922,po_code,0)),"Poste inconnu",IF(INDEX(po_check,MATCH(D1922,po_code,0))&lt;&gt;"OK","Poste à corriger",IF(AND(E1922&lt;&gt;"",OR(NOT(ISNUMBER(E1922)),N(E1922)&lt;0)),"Réglage invalide",IF(AND(F1922&lt;&gt;"",OR(NOT(ISNUMBER(F1922)),N(F1922)&lt;0)),"Temps par pièce invalide",IF(N(E1922)+N(F1922)=0,"Temps manquant",IF(AND(G1922&lt;&gt;"",OR(NOT(ISNUMBER(G1922)),N(G1922)&lt;=0)),"Opérateurs invalide","OK"))))))))))</f>
        <v/>
      </c>
      <c r="N1922" s="71" t="str">
        <f>IF(AND(fiche_sel&lt;&gt;"",A1922=fiche_sel),COUNTIF(A$6:A1922,fiche_sel),"")</f>
        <v/>
      </c>
    </row>
    <row r="1923">
      <c r="A1923" s="60" t="n"/>
      <c r="B1923" s="73" t="n"/>
      <c r="C1923" s="60" t="n"/>
      <c r="D1923" s="61" t="n"/>
      <c r="E1923" s="74" t="n"/>
      <c r="F1923" s="74" t="n"/>
      <c r="G1923" s="73" t="n"/>
      <c r="H1923" s="66" t="str">
        <f>IF(M1923&lt;&gt;"OK","",INDEX(po_mo,MATCH(D1923,po_code,0)))</f>
        <v/>
      </c>
      <c r="I1923" s="66" t="str">
        <f>IF(M1923&lt;&gt;"OK","",INDEX(po_mac,MATCH(D1923,po_code,0)))</f>
        <v/>
      </c>
      <c r="J1923" s="66" t="str">
        <f>IF(M1923&lt;&gt;"OK","",N(E1923)*(H1923*IF(G1923="",1,G1923)+I1923))</f>
        <v/>
      </c>
      <c r="K1923" s="66" t="str">
        <f>IF(M1923&lt;&gt;"OK","",N(F1923)/60*H1923*IF(G1923="",1,G1923))</f>
        <v/>
      </c>
      <c r="L1923" s="66" t="str">
        <f>IF(M1923&lt;&gt;"OK","",N(F1923)/60*I1923)</f>
        <v/>
      </c>
      <c r="M1923" s="69" t="str">
        <f>IF(AND(A1923="",D1923=""),"",IF(A1923="","Produit manquant",IF(COUNTIF(prod_ref,A1923)=0,"Produit inconnu",IF(D1923="","Poste manquant",IF(ISNA(MATCH(D1923,po_code,0)),"Poste inconnu",IF(INDEX(po_check,MATCH(D1923,po_code,0))&lt;&gt;"OK","Poste à corriger",IF(AND(E1923&lt;&gt;"",OR(NOT(ISNUMBER(E1923)),N(E1923)&lt;0)),"Réglage invalide",IF(AND(F1923&lt;&gt;"",OR(NOT(ISNUMBER(F1923)),N(F1923)&lt;0)),"Temps par pièce invalide",IF(N(E1923)+N(F1923)=0,"Temps manquant",IF(AND(G1923&lt;&gt;"",OR(NOT(ISNUMBER(G1923)),N(G1923)&lt;=0)),"Opérateurs invalide","OK"))))))))))</f>
        <v/>
      </c>
      <c r="N1923" s="71" t="str">
        <f>IF(AND(fiche_sel&lt;&gt;"",A1923=fiche_sel),COUNTIF(A$6:A1923,fiche_sel),"")</f>
        <v/>
      </c>
    </row>
    <row r="1924">
      <c r="A1924" s="60" t="n"/>
      <c r="B1924" s="73" t="n"/>
      <c r="C1924" s="60" t="n"/>
      <c r="D1924" s="61" t="n"/>
      <c r="E1924" s="74" t="n"/>
      <c r="F1924" s="74" t="n"/>
      <c r="G1924" s="73" t="n"/>
      <c r="H1924" s="66" t="str">
        <f>IF(M1924&lt;&gt;"OK","",INDEX(po_mo,MATCH(D1924,po_code,0)))</f>
        <v/>
      </c>
      <c r="I1924" s="66" t="str">
        <f>IF(M1924&lt;&gt;"OK","",INDEX(po_mac,MATCH(D1924,po_code,0)))</f>
        <v/>
      </c>
      <c r="J1924" s="66" t="str">
        <f>IF(M1924&lt;&gt;"OK","",N(E1924)*(H1924*IF(G1924="",1,G1924)+I1924))</f>
        <v/>
      </c>
      <c r="K1924" s="66" t="str">
        <f>IF(M1924&lt;&gt;"OK","",N(F1924)/60*H1924*IF(G1924="",1,G1924))</f>
        <v/>
      </c>
      <c r="L1924" s="66" t="str">
        <f>IF(M1924&lt;&gt;"OK","",N(F1924)/60*I1924)</f>
        <v/>
      </c>
      <c r="M1924" s="69" t="str">
        <f>IF(AND(A1924="",D1924=""),"",IF(A1924="","Produit manquant",IF(COUNTIF(prod_ref,A1924)=0,"Produit inconnu",IF(D1924="","Poste manquant",IF(ISNA(MATCH(D1924,po_code,0)),"Poste inconnu",IF(INDEX(po_check,MATCH(D1924,po_code,0))&lt;&gt;"OK","Poste à corriger",IF(AND(E1924&lt;&gt;"",OR(NOT(ISNUMBER(E1924)),N(E1924)&lt;0)),"Réglage invalide",IF(AND(F1924&lt;&gt;"",OR(NOT(ISNUMBER(F1924)),N(F1924)&lt;0)),"Temps par pièce invalide",IF(N(E1924)+N(F1924)=0,"Temps manquant",IF(AND(G1924&lt;&gt;"",OR(NOT(ISNUMBER(G1924)),N(G1924)&lt;=0)),"Opérateurs invalide","OK"))))))))))</f>
        <v/>
      </c>
      <c r="N1924" s="71" t="str">
        <f>IF(AND(fiche_sel&lt;&gt;"",A1924=fiche_sel),COUNTIF(A$6:A1924,fiche_sel),"")</f>
        <v/>
      </c>
    </row>
    <row r="1925">
      <c r="A1925" s="60" t="n"/>
      <c r="B1925" s="73" t="n"/>
      <c r="C1925" s="60" t="n"/>
      <c r="D1925" s="61" t="n"/>
      <c r="E1925" s="74" t="n"/>
      <c r="F1925" s="74" t="n"/>
      <c r="G1925" s="73" t="n"/>
      <c r="H1925" s="66" t="str">
        <f>IF(M1925&lt;&gt;"OK","",INDEX(po_mo,MATCH(D1925,po_code,0)))</f>
        <v/>
      </c>
      <c r="I1925" s="66" t="str">
        <f>IF(M1925&lt;&gt;"OK","",INDEX(po_mac,MATCH(D1925,po_code,0)))</f>
        <v/>
      </c>
      <c r="J1925" s="66" t="str">
        <f>IF(M1925&lt;&gt;"OK","",N(E1925)*(H1925*IF(G1925="",1,G1925)+I1925))</f>
        <v/>
      </c>
      <c r="K1925" s="66" t="str">
        <f>IF(M1925&lt;&gt;"OK","",N(F1925)/60*H1925*IF(G1925="",1,G1925))</f>
        <v/>
      </c>
      <c r="L1925" s="66" t="str">
        <f>IF(M1925&lt;&gt;"OK","",N(F1925)/60*I1925)</f>
        <v/>
      </c>
      <c r="M1925" s="69" t="str">
        <f>IF(AND(A1925="",D1925=""),"",IF(A1925="","Produit manquant",IF(COUNTIF(prod_ref,A1925)=0,"Produit inconnu",IF(D1925="","Poste manquant",IF(ISNA(MATCH(D1925,po_code,0)),"Poste inconnu",IF(INDEX(po_check,MATCH(D1925,po_code,0))&lt;&gt;"OK","Poste à corriger",IF(AND(E1925&lt;&gt;"",OR(NOT(ISNUMBER(E1925)),N(E1925)&lt;0)),"Réglage invalide",IF(AND(F1925&lt;&gt;"",OR(NOT(ISNUMBER(F1925)),N(F1925)&lt;0)),"Temps par pièce invalide",IF(N(E1925)+N(F1925)=0,"Temps manquant",IF(AND(G1925&lt;&gt;"",OR(NOT(ISNUMBER(G1925)),N(G1925)&lt;=0)),"Opérateurs invalide","OK"))))))))))</f>
        <v/>
      </c>
      <c r="N1925" s="71" t="str">
        <f>IF(AND(fiche_sel&lt;&gt;"",A1925=fiche_sel),COUNTIF(A$6:A1925,fiche_sel),"")</f>
        <v/>
      </c>
    </row>
    <row r="1926">
      <c r="A1926" s="60" t="n"/>
      <c r="B1926" s="73" t="n"/>
      <c r="C1926" s="60" t="n"/>
      <c r="D1926" s="61" t="n"/>
      <c r="E1926" s="74" t="n"/>
      <c r="F1926" s="74" t="n"/>
      <c r="G1926" s="73" t="n"/>
      <c r="H1926" s="66" t="str">
        <f>IF(M1926&lt;&gt;"OK","",INDEX(po_mo,MATCH(D1926,po_code,0)))</f>
        <v/>
      </c>
      <c r="I1926" s="66" t="str">
        <f>IF(M1926&lt;&gt;"OK","",INDEX(po_mac,MATCH(D1926,po_code,0)))</f>
        <v/>
      </c>
      <c r="J1926" s="66" t="str">
        <f>IF(M1926&lt;&gt;"OK","",N(E1926)*(H1926*IF(G1926="",1,G1926)+I1926))</f>
        <v/>
      </c>
      <c r="K1926" s="66" t="str">
        <f>IF(M1926&lt;&gt;"OK","",N(F1926)/60*H1926*IF(G1926="",1,G1926))</f>
        <v/>
      </c>
      <c r="L1926" s="66" t="str">
        <f>IF(M1926&lt;&gt;"OK","",N(F1926)/60*I1926)</f>
        <v/>
      </c>
      <c r="M1926" s="69" t="str">
        <f>IF(AND(A1926="",D1926=""),"",IF(A1926="","Produit manquant",IF(COUNTIF(prod_ref,A1926)=0,"Produit inconnu",IF(D1926="","Poste manquant",IF(ISNA(MATCH(D1926,po_code,0)),"Poste inconnu",IF(INDEX(po_check,MATCH(D1926,po_code,0))&lt;&gt;"OK","Poste à corriger",IF(AND(E1926&lt;&gt;"",OR(NOT(ISNUMBER(E1926)),N(E1926)&lt;0)),"Réglage invalide",IF(AND(F1926&lt;&gt;"",OR(NOT(ISNUMBER(F1926)),N(F1926)&lt;0)),"Temps par pièce invalide",IF(N(E1926)+N(F1926)=0,"Temps manquant",IF(AND(G1926&lt;&gt;"",OR(NOT(ISNUMBER(G1926)),N(G1926)&lt;=0)),"Opérateurs invalide","OK"))))))))))</f>
        <v/>
      </c>
      <c r="N1926" s="71" t="str">
        <f>IF(AND(fiche_sel&lt;&gt;"",A1926=fiche_sel),COUNTIF(A$6:A1926,fiche_sel),"")</f>
        <v/>
      </c>
    </row>
    <row r="1927">
      <c r="A1927" s="60" t="n"/>
      <c r="B1927" s="73" t="n"/>
      <c r="C1927" s="60" t="n"/>
      <c r="D1927" s="61" t="n"/>
      <c r="E1927" s="74" t="n"/>
      <c r="F1927" s="74" t="n"/>
      <c r="G1927" s="73" t="n"/>
      <c r="H1927" s="66" t="str">
        <f>IF(M1927&lt;&gt;"OK","",INDEX(po_mo,MATCH(D1927,po_code,0)))</f>
        <v/>
      </c>
      <c r="I1927" s="66" t="str">
        <f>IF(M1927&lt;&gt;"OK","",INDEX(po_mac,MATCH(D1927,po_code,0)))</f>
        <v/>
      </c>
      <c r="J1927" s="66" t="str">
        <f>IF(M1927&lt;&gt;"OK","",N(E1927)*(H1927*IF(G1927="",1,G1927)+I1927))</f>
        <v/>
      </c>
      <c r="K1927" s="66" t="str">
        <f>IF(M1927&lt;&gt;"OK","",N(F1927)/60*H1927*IF(G1927="",1,G1927))</f>
        <v/>
      </c>
      <c r="L1927" s="66" t="str">
        <f>IF(M1927&lt;&gt;"OK","",N(F1927)/60*I1927)</f>
        <v/>
      </c>
      <c r="M1927" s="69" t="str">
        <f>IF(AND(A1927="",D1927=""),"",IF(A1927="","Produit manquant",IF(COUNTIF(prod_ref,A1927)=0,"Produit inconnu",IF(D1927="","Poste manquant",IF(ISNA(MATCH(D1927,po_code,0)),"Poste inconnu",IF(INDEX(po_check,MATCH(D1927,po_code,0))&lt;&gt;"OK","Poste à corriger",IF(AND(E1927&lt;&gt;"",OR(NOT(ISNUMBER(E1927)),N(E1927)&lt;0)),"Réglage invalide",IF(AND(F1927&lt;&gt;"",OR(NOT(ISNUMBER(F1927)),N(F1927)&lt;0)),"Temps par pièce invalide",IF(N(E1927)+N(F1927)=0,"Temps manquant",IF(AND(G1927&lt;&gt;"",OR(NOT(ISNUMBER(G1927)),N(G1927)&lt;=0)),"Opérateurs invalide","OK"))))))))))</f>
        <v/>
      </c>
      <c r="N1927" s="71" t="str">
        <f>IF(AND(fiche_sel&lt;&gt;"",A1927=fiche_sel),COUNTIF(A$6:A1927,fiche_sel),"")</f>
        <v/>
      </c>
    </row>
    <row r="1928">
      <c r="A1928" s="60" t="n"/>
      <c r="B1928" s="73" t="n"/>
      <c r="C1928" s="60" t="n"/>
      <c r="D1928" s="61" t="n"/>
      <c r="E1928" s="74" t="n"/>
      <c r="F1928" s="74" t="n"/>
      <c r="G1928" s="73" t="n"/>
      <c r="H1928" s="66" t="str">
        <f>IF(M1928&lt;&gt;"OK","",INDEX(po_mo,MATCH(D1928,po_code,0)))</f>
        <v/>
      </c>
      <c r="I1928" s="66" t="str">
        <f>IF(M1928&lt;&gt;"OK","",INDEX(po_mac,MATCH(D1928,po_code,0)))</f>
        <v/>
      </c>
      <c r="J1928" s="66" t="str">
        <f>IF(M1928&lt;&gt;"OK","",N(E1928)*(H1928*IF(G1928="",1,G1928)+I1928))</f>
        <v/>
      </c>
      <c r="K1928" s="66" t="str">
        <f>IF(M1928&lt;&gt;"OK","",N(F1928)/60*H1928*IF(G1928="",1,G1928))</f>
        <v/>
      </c>
      <c r="L1928" s="66" t="str">
        <f>IF(M1928&lt;&gt;"OK","",N(F1928)/60*I1928)</f>
        <v/>
      </c>
      <c r="M1928" s="69" t="str">
        <f>IF(AND(A1928="",D1928=""),"",IF(A1928="","Produit manquant",IF(COUNTIF(prod_ref,A1928)=0,"Produit inconnu",IF(D1928="","Poste manquant",IF(ISNA(MATCH(D1928,po_code,0)),"Poste inconnu",IF(INDEX(po_check,MATCH(D1928,po_code,0))&lt;&gt;"OK","Poste à corriger",IF(AND(E1928&lt;&gt;"",OR(NOT(ISNUMBER(E1928)),N(E1928)&lt;0)),"Réglage invalide",IF(AND(F1928&lt;&gt;"",OR(NOT(ISNUMBER(F1928)),N(F1928)&lt;0)),"Temps par pièce invalide",IF(N(E1928)+N(F1928)=0,"Temps manquant",IF(AND(G1928&lt;&gt;"",OR(NOT(ISNUMBER(G1928)),N(G1928)&lt;=0)),"Opérateurs invalide","OK"))))))))))</f>
        <v/>
      </c>
      <c r="N1928" s="71" t="str">
        <f>IF(AND(fiche_sel&lt;&gt;"",A1928=fiche_sel),COUNTIF(A$6:A1928,fiche_sel),"")</f>
        <v/>
      </c>
    </row>
    <row r="1929">
      <c r="A1929" s="60" t="n"/>
      <c r="B1929" s="73" t="n"/>
      <c r="C1929" s="60" t="n"/>
      <c r="D1929" s="61" t="n"/>
      <c r="E1929" s="74" t="n"/>
      <c r="F1929" s="74" t="n"/>
      <c r="G1929" s="73" t="n"/>
      <c r="H1929" s="66" t="str">
        <f>IF(M1929&lt;&gt;"OK","",INDEX(po_mo,MATCH(D1929,po_code,0)))</f>
        <v/>
      </c>
      <c r="I1929" s="66" t="str">
        <f>IF(M1929&lt;&gt;"OK","",INDEX(po_mac,MATCH(D1929,po_code,0)))</f>
        <v/>
      </c>
      <c r="J1929" s="66" t="str">
        <f>IF(M1929&lt;&gt;"OK","",N(E1929)*(H1929*IF(G1929="",1,G1929)+I1929))</f>
        <v/>
      </c>
      <c r="K1929" s="66" t="str">
        <f>IF(M1929&lt;&gt;"OK","",N(F1929)/60*H1929*IF(G1929="",1,G1929))</f>
        <v/>
      </c>
      <c r="L1929" s="66" t="str">
        <f>IF(M1929&lt;&gt;"OK","",N(F1929)/60*I1929)</f>
        <v/>
      </c>
      <c r="M1929" s="69" t="str">
        <f>IF(AND(A1929="",D1929=""),"",IF(A1929="","Produit manquant",IF(COUNTIF(prod_ref,A1929)=0,"Produit inconnu",IF(D1929="","Poste manquant",IF(ISNA(MATCH(D1929,po_code,0)),"Poste inconnu",IF(INDEX(po_check,MATCH(D1929,po_code,0))&lt;&gt;"OK","Poste à corriger",IF(AND(E1929&lt;&gt;"",OR(NOT(ISNUMBER(E1929)),N(E1929)&lt;0)),"Réglage invalide",IF(AND(F1929&lt;&gt;"",OR(NOT(ISNUMBER(F1929)),N(F1929)&lt;0)),"Temps par pièce invalide",IF(N(E1929)+N(F1929)=0,"Temps manquant",IF(AND(G1929&lt;&gt;"",OR(NOT(ISNUMBER(G1929)),N(G1929)&lt;=0)),"Opérateurs invalide","OK"))))))))))</f>
        <v/>
      </c>
      <c r="N1929" s="71" t="str">
        <f>IF(AND(fiche_sel&lt;&gt;"",A1929=fiche_sel),COUNTIF(A$6:A1929,fiche_sel),"")</f>
        <v/>
      </c>
    </row>
    <row r="1930">
      <c r="A1930" s="60" t="n"/>
      <c r="B1930" s="73" t="n"/>
      <c r="C1930" s="60" t="n"/>
      <c r="D1930" s="61" t="n"/>
      <c r="E1930" s="74" t="n"/>
      <c r="F1930" s="74" t="n"/>
      <c r="G1930" s="73" t="n"/>
      <c r="H1930" s="66" t="str">
        <f>IF(M1930&lt;&gt;"OK","",INDEX(po_mo,MATCH(D1930,po_code,0)))</f>
        <v/>
      </c>
      <c r="I1930" s="66" t="str">
        <f>IF(M1930&lt;&gt;"OK","",INDEX(po_mac,MATCH(D1930,po_code,0)))</f>
        <v/>
      </c>
      <c r="J1930" s="66" t="str">
        <f>IF(M1930&lt;&gt;"OK","",N(E1930)*(H1930*IF(G1930="",1,G1930)+I1930))</f>
        <v/>
      </c>
      <c r="K1930" s="66" t="str">
        <f>IF(M1930&lt;&gt;"OK","",N(F1930)/60*H1930*IF(G1930="",1,G1930))</f>
        <v/>
      </c>
      <c r="L1930" s="66" t="str">
        <f>IF(M1930&lt;&gt;"OK","",N(F1930)/60*I1930)</f>
        <v/>
      </c>
      <c r="M1930" s="69" t="str">
        <f>IF(AND(A1930="",D1930=""),"",IF(A1930="","Produit manquant",IF(COUNTIF(prod_ref,A1930)=0,"Produit inconnu",IF(D1930="","Poste manquant",IF(ISNA(MATCH(D1930,po_code,0)),"Poste inconnu",IF(INDEX(po_check,MATCH(D1930,po_code,0))&lt;&gt;"OK","Poste à corriger",IF(AND(E1930&lt;&gt;"",OR(NOT(ISNUMBER(E1930)),N(E1930)&lt;0)),"Réglage invalide",IF(AND(F1930&lt;&gt;"",OR(NOT(ISNUMBER(F1930)),N(F1930)&lt;0)),"Temps par pièce invalide",IF(N(E1930)+N(F1930)=0,"Temps manquant",IF(AND(G1930&lt;&gt;"",OR(NOT(ISNUMBER(G1930)),N(G1930)&lt;=0)),"Opérateurs invalide","OK"))))))))))</f>
        <v/>
      </c>
      <c r="N1930" s="71" t="str">
        <f>IF(AND(fiche_sel&lt;&gt;"",A1930=fiche_sel),COUNTIF(A$6:A1930,fiche_sel),"")</f>
        <v/>
      </c>
    </row>
    <row r="1931">
      <c r="A1931" s="60" t="n"/>
      <c r="B1931" s="73" t="n"/>
      <c r="C1931" s="60" t="n"/>
      <c r="D1931" s="61" t="n"/>
      <c r="E1931" s="74" t="n"/>
      <c r="F1931" s="74" t="n"/>
      <c r="G1931" s="73" t="n"/>
      <c r="H1931" s="66" t="str">
        <f>IF(M1931&lt;&gt;"OK","",INDEX(po_mo,MATCH(D1931,po_code,0)))</f>
        <v/>
      </c>
      <c r="I1931" s="66" t="str">
        <f>IF(M1931&lt;&gt;"OK","",INDEX(po_mac,MATCH(D1931,po_code,0)))</f>
        <v/>
      </c>
      <c r="J1931" s="66" t="str">
        <f>IF(M1931&lt;&gt;"OK","",N(E1931)*(H1931*IF(G1931="",1,G1931)+I1931))</f>
        <v/>
      </c>
      <c r="K1931" s="66" t="str">
        <f>IF(M1931&lt;&gt;"OK","",N(F1931)/60*H1931*IF(G1931="",1,G1931))</f>
        <v/>
      </c>
      <c r="L1931" s="66" t="str">
        <f>IF(M1931&lt;&gt;"OK","",N(F1931)/60*I1931)</f>
        <v/>
      </c>
      <c r="M1931" s="69" t="str">
        <f>IF(AND(A1931="",D1931=""),"",IF(A1931="","Produit manquant",IF(COUNTIF(prod_ref,A1931)=0,"Produit inconnu",IF(D1931="","Poste manquant",IF(ISNA(MATCH(D1931,po_code,0)),"Poste inconnu",IF(INDEX(po_check,MATCH(D1931,po_code,0))&lt;&gt;"OK","Poste à corriger",IF(AND(E1931&lt;&gt;"",OR(NOT(ISNUMBER(E1931)),N(E1931)&lt;0)),"Réglage invalide",IF(AND(F1931&lt;&gt;"",OR(NOT(ISNUMBER(F1931)),N(F1931)&lt;0)),"Temps par pièce invalide",IF(N(E1931)+N(F1931)=0,"Temps manquant",IF(AND(G1931&lt;&gt;"",OR(NOT(ISNUMBER(G1931)),N(G1931)&lt;=0)),"Opérateurs invalide","OK"))))))))))</f>
        <v/>
      </c>
      <c r="N1931" s="71" t="str">
        <f>IF(AND(fiche_sel&lt;&gt;"",A1931=fiche_sel),COUNTIF(A$6:A1931,fiche_sel),"")</f>
        <v/>
      </c>
    </row>
    <row r="1932">
      <c r="A1932" s="60" t="n"/>
      <c r="B1932" s="73" t="n"/>
      <c r="C1932" s="60" t="n"/>
      <c r="D1932" s="61" t="n"/>
      <c r="E1932" s="74" t="n"/>
      <c r="F1932" s="74" t="n"/>
      <c r="G1932" s="73" t="n"/>
      <c r="H1932" s="66" t="str">
        <f>IF(M1932&lt;&gt;"OK","",INDEX(po_mo,MATCH(D1932,po_code,0)))</f>
        <v/>
      </c>
      <c r="I1932" s="66" t="str">
        <f>IF(M1932&lt;&gt;"OK","",INDEX(po_mac,MATCH(D1932,po_code,0)))</f>
        <v/>
      </c>
      <c r="J1932" s="66" t="str">
        <f>IF(M1932&lt;&gt;"OK","",N(E1932)*(H1932*IF(G1932="",1,G1932)+I1932))</f>
        <v/>
      </c>
      <c r="K1932" s="66" t="str">
        <f>IF(M1932&lt;&gt;"OK","",N(F1932)/60*H1932*IF(G1932="",1,G1932))</f>
        <v/>
      </c>
      <c r="L1932" s="66" t="str">
        <f>IF(M1932&lt;&gt;"OK","",N(F1932)/60*I1932)</f>
        <v/>
      </c>
      <c r="M1932" s="69" t="str">
        <f>IF(AND(A1932="",D1932=""),"",IF(A1932="","Produit manquant",IF(COUNTIF(prod_ref,A1932)=0,"Produit inconnu",IF(D1932="","Poste manquant",IF(ISNA(MATCH(D1932,po_code,0)),"Poste inconnu",IF(INDEX(po_check,MATCH(D1932,po_code,0))&lt;&gt;"OK","Poste à corriger",IF(AND(E1932&lt;&gt;"",OR(NOT(ISNUMBER(E1932)),N(E1932)&lt;0)),"Réglage invalide",IF(AND(F1932&lt;&gt;"",OR(NOT(ISNUMBER(F1932)),N(F1932)&lt;0)),"Temps par pièce invalide",IF(N(E1932)+N(F1932)=0,"Temps manquant",IF(AND(G1932&lt;&gt;"",OR(NOT(ISNUMBER(G1932)),N(G1932)&lt;=0)),"Opérateurs invalide","OK"))))))))))</f>
        <v/>
      </c>
      <c r="N1932" s="71" t="str">
        <f>IF(AND(fiche_sel&lt;&gt;"",A1932=fiche_sel),COUNTIF(A$6:A1932,fiche_sel),"")</f>
        <v/>
      </c>
    </row>
    <row r="1933">
      <c r="A1933" s="60" t="n"/>
      <c r="B1933" s="73" t="n"/>
      <c r="C1933" s="60" t="n"/>
      <c r="D1933" s="61" t="n"/>
      <c r="E1933" s="74" t="n"/>
      <c r="F1933" s="74" t="n"/>
      <c r="G1933" s="73" t="n"/>
      <c r="H1933" s="66" t="str">
        <f>IF(M1933&lt;&gt;"OK","",INDEX(po_mo,MATCH(D1933,po_code,0)))</f>
        <v/>
      </c>
      <c r="I1933" s="66" t="str">
        <f>IF(M1933&lt;&gt;"OK","",INDEX(po_mac,MATCH(D1933,po_code,0)))</f>
        <v/>
      </c>
      <c r="J1933" s="66" t="str">
        <f>IF(M1933&lt;&gt;"OK","",N(E1933)*(H1933*IF(G1933="",1,G1933)+I1933))</f>
        <v/>
      </c>
      <c r="K1933" s="66" t="str">
        <f>IF(M1933&lt;&gt;"OK","",N(F1933)/60*H1933*IF(G1933="",1,G1933))</f>
        <v/>
      </c>
      <c r="L1933" s="66" t="str">
        <f>IF(M1933&lt;&gt;"OK","",N(F1933)/60*I1933)</f>
        <v/>
      </c>
      <c r="M1933" s="69" t="str">
        <f>IF(AND(A1933="",D1933=""),"",IF(A1933="","Produit manquant",IF(COUNTIF(prod_ref,A1933)=0,"Produit inconnu",IF(D1933="","Poste manquant",IF(ISNA(MATCH(D1933,po_code,0)),"Poste inconnu",IF(INDEX(po_check,MATCH(D1933,po_code,0))&lt;&gt;"OK","Poste à corriger",IF(AND(E1933&lt;&gt;"",OR(NOT(ISNUMBER(E1933)),N(E1933)&lt;0)),"Réglage invalide",IF(AND(F1933&lt;&gt;"",OR(NOT(ISNUMBER(F1933)),N(F1933)&lt;0)),"Temps par pièce invalide",IF(N(E1933)+N(F1933)=0,"Temps manquant",IF(AND(G1933&lt;&gt;"",OR(NOT(ISNUMBER(G1933)),N(G1933)&lt;=0)),"Opérateurs invalide","OK"))))))))))</f>
        <v/>
      </c>
      <c r="N1933" s="71" t="str">
        <f>IF(AND(fiche_sel&lt;&gt;"",A1933=fiche_sel),COUNTIF(A$6:A1933,fiche_sel),"")</f>
        <v/>
      </c>
    </row>
    <row r="1934">
      <c r="A1934" s="60" t="n"/>
      <c r="B1934" s="73" t="n"/>
      <c r="C1934" s="60" t="n"/>
      <c r="D1934" s="61" t="n"/>
      <c r="E1934" s="74" t="n"/>
      <c r="F1934" s="74" t="n"/>
      <c r="G1934" s="73" t="n"/>
      <c r="H1934" s="66" t="str">
        <f>IF(M1934&lt;&gt;"OK","",INDEX(po_mo,MATCH(D1934,po_code,0)))</f>
        <v/>
      </c>
      <c r="I1934" s="66" t="str">
        <f>IF(M1934&lt;&gt;"OK","",INDEX(po_mac,MATCH(D1934,po_code,0)))</f>
        <v/>
      </c>
      <c r="J1934" s="66" t="str">
        <f>IF(M1934&lt;&gt;"OK","",N(E1934)*(H1934*IF(G1934="",1,G1934)+I1934))</f>
        <v/>
      </c>
      <c r="K1934" s="66" t="str">
        <f>IF(M1934&lt;&gt;"OK","",N(F1934)/60*H1934*IF(G1934="",1,G1934))</f>
        <v/>
      </c>
      <c r="L1934" s="66" t="str">
        <f>IF(M1934&lt;&gt;"OK","",N(F1934)/60*I1934)</f>
        <v/>
      </c>
      <c r="M1934" s="69" t="str">
        <f>IF(AND(A1934="",D1934=""),"",IF(A1934="","Produit manquant",IF(COUNTIF(prod_ref,A1934)=0,"Produit inconnu",IF(D1934="","Poste manquant",IF(ISNA(MATCH(D1934,po_code,0)),"Poste inconnu",IF(INDEX(po_check,MATCH(D1934,po_code,0))&lt;&gt;"OK","Poste à corriger",IF(AND(E1934&lt;&gt;"",OR(NOT(ISNUMBER(E1934)),N(E1934)&lt;0)),"Réglage invalide",IF(AND(F1934&lt;&gt;"",OR(NOT(ISNUMBER(F1934)),N(F1934)&lt;0)),"Temps par pièce invalide",IF(N(E1934)+N(F1934)=0,"Temps manquant",IF(AND(G1934&lt;&gt;"",OR(NOT(ISNUMBER(G1934)),N(G1934)&lt;=0)),"Opérateurs invalide","OK"))))))))))</f>
        <v/>
      </c>
      <c r="N1934" s="71" t="str">
        <f>IF(AND(fiche_sel&lt;&gt;"",A1934=fiche_sel),COUNTIF(A$6:A1934,fiche_sel),"")</f>
        <v/>
      </c>
    </row>
    <row r="1935">
      <c r="A1935" s="60" t="n"/>
      <c r="B1935" s="73" t="n"/>
      <c r="C1935" s="60" t="n"/>
      <c r="D1935" s="61" t="n"/>
      <c r="E1935" s="74" t="n"/>
      <c r="F1935" s="74" t="n"/>
      <c r="G1935" s="73" t="n"/>
      <c r="H1935" s="66" t="str">
        <f>IF(M1935&lt;&gt;"OK","",INDEX(po_mo,MATCH(D1935,po_code,0)))</f>
        <v/>
      </c>
      <c r="I1935" s="66" t="str">
        <f>IF(M1935&lt;&gt;"OK","",INDEX(po_mac,MATCH(D1935,po_code,0)))</f>
        <v/>
      </c>
      <c r="J1935" s="66" t="str">
        <f>IF(M1935&lt;&gt;"OK","",N(E1935)*(H1935*IF(G1935="",1,G1935)+I1935))</f>
        <v/>
      </c>
      <c r="K1935" s="66" t="str">
        <f>IF(M1935&lt;&gt;"OK","",N(F1935)/60*H1935*IF(G1935="",1,G1935))</f>
        <v/>
      </c>
      <c r="L1935" s="66" t="str">
        <f>IF(M1935&lt;&gt;"OK","",N(F1935)/60*I1935)</f>
        <v/>
      </c>
      <c r="M1935" s="69" t="str">
        <f>IF(AND(A1935="",D1935=""),"",IF(A1935="","Produit manquant",IF(COUNTIF(prod_ref,A1935)=0,"Produit inconnu",IF(D1935="","Poste manquant",IF(ISNA(MATCH(D1935,po_code,0)),"Poste inconnu",IF(INDEX(po_check,MATCH(D1935,po_code,0))&lt;&gt;"OK","Poste à corriger",IF(AND(E1935&lt;&gt;"",OR(NOT(ISNUMBER(E1935)),N(E1935)&lt;0)),"Réglage invalide",IF(AND(F1935&lt;&gt;"",OR(NOT(ISNUMBER(F1935)),N(F1935)&lt;0)),"Temps par pièce invalide",IF(N(E1935)+N(F1935)=0,"Temps manquant",IF(AND(G1935&lt;&gt;"",OR(NOT(ISNUMBER(G1935)),N(G1935)&lt;=0)),"Opérateurs invalide","OK"))))))))))</f>
        <v/>
      </c>
      <c r="N1935" s="71" t="str">
        <f>IF(AND(fiche_sel&lt;&gt;"",A1935=fiche_sel),COUNTIF(A$6:A1935,fiche_sel),"")</f>
        <v/>
      </c>
    </row>
    <row r="1936">
      <c r="A1936" s="60" t="n"/>
      <c r="B1936" s="73" t="n"/>
      <c r="C1936" s="60" t="n"/>
      <c r="D1936" s="61" t="n"/>
      <c r="E1936" s="74" t="n"/>
      <c r="F1936" s="74" t="n"/>
      <c r="G1936" s="73" t="n"/>
      <c r="H1936" s="66" t="str">
        <f>IF(M1936&lt;&gt;"OK","",INDEX(po_mo,MATCH(D1936,po_code,0)))</f>
        <v/>
      </c>
      <c r="I1936" s="66" t="str">
        <f>IF(M1936&lt;&gt;"OK","",INDEX(po_mac,MATCH(D1936,po_code,0)))</f>
        <v/>
      </c>
      <c r="J1936" s="66" t="str">
        <f>IF(M1936&lt;&gt;"OK","",N(E1936)*(H1936*IF(G1936="",1,G1936)+I1936))</f>
        <v/>
      </c>
      <c r="K1936" s="66" t="str">
        <f>IF(M1936&lt;&gt;"OK","",N(F1936)/60*H1936*IF(G1936="",1,G1936))</f>
        <v/>
      </c>
      <c r="L1936" s="66" t="str">
        <f>IF(M1936&lt;&gt;"OK","",N(F1936)/60*I1936)</f>
        <v/>
      </c>
      <c r="M1936" s="69" t="str">
        <f>IF(AND(A1936="",D1936=""),"",IF(A1936="","Produit manquant",IF(COUNTIF(prod_ref,A1936)=0,"Produit inconnu",IF(D1936="","Poste manquant",IF(ISNA(MATCH(D1936,po_code,0)),"Poste inconnu",IF(INDEX(po_check,MATCH(D1936,po_code,0))&lt;&gt;"OK","Poste à corriger",IF(AND(E1936&lt;&gt;"",OR(NOT(ISNUMBER(E1936)),N(E1936)&lt;0)),"Réglage invalide",IF(AND(F1936&lt;&gt;"",OR(NOT(ISNUMBER(F1936)),N(F1936)&lt;0)),"Temps par pièce invalide",IF(N(E1936)+N(F1936)=0,"Temps manquant",IF(AND(G1936&lt;&gt;"",OR(NOT(ISNUMBER(G1936)),N(G1936)&lt;=0)),"Opérateurs invalide","OK"))))))))))</f>
        <v/>
      </c>
      <c r="N1936" s="71" t="str">
        <f>IF(AND(fiche_sel&lt;&gt;"",A1936=fiche_sel),COUNTIF(A$6:A1936,fiche_sel),"")</f>
        <v/>
      </c>
    </row>
    <row r="1937">
      <c r="A1937" s="60" t="n"/>
      <c r="B1937" s="73" t="n"/>
      <c r="C1937" s="60" t="n"/>
      <c r="D1937" s="61" t="n"/>
      <c r="E1937" s="74" t="n"/>
      <c r="F1937" s="74" t="n"/>
      <c r="G1937" s="73" t="n"/>
      <c r="H1937" s="66" t="str">
        <f>IF(M1937&lt;&gt;"OK","",INDEX(po_mo,MATCH(D1937,po_code,0)))</f>
        <v/>
      </c>
      <c r="I1937" s="66" t="str">
        <f>IF(M1937&lt;&gt;"OK","",INDEX(po_mac,MATCH(D1937,po_code,0)))</f>
        <v/>
      </c>
      <c r="J1937" s="66" t="str">
        <f>IF(M1937&lt;&gt;"OK","",N(E1937)*(H1937*IF(G1937="",1,G1937)+I1937))</f>
        <v/>
      </c>
      <c r="K1937" s="66" t="str">
        <f>IF(M1937&lt;&gt;"OK","",N(F1937)/60*H1937*IF(G1937="",1,G1937))</f>
        <v/>
      </c>
      <c r="L1937" s="66" t="str">
        <f>IF(M1937&lt;&gt;"OK","",N(F1937)/60*I1937)</f>
        <v/>
      </c>
      <c r="M1937" s="69" t="str">
        <f>IF(AND(A1937="",D1937=""),"",IF(A1937="","Produit manquant",IF(COUNTIF(prod_ref,A1937)=0,"Produit inconnu",IF(D1937="","Poste manquant",IF(ISNA(MATCH(D1937,po_code,0)),"Poste inconnu",IF(INDEX(po_check,MATCH(D1937,po_code,0))&lt;&gt;"OK","Poste à corriger",IF(AND(E1937&lt;&gt;"",OR(NOT(ISNUMBER(E1937)),N(E1937)&lt;0)),"Réglage invalide",IF(AND(F1937&lt;&gt;"",OR(NOT(ISNUMBER(F1937)),N(F1937)&lt;0)),"Temps par pièce invalide",IF(N(E1937)+N(F1937)=0,"Temps manquant",IF(AND(G1937&lt;&gt;"",OR(NOT(ISNUMBER(G1937)),N(G1937)&lt;=0)),"Opérateurs invalide","OK"))))))))))</f>
        <v/>
      </c>
      <c r="N1937" s="71" t="str">
        <f>IF(AND(fiche_sel&lt;&gt;"",A1937=fiche_sel),COUNTIF(A$6:A1937,fiche_sel),"")</f>
        <v/>
      </c>
    </row>
    <row r="1938">
      <c r="A1938" s="60" t="n"/>
      <c r="B1938" s="73" t="n"/>
      <c r="C1938" s="60" t="n"/>
      <c r="D1938" s="61" t="n"/>
      <c r="E1938" s="74" t="n"/>
      <c r="F1938" s="74" t="n"/>
      <c r="G1938" s="73" t="n"/>
      <c r="H1938" s="66" t="str">
        <f>IF(M1938&lt;&gt;"OK","",INDEX(po_mo,MATCH(D1938,po_code,0)))</f>
        <v/>
      </c>
      <c r="I1938" s="66" t="str">
        <f>IF(M1938&lt;&gt;"OK","",INDEX(po_mac,MATCH(D1938,po_code,0)))</f>
        <v/>
      </c>
      <c r="J1938" s="66" t="str">
        <f>IF(M1938&lt;&gt;"OK","",N(E1938)*(H1938*IF(G1938="",1,G1938)+I1938))</f>
        <v/>
      </c>
      <c r="K1938" s="66" t="str">
        <f>IF(M1938&lt;&gt;"OK","",N(F1938)/60*H1938*IF(G1938="",1,G1938))</f>
        <v/>
      </c>
      <c r="L1938" s="66" t="str">
        <f>IF(M1938&lt;&gt;"OK","",N(F1938)/60*I1938)</f>
        <v/>
      </c>
      <c r="M1938" s="69" t="str">
        <f>IF(AND(A1938="",D1938=""),"",IF(A1938="","Produit manquant",IF(COUNTIF(prod_ref,A1938)=0,"Produit inconnu",IF(D1938="","Poste manquant",IF(ISNA(MATCH(D1938,po_code,0)),"Poste inconnu",IF(INDEX(po_check,MATCH(D1938,po_code,0))&lt;&gt;"OK","Poste à corriger",IF(AND(E1938&lt;&gt;"",OR(NOT(ISNUMBER(E1938)),N(E1938)&lt;0)),"Réglage invalide",IF(AND(F1938&lt;&gt;"",OR(NOT(ISNUMBER(F1938)),N(F1938)&lt;0)),"Temps par pièce invalide",IF(N(E1938)+N(F1938)=0,"Temps manquant",IF(AND(G1938&lt;&gt;"",OR(NOT(ISNUMBER(G1938)),N(G1938)&lt;=0)),"Opérateurs invalide","OK"))))))))))</f>
        <v/>
      </c>
      <c r="N1938" s="71" t="str">
        <f>IF(AND(fiche_sel&lt;&gt;"",A1938=fiche_sel),COUNTIF(A$6:A1938,fiche_sel),"")</f>
        <v/>
      </c>
    </row>
    <row r="1939">
      <c r="A1939" s="60" t="n"/>
      <c r="B1939" s="73" t="n"/>
      <c r="C1939" s="60" t="n"/>
      <c r="D1939" s="61" t="n"/>
      <c r="E1939" s="74" t="n"/>
      <c r="F1939" s="74" t="n"/>
      <c r="G1939" s="73" t="n"/>
      <c r="H1939" s="66" t="str">
        <f>IF(M1939&lt;&gt;"OK","",INDEX(po_mo,MATCH(D1939,po_code,0)))</f>
        <v/>
      </c>
      <c r="I1939" s="66" t="str">
        <f>IF(M1939&lt;&gt;"OK","",INDEX(po_mac,MATCH(D1939,po_code,0)))</f>
        <v/>
      </c>
      <c r="J1939" s="66" t="str">
        <f>IF(M1939&lt;&gt;"OK","",N(E1939)*(H1939*IF(G1939="",1,G1939)+I1939))</f>
        <v/>
      </c>
      <c r="K1939" s="66" t="str">
        <f>IF(M1939&lt;&gt;"OK","",N(F1939)/60*H1939*IF(G1939="",1,G1939))</f>
        <v/>
      </c>
      <c r="L1939" s="66" t="str">
        <f>IF(M1939&lt;&gt;"OK","",N(F1939)/60*I1939)</f>
        <v/>
      </c>
      <c r="M1939" s="69" t="str">
        <f>IF(AND(A1939="",D1939=""),"",IF(A1939="","Produit manquant",IF(COUNTIF(prod_ref,A1939)=0,"Produit inconnu",IF(D1939="","Poste manquant",IF(ISNA(MATCH(D1939,po_code,0)),"Poste inconnu",IF(INDEX(po_check,MATCH(D1939,po_code,0))&lt;&gt;"OK","Poste à corriger",IF(AND(E1939&lt;&gt;"",OR(NOT(ISNUMBER(E1939)),N(E1939)&lt;0)),"Réglage invalide",IF(AND(F1939&lt;&gt;"",OR(NOT(ISNUMBER(F1939)),N(F1939)&lt;0)),"Temps par pièce invalide",IF(N(E1939)+N(F1939)=0,"Temps manquant",IF(AND(G1939&lt;&gt;"",OR(NOT(ISNUMBER(G1939)),N(G1939)&lt;=0)),"Opérateurs invalide","OK"))))))))))</f>
        <v/>
      </c>
      <c r="N1939" s="71" t="str">
        <f>IF(AND(fiche_sel&lt;&gt;"",A1939=fiche_sel),COUNTIF(A$6:A1939,fiche_sel),"")</f>
        <v/>
      </c>
    </row>
    <row r="1940">
      <c r="A1940" s="60" t="n"/>
      <c r="B1940" s="73" t="n"/>
      <c r="C1940" s="60" t="n"/>
      <c r="D1940" s="61" t="n"/>
      <c r="E1940" s="74" t="n"/>
      <c r="F1940" s="74" t="n"/>
      <c r="G1940" s="73" t="n"/>
      <c r="H1940" s="66" t="str">
        <f>IF(M1940&lt;&gt;"OK","",INDEX(po_mo,MATCH(D1940,po_code,0)))</f>
        <v/>
      </c>
      <c r="I1940" s="66" t="str">
        <f>IF(M1940&lt;&gt;"OK","",INDEX(po_mac,MATCH(D1940,po_code,0)))</f>
        <v/>
      </c>
      <c r="J1940" s="66" t="str">
        <f>IF(M1940&lt;&gt;"OK","",N(E1940)*(H1940*IF(G1940="",1,G1940)+I1940))</f>
        <v/>
      </c>
      <c r="K1940" s="66" t="str">
        <f>IF(M1940&lt;&gt;"OK","",N(F1940)/60*H1940*IF(G1940="",1,G1940))</f>
        <v/>
      </c>
      <c r="L1940" s="66" t="str">
        <f>IF(M1940&lt;&gt;"OK","",N(F1940)/60*I1940)</f>
        <v/>
      </c>
      <c r="M1940" s="69" t="str">
        <f>IF(AND(A1940="",D1940=""),"",IF(A1940="","Produit manquant",IF(COUNTIF(prod_ref,A1940)=0,"Produit inconnu",IF(D1940="","Poste manquant",IF(ISNA(MATCH(D1940,po_code,0)),"Poste inconnu",IF(INDEX(po_check,MATCH(D1940,po_code,0))&lt;&gt;"OK","Poste à corriger",IF(AND(E1940&lt;&gt;"",OR(NOT(ISNUMBER(E1940)),N(E1940)&lt;0)),"Réglage invalide",IF(AND(F1940&lt;&gt;"",OR(NOT(ISNUMBER(F1940)),N(F1940)&lt;0)),"Temps par pièce invalide",IF(N(E1940)+N(F1940)=0,"Temps manquant",IF(AND(G1940&lt;&gt;"",OR(NOT(ISNUMBER(G1940)),N(G1940)&lt;=0)),"Opérateurs invalide","OK"))))))))))</f>
        <v/>
      </c>
      <c r="N1940" s="71" t="str">
        <f>IF(AND(fiche_sel&lt;&gt;"",A1940=fiche_sel),COUNTIF(A$6:A1940,fiche_sel),"")</f>
        <v/>
      </c>
    </row>
    <row r="1941">
      <c r="A1941" s="60" t="n"/>
      <c r="B1941" s="73" t="n"/>
      <c r="C1941" s="60" t="n"/>
      <c r="D1941" s="61" t="n"/>
      <c r="E1941" s="74" t="n"/>
      <c r="F1941" s="74" t="n"/>
      <c r="G1941" s="73" t="n"/>
      <c r="H1941" s="66" t="str">
        <f>IF(M1941&lt;&gt;"OK","",INDEX(po_mo,MATCH(D1941,po_code,0)))</f>
        <v/>
      </c>
      <c r="I1941" s="66" t="str">
        <f>IF(M1941&lt;&gt;"OK","",INDEX(po_mac,MATCH(D1941,po_code,0)))</f>
        <v/>
      </c>
      <c r="J1941" s="66" t="str">
        <f>IF(M1941&lt;&gt;"OK","",N(E1941)*(H1941*IF(G1941="",1,G1941)+I1941))</f>
        <v/>
      </c>
      <c r="K1941" s="66" t="str">
        <f>IF(M1941&lt;&gt;"OK","",N(F1941)/60*H1941*IF(G1941="",1,G1941))</f>
        <v/>
      </c>
      <c r="L1941" s="66" t="str">
        <f>IF(M1941&lt;&gt;"OK","",N(F1941)/60*I1941)</f>
        <v/>
      </c>
      <c r="M1941" s="69" t="str">
        <f>IF(AND(A1941="",D1941=""),"",IF(A1941="","Produit manquant",IF(COUNTIF(prod_ref,A1941)=0,"Produit inconnu",IF(D1941="","Poste manquant",IF(ISNA(MATCH(D1941,po_code,0)),"Poste inconnu",IF(INDEX(po_check,MATCH(D1941,po_code,0))&lt;&gt;"OK","Poste à corriger",IF(AND(E1941&lt;&gt;"",OR(NOT(ISNUMBER(E1941)),N(E1941)&lt;0)),"Réglage invalide",IF(AND(F1941&lt;&gt;"",OR(NOT(ISNUMBER(F1941)),N(F1941)&lt;0)),"Temps par pièce invalide",IF(N(E1941)+N(F1941)=0,"Temps manquant",IF(AND(G1941&lt;&gt;"",OR(NOT(ISNUMBER(G1941)),N(G1941)&lt;=0)),"Opérateurs invalide","OK"))))))))))</f>
        <v/>
      </c>
      <c r="N1941" s="71" t="str">
        <f>IF(AND(fiche_sel&lt;&gt;"",A1941=fiche_sel),COUNTIF(A$6:A1941,fiche_sel),"")</f>
        <v/>
      </c>
    </row>
    <row r="1942">
      <c r="A1942" s="60" t="n"/>
      <c r="B1942" s="73" t="n"/>
      <c r="C1942" s="60" t="n"/>
      <c r="D1942" s="61" t="n"/>
      <c r="E1942" s="74" t="n"/>
      <c r="F1942" s="74" t="n"/>
      <c r="G1942" s="73" t="n"/>
      <c r="H1942" s="66" t="str">
        <f>IF(M1942&lt;&gt;"OK","",INDEX(po_mo,MATCH(D1942,po_code,0)))</f>
        <v/>
      </c>
      <c r="I1942" s="66" t="str">
        <f>IF(M1942&lt;&gt;"OK","",INDEX(po_mac,MATCH(D1942,po_code,0)))</f>
        <v/>
      </c>
      <c r="J1942" s="66" t="str">
        <f>IF(M1942&lt;&gt;"OK","",N(E1942)*(H1942*IF(G1942="",1,G1942)+I1942))</f>
        <v/>
      </c>
      <c r="K1942" s="66" t="str">
        <f>IF(M1942&lt;&gt;"OK","",N(F1942)/60*H1942*IF(G1942="",1,G1942))</f>
        <v/>
      </c>
      <c r="L1942" s="66" t="str">
        <f>IF(M1942&lt;&gt;"OK","",N(F1942)/60*I1942)</f>
        <v/>
      </c>
      <c r="M1942" s="69" t="str">
        <f>IF(AND(A1942="",D1942=""),"",IF(A1942="","Produit manquant",IF(COUNTIF(prod_ref,A1942)=0,"Produit inconnu",IF(D1942="","Poste manquant",IF(ISNA(MATCH(D1942,po_code,0)),"Poste inconnu",IF(INDEX(po_check,MATCH(D1942,po_code,0))&lt;&gt;"OK","Poste à corriger",IF(AND(E1942&lt;&gt;"",OR(NOT(ISNUMBER(E1942)),N(E1942)&lt;0)),"Réglage invalide",IF(AND(F1942&lt;&gt;"",OR(NOT(ISNUMBER(F1942)),N(F1942)&lt;0)),"Temps par pièce invalide",IF(N(E1942)+N(F1942)=0,"Temps manquant",IF(AND(G1942&lt;&gt;"",OR(NOT(ISNUMBER(G1942)),N(G1942)&lt;=0)),"Opérateurs invalide","OK"))))))))))</f>
        <v/>
      </c>
      <c r="N1942" s="71" t="str">
        <f>IF(AND(fiche_sel&lt;&gt;"",A1942=fiche_sel),COUNTIF(A$6:A1942,fiche_sel),"")</f>
        <v/>
      </c>
    </row>
    <row r="1943">
      <c r="A1943" s="60" t="n"/>
      <c r="B1943" s="73" t="n"/>
      <c r="C1943" s="60" t="n"/>
      <c r="D1943" s="61" t="n"/>
      <c r="E1943" s="74" t="n"/>
      <c r="F1943" s="74" t="n"/>
      <c r="G1943" s="73" t="n"/>
      <c r="H1943" s="66" t="str">
        <f>IF(M1943&lt;&gt;"OK","",INDEX(po_mo,MATCH(D1943,po_code,0)))</f>
        <v/>
      </c>
      <c r="I1943" s="66" t="str">
        <f>IF(M1943&lt;&gt;"OK","",INDEX(po_mac,MATCH(D1943,po_code,0)))</f>
        <v/>
      </c>
      <c r="J1943" s="66" t="str">
        <f>IF(M1943&lt;&gt;"OK","",N(E1943)*(H1943*IF(G1943="",1,G1943)+I1943))</f>
        <v/>
      </c>
      <c r="K1943" s="66" t="str">
        <f>IF(M1943&lt;&gt;"OK","",N(F1943)/60*H1943*IF(G1943="",1,G1943))</f>
        <v/>
      </c>
      <c r="L1943" s="66" t="str">
        <f>IF(M1943&lt;&gt;"OK","",N(F1943)/60*I1943)</f>
        <v/>
      </c>
      <c r="M1943" s="69" t="str">
        <f>IF(AND(A1943="",D1943=""),"",IF(A1943="","Produit manquant",IF(COUNTIF(prod_ref,A1943)=0,"Produit inconnu",IF(D1943="","Poste manquant",IF(ISNA(MATCH(D1943,po_code,0)),"Poste inconnu",IF(INDEX(po_check,MATCH(D1943,po_code,0))&lt;&gt;"OK","Poste à corriger",IF(AND(E1943&lt;&gt;"",OR(NOT(ISNUMBER(E1943)),N(E1943)&lt;0)),"Réglage invalide",IF(AND(F1943&lt;&gt;"",OR(NOT(ISNUMBER(F1943)),N(F1943)&lt;0)),"Temps par pièce invalide",IF(N(E1943)+N(F1943)=0,"Temps manquant",IF(AND(G1943&lt;&gt;"",OR(NOT(ISNUMBER(G1943)),N(G1943)&lt;=0)),"Opérateurs invalide","OK"))))))))))</f>
        <v/>
      </c>
      <c r="N1943" s="71" t="str">
        <f>IF(AND(fiche_sel&lt;&gt;"",A1943=fiche_sel),COUNTIF(A$6:A1943,fiche_sel),"")</f>
        <v/>
      </c>
    </row>
    <row r="1944">
      <c r="A1944" s="60" t="n"/>
      <c r="B1944" s="73" t="n"/>
      <c r="C1944" s="60" t="n"/>
      <c r="D1944" s="61" t="n"/>
      <c r="E1944" s="74" t="n"/>
      <c r="F1944" s="74" t="n"/>
      <c r="G1944" s="73" t="n"/>
      <c r="H1944" s="66" t="str">
        <f>IF(M1944&lt;&gt;"OK","",INDEX(po_mo,MATCH(D1944,po_code,0)))</f>
        <v/>
      </c>
      <c r="I1944" s="66" t="str">
        <f>IF(M1944&lt;&gt;"OK","",INDEX(po_mac,MATCH(D1944,po_code,0)))</f>
        <v/>
      </c>
      <c r="J1944" s="66" t="str">
        <f>IF(M1944&lt;&gt;"OK","",N(E1944)*(H1944*IF(G1944="",1,G1944)+I1944))</f>
        <v/>
      </c>
      <c r="K1944" s="66" t="str">
        <f>IF(M1944&lt;&gt;"OK","",N(F1944)/60*H1944*IF(G1944="",1,G1944))</f>
        <v/>
      </c>
      <c r="L1944" s="66" t="str">
        <f>IF(M1944&lt;&gt;"OK","",N(F1944)/60*I1944)</f>
        <v/>
      </c>
      <c r="M1944" s="69" t="str">
        <f>IF(AND(A1944="",D1944=""),"",IF(A1944="","Produit manquant",IF(COUNTIF(prod_ref,A1944)=0,"Produit inconnu",IF(D1944="","Poste manquant",IF(ISNA(MATCH(D1944,po_code,0)),"Poste inconnu",IF(INDEX(po_check,MATCH(D1944,po_code,0))&lt;&gt;"OK","Poste à corriger",IF(AND(E1944&lt;&gt;"",OR(NOT(ISNUMBER(E1944)),N(E1944)&lt;0)),"Réglage invalide",IF(AND(F1944&lt;&gt;"",OR(NOT(ISNUMBER(F1944)),N(F1944)&lt;0)),"Temps par pièce invalide",IF(N(E1944)+N(F1944)=0,"Temps manquant",IF(AND(G1944&lt;&gt;"",OR(NOT(ISNUMBER(G1944)),N(G1944)&lt;=0)),"Opérateurs invalide","OK"))))))))))</f>
        <v/>
      </c>
      <c r="N1944" s="71" t="str">
        <f>IF(AND(fiche_sel&lt;&gt;"",A1944=fiche_sel),COUNTIF(A$6:A1944,fiche_sel),"")</f>
        <v/>
      </c>
    </row>
    <row r="1945">
      <c r="A1945" s="60" t="n"/>
      <c r="B1945" s="73" t="n"/>
      <c r="C1945" s="60" t="n"/>
      <c r="D1945" s="61" t="n"/>
      <c r="E1945" s="74" t="n"/>
      <c r="F1945" s="74" t="n"/>
      <c r="G1945" s="73" t="n"/>
      <c r="H1945" s="66" t="str">
        <f>IF(M1945&lt;&gt;"OK","",INDEX(po_mo,MATCH(D1945,po_code,0)))</f>
        <v/>
      </c>
      <c r="I1945" s="66" t="str">
        <f>IF(M1945&lt;&gt;"OK","",INDEX(po_mac,MATCH(D1945,po_code,0)))</f>
        <v/>
      </c>
      <c r="J1945" s="66" t="str">
        <f>IF(M1945&lt;&gt;"OK","",N(E1945)*(H1945*IF(G1945="",1,G1945)+I1945))</f>
        <v/>
      </c>
      <c r="K1945" s="66" t="str">
        <f>IF(M1945&lt;&gt;"OK","",N(F1945)/60*H1945*IF(G1945="",1,G1945))</f>
        <v/>
      </c>
      <c r="L1945" s="66" t="str">
        <f>IF(M1945&lt;&gt;"OK","",N(F1945)/60*I1945)</f>
        <v/>
      </c>
      <c r="M1945" s="69" t="str">
        <f>IF(AND(A1945="",D1945=""),"",IF(A1945="","Produit manquant",IF(COUNTIF(prod_ref,A1945)=0,"Produit inconnu",IF(D1945="","Poste manquant",IF(ISNA(MATCH(D1945,po_code,0)),"Poste inconnu",IF(INDEX(po_check,MATCH(D1945,po_code,0))&lt;&gt;"OK","Poste à corriger",IF(AND(E1945&lt;&gt;"",OR(NOT(ISNUMBER(E1945)),N(E1945)&lt;0)),"Réglage invalide",IF(AND(F1945&lt;&gt;"",OR(NOT(ISNUMBER(F1945)),N(F1945)&lt;0)),"Temps par pièce invalide",IF(N(E1945)+N(F1945)=0,"Temps manquant",IF(AND(G1945&lt;&gt;"",OR(NOT(ISNUMBER(G1945)),N(G1945)&lt;=0)),"Opérateurs invalide","OK"))))))))))</f>
        <v/>
      </c>
      <c r="N1945" s="71" t="str">
        <f>IF(AND(fiche_sel&lt;&gt;"",A1945=fiche_sel),COUNTIF(A$6:A1945,fiche_sel),"")</f>
        <v/>
      </c>
    </row>
    <row r="1946">
      <c r="A1946" s="60" t="n"/>
      <c r="B1946" s="73" t="n"/>
      <c r="C1946" s="60" t="n"/>
      <c r="D1946" s="61" t="n"/>
      <c r="E1946" s="74" t="n"/>
      <c r="F1946" s="74" t="n"/>
      <c r="G1946" s="73" t="n"/>
      <c r="H1946" s="66" t="str">
        <f>IF(M1946&lt;&gt;"OK","",INDEX(po_mo,MATCH(D1946,po_code,0)))</f>
        <v/>
      </c>
      <c r="I1946" s="66" t="str">
        <f>IF(M1946&lt;&gt;"OK","",INDEX(po_mac,MATCH(D1946,po_code,0)))</f>
        <v/>
      </c>
      <c r="J1946" s="66" t="str">
        <f>IF(M1946&lt;&gt;"OK","",N(E1946)*(H1946*IF(G1946="",1,G1946)+I1946))</f>
        <v/>
      </c>
      <c r="K1946" s="66" t="str">
        <f>IF(M1946&lt;&gt;"OK","",N(F1946)/60*H1946*IF(G1946="",1,G1946))</f>
        <v/>
      </c>
      <c r="L1946" s="66" t="str">
        <f>IF(M1946&lt;&gt;"OK","",N(F1946)/60*I1946)</f>
        <v/>
      </c>
      <c r="M1946" s="69" t="str">
        <f>IF(AND(A1946="",D1946=""),"",IF(A1946="","Produit manquant",IF(COUNTIF(prod_ref,A1946)=0,"Produit inconnu",IF(D1946="","Poste manquant",IF(ISNA(MATCH(D1946,po_code,0)),"Poste inconnu",IF(INDEX(po_check,MATCH(D1946,po_code,0))&lt;&gt;"OK","Poste à corriger",IF(AND(E1946&lt;&gt;"",OR(NOT(ISNUMBER(E1946)),N(E1946)&lt;0)),"Réglage invalide",IF(AND(F1946&lt;&gt;"",OR(NOT(ISNUMBER(F1946)),N(F1946)&lt;0)),"Temps par pièce invalide",IF(N(E1946)+N(F1946)=0,"Temps manquant",IF(AND(G1946&lt;&gt;"",OR(NOT(ISNUMBER(G1946)),N(G1946)&lt;=0)),"Opérateurs invalide","OK"))))))))))</f>
        <v/>
      </c>
      <c r="N1946" s="71" t="str">
        <f>IF(AND(fiche_sel&lt;&gt;"",A1946=fiche_sel),COUNTIF(A$6:A1946,fiche_sel),"")</f>
        <v/>
      </c>
    </row>
    <row r="1947">
      <c r="A1947" s="60" t="n"/>
      <c r="B1947" s="73" t="n"/>
      <c r="C1947" s="60" t="n"/>
      <c r="D1947" s="61" t="n"/>
      <c r="E1947" s="74" t="n"/>
      <c r="F1947" s="74" t="n"/>
      <c r="G1947" s="73" t="n"/>
      <c r="H1947" s="66" t="str">
        <f>IF(M1947&lt;&gt;"OK","",INDEX(po_mo,MATCH(D1947,po_code,0)))</f>
        <v/>
      </c>
      <c r="I1947" s="66" t="str">
        <f>IF(M1947&lt;&gt;"OK","",INDEX(po_mac,MATCH(D1947,po_code,0)))</f>
        <v/>
      </c>
      <c r="J1947" s="66" t="str">
        <f>IF(M1947&lt;&gt;"OK","",N(E1947)*(H1947*IF(G1947="",1,G1947)+I1947))</f>
        <v/>
      </c>
      <c r="K1947" s="66" t="str">
        <f>IF(M1947&lt;&gt;"OK","",N(F1947)/60*H1947*IF(G1947="",1,G1947))</f>
        <v/>
      </c>
      <c r="L1947" s="66" t="str">
        <f>IF(M1947&lt;&gt;"OK","",N(F1947)/60*I1947)</f>
        <v/>
      </c>
      <c r="M1947" s="69" t="str">
        <f>IF(AND(A1947="",D1947=""),"",IF(A1947="","Produit manquant",IF(COUNTIF(prod_ref,A1947)=0,"Produit inconnu",IF(D1947="","Poste manquant",IF(ISNA(MATCH(D1947,po_code,0)),"Poste inconnu",IF(INDEX(po_check,MATCH(D1947,po_code,0))&lt;&gt;"OK","Poste à corriger",IF(AND(E1947&lt;&gt;"",OR(NOT(ISNUMBER(E1947)),N(E1947)&lt;0)),"Réglage invalide",IF(AND(F1947&lt;&gt;"",OR(NOT(ISNUMBER(F1947)),N(F1947)&lt;0)),"Temps par pièce invalide",IF(N(E1947)+N(F1947)=0,"Temps manquant",IF(AND(G1947&lt;&gt;"",OR(NOT(ISNUMBER(G1947)),N(G1947)&lt;=0)),"Opérateurs invalide","OK"))))))))))</f>
        <v/>
      </c>
      <c r="N1947" s="71" t="str">
        <f>IF(AND(fiche_sel&lt;&gt;"",A1947=fiche_sel),COUNTIF(A$6:A1947,fiche_sel),"")</f>
        <v/>
      </c>
    </row>
    <row r="1948">
      <c r="A1948" s="60" t="n"/>
      <c r="B1948" s="73" t="n"/>
      <c r="C1948" s="60" t="n"/>
      <c r="D1948" s="61" t="n"/>
      <c r="E1948" s="74" t="n"/>
      <c r="F1948" s="74" t="n"/>
      <c r="G1948" s="73" t="n"/>
      <c r="H1948" s="66" t="str">
        <f>IF(M1948&lt;&gt;"OK","",INDEX(po_mo,MATCH(D1948,po_code,0)))</f>
        <v/>
      </c>
      <c r="I1948" s="66" t="str">
        <f>IF(M1948&lt;&gt;"OK","",INDEX(po_mac,MATCH(D1948,po_code,0)))</f>
        <v/>
      </c>
      <c r="J1948" s="66" t="str">
        <f>IF(M1948&lt;&gt;"OK","",N(E1948)*(H1948*IF(G1948="",1,G1948)+I1948))</f>
        <v/>
      </c>
      <c r="K1948" s="66" t="str">
        <f>IF(M1948&lt;&gt;"OK","",N(F1948)/60*H1948*IF(G1948="",1,G1948))</f>
        <v/>
      </c>
      <c r="L1948" s="66" t="str">
        <f>IF(M1948&lt;&gt;"OK","",N(F1948)/60*I1948)</f>
        <v/>
      </c>
      <c r="M1948" s="69" t="str">
        <f>IF(AND(A1948="",D1948=""),"",IF(A1948="","Produit manquant",IF(COUNTIF(prod_ref,A1948)=0,"Produit inconnu",IF(D1948="","Poste manquant",IF(ISNA(MATCH(D1948,po_code,0)),"Poste inconnu",IF(INDEX(po_check,MATCH(D1948,po_code,0))&lt;&gt;"OK","Poste à corriger",IF(AND(E1948&lt;&gt;"",OR(NOT(ISNUMBER(E1948)),N(E1948)&lt;0)),"Réglage invalide",IF(AND(F1948&lt;&gt;"",OR(NOT(ISNUMBER(F1948)),N(F1948)&lt;0)),"Temps par pièce invalide",IF(N(E1948)+N(F1948)=0,"Temps manquant",IF(AND(G1948&lt;&gt;"",OR(NOT(ISNUMBER(G1948)),N(G1948)&lt;=0)),"Opérateurs invalide","OK"))))))))))</f>
        <v/>
      </c>
      <c r="N1948" s="71" t="str">
        <f>IF(AND(fiche_sel&lt;&gt;"",A1948=fiche_sel),COUNTIF(A$6:A1948,fiche_sel),"")</f>
        <v/>
      </c>
    </row>
    <row r="1949">
      <c r="A1949" s="60" t="n"/>
      <c r="B1949" s="73" t="n"/>
      <c r="C1949" s="60" t="n"/>
      <c r="D1949" s="61" t="n"/>
      <c r="E1949" s="74" t="n"/>
      <c r="F1949" s="74" t="n"/>
      <c r="G1949" s="73" t="n"/>
      <c r="H1949" s="66" t="str">
        <f>IF(M1949&lt;&gt;"OK","",INDEX(po_mo,MATCH(D1949,po_code,0)))</f>
        <v/>
      </c>
      <c r="I1949" s="66" t="str">
        <f>IF(M1949&lt;&gt;"OK","",INDEX(po_mac,MATCH(D1949,po_code,0)))</f>
        <v/>
      </c>
      <c r="J1949" s="66" t="str">
        <f>IF(M1949&lt;&gt;"OK","",N(E1949)*(H1949*IF(G1949="",1,G1949)+I1949))</f>
        <v/>
      </c>
      <c r="K1949" s="66" t="str">
        <f>IF(M1949&lt;&gt;"OK","",N(F1949)/60*H1949*IF(G1949="",1,G1949))</f>
        <v/>
      </c>
      <c r="L1949" s="66" t="str">
        <f>IF(M1949&lt;&gt;"OK","",N(F1949)/60*I1949)</f>
        <v/>
      </c>
      <c r="M1949" s="69" t="str">
        <f>IF(AND(A1949="",D1949=""),"",IF(A1949="","Produit manquant",IF(COUNTIF(prod_ref,A1949)=0,"Produit inconnu",IF(D1949="","Poste manquant",IF(ISNA(MATCH(D1949,po_code,0)),"Poste inconnu",IF(INDEX(po_check,MATCH(D1949,po_code,0))&lt;&gt;"OK","Poste à corriger",IF(AND(E1949&lt;&gt;"",OR(NOT(ISNUMBER(E1949)),N(E1949)&lt;0)),"Réglage invalide",IF(AND(F1949&lt;&gt;"",OR(NOT(ISNUMBER(F1949)),N(F1949)&lt;0)),"Temps par pièce invalide",IF(N(E1949)+N(F1949)=0,"Temps manquant",IF(AND(G1949&lt;&gt;"",OR(NOT(ISNUMBER(G1949)),N(G1949)&lt;=0)),"Opérateurs invalide","OK"))))))))))</f>
        <v/>
      </c>
      <c r="N1949" s="71" t="str">
        <f>IF(AND(fiche_sel&lt;&gt;"",A1949=fiche_sel),COUNTIF(A$6:A1949,fiche_sel),"")</f>
        <v/>
      </c>
    </row>
    <row r="1950">
      <c r="A1950" s="60" t="n"/>
      <c r="B1950" s="73" t="n"/>
      <c r="C1950" s="60" t="n"/>
      <c r="D1950" s="61" t="n"/>
      <c r="E1950" s="74" t="n"/>
      <c r="F1950" s="74" t="n"/>
      <c r="G1950" s="73" t="n"/>
      <c r="H1950" s="66" t="str">
        <f>IF(M1950&lt;&gt;"OK","",INDEX(po_mo,MATCH(D1950,po_code,0)))</f>
        <v/>
      </c>
      <c r="I1950" s="66" t="str">
        <f>IF(M1950&lt;&gt;"OK","",INDEX(po_mac,MATCH(D1950,po_code,0)))</f>
        <v/>
      </c>
      <c r="J1950" s="66" t="str">
        <f>IF(M1950&lt;&gt;"OK","",N(E1950)*(H1950*IF(G1950="",1,G1950)+I1950))</f>
        <v/>
      </c>
      <c r="K1950" s="66" t="str">
        <f>IF(M1950&lt;&gt;"OK","",N(F1950)/60*H1950*IF(G1950="",1,G1950))</f>
        <v/>
      </c>
      <c r="L1950" s="66" t="str">
        <f>IF(M1950&lt;&gt;"OK","",N(F1950)/60*I1950)</f>
        <v/>
      </c>
      <c r="M1950" s="69" t="str">
        <f>IF(AND(A1950="",D1950=""),"",IF(A1950="","Produit manquant",IF(COUNTIF(prod_ref,A1950)=0,"Produit inconnu",IF(D1950="","Poste manquant",IF(ISNA(MATCH(D1950,po_code,0)),"Poste inconnu",IF(INDEX(po_check,MATCH(D1950,po_code,0))&lt;&gt;"OK","Poste à corriger",IF(AND(E1950&lt;&gt;"",OR(NOT(ISNUMBER(E1950)),N(E1950)&lt;0)),"Réglage invalide",IF(AND(F1950&lt;&gt;"",OR(NOT(ISNUMBER(F1950)),N(F1950)&lt;0)),"Temps par pièce invalide",IF(N(E1950)+N(F1950)=0,"Temps manquant",IF(AND(G1950&lt;&gt;"",OR(NOT(ISNUMBER(G1950)),N(G1950)&lt;=0)),"Opérateurs invalide","OK"))))))))))</f>
        <v/>
      </c>
      <c r="N1950" s="71" t="str">
        <f>IF(AND(fiche_sel&lt;&gt;"",A1950=fiche_sel),COUNTIF(A$6:A1950,fiche_sel),"")</f>
        <v/>
      </c>
    </row>
    <row r="1951">
      <c r="A1951" s="60" t="n"/>
      <c r="B1951" s="73" t="n"/>
      <c r="C1951" s="60" t="n"/>
      <c r="D1951" s="61" t="n"/>
      <c r="E1951" s="74" t="n"/>
      <c r="F1951" s="74" t="n"/>
      <c r="G1951" s="73" t="n"/>
      <c r="H1951" s="66" t="str">
        <f>IF(M1951&lt;&gt;"OK","",INDEX(po_mo,MATCH(D1951,po_code,0)))</f>
        <v/>
      </c>
      <c r="I1951" s="66" t="str">
        <f>IF(M1951&lt;&gt;"OK","",INDEX(po_mac,MATCH(D1951,po_code,0)))</f>
        <v/>
      </c>
      <c r="J1951" s="66" t="str">
        <f>IF(M1951&lt;&gt;"OK","",N(E1951)*(H1951*IF(G1951="",1,G1951)+I1951))</f>
        <v/>
      </c>
      <c r="K1951" s="66" t="str">
        <f>IF(M1951&lt;&gt;"OK","",N(F1951)/60*H1951*IF(G1951="",1,G1951))</f>
        <v/>
      </c>
      <c r="L1951" s="66" t="str">
        <f>IF(M1951&lt;&gt;"OK","",N(F1951)/60*I1951)</f>
        <v/>
      </c>
      <c r="M1951" s="69" t="str">
        <f>IF(AND(A1951="",D1951=""),"",IF(A1951="","Produit manquant",IF(COUNTIF(prod_ref,A1951)=0,"Produit inconnu",IF(D1951="","Poste manquant",IF(ISNA(MATCH(D1951,po_code,0)),"Poste inconnu",IF(INDEX(po_check,MATCH(D1951,po_code,0))&lt;&gt;"OK","Poste à corriger",IF(AND(E1951&lt;&gt;"",OR(NOT(ISNUMBER(E1951)),N(E1951)&lt;0)),"Réglage invalide",IF(AND(F1951&lt;&gt;"",OR(NOT(ISNUMBER(F1951)),N(F1951)&lt;0)),"Temps par pièce invalide",IF(N(E1951)+N(F1951)=0,"Temps manquant",IF(AND(G1951&lt;&gt;"",OR(NOT(ISNUMBER(G1951)),N(G1951)&lt;=0)),"Opérateurs invalide","OK"))))))))))</f>
        <v/>
      </c>
      <c r="N1951" s="71" t="str">
        <f>IF(AND(fiche_sel&lt;&gt;"",A1951=fiche_sel),COUNTIF(A$6:A1951,fiche_sel),"")</f>
        <v/>
      </c>
    </row>
    <row r="1952">
      <c r="A1952" s="60" t="n"/>
      <c r="B1952" s="73" t="n"/>
      <c r="C1952" s="60" t="n"/>
      <c r="D1952" s="61" t="n"/>
      <c r="E1952" s="74" t="n"/>
      <c r="F1952" s="74" t="n"/>
      <c r="G1952" s="73" t="n"/>
      <c r="H1952" s="66" t="str">
        <f>IF(M1952&lt;&gt;"OK","",INDEX(po_mo,MATCH(D1952,po_code,0)))</f>
        <v/>
      </c>
      <c r="I1952" s="66" t="str">
        <f>IF(M1952&lt;&gt;"OK","",INDEX(po_mac,MATCH(D1952,po_code,0)))</f>
        <v/>
      </c>
      <c r="J1952" s="66" t="str">
        <f>IF(M1952&lt;&gt;"OK","",N(E1952)*(H1952*IF(G1952="",1,G1952)+I1952))</f>
        <v/>
      </c>
      <c r="K1952" s="66" t="str">
        <f>IF(M1952&lt;&gt;"OK","",N(F1952)/60*H1952*IF(G1952="",1,G1952))</f>
        <v/>
      </c>
      <c r="L1952" s="66" t="str">
        <f>IF(M1952&lt;&gt;"OK","",N(F1952)/60*I1952)</f>
        <v/>
      </c>
      <c r="M1952" s="69" t="str">
        <f>IF(AND(A1952="",D1952=""),"",IF(A1952="","Produit manquant",IF(COUNTIF(prod_ref,A1952)=0,"Produit inconnu",IF(D1952="","Poste manquant",IF(ISNA(MATCH(D1952,po_code,0)),"Poste inconnu",IF(INDEX(po_check,MATCH(D1952,po_code,0))&lt;&gt;"OK","Poste à corriger",IF(AND(E1952&lt;&gt;"",OR(NOT(ISNUMBER(E1952)),N(E1952)&lt;0)),"Réglage invalide",IF(AND(F1952&lt;&gt;"",OR(NOT(ISNUMBER(F1952)),N(F1952)&lt;0)),"Temps par pièce invalide",IF(N(E1952)+N(F1952)=0,"Temps manquant",IF(AND(G1952&lt;&gt;"",OR(NOT(ISNUMBER(G1952)),N(G1952)&lt;=0)),"Opérateurs invalide","OK"))))))))))</f>
        <v/>
      </c>
      <c r="N1952" s="71" t="str">
        <f>IF(AND(fiche_sel&lt;&gt;"",A1952=fiche_sel),COUNTIF(A$6:A1952,fiche_sel),"")</f>
        <v/>
      </c>
    </row>
    <row r="1953">
      <c r="A1953" s="60" t="n"/>
      <c r="B1953" s="73" t="n"/>
      <c r="C1953" s="60" t="n"/>
      <c r="D1953" s="61" t="n"/>
      <c r="E1953" s="74" t="n"/>
      <c r="F1953" s="74" t="n"/>
      <c r="G1953" s="73" t="n"/>
      <c r="H1953" s="66" t="str">
        <f>IF(M1953&lt;&gt;"OK","",INDEX(po_mo,MATCH(D1953,po_code,0)))</f>
        <v/>
      </c>
      <c r="I1953" s="66" t="str">
        <f>IF(M1953&lt;&gt;"OK","",INDEX(po_mac,MATCH(D1953,po_code,0)))</f>
        <v/>
      </c>
      <c r="J1953" s="66" t="str">
        <f>IF(M1953&lt;&gt;"OK","",N(E1953)*(H1953*IF(G1953="",1,G1953)+I1953))</f>
        <v/>
      </c>
      <c r="K1953" s="66" t="str">
        <f>IF(M1953&lt;&gt;"OK","",N(F1953)/60*H1953*IF(G1953="",1,G1953))</f>
        <v/>
      </c>
      <c r="L1953" s="66" t="str">
        <f>IF(M1953&lt;&gt;"OK","",N(F1953)/60*I1953)</f>
        <v/>
      </c>
      <c r="M1953" s="69" t="str">
        <f>IF(AND(A1953="",D1953=""),"",IF(A1953="","Produit manquant",IF(COUNTIF(prod_ref,A1953)=0,"Produit inconnu",IF(D1953="","Poste manquant",IF(ISNA(MATCH(D1953,po_code,0)),"Poste inconnu",IF(INDEX(po_check,MATCH(D1953,po_code,0))&lt;&gt;"OK","Poste à corriger",IF(AND(E1953&lt;&gt;"",OR(NOT(ISNUMBER(E1953)),N(E1953)&lt;0)),"Réglage invalide",IF(AND(F1953&lt;&gt;"",OR(NOT(ISNUMBER(F1953)),N(F1953)&lt;0)),"Temps par pièce invalide",IF(N(E1953)+N(F1953)=0,"Temps manquant",IF(AND(G1953&lt;&gt;"",OR(NOT(ISNUMBER(G1953)),N(G1953)&lt;=0)),"Opérateurs invalide","OK"))))))))))</f>
        <v/>
      </c>
      <c r="N1953" s="71" t="str">
        <f>IF(AND(fiche_sel&lt;&gt;"",A1953=fiche_sel),COUNTIF(A$6:A1953,fiche_sel),"")</f>
        <v/>
      </c>
    </row>
    <row r="1954">
      <c r="A1954" s="60" t="n"/>
      <c r="B1954" s="73" t="n"/>
      <c r="C1954" s="60" t="n"/>
      <c r="D1954" s="61" t="n"/>
      <c r="E1954" s="74" t="n"/>
      <c r="F1954" s="74" t="n"/>
      <c r="G1954" s="73" t="n"/>
      <c r="H1954" s="66" t="str">
        <f>IF(M1954&lt;&gt;"OK","",INDEX(po_mo,MATCH(D1954,po_code,0)))</f>
        <v/>
      </c>
      <c r="I1954" s="66" t="str">
        <f>IF(M1954&lt;&gt;"OK","",INDEX(po_mac,MATCH(D1954,po_code,0)))</f>
        <v/>
      </c>
      <c r="J1954" s="66" t="str">
        <f>IF(M1954&lt;&gt;"OK","",N(E1954)*(H1954*IF(G1954="",1,G1954)+I1954))</f>
        <v/>
      </c>
      <c r="K1954" s="66" t="str">
        <f>IF(M1954&lt;&gt;"OK","",N(F1954)/60*H1954*IF(G1954="",1,G1954))</f>
        <v/>
      </c>
      <c r="L1954" s="66" t="str">
        <f>IF(M1954&lt;&gt;"OK","",N(F1954)/60*I1954)</f>
        <v/>
      </c>
      <c r="M1954" s="69" t="str">
        <f>IF(AND(A1954="",D1954=""),"",IF(A1954="","Produit manquant",IF(COUNTIF(prod_ref,A1954)=0,"Produit inconnu",IF(D1954="","Poste manquant",IF(ISNA(MATCH(D1954,po_code,0)),"Poste inconnu",IF(INDEX(po_check,MATCH(D1954,po_code,0))&lt;&gt;"OK","Poste à corriger",IF(AND(E1954&lt;&gt;"",OR(NOT(ISNUMBER(E1954)),N(E1954)&lt;0)),"Réglage invalide",IF(AND(F1954&lt;&gt;"",OR(NOT(ISNUMBER(F1954)),N(F1954)&lt;0)),"Temps par pièce invalide",IF(N(E1954)+N(F1954)=0,"Temps manquant",IF(AND(G1954&lt;&gt;"",OR(NOT(ISNUMBER(G1954)),N(G1954)&lt;=0)),"Opérateurs invalide","OK"))))))))))</f>
        <v/>
      </c>
      <c r="N1954" s="71" t="str">
        <f>IF(AND(fiche_sel&lt;&gt;"",A1954=fiche_sel),COUNTIF(A$6:A1954,fiche_sel),"")</f>
        <v/>
      </c>
    </row>
    <row r="1955">
      <c r="A1955" s="60" t="n"/>
      <c r="B1955" s="73" t="n"/>
      <c r="C1955" s="60" t="n"/>
      <c r="D1955" s="61" t="n"/>
      <c r="E1955" s="74" t="n"/>
      <c r="F1955" s="74" t="n"/>
      <c r="G1955" s="73" t="n"/>
      <c r="H1955" s="66" t="str">
        <f>IF(M1955&lt;&gt;"OK","",INDEX(po_mo,MATCH(D1955,po_code,0)))</f>
        <v/>
      </c>
      <c r="I1955" s="66" t="str">
        <f>IF(M1955&lt;&gt;"OK","",INDEX(po_mac,MATCH(D1955,po_code,0)))</f>
        <v/>
      </c>
      <c r="J1955" s="66" t="str">
        <f>IF(M1955&lt;&gt;"OK","",N(E1955)*(H1955*IF(G1955="",1,G1955)+I1955))</f>
        <v/>
      </c>
      <c r="K1955" s="66" t="str">
        <f>IF(M1955&lt;&gt;"OK","",N(F1955)/60*H1955*IF(G1955="",1,G1955))</f>
        <v/>
      </c>
      <c r="L1955" s="66" t="str">
        <f>IF(M1955&lt;&gt;"OK","",N(F1955)/60*I1955)</f>
        <v/>
      </c>
      <c r="M1955" s="69" t="str">
        <f>IF(AND(A1955="",D1955=""),"",IF(A1955="","Produit manquant",IF(COUNTIF(prod_ref,A1955)=0,"Produit inconnu",IF(D1955="","Poste manquant",IF(ISNA(MATCH(D1955,po_code,0)),"Poste inconnu",IF(INDEX(po_check,MATCH(D1955,po_code,0))&lt;&gt;"OK","Poste à corriger",IF(AND(E1955&lt;&gt;"",OR(NOT(ISNUMBER(E1955)),N(E1955)&lt;0)),"Réglage invalide",IF(AND(F1955&lt;&gt;"",OR(NOT(ISNUMBER(F1955)),N(F1955)&lt;0)),"Temps par pièce invalide",IF(N(E1955)+N(F1955)=0,"Temps manquant",IF(AND(G1955&lt;&gt;"",OR(NOT(ISNUMBER(G1955)),N(G1955)&lt;=0)),"Opérateurs invalide","OK"))))))))))</f>
        <v/>
      </c>
      <c r="N1955" s="71" t="str">
        <f>IF(AND(fiche_sel&lt;&gt;"",A1955=fiche_sel),COUNTIF(A$6:A1955,fiche_sel),"")</f>
        <v/>
      </c>
    </row>
    <row r="1956">
      <c r="A1956" s="60" t="n"/>
      <c r="B1956" s="73" t="n"/>
      <c r="C1956" s="60" t="n"/>
      <c r="D1956" s="61" t="n"/>
      <c r="E1956" s="74" t="n"/>
      <c r="F1956" s="74" t="n"/>
      <c r="G1956" s="73" t="n"/>
      <c r="H1956" s="66" t="str">
        <f>IF(M1956&lt;&gt;"OK","",INDEX(po_mo,MATCH(D1956,po_code,0)))</f>
        <v/>
      </c>
      <c r="I1956" s="66" t="str">
        <f>IF(M1956&lt;&gt;"OK","",INDEX(po_mac,MATCH(D1956,po_code,0)))</f>
        <v/>
      </c>
      <c r="J1956" s="66" t="str">
        <f>IF(M1956&lt;&gt;"OK","",N(E1956)*(H1956*IF(G1956="",1,G1956)+I1956))</f>
        <v/>
      </c>
      <c r="K1956" s="66" t="str">
        <f>IF(M1956&lt;&gt;"OK","",N(F1956)/60*H1956*IF(G1956="",1,G1956))</f>
        <v/>
      </c>
      <c r="L1956" s="66" t="str">
        <f>IF(M1956&lt;&gt;"OK","",N(F1956)/60*I1956)</f>
        <v/>
      </c>
      <c r="M1956" s="69" t="str">
        <f>IF(AND(A1956="",D1956=""),"",IF(A1956="","Produit manquant",IF(COUNTIF(prod_ref,A1956)=0,"Produit inconnu",IF(D1956="","Poste manquant",IF(ISNA(MATCH(D1956,po_code,0)),"Poste inconnu",IF(INDEX(po_check,MATCH(D1956,po_code,0))&lt;&gt;"OK","Poste à corriger",IF(AND(E1956&lt;&gt;"",OR(NOT(ISNUMBER(E1956)),N(E1956)&lt;0)),"Réglage invalide",IF(AND(F1956&lt;&gt;"",OR(NOT(ISNUMBER(F1956)),N(F1956)&lt;0)),"Temps par pièce invalide",IF(N(E1956)+N(F1956)=0,"Temps manquant",IF(AND(G1956&lt;&gt;"",OR(NOT(ISNUMBER(G1956)),N(G1956)&lt;=0)),"Opérateurs invalide","OK"))))))))))</f>
        <v/>
      </c>
      <c r="N1956" s="71" t="str">
        <f>IF(AND(fiche_sel&lt;&gt;"",A1956=fiche_sel),COUNTIF(A$6:A1956,fiche_sel),"")</f>
        <v/>
      </c>
    </row>
    <row r="1957">
      <c r="A1957" s="60" t="n"/>
      <c r="B1957" s="73" t="n"/>
      <c r="C1957" s="60" t="n"/>
      <c r="D1957" s="61" t="n"/>
      <c r="E1957" s="74" t="n"/>
      <c r="F1957" s="74" t="n"/>
      <c r="G1957" s="73" t="n"/>
      <c r="H1957" s="66" t="str">
        <f>IF(M1957&lt;&gt;"OK","",INDEX(po_mo,MATCH(D1957,po_code,0)))</f>
        <v/>
      </c>
      <c r="I1957" s="66" t="str">
        <f>IF(M1957&lt;&gt;"OK","",INDEX(po_mac,MATCH(D1957,po_code,0)))</f>
        <v/>
      </c>
      <c r="J1957" s="66" t="str">
        <f>IF(M1957&lt;&gt;"OK","",N(E1957)*(H1957*IF(G1957="",1,G1957)+I1957))</f>
        <v/>
      </c>
      <c r="K1957" s="66" t="str">
        <f>IF(M1957&lt;&gt;"OK","",N(F1957)/60*H1957*IF(G1957="",1,G1957))</f>
        <v/>
      </c>
      <c r="L1957" s="66" t="str">
        <f>IF(M1957&lt;&gt;"OK","",N(F1957)/60*I1957)</f>
        <v/>
      </c>
      <c r="M1957" s="69" t="str">
        <f>IF(AND(A1957="",D1957=""),"",IF(A1957="","Produit manquant",IF(COUNTIF(prod_ref,A1957)=0,"Produit inconnu",IF(D1957="","Poste manquant",IF(ISNA(MATCH(D1957,po_code,0)),"Poste inconnu",IF(INDEX(po_check,MATCH(D1957,po_code,0))&lt;&gt;"OK","Poste à corriger",IF(AND(E1957&lt;&gt;"",OR(NOT(ISNUMBER(E1957)),N(E1957)&lt;0)),"Réglage invalide",IF(AND(F1957&lt;&gt;"",OR(NOT(ISNUMBER(F1957)),N(F1957)&lt;0)),"Temps par pièce invalide",IF(N(E1957)+N(F1957)=0,"Temps manquant",IF(AND(G1957&lt;&gt;"",OR(NOT(ISNUMBER(G1957)),N(G1957)&lt;=0)),"Opérateurs invalide","OK"))))))))))</f>
        <v/>
      </c>
      <c r="N1957" s="71" t="str">
        <f>IF(AND(fiche_sel&lt;&gt;"",A1957=fiche_sel),COUNTIF(A$6:A1957,fiche_sel),"")</f>
        <v/>
      </c>
    </row>
    <row r="1958">
      <c r="A1958" s="60" t="n"/>
      <c r="B1958" s="73" t="n"/>
      <c r="C1958" s="60" t="n"/>
      <c r="D1958" s="61" t="n"/>
      <c r="E1958" s="74" t="n"/>
      <c r="F1958" s="74" t="n"/>
      <c r="G1958" s="73" t="n"/>
      <c r="H1958" s="66" t="str">
        <f>IF(M1958&lt;&gt;"OK","",INDEX(po_mo,MATCH(D1958,po_code,0)))</f>
        <v/>
      </c>
      <c r="I1958" s="66" t="str">
        <f>IF(M1958&lt;&gt;"OK","",INDEX(po_mac,MATCH(D1958,po_code,0)))</f>
        <v/>
      </c>
      <c r="J1958" s="66" t="str">
        <f>IF(M1958&lt;&gt;"OK","",N(E1958)*(H1958*IF(G1958="",1,G1958)+I1958))</f>
        <v/>
      </c>
      <c r="K1958" s="66" t="str">
        <f>IF(M1958&lt;&gt;"OK","",N(F1958)/60*H1958*IF(G1958="",1,G1958))</f>
        <v/>
      </c>
      <c r="L1958" s="66" t="str">
        <f>IF(M1958&lt;&gt;"OK","",N(F1958)/60*I1958)</f>
        <v/>
      </c>
      <c r="M1958" s="69" t="str">
        <f>IF(AND(A1958="",D1958=""),"",IF(A1958="","Produit manquant",IF(COUNTIF(prod_ref,A1958)=0,"Produit inconnu",IF(D1958="","Poste manquant",IF(ISNA(MATCH(D1958,po_code,0)),"Poste inconnu",IF(INDEX(po_check,MATCH(D1958,po_code,0))&lt;&gt;"OK","Poste à corriger",IF(AND(E1958&lt;&gt;"",OR(NOT(ISNUMBER(E1958)),N(E1958)&lt;0)),"Réglage invalide",IF(AND(F1958&lt;&gt;"",OR(NOT(ISNUMBER(F1958)),N(F1958)&lt;0)),"Temps par pièce invalide",IF(N(E1958)+N(F1958)=0,"Temps manquant",IF(AND(G1958&lt;&gt;"",OR(NOT(ISNUMBER(G1958)),N(G1958)&lt;=0)),"Opérateurs invalide","OK"))))))))))</f>
        <v/>
      </c>
      <c r="N1958" s="71" t="str">
        <f>IF(AND(fiche_sel&lt;&gt;"",A1958=fiche_sel),COUNTIF(A$6:A1958,fiche_sel),"")</f>
        <v/>
      </c>
    </row>
    <row r="1959">
      <c r="A1959" s="60" t="n"/>
      <c r="B1959" s="73" t="n"/>
      <c r="C1959" s="60" t="n"/>
      <c r="D1959" s="61" t="n"/>
      <c r="E1959" s="74" t="n"/>
      <c r="F1959" s="74" t="n"/>
      <c r="G1959" s="73" t="n"/>
      <c r="H1959" s="66" t="str">
        <f>IF(M1959&lt;&gt;"OK","",INDEX(po_mo,MATCH(D1959,po_code,0)))</f>
        <v/>
      </c>
      <c r="I1959" s="66" t="str">
        <f>IF(M1959&lt;&gt;"OK","",INDEX(po_mac,MATCH(D1959,po_code,0)))</f>
        <v/>
      </c>
      <c r="J1959" s="66" t="str">
        <f>IF(M1959&lt;&gt;"OK","",N(E1959)*(H1959*IF(G1959="",1,G1959)+I1959))</f>
        <v/>
      </c>
      <c r="K1959" s="66" t="str">
        <f>IF(M1959&lt;&gt;"OK","",N(F1959)/60*H1959*IF(G1959="",1,G1959))</f>
        <v/>
      </c>
      <c r="L1959" s="66" t="str">
        <f>IF(M1959&lt;&gt;"OK","",N(F1959)/60*I1959)</f>
        <v/>
      </c>
      <c r="M1959" s="69" t="str">
        <f>IF(AND(A1959="",D1959=""),"",IF(A1959="","Produit manquant",IF(COUNTIF(prod_ref,A1959)=0,"Produit inconnu",IF(D1959="","Poste manquant",IF(ISNA(MATCH(D1959,po_code,0)),"Poste inconnu",IF(INDEX(po_check,MATCH(D1959,po_code,0))&lt;&gt;"OK","Poste à corriger",IF(AND(E1959&lt;&gt;"",OR(NOT(ISNUMBER(E1959)),N(E1959)&lt;0)),"Réglage invalide",IF(AND(F1959&lt;&gt;"",OR(NOT(ISNUMBER(F1959)),N(F1959)&lt;0)),"Temps par pièce invalide",IF(N(E1959)+N(F1959)=0,"Temps manquant",IF(AND(G1959&lt;&gt;"",OR(NOT(ISNUMBER(G1959)),N(G1959)&lt;=0)),"Opérateurs invalide","OK"))))))))))</f>
        <v/>
      </c>
      <c r="N1959" s="71" t="str">
        <f>IF(AND(fiche_sel&lt;&gt;"",A1959=fiche_sel),COUNTIF(A$6:A1959,fiche_sel),"")</f>
        <v/>
      </c>
    </row>
    <row r="1960">
      <c r="A1960" s="60" t="n"/>
      <c r="B1960" s="73" t="n"/>
      <c r="C1960" s="60" t="n"/>
      <c r="D1960" s="61" t="n"/>
      <c r="E1960" s="74" t="n"/>
      <c r="F1960" s="74" t="n"/>
      <c r="G1960" s="73" t="n"/>
      <c r="H1960" s="66" t="str">
        <f>IF(M1960&lt;&gt;"OK","",INDEX(po_mo,MATCH(D1960,po_code,0)))</f>
        <v/>
      </c>
      <c r="I1960" s="66" t="str">
        <f>IF(M1960&lt;&gt;"OK","",INDEX(po_mac,MATCH(D1960,po_code,0)))</f>
        <v/>
      </c>
      <c r="J1960" s="66" t="str">
        <f>IF(M1960&lt;&gt;"OK","",N(E1960)*(H1960*IF(G1960="",1,G1960)+I1960))</f>
        <v/>
      </c>
      <c r="K1960" s="66" t="str">
        <f>IF(M1960&lt;&gt;"OK","",N(F1960)/60*H1960*IF(G1960="",1,G1960))</f>
        <v/>
      </c>
      <c r="L1960" s="66" t="str">
        <f>IF(M1960&lt;&gt;"OK","",N(F1960)/60*I1960)</f>
        <v/>
      </c>
      <c r="M1960" s="69" t="str">
        <f>IF(AND(A1960="",D1960=""),"",IF(A1960="","Produit manquant",IF(COUNTIF(prod_ref,A1960)=0,"Produit inconnu",IF(D1960="","Poste manquant",IF(ISNA(MATCH(D1960,po_code,0)),"Poste inconnu",IF(INDEX(po_check,MATCH(D1960,po_code,0))&lt;&gt;"OK","Poste à corriger",IF(AND(E1960&lt;&gt;"",OR(NOT(ISNUMBER(E1960)),N(E1960)&lt;0)),"Réglage invalide",IF(AND(F1960&lt;&gt;"",OR(NOT(ISNUMBER(F1960)),N(F1960)&lt;0)),"Temps par pièce invalide",IF(N(E1960)+N(F1960)=0,"Temps manquant",IF(AND(G1960&lt;&gt;"",OR(NOT(ISNUMBER(G1960)),N(G1960)&lt;=0)),"Opérateurs invalide","OK"))))))))))</f>
        <v/>
      </c>
      <c r="N1960" s="71" t="str">
        <f>IF(AND(fiche_sel&lt;&gt;"",A1960=fiche_sel),COUNTIF(A$6:A1960,fiche_sel),"")</f>
        <v/>
      </c>
    </row>
    <row r="1961">
      <c r="A1961" s="60" t="n"/>
      <c r="B1961" s="73" t="n"/>
      <c r="C1961" s="60" t="n"/>
      <c r="D1961" s="61" t="n"/>
      <c r="E1961" s="74" t="n"/>
      <c r="F1961" s="74" t="n"/>
      <c r="G1961" s="73" t="n"/>
      <c r="H1961" s="66" t="str">
        <f>IF(M1961&lt;&gt;"OK","",INDEX(po_mo,MATCH(D1961,po_code,0)))</f>
        <v/>
      </c>
      <c r="I1961" s="66" t="str">
        <f>IF(M1961&lt;&gt;"OK","",INDEX(po_mac,MATCH(D1961,po_code,0)))</f>
        <v/>
      </c>
      <c r="J1961" s="66" t="str">
        <f>IF(M1961&lt;&gt;"OK","",N(E1961)*(H1961*IF(G1961="",1,G1961)+I1961))</f>
        <v/>
      </c>
      <c r="K1961" s="66" t="str">
        <f>IF(M1961&lt;&gt;"OK","",N(F1961)/60*H1961*IF(G1961="",1,G1961))</f>
        <v/>
      </c>
      <c r="L1961" s="66" t="str">
        <f>IF(M1961&lt;&gt;"OK","",N(F1961)/60*I1961)</f>
        <v/>
      </c>
      <c r="M1961" s="69" t="str">
        <f>IF(AND(A1961="",D1961=""),"",IF(A1961="","Produit manquant",IF(COUNTIF(prod_ref,A1961)=0,"Produit inconnu",IF(D1961="","Poste manquant",IF(ISNA(MATCH(D1961,po_code,0)),"Poste inconnu",IF(INDEX(po_check,MATCH(D1961,po_code,0))&lt;&gt;"OK","Poste à corriger",IF(AND(E1961&lt;&gt;"",OR(NOT(ISNUMBER(E1961)),N(E1961)&lt;0)),"Réglage invalide",IF(AND(F1961&lt;&gt;"",OR(NOT(ISNUMBER(F1961)),N(F1961)&lt;0)),"Temps par pièce invalide",IF(N(E1961)+N(F1961)=0,"Temps manquant",IF(AND(G1961&lt;&gt;"",OR(NOT(ISNUMBER(G1961)),N(G1961)&lt;=0)),"Opérateurs invalide","OK"))))))))))</f>
        <v/>
      </c>
      <c r="N1961" s="71" t="str">
        <f>IF(AND(fiche_sel&lt;&gt;"",A1961=fiche_sel),COUNTIF(A$6:A1961,fiche_sel),"")</f>
        <v/>
      </c>
    </row>
    <row r="1962">
      <c r="A1962" s="60" t="n"/>
      <c r="B1962" s="73" t="n"/>
      <c r="C1962" s="60" t="n"/>
      <c r="D1962" s="61" t="n"/>
      <c r="E1962" s="74" t="n"/>
      <c r="F1962" s="74" t="n"/>
      <c r="G1962" s="73" t="n"/>
      <c r="H1962" s="66" t="str">
        <f>IF(M1962&lt;&gt;"OK","",INDEX(po_mo,MATCH(D1962,po_code,0)))</f>
        <v/>
      </c>
      <c r="I1962" s="66" t="str">
        <f>IF(M1962&lt;&gt;"OK","",INDEX(po_mac,MATCH(D1962,po_code,0)))</f>
        <v/>
      </c>
      <c r="J1962" s="66" t="str">
        <f>IF(M1962&lt;&gt;"OK","",N(E1962)*(H1962*IF(G1962="",1,G1962)+I1962))</f>
        <v/>
      </c>
      <c r="K1962" s="66" t="str">
        <f>IF(M1962&lt;&gt;"OK","",N(F1962)/60*H1962*IF(G1962="",1,G1962))</f>
        <v/>
      </c>
      <c r="L1962" s="66" t="str">
        <f>IF(M1962&lt;&gt;"OK","",N(F1962)/60*I1962)</f>
        <v/>
      </c>
      <c r="M1962" s="69" t="str">
        <f>IF(AND(A1962="",D1962=""),"",IF(A1962="","Produit manquant",IF(COUNTIF(prod_ref,A1962)=0,"Produit inconnu",IF(D1962="","Poste manquant",IF(ISNA(MATCH(D1962,po_code,0)),"Poste inconnu",IF(INDEX(po_check,MATCH(D1962,po_code,0))&lt;&gt;"OK","Poste à corriger",IF(AND(E1962&lt;&gt;"",OR(NOT(ISNUMBER(E1962)),N(E1962)&lt;0)),"Réglage invalide",IF(AND(F1962&lt;&gt;"",OR(NOT(ISNUMBER(F1962)),N(F1962)&lt;0)),"Temps par pièce invalide",IF(N(E1962)+N(F1962)=0,"Temps manquant",IF(AND(G1962&lt;&gt;"",OR(NOT(ISNUMBER(G1962)),N(G1962)&lt;=0)),"Opérateurs invalide","OK"))))))))))</f>
        <v/>
      </c>
      <c r="N1962" s="71" t="str">
        <f>IF(AND(fiche_sel&lt;&gt;"",A1962=fiche_sel),COUNTIF(A$6:A1962,fiche_sel),"")</f>
        <v/>
      </c>
    </row>
    <row r="1963">
      <c r="A1963" s="60" t="n"/>
      <c r="B1963" s="73" t="n"/>
      <c r="C1963" s="60" t="n"/>
      <c r="D1963" s="61" t="n"/>
      <c r="E1963" s="74" t="n"/>
      <c r="F1963" s="74" t="n"/>
      <c r="G1963" s="73" t="n"/>
      <c r="H1963" s="66" t="str">
        <f>IF(M1963&lt;&gt;"OK","",INDEX(po_mo,MATCH(D1963,po_code,0)))</f>
        <v/>
      </c>
      <c r="I1963" s="66" t="str">
        <f>IF(M1963&lt;&gt;"OK","",INDEX(po_mac,MATCH(D1963,po_code,0)))</f>
        <v/>
      </c>
      <c r="J1963" s="66" t="str">
        <f>IF(M1963&lt;&gt;"OK","",N(E1963)*(H1963*IF(G1963="",1,G1963)+I1963))</f>
        <v/>
      </c>
      <c r="K1963" s="66" t="str">
        <f>IF(M1963&lt;&gt;"OK","",N(F1963)/60*H1963*IF(G1963="",1,G1963))</f>
        <v/>
      </c>
      <c r="L1963" s="66" t="str">
        <f>IF(M1963&lt;&gt;"OK","",N(F1963)/60*I1963)</f>
        <v/>
      </c>
      <c r="M1963" s="69" t="str">
        <f>IF(AND(A1963="",D1963=""),"",IF(A1963="","Produit manquant",IF(COUNTIF(prod_ref,A1963)=0,"Produit inconnu",IF(D1963="","Poste manquant",IF(ISNA(MATCH(D1963,po_code,0)),"Poste inconnu",IF(INDEX(po_check,MATCH(D1963,po_code,0))&lt;&gt;"OK","Poste à corriger",IF(AND(E1963&lt;&gt;"",OR(NOT(ISNUMBER(E1963)),N(E1963)&lt;0)),"Réglage invalide",IF(AND(F1963&lt;&gt;"",OR(NOT(ISNUMBER(F1963)),N(F1963)&lt;0)),"Temps par pièce invalide",IF(N(E1963)+N(F1963)=0,"Temps manquant",IF(AND(G1963&lt;&gt;"",OR(NOT(ISNUMBER(G1963)),N(G1963)&lt;=0)),"Opérateurs invalide","OK"))))))))))</f>
        <v/>
      </c>
      <c r="N1963" s="71" t="str">
        <f>IF(AND(fiche_sel&lt;&gt;"",A1963=fiche_sel),COUNTIF(A$6:A1963,fiche_sel),"")</f>
        <v/>
      </c>
    </row>
    <row r="1964">
      <c r="A1964" s="60" t="n"/>
      <c r="B1964" s="73" t="n"/>
      <c r="C1964" s="60" t="n"/>
      <c r="D1964" s="61" t="n"/>
      <c r="E1964" s="74" t="n"/>
      <c r="F1964" s="74" t="n"/>
      <c r="G1964" s="73" t="n"/>
      <c r="H1964" s="66" t="str">
        <f>IF(M1964&lt;&gt;"OK","",INDEX(po_mo,MATCH(D1964,po_code,0)))</f>
        <v/>
      </c>
      <c r="I1964" s="66" t="str">
        <f>IF(M1964&lt;&gt;"OK","",INDEX(po_mac,MATCH(D1964,po_code,0)))</f>
        <v/>
      </c>
      <c r="J1964" s="66" t="str">
        <f>IF(M1964&lt;&gt;"OK","",N(E1964)*(H1964*IF(G1964="",1,G1964)+I1964))</f>
        <v/>
      </c>
      <c r="K1964" s="66" t="str">
        <f>IF(M1964&lt;&gt;"OK","",N(F1964)/60*H1964*IF(G1964="",1,G1964))</f>
        <v/>
      </c>
      <c r="L1964" s="66" t="str">
        <f>IF(M1964&lt;&gt;"OK","",N(F1964)/60*I1964)</f>
        <v/>
      </c>
      <c r="M1964" s="69" t="str">
        <f>IF(AND(A1964="",D1964=""),"",IF(A1964="","Produit manquant",IF(COUNTIF(prod_ref,A1964)=0,"Produit inconnu",IF(D1964="","Poste manquant",IF(ISNA(MATCH(D1964,po_code,0)),"Poste inconnu",IF(INDEX(po_check,MATCH(D1964,po_code,0))&lt;&gt;"OK","Poste à corriger",IF(AND(E1964&lt;&gt;"",OR(NOT(ISNUMBER(E1964)),N(E1964)&lt;0)),"Réglage invalide",IF(AND(F1964&lt;&gt;"",OR(NOT(ISNUMBER(F1964)),N(F1964)&lt;0)),"Temps par pièce invalide",IF(N(E1964)+N(F1964)=0,"Temps manquant",IF(AND(G1964&lt;&gt;"",OR(NOT(ISNUMBER(G1964)),N(G1964)&lt;=0)),"Opérateurs invalide","OK"))))))))))</f>
        <v/>
      </c>
      <c r="N1964" s="71" t="str">
        <f>IF(AND(fiche_sel&lt;&gt;"",A1964=fiche_sel),COUNTIF(A$6:A1964,fiche_sel),"")</f>
        <v/>
      </c>
    </row>
    <row r="1965">
      <c r="A1965" s="60" t="n"/>
      <c r="B1965" s="73" t="n"/>
      <c r="C1965" s="60" t="n"/>
      <c r="D1965" s="61" t="n"/>
      <c r="E1965" s="74" t="n"/>
      <c r="F1965" s="74" t="n"/>
      <c r="G1965" s="73" t="n"/>
      <c r="H1965" s="66" t="str">
        <f>IF(M1965&lt;&gt;"OK","",INDEX(po_mo,MATCH(D1965,po_code,0)))</f>
        <v/>
      </c>
      <c r="I1965" s="66" t="str">
        <f>IF(M1965&lt;&gt;"OK","",INDEX(po_mac,MATCH(D1965,po_code,0)))</f>
        <v/>
      </c>
      <c r="J1965" s="66" t="str">
        <f>IF(M1965&lt;&gt;"OK","",N(E1965)*(H1965*IF(G1965="",1,G1965)+I1965))</f>
        <v/>
      </c>
      <c r="K1965" s="66" t="str">
        <f>IF(M1965&lt;&gt;"OK","",N(F1965)/60*H1965*IF(G1965="",1,G1965))</f>
        <v/>
      </c>
      <c r="L1965" s="66" t="str">
        <f>IF(M1965&lt;&gt;"OK","",N(F1965)/60*I1965)</f>
        <v/>
      </c>
      <c r="M1965" s="69" t="str">
        <f>IF(AND(A1965="",D1965=""),"",IF(A1965="","Produit manquant",IF(COUNTIF(prod_ref,A1965)=0,"Produit inconnu",IF(D1965="","Poste manquant",IF(ISNA(MATCH(D1965,po_code,0)),"Poste inconnu",IF(INDEX(po_check,MATCH(D1965,po_code,0))&lt;&gt;"OK","Poste à corriger",IF(AND(E1965&lt;&gt;"",OR(NOT(ISNUMBER(E1965)),N(E1965)&lt;0)),"Réglage invalide",IF(AND(F1965&lt;&gt;"",OR(NOT(ISNUMBER(F1965)),N(F1965)&lt;0)),"Temps par pièce invalide",IF(N(E1965)+N(F1965)=0,"Temps manquant",IF(AND(G1965&lt;&gt;"",OR(NOT(ISNUMBER(G1965)),N(G1965)&lt;=0)),"Opérateurs invalide","OK"))))))))))</f>
        <v/>
      </c>
      <c r="N1965" s="71" t="str">
        <f>IF(AND(fiche_sel&lt;&gt;"",A1965=fiche_sel),COUNTIF(A$6:A1965,fiche_sel),"")</f>
        <v/>
      </c>
    </row>
    <row r="1966">
      <c r="A1966" s="60" t="n"/>
      <c r="B1966" s="73" t="n"/>
      <c r="C1966" s="60" t="n"/>
      <c r="D1966" s="61" t="n"/>
      <c r="E1966" s="74" t="n"/>
      <c r="F1966" s="74" t="n"/>
      <c r="G1966" s="73" t="n"/>
      <c r="H1966" s="66" t="str">
        <f>IF(M1966&lt;&gt;"OK","",INDEX(po_mo,MATCH(D1966,po_code,0)))</f>
        <v/>
      </c>
      <c r="I1966" s="66" t="str">
        <f>IF(M1966&lt;&gt;"OK","",INDEX(po_mac,MATCH(D1966,po_code,0)))</f>
        <v/>
      </c>
      <c r="J1966" s="66" t="str">
        <f>IF(M1966&lt;&gt;"OK","",N(E1966)*(H1966*IF(G1966="",1,G1966)+I1966))</f>
        <v/>
      </c>
      <c r="K1966" s="66" t="str">
        <f>IF(M1966&lt;&gt;"OK","",N(F1966)/60*H1966*IF(G1966="",1,G1966))</f>
        <v/>
      </c>
      <c r="L1966" s="66" t="str">
        <f>IF(M1966&lt;&gt;"OK","",N(F1966)/60*I1966)</f>
        <v/>
      </c>
      <c r="M1966" s="69" t="str">
        <f>IF(AND(A1966="",D1966=""),"",IF(A1966="","Produit manquant",IF(COUNTIF(prod_ref,A1966)=0,"Produit inconnu",IF(D1966="","Poste manquant",IF(ISNA(MATCH(D1966,po_code,0)),"Poste inconnu",IF(INDEX(po_check,MATCH(D1966,po_code,0))&lt;&gt;"OK","Poste à corriger",IF(AND(E1966&lt;&gt;"",OR(NOT(ISNUMBER(E1966)),N(E1966)&lt;0)),"Réglage invalide",IF(AND(F1966&lt;&gt;"",OR(NOT(ISNUMBER(F1966)),N(F1966)&lt;0)),"Temps par pièce invalide",IF(N(E1966)+N(F1966)=0,"Temps manquant",IF(AND(G1966&lt;&gt;"",OR(NOT(ISNUMBER(G1966)),N(G1966)&lt;=0)),"Opérateurs invalide","OK"))))))))))</f>
        <v/>
      </c>
      <c r="N1966" s="71" t="str">
        <f>IF(AND(fiche_sel&lt;&gt;"",A1966=fiche_sel),COUNTIF(A$6:A1966,fiche_sel),"")</f>
        <v/>
      </c>
    </row>
    <row r="1967">
      <c r="A1967" s="60" t="n"/>
      <c r="B1967" s="73" t="n"/>
      <c r="C1967" s="60" t="n"/>
      <c r="D1967" s="61" t="n"/>
      <c r="E1967" s="74" t="n"/>
      <c r="F1967" s="74" t="n"/>
      <c r="G1967" s="73" t="n"/>
      <c r="H1967" s="66" t="str">
        <f>IF(M1967&lt;&gt;"OK","",INDEX(po_mo,MATCH(D1967,po_code,0)))</f>
        <v/>
      </c>
      <c r="I1967" s="66" t="str">
        <f>IF(M1967&lt;&gt;"OK","",INDEX(po_mac,MATCH(D1967,po_code,0)))</f>
        <v/>
      </c>
      <c r="J1967" s="66" t="str">
        <f>IF(M1967&lt;&gt;"OK","",N(E1967)*(H1967*IF(G1967="",1,G1967)+I1967))</f>
        <v/>
      </c>
      <c r="K1967" s="66" t="str">
        <f>IF(M1967&lt;&gt;"OK","",N(F1967)/60*H1967*IF(G1967="",1,G1967))</f>
        <v/>
      </c>
      <c r="L1967" s="66" t="str">
        <f>IF(M1967&lt;&gt;"OK","",N(F1967)/60*I1967)</f>
        <v/>
      </c>
      <c r="M1967" s="69" t="str">
        <f>IF(AND(A1967="",D1967=""),"",IF(A1967="","Produit manquant",IF(COUNTIF(prod_ref,A1967)=0,"Produit inconnu",IF(D1967="","Poste manquant",IF(ISNA(MATCH(D1967,po_code,0)),"Poste inconnu",IF(INDEX(po_check,MATCH(D1967,po_code,0))&lt;&gt;"OK","Poste à corriger",IF(AND(E1967&lt;&gt;"",OR(NOT(ISNUMBER(E1967)),N(E1967)&lt;0)),"Réglage invalide",IF(AND(F1967&lt;&gt;"",OR(NOT(ISNUMBER(F1967)),N(F1967)&lt;0)),"Temps par pièce invalide",IF(N(E1967)+N(F1967)=0,"Temps manquant",IF(AND(G1967&lt;&gt;"",OR(NOT(ISNUMBER(G1967)),N(G1967)&lt;=0)),"Opérateurs invalide","OK"))))))))))</f>
        <v/>
      </c>
      <c r="N1967" s="71" t="str">
        <f>IF(AND(fiche_sel&lt;&gt;"",A1967=fiche_sel),COUNTIF(A$6:A1967,fiche_sel),"")</f>
        <v/>
      </c>
    </row>
    <row r="1968">
      <c r="A1968" s="60" t="n"/>
      <c r="B1968" s="73" t="n"/>
      <c r="C1968" s="60" t="n"/>
      <c r="D1968" s="61" t="n"/>
      <c r="E1968" s="74" t="n"/>
      <c r="F1968" s="74" t="n"/>
      <c r="G1968" s="73" t="n"/>
      <c r="H1968" s="66" t="str">
        <f>IF(M1968&lt;&gt;"OK","",INDEX(po_mo,MATCH(D1968,po_code,0)))</f>
        <v/>
      </c>
      <c r="I1968" s="66" t="str">
        <f>IF(M1968&lt;&gt;"OK","",INDEX(po_mac,MATCH(D1968,po_code,0)))</f>
        <v/>
      </c>
      <c r="J1968" s="66" t="str">
        <f>IF(M1968&lt;&gt;"OK","",N(E1968)*(H1968*IF(G1968="",1,G1968)+I1968))</f>
        <v/>
      </c>
      <c r="K1968" s="66" t="str">
        <f>IF(M1968&lt;&gt;"OK","",N(F1968)/60*H1968*IF(G1968="",1,G1968))</f>
        <v/>
      </c>
      <c r="L1968" s="66" t="str">
        <f>IF(M1968&lt;&gt;"OK","",N(F1968)/60*I1968)</f>
        <v/>
      </c>
      <c r="M1968" s="69" t="str">
        <f>IF(AND(A1968="",D1968=""),"",IF(A1968="","Produit manquant",IF(COUNTIF(prod_ref,A1968)=0,"Produit inconnu",IF(D1968="","Poste manquant",IF(ISNA(MATCH(D1968,po_code,0)),"Poste inconnu",IF(INDEX(po_check,MATCH(D1968,po_code,0))&lt;&gt;"OK","Poste à corriger",IF(AND(E1968&lt;&gt;"",OR(NOT(ISNUMBER(E1968)),N(E1968)&lt;0)),"Réglage invalide",IF(AND(F1968&lt;&gt;"",OR(NOT(ISNUMBER(F1968)),N(F1968)&lt;0)),"Temps par pièce invalide",IF(N(E1968)+N(F1968)=0,"Temps manquant",IF(AND(G1968&lt;&gt;"",OR(NOT(ISNUMBER(G1968)),N(G1968)&lt;=0)),"Opérateurs invalide","OK"))))))))))</f>
        <v/>
      </c>
      <c r="N1968" s="71" t="str">
        <f>IF(AND(fiche_sel&lt;&gt;"",A1968=fiche_sel),COUNTIF(A$6:A1968,fiche_sel),"")</f>
        <v/>
      </c>
    </row>
    <row r="1969">
      <c r="A1969" s="60" t="n"/>
      <c r="B1969" s="73" t="n"/>
      <c r="C1969" s="60" t="n"/>
      <c r="D1969" s="61" t="n"/>
      <c r="E1969" s="74" t="n"/>
      <c r="F1969" s="74" t="n"/>
      <c r="G1969" s="73" t="n"/>
      <c r="H1969" s="66" t="str">
        <f>IF(M1969&lt;&gt;"OK","",INDEX(po_mo,MATCH(D1969,po_code,0)))</f>
        <v/>
      </c>
      <c r="I1969" s="66" t="str">
        <f>IF(M1969&lt;&gt;"OK","",INDEX(po_mac,MATCH(D1969,po_code,0)))</f>
        <v/>
      </c>
      <c r="J1969" s="66" t="str">
        <f>IF(M1969&lt;&gt;"OK","",N(E1969)*(H1969*IF(G1969="",1,G1969)+I1969))</f>
        <v/>
      </c>
      <c r="K1969" s="66" t="str">
        <f>IF(M1969&lt;&gt;"OK","",N(F1969)/60*H1969*IF(G1969="",1,G1969))</f>
        <v/>
      </c>
      <c r="L1969" s="66" t="str">
        <f>IF(M1969&lt;&gt;"OK","",N(F1969)/60*I1969)</f>
        <v/>
      </c>
      <c r="M1969" s="69" t="str">
        <f>IF(AND(A1969="",D1969=""),"",IF(A1969="","Produit manquant",IF(COUNTIF(prod_ref,A1969)=0,"Produit inconnu",IF(D1969="","Poste manquant",IF(ISNA(MATCH(D1969,po_code,0)),"Poste inconnu",IF(INDEX(po_check,MATCH(D1969,po_code,0))&lt;&gt;"OK","Poste à corriger",IF(AND(E1969&lt;&gt;"",OR(NOT(ISNUMBER(E1969)),N(E1969)&lt;0)),"Réglage invalide",IF(AND(F1969&lt;&gt;"",OR(NOT(ISNUMBER(F1969)),N(F1969)&lt;0)),"Temps par pièce invalide",IF(N(E1969)+N(F1969)=0,"Temps manquant",IF(AND(G1969&lt;&gt;"",OR(NOT(ISNUMBER(G1969)),N(G1969)&lt;=0)),"Opérateurs invalide","OK"))))))))))</f>
        <v/>
      </c>
      <c r="N1969" s="71" t="str">
        <f>IF(AND(fiche_sel&lt;&gt;"",A1969=fiche_sel),COUNTIF(A$6:A1969,fiche_sel),"")</f>
        <v/>
      </c>
    </row>
    <row r="1970">
      <c r="A1970" s="60" t="n"/>
      <c r="B1970" s="73" t="n"/>
      <c r="C1970" s="60" t="n"/>
      <c r="D1970" s="61" t="n"/>
      <c r="E1970" s="74" t="n"/>
      <c r="F1970" s="74" t="n"/>
      <c r="G1970" s="73" t="n"/>
      <c r="H1970" s="66" t="str">
        <f>IF(M1970&lt;&gt;"OK","",INDEX(po_mo,MATCH(D1970,po_code,0)))</f>
        <v/>
      </c>
      <c r="I1970" s="66" t="str">
        <f>IF(M1970&lt;&gt;"OK","",INDEX(po_mac,MATCH(D1970,po_code,0)))</f>
        <v/>
      </c>
      <c r="J1970" s="66" t="str">
        <f>IF(M1970&lt;&gt;"OK","",N(E1970)*(H1970*IF(G1970="",1,G1970)+I1970))</f>
        <v/>
      </c>
      <c r="K1970" s="66" t="str">
        <f>IF(M1970&lt;&gt;"OK","",N(F1970)/60*H1970*IF(G1970="",1,G1970))</f>
        <v/>
      </c>
      <c r="L1970" s="66" t="str">
        <f>IF(M1970&lt;&gt;"OK","",N(F1970)/60*I1970)</f>
        <v/>
      </c>
      <c r="M1970" s="69" t="str">
        <f>IF(AND(A1970="",D1970=""),"",IF(A1970="","Produit manquant",IF(COUNTIF(prod_ref,A1970)=0,"Produit inconnu",IF(D1970="","Poste manquant",IF(ISNA(MATCH(D1970,po_code,0)),"Poste inconnu",IF(INDEX(po_check,MATCH(D1970,po_code,0))&lt;&gt;"OK","Poste à corriger",IF(AND(E1970&lt;&gt;"",OR(NOT(ISNUMBER(E1970)),N(E1970)&lt;0)),"Réglage invalide",IF(AND(F1970&lt;&gt;"",OR(NOT(ISNUMBER(F1970)),N(F1970)&lt;0)),"Temps par pièce invalide",IF(N(E1970)+N(F1970)=0,"Temps manquant",IF(AND(G1970&lt;&gt;"",OR(NOT(ISNUMBER(G1970)),N(G1970)&lt;=0)),"Opérateurs invalide","OK"))))))))))</f>
        <v/>
      </c>
      <c r="N1970" s="71" t="str">
        <f>IF(AND(fiche_sel&lt;&gt;"",A1970=fiche_sel),COUNTIF(A$6:A1970,fiche_sel),"")</f>
        <v/>
      </c>
    </row>
    <row r="1971">
      <c r="A1971" s="60" t="n"/>
      <c r="B1971" s="73" t="n"/>
      <c r="C1971" s="60" t="n"/>
      <c r="D1971" s="61" t="n"/>
      <c r="E1971" s="74" t="n"/>
      <c r="F1971" s="74" t="n"/>
      <c r="G1971" s="73" t="n"/>
      <c r="H1971" s="66" t="str">
        <f>IF(M1971&lt;&gt;"OK","",INDEX(po_mo,MATCH(D1971,po_code,0)))</f>
        <v/>
      </c>
      <c r="I1971" s="66" t="str">
        <f>IF(M1971&lt;&gt;"OK","",INDEX(po_mac,MATCH(D1971,po_code,0)))</f>
        <v/>
      </c>
      <c r="J1971" s="66" t="str">
        <f>IF(M1971&lt;&gt;"OK","",N(E1971)*(H1971*IF(G1971="",1,G1971)+I1971))</f>
        <v/>
      </c>
      <c r="K1971" s="66" t="str">
        <f>IF(M1971&lt;&gt;"OK","",N(F1971)/60*H1971*IF(G1971="",1,G1971))</f>
        <v/>
      </c>
      <c r="L1971" s="66" t="str">
        <f>IF(M1971&lt;&gt;"OK","",N(F1971)/60*I1971)</f>
        <v/>
      </c>
      <c r="M1971" s="69" t="str">
        <f>IF(AND(A1971="",D1971=""),"",IF(A1971="","Produit manquant",IF(COUNTIF(prod_ref,A1971)=0,"Produit inconnu",IF(D1971="","Poste manquant",IF(ISNA(MATCH(D1971,po_code,0)),"Poste inconnu",IF(INDEX(po_check,MATCH(D1971,po_code,0))&lt;&gt;"OK","Poste à corriger",IF(AND(E1971&lt;&gt;"",OR(NOT(ISNUMBER(E1971)),N(E1971)&lt;0)),"Réglage invalide",IF(AND(F1971&lt;&gt;"",OR(NOT(ISNUMBER(F1971)),N(F1971)&lt;0)),"Temps par pièce invalide",IF(N(E1971)+N(F1971)=0,"Temps manquant",IF(AND(G1971&lt;&gt;"",OR(NOT(ISNUMBER(G1971)),N(G1971)&lt;=0)),"Opérateurs invalide","OK"))))))))))</f>
        <v/>
      </c>
      <c r="N1971" s="71" t="str">
        <f>IF(AND(fiche_sel&lt;&gt;"",A1971=fiche_sel),COUNTIF(A$6:A1971,fiche_sel),"")</f>
        <v/>
      </c>
    </row>
    <row r="1972">
      <c r="A1972" s="60" t="n"/>
      <c r="B1972" s="73" t="n"/>
      <c r="C1972" s="60" t="n"/>
      <c r="D1972" s="61" t="n"/>
      <c r="E1972" s="74" t="n"/>
      <c r="F1972" s="74" t="n"/>
      <c r="G1972" s="73" t="n"/>
      <c r="H1972" s="66" t="str">
        <f>IF(M1972&lt;&gt;"OK","",INDEX(po_mo,MATCH(D1972,po_code,0)))</f>
        <v/>
      </c>
      <c r="I1972" s="66" t="str">
        <f>IF(M1972&lt;&gt;"OK","",INDEX(po_mac,MATCH(D1972,po_code,0)))</f>
        <v/>
      </c>
      <c r="J1972" s="66" t="str">
        <f>IF(M1972&lt;&gt;"OK","",N(E1972)*(H1972*IF(G1972="",1,G1972)+I1972))</f>
        <v/>
      </c>
      <c r="K1972" s="66" t="str">
        <f>IF(M1972&lt;&gt;"OK","",N(F1972)/60*H1972*IF(G1972="",1,G1972))</f>
        <v/>
      </c>
      <c r="L1972" s="66" t="str">
        <f>IF(M1972&lt;&gt;"OK","",N(F1972)/60*I1972)</f>
        <v/>
      </c>
      <c r="M1972" s="69" t="str">
        <f>IF(AND(A1972="",D1972=""),"",IF(A1972="","Produit manquant",IF(COUNTIF(prod_ref,A1972)=0,"Produit inconnu",IF(D1972="","Poste manquant",IF(ISNA(MATCH(D1972,po_code,0)),"Poste inconnu",IF(INDEX(po_check,MATCH(D1972,po_code,0))&lt;&gt;"OK","Poste à corriger",IF(AND(E1972&lt;&gt;"",OR(NOT(ISNUMBER(E1972)),N(E1972)&lt;0)),"Réglage invalide",IF(AND(F1972&lt;&gt;"",OR(NOT(ISNUMBER(F1972)),N(F1972)&lt;0)),"Temps par pièce invalide",IF(N(E1972)+N(F1972)=0,"Temps manquant",IF(AND(G1972&lt;&gt;"",OR(NOT(ISNUMBER(G1972)),N(G1972)&lt;=0)),"Opérateurs invalide","OK"))))))))))</f>
        <v/>
      </c>
      <c r="N1972" s="71" t="str">
        <f>IF(AND(fiche_sel&lt;&gt;"",A1972=fiche_sel),COUNTIF(A$6:A1972,fiche_sel),"")</f>
        <v/>
      </c>
    </row>
    <row r="1973">
      <c r="A1973" s="60" t="n"/>
      <c r="B1973" s="73" t="n"/>
      <c r="C1973" s="60" t="n"/>
      <c r="D1973" s="61" t="n"/>
      <c r="E1973" s="74" t="n"/>
      <c r="F1973" s="74" t="n"/>
      <c r="G1973" s="73" t="n"/>
      <c r="H1973" s="66" t="str">
        <f>IF(M1973&lt;&gt;"OK","",INDEX(po_mo,MATCH(D1973,po_code,0)))</f>
        <v/>
      </c>
      <c r="I1973" s="66" t="str">
        <f>IF(M1973&lt;&gt;"OK","",INDEX(po_mac,MATCH(D1973,po_code,0)))</f>
        <v/>
      </c>
      <c r="J1973" s="66" t="str">
        <f>IF(M1973&lt;&gt;"OK","",N(E1973)*(H1973*IF(G1973="",1,G1973)+I1973))</f>
        <v/>
      </c>
      <c r="K1973" s="66" t="str">
        <f>IF(M1973&lt;&gt;"OK","",N(F1973)/60*H1973*IF(G1973="",1,G1973))</f>
        <v/>
      </c>
      <c r="L1973" s="66" t="str">
        <f>IF(M1973&lt;&gt;"OK","",N(F1973)/60*I1973)</f>
        <v/>
      </c>
      <c r="M1973" s="69" t="str">
        <f>IF(AND(A1973="",D1973=""),"",IF(A1973="","Produit manquant",IF(COUNTIF(prod_ref,A1973)=0,"Produit inconnu",IF(D1973="","Poste manquant",IF(ISNA(MATCH(D1973,po_code,0)),"Poste inconnu",IF(INDEX(po_check,MATCH(D1973,po_code,0))&lt;&gt;"OK","Poste à corriger",IF(AND(E1973&lt;&gt;"",OR(NOT(ISNUMBER(E1973)),N(E1973)&lt;0)),"Réglage invalide",IF(AND(F1973&lt;&gt;"",OR(NOT(ISNUMBER(F1973)),N(F1973)&lt;0)),"Temps par pièce invalide",IF(N(E1973)+N(F1973)=0,"Temps manquant",IF(AND(G1973&lt;&gt;"",OR(NOT(ISNUMBER(G1973)),N(G1973)&lt;=0)),"Opérateurs invalide","OK"))))))))))</f>
        <v/>
      </c>
      <c r="N1973" s="71" t="str">
        <f>IF(AND(fiche_sel&lt;&gt;"",A1973=fiche_sel),COUNTIF(A$6:A1973,fiche_sel),"")</f>
        <v/>
      </c>
    </row>
    <row r="1974">
      <c r="A1974" s="60" t="n"/>
      <c r="B1974" s="73" t="n"/>
      <c r="C1974" s="60" t="n"/>
      <c r="D1974" s="61" t="n"/>
      <c r="E1974" s="74" t="n"/>
      <c r="F1974" s="74" t="n"/>
      <c r="G1974" s="73" t="n"/>
      <c r="H1974" s="66" t="str">
        <f>IF(M1974&lt;&gt;"OK","",INDEX(po_mo,MATCH(D1974,po_code,0)))</f>
        <v/>
      </c>
      <c r="I1974" s="66" t="str">
        <f>IF(M1974&lt;&gt;"OK","",INDEX(po_mac,MATCH(D1974,po_code,0)))</f>
        <v/>
      </c>
      <c r="J1974" s="66" t="str">
        <f>IF(M1974&lt;&gt;"OK","",N(E1974)*(H1974*IF(G1974="",1,G1974)+I1974))</f>
        <v/>
      </c>
      <c r="K1974" s="66" t="str">
        <f>IF(M1974&lt;&gt;"OK","",N(F1974)/60*H1974*IF(G1974="",1,G1974))</f>
        <v/>
      </c>
      <c r="L1974" s="66" t="str">
        <f>IF(M1974&lt;&gt;"OK","",N(F1974)/60*I1974)</f>
        <v/>
      </c>
      <c r="M1974" s="69" t="str">
        <f>IF(AND(A1974="",D1974=""),"",IF(A1974="","Produit manquant",IF(COUNTIF(prod_ref,A1974)=0,"Produit inconnu",IF(D1974="","Poste manquant",IF(ISNA(MATCH(D1974,po_code,0)),"Poste inconnu",IF(INDEX(po_check,MATCH(D1974,po_code,0))&lt;&gt;"OK","Poste à corriger",IF(AND(E1974&lt;&gt;"",OR(NOT(ISNUMBER(E1974)),N(E1974)&lt;0)),"Réglage invalide",IF(AND(F1974&lt;&gt;"",OR(NOT(ISNUMBER(F1974)),N(F1974)&lt;0)),"Temps par pièce invalide",IF(N(E1974)+N(F1974)=0,"Temps manquant",IF(AND(G1974&lt;&gt;"",OR(NOT(ISNUMBER(G1974)),N(G1974)&lt;=0)),"Opérateurs invalide","OK"))))))))))</f>
        <v/>
      </c>
      <c r="N1974" s="71" t="str">
        <f>IF(AND(fiche_sel&lt;&gt;"",A1974=fiche_sel),COUNTIF(A$6:A1974,fiche_sel),"")</f>
        <v/>
      </c>
    </row>
    <row r="1975">
      <c r="A1975" s="60" t="n"/>
      <c r="B1975" s="73" t="n"/>
      <c r="C1975" s="60" t="n"/>
      <c r="D1975" s="61" t="n"/>
      <c r="E1975" s="74" t="n"/>
      <c r="F1975" s="74" t="n"/>
      <c r="G1975" s="73" t="n"/>
      <c r="H1975" s="66" t="str">
        <f>IF(M1975&lt;&gt;"OK","",INDEX(po_mo,MATCH(D1975,po_code,0)))</f>
        <v/>
      </c>
      <c r="I1975" s="66" t="str">
        <f>IF(M1975&lt;&gt;"OK","",INDEX(po_mac,MATCH(D1975,po_code,0)))</f>
        <v/>
      </c>
      <c r="J1975" s="66" t="str">
        <f>IF(M1975&lt;&gt;"OK","",N(E1975)*(H1975*IF(G1975="",1,G1975)+I1975))</f>
        <v/>
      </c>
      <c r="K1975" s="66" t="str">
        <f>IF(M1975&lt;&gt;"OK","",N(F1975)/60*H1975*IF(G1975="",1,G1975))</f>
        <v/>
      </c>
      <c r="L1975" s="66" t="str">
        <f>IF(M1975&lt;&gt;"OK","",N(F1975)/60*I1975)</f>
        <v/>
      </c>
      <c r="M1975" s="69" t="str">
        <f>IF(AND(A1975="",D1975=""),"",IF(A1975="","Produit manquant",IF(COUNTIF(prod_ref,A1975)=0,"Produit inconnu",IF(D1975="","Poste manquant",IF(ISNA(MATCH(D1975,po_code,0)),"Poste inconnu",IF(INDEX(po_check,MATCH(D1975,po_code,0))&lt;&gt;"OK","Poste à corriger",IF(AND(E1975&lt;&gt;"",OR(NOT(ISNUMBER(E1975)),N(E1975)&lt;0)),"Réglage invalide",IF(AND(F1975&lt;&gt;"",OR(NOT(ISNUMBER(F1975)),N(F1975)&lt;0)),"Temps par pièce invalide",IF(N(E1975)+N(F1975)=0,"Temps manquant",IF(AND(G1975&lt;&gt;"",OR(NOT(ISNUMBER(G1975)),N(G1975)&lt;=0)),"Opérateurs invalide","OK"))))))))))</f>
        <v/>
      </c>
      <c r="N1975" s="71" t="str">
        <f>IF(AND(fiche_sel&lt;&gt;"",A1975=fiche_sel),COUNTIF(A$6:A1975,fiche_sel),"")</f>
        <v/>
      </c>
    </row>
    <row r="1976">
      <c r="A1976" s="60" t="n"/>
      <c r="B1976" s="73" t="n"/>
      <c r="C1976" s="60" t="n"/>
      <c r="D1976" s="61" t="n"/>
      <c r="E1976" s="74" t="n"/>
      <c r="F1976" s="74" t="n"/>
      <c r="G1976" s="73" t="n"/>
      <c r="H1976" s="66" t="str">
        <f>IF(M1976&lt;&gt;"OK","",INDEX(po_mo,MATCH(D1976,po_code,0)))</f>
        <v/>
      </c>
      <c r="I1976" s="66" t="str">
        <f>IF(M1976&lt;&gt;"OK","",INDEX(po_mac,MATCH(D1976,po_code,0)))</f>
        <v/>
      </c>
      <c r="J1976" s="66" t="str">
        <f>IF(M1976&lt;&gt;"OK","",N(E1976)*(H1976*IF(G1976="",1,G1976)+I1976))</f>
        <v/>
      </c>
      <c r="K1976" s="66" t="str">
        <f>IF(M1976&lt;&gt;"OK","",N(F1976)/60*H1976*IF(G1976="",1,G1976))</f>
        <v/>
      </c>
      <c r="L1976" s="66" t="str">
        <f>IF(M1976&lt;&gt;"OK","",N(F1976)/60*I1976)</f>
        <v/>
      </c>
      <c r="M1976" s="69" t="str">
        <f>IF(AND(A1976="",D1976=""),"",IF(A1976="","Produit manquant",IF(COUNTIF(prod_ref,A1976)=0,"Produit inconnu",IF(D1976="","Poste manquant",IF(ISNA(MATCH(D1976,po_code,0)),"Poste inconnu",IF(INDEX(po_check,MATCH(D1976,po_code,0))&lt;&gt;"OK","Poste à corriger",IF(AND(E1976&lt;&gt;"",OR(NOT(ISNUMBER(E1976)),N(E1976)&lt;0)),"Réglage invalide",IF(AND(F1976&lt;&gt;"",OR(NOT(ISNUMBER(F1976)),N(F1976)&lt;0)),"Temps par pièce invalide",IF(N(E1976)+N(F1976)=0,"Temps manquant",IF(AND(G1976&lt;&gt;"",OR(NOT(ISNUMBER(G1976)),N(G1976)&lt;=0)),"Opérateurs invalide","OK"))))))))))</f>
        <v/>
      </c>
      <c r="N1976" s="71" t="str">
        <f>IF(AND(fiche_sel&lt;&gt;"",A1976=fiche_sel),COUNTIF(A$6:A1976,fiche_sel),"")</f>
        <v/>
      </c>
    </row>
    <row r="1977">
      <c r="A1977" s="60" t="n"/>
      <c r="B1977" s="73" t="n"/>
      <c r="C1977" s="60" t="n"/>
      <c r="D1977" s="61" t="n"/>
      <c r="E1977" s="74" t="n"/>
      <c r="F1977" s="74" t="n"/>
      <c r="G1977" s="73" t="n"/>
      <c r="H1977" s="66" t="str">
        <f>IF(M1977&lt;&gt;"OK","",INDEX(po_mo,MATCH(D1977,po_code,0)))</f>
        <v/>
      </c>
      <c r="I1977" s="66" t="str">
        <f>IF(M1977&lt;&gt;"OK","",INDEX(po_mac,MATCH(D1977,po_code,0)))</f>
        <v/>
      </c>
      <c r="J1977" s="66" t="str">
        <f>IF(M1977&lt;&gt;"OK","",N(E1977)*(H1977*IF(G1977="",1,G1977)+I1977))</f>
        <v/>
      </c>
      <c r="K1977" s="66" t="str">
        <f>IF(M1977&lt;&gt;"OK","",N(F1977)/60*H1977*IF(G1977="",1,G1977))</f>
        <v/>
      </c>
      <c r="L1977" s="66" t="str">
        <f>IF(M1977&lt;&gt;"OK","",N(F1977)/60*I1977)</f>
        <v/>
      </c>
      <c r="M1977" s="69" t="str">
        <f>IF(AND(A1977="",D1977=""),"",IF(A1977="","Produit manquant",IF(COUNTIF(prod_ref,A1977)=0,"Produit inconnu",IF(D1977="","Poste manquant",IF(ISNA(MATCH(D1977,po_code,0)),"Poste inconnu",IF(INDEX(po_check,MATCH(D1977,po_code,0))&lt;&gt;"OK","Poste à corriger",IF(AND(E1977&lt;&gt;"",OR(NOT(ISNUMBER(E1977)),N(E1977)&lt;0)),"Réglage invalide",IF(AND(F1977&lt;&gt;"",OR(NOT(ISNUMBER(F1977)),N(F1977)&lt;0)),"Temps par pièce invalide",IF(N(E1977)+N(F1977)=0,"Temps manquant",IF(AND(G1977&lt;&gt;"",OR(NOT(ISNUMBER(G1977)),N(G1977)&lt;=0)),"Opérateurs invalide","OK"))))))))))</f>
        <v/>
      </c>
      <c r="N1977" s="71" t="str">
        <f>IF(AND(fiche_sel&lt;&gt;"",A1977=fiche_sel),COUNTIF(A$6:A1977,fiche_sel),"")</f>
        <v/>
      </c>
    </row>
    <row r="1978">
      <c r="A1978" s="60" t="n"/>
      <c r="B1978" s="73" t="n"/>
      <c r="C1978" s="60" t="n"/>
      <c r="D1978" s="61" t="n"/>
      <c r="E1978" s="74" t="n"/>
      <c r="F1978" s="74" t="n"/>
      <c r="G1978" s="73" t="n"/>
      <c r="H1978" s="66" t="str">
        <f>IF(M1978&lt;&gt;"OK","",INDEX(po_mo,MATCH(D1978,po_code,0)))</f>
        <v/>
      </c>
      <c r="I1978" s="66" t="str">
        <f>IF(M1978&lt;&gt;"OK","",INDEX(po_mac,MATCH(D1978,po_code,0)))</f>
        <v/>
      </c>
      <c r="J1978" s="66" t="str">
        <f>IF(M1978&lt;&gt;"OK","",N(E1978)*(H1978*IF(G1978="",1,G1978)+I1978))</f>
        <v/>
      </c>
      <c r="K1978" s="66" t="str">
        <f>IF(M1978&lt;&gt;"OK","",N(F1978)/60*H1978*IF(G1978="",1,G1978))</f>
        <v/>
      </c>
      <c r="L1978" s="66" t="str">
        <f>IF(M1978&lt;&gt;"OK","",N(F1978)/60*I1978)</f>
        <v/>
      </c>
      <c r="M1978" s="69" t="str">
        <f>IF(AND(A1978="",D1978=""),"",IF(A1978="","Produit manquant",IF(COUNTIF(prod_ref,A1978)=0,"Produit inconnu",IF(D1978="","Poste manquant",IF(ISNA(MATCH(D1978,po_code,0)),"Poste inconnu",IF(INDEX(po_check,MATCH(D1978,po_code,0))&lt;&gt;"OK","Poste à corriger",IF(AND(E1978&lt;&gt;"",OR(NOT(ISNUMBER(E1978)),N(E1978)&lt;0)),"Réglage invalide",IF(AND(F1978&lt;&gt;"",OR(NOT(ISNUMBER(F1978)),N(F1978)&lt;0)),"Temps par pièce invalide",IF(N(E1978)+N(F1978)=0,"Temps manquant",IF(AND(G1978&lt;&gt;"",OR(NOT(ISNUMBER(G1978)),N(G1978)&lt;=0)),"Opérateurs invalide","OK"))))))))))</f>
        <v/>
      </c>
      <c r="N1978" s="71" t="str">
        <f>IF(AND(fiche_sel&lt;&gt;"",A1978=fiche_sel),COUNTIF(A$6:A1978,fiche_sel),"")</f>
        <v/>
      </c>
    </row>
    <row r="1979">
      <c r="A1979" s="60" t="n"/>
      <c r="B1979" s="73" t="n"/>
      <c r="C1979" s="60" t="n"/>
      <c r="D1979" s="61" t="n"/>
      <c r="E1979" s="74" t="n"/>
      <c r="F1979" s="74" t="n"/>
      <c r="G1979" s="73" t="n"/>
      <c r="H1979" s="66" t="str">
        <f>IF(M1979&lt;&gt;"OK","",INDEX(po_mo,MATCH(D1979,po_code,0)))</f>
        <v/>
      </c>
      <c r="I1979" s="66" t="str">
        <f>IF(M1979&lt;&gt;"OK","",INDEX(po_mac,MATCH(D1979,po_code,0)))</f>
        <v/>
      </c>
      <c r="J1979" s="66" t="str">
        <f>IF(M1979&lt;&gt;"OK","",N(E1979)*(H1979*IF(G1979="",1,G1979)+I1979))</f>
        <v/>
      </c>
      <c r="K1979" s="66" t="str">
        <f>IF(M1979&lt;&gt;"OK","",N(F1979)/60*H1979*IF(G1979="",1,G1979))</f>
        <v/>
      </c>
      <c r="L1979" s="66" t="str">
        <f>IF(M1979&lt;&gt;"OK","",N(F1979)/60*I1979)</f>
        <v/>
      </c>
      <c r="M1979" s="69" t="str">
        <f>IF(AND(A1979="",D1979=""),"",IF(A1979="","Produit manquant",IF(COUNTIF(prod_ref,A1979)=0,"Produit inconnu",IF(D1979="","Poste manquant",IF(ISNA(MATCH(D1979,po_code,0)),"Poste inconnu",IF(INDEX(po_check,MATCH(D1979,po_code,0))&lt;&gt;"OK","Poste à corriger",IF(AND(E1979&lt;&gt;"",OR(NOT(ISNUMBER(E1979)),N(E1979)&lt;0)),"Réglage invalide",IF(AND(F1979&lt;&gt;"",OR(NOT(ISNUMBER(F1979)),N(F1979)&lt;0)),"Temps par pièce invalide",IF(N(E1979)+N(F1979)=0,"Temps manquant",IF(AND(G1979&lt;&gt;"",OR(NOT(ISNUMBER(G1979)),N(G1979)&lt;=0)),"Opérateurs invalide","OK"))))))))))</f>
        <v/>
      </c>
      <c r="N1979" s="71" t="str">
        <f>IF(AND(fiche_sel&lt;&gt;"",A1979=fiche_sel),COUNTIF(A$6:A1979,fiche_sel),"")</f>
        <v/>
      </c>
    </row>
    <row r="1980">
      <c r="A1980" s="60" t="n"/>
      <c r="B1980" s="73" t="n"/>
      <c r="C1980" s="60" t="n"/>
      <c r="D1980" s="61" t="n"/>
      <c r="E1980" s="74" t="n"/>
      <c r="F1980" s="74" t="n"/>
      <c r="G1980" s="73" t="n"/>
      <c r="H1980" s="66" t="str">
        <f>IF(M1980&lt;&gt;"OK","",INDEX(po_mo,MATCH(D1980,po_code,0)))</f>
        <v/>
      </c>
      <c r="I1980" s="66" t="str">
        <f>IF(M1980&lt;&gt;"OK","",INDEX(po_mac,MATCH(D1980,po_code,0)))</f>
        <v/>
      </c>
      <c r="J1980" s="66" t="str">
        <f>IF(M1980&lt;&gt;"OK","",N(E1980)*(H1980*IF(G1980="",1,G1980)+I1980))</f>
        <v/>
      </c>
      <c r="K1980" s="66" t="str">
        <f>IF(M1980&lt;&gt;"OK","",N(F1980)/60*H1980*IF(G1980="",1,G1980))</f>
        <v/>
      </c>
      <c r="L1980" s="66" t="str">
        <f>IF(M1980&lt;&gt;"OK","",N(F1980)/60*I1980)</f>
        <v/>
      </c>
      <c r="M1980" s="69" t="str">
        <f>IF(AND(A1980="",D1980=""),"",IF(A1980="","Produit manquant",IF(COUNTIF(prod_ref,A1980)=0,"Produit inconnu",IF(D1980="","Poste manquant",IF(ISNA(MATCH(D1980,po_code,0)),"Poste inconnu",IF(INDEX(po_check,MATCH(D1980,po_code,0))&lt;&gt;"OK","Poste à corriger",IF(AND(E1980&lt;&gt;"",OR(NOT(ISNUMBER(E1980)),N(E1980)&lt;0)),"Réglage invalide",IF(AND(F1980&lt;&gt;"",OR(NOT(ISNUMBER(F1980)),N(F1980)&lt;0)),"Temps par pièce invalide",IF(N(E1980)+N(F1980)=0,"Temps manquant",IF(AND(G1980&lt;&gt;"",OR(NOT(ISNUMBER(G1980)),N(G1980)&lt;=0)),"Opérateurs invalide","OK"))))))))))</f>
        <v/>
      </c>
      <c r="N1980" s="71" t="str">
        <f>IF(AND(fiche_sel&lt;&gt;"",A1980=fiche_sel),COUNTIF(A$6:A1980,fiche_sel),"")</f>
        <v/>
      </c>
    </row>
    <row r="1981">
      <c r="A1981" s="60" t="n"/>
      <c r="B1981" s="73" t="n"/>
      <c r="C1981" s="60" t="n"/>
      <c r="D1981" s="61" t="n"/>
      <c r="E1981" s="74" t="n"/>
      <c r="F1981" s="74" t="n"/>
      <c r="G1981" s="73" t="n"/>
      <c r="H1981" s="66" t="str">
        <f>IF(M1981&lt;&gt;"OK","",INDEX(po_mo,MATCH(D1981,po_code,0)))</f>
        <v/>
      </c>
      <c r="I1981" s="66" t="str">
        <f>IF(M1981&lt;&gt;"OK","",INDEX(po_mac,MATCH(D1981,po_code,0)))</f>
        <v/>
      </c>
      <c r="J1981" s="66" t="str">
        <f>IF(M1981&lt;&gt;"OK","",N(E1981)*(H1981*IF(G1981="",1,G1981)+I1981))</f>
        <v/>
      </c>
      <c r="K1981" s="66" t="str">
        <f>IF(M1981&lt;&gt;"OK","",N(F1981)/60*H1981*IF(G1981="",1,G1981))</f>
        <v/>
      </c>
      <c r="L1981" s="66" t="str">
        <f>IF(M1981&lt;&gt;"OK","",N(F1981)/60*I1981)</f>
        <v/>
      </c>
      <c r="M1981" s="69" t="str">
        <f>IF(AND(A1981="",D1981=""),"",IF(A1981="","Produit manquant",IF(COUNTIF(prod_ref,A1981)=0,"Produit inconnu",IF(D1981="","Poste manquant",IF(ISNA(MATCH(D1981,po_code,0)),"Poste inconnu",IF(INDEX(po_check,MATCH(D1981,po_code,0))&lt;&gt;"OK","Poste à corriger",IF(AND(E1981&lt;&gt;"",OR(NOT(ISNUMBER(E1981)),N(E1981)&lt;0)),"Réglage invalide",IF(AND(F1981&lt;&gt;"",OR(NOT(ISNUMBER(F1981)),N(F1981)&lt;0)),"Temps par pièce invalide",IF(N(E1981)+N(F1981)=0,"Temps manquant",IF(AND(G1981&lt;&gt;"",OR(NOT(ISNUMBER(G1981)),N(G1981)&lt;=0)),"Opérateurs invalide","OK"))))))))))</f>
        <v/>
      </c>
      <c r="N1981" s="71" t="str">
        <f>IF(AND(fiche_sel&lt;&gt;"",A1981=fiche_sel),COUNTIF(A$6:A1981,fiche_sel),"")</f>
        <v/>
      </c>
    </row>
    <row r="1982">
      <c r="A1982" s="60" t="n"/>
      <c r="B1982" s="73" t="n"/>
      <c r="C1982" s="60" t="n"/>
      <c r="D1982" s="61" t="n"/>
      <c r="E1982" s="74" t="n"/>
      <c r="F1982" s="74" t="n"/>
      <c r="G1982" s="73" t="n"/>
      <c r="H1982" s="66" t="str">
        <f>IF(M1982&lt;&gt;"OK","",INDEX(po_mo,MATCH(D1982,po_code,0)))</f>
        <v/>
      </c>
      <c r="I1982" s="66" t="str">
        <f>IF(M1982&lt;&gt;"OK","",INDEX(po_mac,MATCH(D1982,po_code,0)))</f>
        <v/>
      </c>
      <c r="J1982" s="66" t="str">
        <f>IF(M1982&lt;&gt;"OK","",N(E1982)*(H1982*IF(G1982="",1,G1982)+I1982))</f>
        <v/>
      </c>
      <c r="K1982" s="66" t="str">
        <f>IF(M1982&lt;&gt;"OK","",N(F1982)/60*H1982*IF(G1982="",1,G1982))</f>
        <v/>
      </c>
      <c r="L1982" s="66" t="str">
        <f>IF(M1982&lt;&gt;"OK","",N(F1982)/60*I1982)</f>
        <v/>
      </c>
      <c r="M1982" s="69" t="str">
        <f>IF(AND(A1982="",D1982=""),"",IF(A1982="","Produit manquant",IF(COUNTIF(prod_ref,A1982)=0,"Produit inconnu",IF(D1982="","Poste manquant",IF(ISNA(MATCH(D1982,po_code,0)),"Poste inconnu",IF(INDEX(po_check,MATCH(D1982,po_code,0))&lt;&gt;"OK","Poste à corriger",IF(AND(E1982&lt;&gt;"",OR(NOT(ISNUMBER(E1982)),N(E1982)&lt;0)),"Réglage invalide",IF(AND(F1982&lt;&gt;"",OR(NOT(ISNUMBER(F1982)),N(F1982)&lt;0)),"Temps par pièce invalide",IF(N(E1982)+N(F1982)=0,"Temps manquant",IF(AND(G1982&lt;&gt;"",OR(NOT(ISNUMBER(G1982)),N(G1982)&lt;=0)),"Opérateurs invalide","OK"))))))))))</f>
        <v/>
      </c>
      <c r="N1982" s="71" t="str">
        <f>IF(AND(fiche_sel&lt;&gt;"",A1982=fiche_sel),COUNTIF(A$6:A1982,fiche_sel),"")</f>
        <v/>
      </c>
    </row>
    <row r="1983">
      <c r="A1983" s="60" t="n"/>
      <c r="B1983" s="73" t="n"/>
      <c r="C1983" s="60" t="n"/>
      <c r="D1983" s="61" t="n"/>
      <c r="E1983" s="74" t="n"/>
      <c r="F1983" s="74" t="n"/>
      <c r="G1983" s="73" t="n"/>
      <c r="H1983" s="66" t="str">
        <f>IF(M1983&lt;&gt;"OK","",INDEX(po_mo,MATCH(D1983,po_code,0)))</f>
        <v/>
      </c>
      <c r="I1983" s="66" t="str">
        <f>IF(M1983&lt;&gt;"OK","",INDEX(po_mac,MATCH(D1983,po_code,0)))</f>
        <v/>
      </c>
      <c r="J1983" s="66" t="str">
        <f>IF(M1983&lt;&gt;"OK","",N(E1983)*(H1983*IF(G1983="",1,G1983)+I1983))</f>
        <v/>
      </c>
      <c r="K1983" s="66" t="str">
        <f>IF(M1983&lt;&gt;"OK","",N(F1983)/60*H1983*IF(G1983="",1,G1983))</f>
        <v/>
      </c>
      <c r="L1983" s="66" t="str">
        <f>IF(M1983&lt;&gt;"OK","",N(F1983)/60*I1983)</f>
        <v/>
      </c>
      <c r="M1983" s="69" t="str">
        <f>IF(AND(A1983="",D1983=""),"",IF(A1983="","Produit manquant",IF(COUNTIF(prod_ref,A1983)=0,"Produit inconnu",IF(D1983="","Poste manquant",IF(ISNA(MATCH(D1983,po_code,0)),"Poste inconnu",IF(INDEX(po_check,MATCH(D1983,po_code,0))&lt;&gt;"OK","Poste à corriger",IF(AND(E1983&lt;&gt;"",OR(NOT(ISNUMBER(E1983)),N(E1983)&lt;0)),"Réglage invalide",IF(AND(F1983&lt;&gt;"",OR(NOT(ISNUMBER(F1983)),N(F1983)&lt;0)),"Temps par pièce invalide",IF(N(E1983)+N(F1983)=0,"Temps manquant",IF(AND(G1983&lt;&gt;"",OR(NOT(ISNUMBER(G1983)),N(G1983)&lt;=0)),"Opérateurs invalide","OK"))))))))))</f>
        <v/>
      </c>
      <c r="N1983" s="71" t="str">
        <f>IF(AND(fiche_sel&lt;&gt;"",A1983=fiche_sel),COUNTIF(A$6:A1983,fiche_sel),"")</f>
        <v/>
      </c>
    </row>
    <row r="1984">
      <c r="A1984" s="60" t="n"/>
      <c r="B1984" s="73" t="n"/>
      <c r="C1984" s="60" t="n"/>
      <c r="D1984" s="61" t="n"/>
      <c r="E1984" s="74" t="n"/>
      <c r="F1984" s="74" t="n"/>
      <c r="G1984" s="73" t="n"/>
      <c r="H1984" s="66" t="str">
        <f>IF(M1984&lt;&gt;"OK","",INDEX(po_mo,MATCH(D1984,po_code,0)))</f>
        <v/>
      </c>
      <c r="I1984" s="66" t="str">
        <f>IF(M1984&lt;&gt;"OK","",INDEX(po_mac,MATCH(D1984,po_code,0)))</f>
        <v/>
      </c>
      <c r="J1984" s="66" t="str">
        <f>IF(M1984&lt;&gt;"OK","",N(E1984)*(H1984*IF(G1984="",1,G1984)+I1984))</f>
        <v/>
      </c>
      <c r="K1984" s="66" t="str">
        <f>IF(M1984&lt;&gt;"OK","",N(F1984)/60*H1984*IF(G1984="",1,G1984))</f>
        <v/>
      </c>
      <c r="L1984" s="66" t="str">
        <f>IF(M1984&lt;&gt;"OK","",N(F1984)/60*I1984)</f>
        <v/>
      </c>
      <c r="M1984" s="69" t="str">
        <f>IF(AND(A1984="",D1984=""),"",IF(A1984="","Produit manquant",IF(COUNTIF(prod_ref,A1984)=0,"Produit inconnu",IF(D1984="","Poste manquant",IF(ISNA(MATCH(D1984,po_code,0)),"Poste inconnu",IF(INDEX(po_check,MATCH(D1984,po_code,0))&lt;&gt;"OK","Poste à corriger",IF(AND(E1984&lt;&gt;"",OR(NOT(ISNUMBER(E1984)),N(E1984)&lt;0)),"Réglage invalide",IF(AND(F1984&lt;&gt;"",OR(NOT(ISNUMBER(F1984)),N(F1984)&lt;0)),"Temps par pièce invalide",IF(N(E1984)+N(F1984)=0,"Temps manquant",IF(AND(G1984&lt;&gt;"",OR(NOT(ISNUMBER(G1984)),N(G1984)&lt;=0)),"Opérateurs invalide","OK"))))))))))</f>
        <v/>
      </c>
      <c r="N1984" s="71" t="str">
        <f>IF(AND(fiche_sel&lt;&gt;"",A1984=fiche_sel),COUNTIF(A$6:A1984,fiche_sel),"")</f>
        <v/>
      </c>
    </row>
    <row r="1985">
      <c r="A1985" s="60" t="n"/>
      <c r="B1985" s="73" t="n"/>
      <c r="C1985" s="60" t="n"/>
      <c r="D1985" s="61" t="n"/>
      <c r="E1985" s="74" t="n"/>
      <c r="F1985" s="74" t="n"/>
      <c r="G1985" s="73" t="n"/>
      <c r="H1985" s="66" t="str">
        <f>IF(M1985&lt;&gt;"OK","",INDEX(po_mo,MATCH(D1985,po_code,0)))</f>
        <v/>
      </c>
      <c r="I1985" s="66" t="str">
        <f>IF(M1985&lt;&gt;"OK","",INDEX(po_mac,MATCH(D1985,po_code,0)))</f>
        <v/>
      </c>
      <c r="J1985" s="66" t="str">
        <f>IF(M1985&lt;&gt;"OK","",N(E1985)*(H1985*IF(G1985="",1,G1985)+I1985))</f>
        <v/>
      </c>
      <c r="K1985" s="66" t="str">
        <f>IF(M1985&lt;&gt;"OK","",N(F1985)/60*H1985*IF(G1985="",1,G1985))</f>
        <v/>
      </c>
      <c r="L1985" s="66" t="str">
        <f>IF(M1985&lt;&gt;"OK","",N(F1985)/60*I1985)</f>
        <v/>
      </c>
      <c r="M1985" s="69" t="str">
        <f>IF(AND(A1985="",D1985=""),"",IF(A1985="","Produit manquant",IF(COUNTIF(prod_ref,A1985)=0,"Produit inconnu",IF(D1985="","Poste manquant",IF(ISNA(MATCH(D1985,po_code,0)),"Poste inconnu",IF(INDEX(po_check,MATCH(D1985,po_code,0))&lt;&gt;"OK","Poste à corriger",IF(AND(E1985&lt;&gt;"",OR(NOT(ISNUMBER(E1985)),N(E1985)&lt;0)),"Réglage invalide",IF(AND(F1985&lt;&gt;"",OR(NOT(ISNUMBER(F1985)),N(F1985)&lt;0)),"Temps par pièce invalide",IF(N(E1985)+N(F1985)=0,"Temps manquant",IF(AND(G1985&lt;&gt;"",OR(NOT(ISNUMBER(G1985)),N(G1985)&lt;=0)),"Opérateurs invalide","OK"))))))))))</f>
        <v/>
      </c>
      <c r="N1985" s="71" t="str">
        <f>IF(AND(fiche_sel&lt;&gt;"",A1985=fiche_sel),COUNTIF(A$6:A1985,fiche_sel),"")</f>
        <v/>
      </c>
    </row>
    <row r="1986">
      <c r="A1986" s="60" t="n"/>
      <c r="B1986" s="73" t="n"/>
      <c r="C1986" s="60" t="n"/>
      <c r="D1986" s="61" t="n"/>
      <c r="E1986" s="74" t="n"/>
      <c r="F1986" s="74" t="n"/>
      <c r="G1986" s="73" t="n"/>
      <c r="H1986" s="66" t="str">
        <f>IF(M1986&lt;&gt;"OK","",INDEX(po_mo,MATCH(D1986,po_code,0)))</f>
        <v/>
      </c>
      <c r="I1986" s="66" t="str">
        <f>IF(M1986&lt;&gt;"OK","",INDEX(po_mac,MATCH(D1986,po_code,0)))</f>
        <v/>
      </c>
      <c r="J1986" s="66" t="str">
        <f>IF(M1986&lt;&gt;"OK","",N(E1986)*(H1986*IF(G1986="",1,G1986)+I1986))</f>
        <v/>
      </c>
      <c r="K1986" s="66" t="str">
        <f>IF(M1986&lt;&gt;"OK","",N(F1986)/60*H1986*IF(G1986="",1,G1986))</f>
        <v/>
      </c>
      <c r="L1986" s="66" t="str">
        <f>IF(M1986&lt;&gt;"OK","",N(F1986)/60*I1986)</f>
        <v/>
      </c>
      <c r="M1986" s="69" t="str">
        <f>IF(AND(A1986="",D1986=""),"",IF(A1986="","Produit manquant",IF(COUNTIF(prod_ref,A1986)=0,"Produit inconnu",IF(D1986="","Poste manquant",IF(ISNA(MATCH(D1986,po_code,0)),"Poste inconnu",IF(INDEX(po_check,MATCH(D1986,po_code,0))&lt;&gt;"OK","Poste à corriger",IF(AND(E1986&lt;&gt;"",OR(NOT(ISNUMBER(E1986)),N(E1986)&lt;0)),"Réglage invalide",IF(AND(F1986&lt;&gt;"",OR(NOT(ISNUMBER(F1986)),N(F1986)&lt;0)),"Temps par pièce invalide",IF(N(E1986)+N(F1986)=0,"Temps manquant",IF(AND(G1986&lt;&gt;"",OR(NOT(ISNUMBER(G1986)),N(G1986)&lt;=0)),"Opérateurs invalide","OK"))))))))))</f>
        <v/>
      </c>
      <c r="N1986" s="71" t="str">
        <f>IF(AND(fiche_sel&lt;&gt;"",A1986=fiche_sel),COUNTIF(A$6:A1986,fiche_sel),"")</f>
        <v/>
      </c>
    </row>
    <row r="1987">
      <c r="A1987" s="60" t="n"/>
      <c r="B1987" s="73" t="n"/>
      <c r="C1987" s="60" t="n"/>
      <c r="D1987" s="61" t="n"/>
      <c r="E1987" s="74" t="n"/>
      <c r="F1987" s="74" t="n"/>
      <c r="G1987" s="73" t="n"/>
      <c r="H1987" s="66" t="str">
        <f>IF(M1987&lt;&gt;"OK","",INDEX(po_mo,MATCH(D1987,po_code,0)))</f>
        <v/>
      </c>
      <c r="I1987" s="66" t="str">
        <f>IF(M1987&lt;&gt;"OK","",INDEX(po_mac,MATCH(D1987,po_code,0)))</f>
        <v/>
      </c>
      <c r="J1987" s="66" t="str">
        <f>IF(M1987&lt;&gt;"OK","",N(E1987)*(H1987*IF(G1987="",1,G1987)+I1987))</f>
        <v/>
      </c>
      <c r="K1987" s="66" t="str">
        <f>IF(M1987&lt;&gt;"OK","",N(F1987)/60*H1987*IF(G1987="",1,G1987))</f>
        <v/>
      </c>
      <c r="L1987" s="66" t="str">
        <f>IF(M1987&lt;&gt;"OK","",N(F1987)/60*I1987)</f>
        <v/>
      </c>
      <c r="M1987" s="69" t="str">
        <f>IF(AND(A1987="",D1987=""),"",IF(A1987="","Produit manquant",IF(COUNTIF(prod_ref,A1987)=0,"Produit inconnu",IF(D1987="","Poste manquant",IF(ISNA(MATCH(D1987,po_code,0)),"Poste inconnu",IF(INDEX(po_check,MATCH(D1987,po_code,0))&lt;&gt;"OK","Poste à corriger",IF(AND(E1987&lt;&gt;"",OR(NOT(ISNUMBER(E1987)),N(E1987)&lt;0)),"Réglage invalide",IF(AND(F1987&lt;&gt;"",OR(NOT(ISNUMBER(F1987)),N(F1987)&lt;0)),"Temps par pièce invalide",IF(N(E1987)+N(F1987)=0,"Temps manquant",IF(AND(G1987&lt;&gt;"",OR(NOT(ISNUMBER(G1987)),N(G1987)&lt;=0)),"Opérateurs invalide","OK"))))))))))</f>
        <v/>
      </c>
      <c r="N1987" s="71" t="str">
        <f>IF(AND(fiche_sel&lt;&gt;"",A1987=fiche_sel),COUNTIF(A$6:A1987,fiche_sel),"")</f>
        <v/>
      </c>
    </row>
    <row r="1988">
      <c r="A1988" s="60" t="n"/>
      <c r="B1988" s="73" t="n"/>
      <c r="C1988" s="60" t="n"/>
      <c r="D1988" s="61" t="n"/>
      <c r="E1988" s="74" t="n"/>
      <c r="F1988" s="74" t="n"/>
      <c r="G1988" s="73" t="n"/>
      <c r="H1988" s="66" t="str">
        <f>IF(M1988&lt;&gt;"OK","",INDEX(po_mo,MATCH(D1988,po_code,0)))</f>
        <v/>
      </c>
      <c r="I1988" s="66" t="str">
        <f>IF(M1988&lt;&gt;"OK","",INDEX(po_mac,MATCH(D1988,po_code,0)))</f>
        <v/>
      </c>
      <c r="J1988" s="66" t="str">
        <f>IF(M1988&lt;&gt;"OK","",N(E1988)*(H1988*IF(G1988="",1,G1988)+I1988))</f>
        <v/>
      </c>
      <c r="K1988" s="66" t="str">
        <f>IF(M1988&lt;&gt;"OK","",N(F1988)/60*H1988*IF(G1988="",1,G1988))</f>
        <v/>
      </c>
      <c r="L1988" s="66" t="str">
        <f>IF(M1988&lt;&gt;"OK","",N(F1988)/60*I1988)</f>
        <v/>
      </c>
      <c r="M1988" s="69" t="str">
        <f>IF(AND(A1988="",D1988=""),"",IF(A1988="","Produit manquant",IF(COUNTIF(prod_ref,A1988)=0,"Produit inconnu",IF(D1988="","Poste manquant",IF(ISNA(MATCH(D1988,po_code,0)),"Poste inconnu",IF(INDEX(po_check,MATCH(D1988,po_code,0))&lt;&gt;"OK","Poste à corriger",IF(AND(E1988&lt;&gt;"",OR(NOT(ISNUMBER(E1988)),N(E1988)&lt;0)),"Réglage invalide",IF(AND(F1988&lt;&gt;"",OR(NOT(ISNUMBER(F1988)),N(F1988)&lt;0)),"Temps par pièce invalide",IF(N(E1988)+N(F1988)=0,"Temps manquant",IF(AND(G1988&lt;&gt;"",OR(NOT(ISNUMBER(G1988)),N(G1988)&lt;=0)),"Opérateurs invalide","OK"))))))))))</f>
        <v/>
      </c>
      <c r="N1988" s="71" t="str">
        <f>IF(AND(fiche_sel&lt;&gt;"",A1988=fiche_sel),COUNTIF(A$6:A1988,fiche_sel),"")</f>
        <v/>
      </c>
    </row>
    <row r="1989">
      <c r="A1989" s="60" t="n"/>
      <c r="B1989" s="73" t="n"/>
      <c r="C1989" s="60" t="n"/>
      <c r="D1989" s="61" t="n"/>
      <c r="E1989" s="74" t="n"/>
      <c r="F1989" s="74" t="n"/>
      <c r="G1989" s="73" t="n"/>
      <c r="H1989" s="66" t="str">
        <f>IF(M1989&lt;&gt;"OK","",INDEX(po_mo,MATCH(D1989,po_code,0)))</f>
        <v/>
      </c>
      <c r="I1989" s="66" t="str">
        <f>IF(M1989&lt;&gt;"OK","",INDEX(po_mac,MATCH(D1989,po_code,0)))</f>
        <v/>
      </c>
      <c r="J1989" s="66" t="str">
        <f>IF(M1989&lt;&gt;"OK","",N(E1989)*(H1989*IF(G1989="",1,G1989)+I1989))</f>
        <v/>
      </c>
      <c r="K1989" s="66" t="str">
        <f>IF(M1989&lt;&gt;"OK","",N(F1989)/60*H1989*IF(G1989="",1,G1989))</f>
        <v/>
      </c>
      <c r="L1989" s="66" t="str">
        <f>IF(M1989&lt;&gt;"OK","",N(F1989)/60*I1989)</f>
        <v/>
      </c>
      <c r="M1989" s="69" t="str">
        <f>IF(AND(A1989="",D1989=""),"",IF(A1989="","Produit manquant",IF(COUNTIF(prod_ref,A1989)=0,"Produit inconnu",IF(D1989="","Poste manquant",IF(ISNA(MATCH(D1989,po_code,0)),"Poste inconnu",IF(INDEX(po_check,MATCH(D1989,po_code,0))&lt;&gt;"OK","Poste à corriger",IF(AND(E1989&lt;&gt;"",OR(NOT(ISNUMBER(E1989)),N(E1989)&lt;0)),"Réglage invalide",IF(AND(F1989&lt;&gt;"",OR(NOT(ISNUMBER(F1989)),N(F1989)&lt;0)),"Temps par pièce invalide",IF(N(E1989)+N(F1989)=0,"Temps manquant",IF(AND(G1989&lt;&gt;"",OR(NOT(ISNUMBER(G1989)),N(G1989)&lt;=0)),"Opérateurs invalide","OK"))))))))))</f>
        <v/>
      </c>
      <c r="N1989" s="71" t="str">
        <f>IF(AND(fiche_sel&lt;&gt;"",A1989=fiche_sel),COUNTIF(A$6:A1989,fiche_sel),"")</f>
        <v/>
      </c>
    </row>
    <row r="1990">
      <c r="A1990" s="60" t="n"/>
      <c r="B1990" s="73" t="n"/>
      <c r="C1990" s="60" t="n"/>
      <c r="D1990" s="61" t="n"/>
      <c r="E1990" s="74" t="n"/>
      <c r="F1990" s="74" t="n"/>
      <c r="G1990" s="73" t="n"/>
      <c r="H1990" s="66" t="str">
        <f>IF(M1990&lt;&gt;"OK","",INDEX(po_mo,MATCH(D1990,po_code,0)))</f>
        <v/>
      </c>
      <c r="I1990" s="66" t="str">
        <f>IF(M1990&lt;&gt;"OK","",INDEX(po_mac,MATCH(D1990,po_code,0)))</f>
        <v/>
      </c>
      <c r="J1990" s="66" t="str">
        <f>IF(M1990&lt;&gt;"OK","",N(E1990)*(H1990*IF(G1990="",1,G1990)+I1990))</f>
        <v/>
      </c>
      <c r="K1990" s="66" t="str">
        <f>IF(M1990&lt;&gt;"OK","",N(F1990)/60*H1990*IF(G1990="",1,G1990))</f>
        <v/>
      </c>
      <c r="L1990" s="66" t="str">
        <f>IF(M1990&lt;&gt;"OK","",N(F1990)/60*I1990)</f>
        <v/>
      </c>
      <c r="M1990" s="69" t="str">
        <f>IF(AND(A1990="",D1990=""),"",IF(A1990="","Produit manquant",IF(COUNTIF(prod_ref,A1990)=0,"Produit inconnu",IF(D1990="","Poste manquant",IF(ISNA(MATCH(D1990,po_code,0)),"Poste inconnu",IF(INDEX(po_check,MATCH(D1990,po_code,0))&lt;&gt;"OK","Poste à corriger",IF(AND(E1990&lt;&gt;"",OR(NOT(ISNUMBER(E1990)),N(E1990)&lt;0)),"Réglage invalide",IF(AND(F1990&lt;&gt;"",OR(NOT(ISNUMBER(F1990)),N(F1990)&lt;0)),"Temps par pièce invalide",IF(N(E1990)+N(F1990)=0,"Temps manquant",IF(AND(G1990&lt;&gt;"",OR(NOT(ISNUMBER(G1990)),N(G1990)&lt;=0)),"Opérateurs invalide","OK"))))))))))</f>
        <v/>
      </c>
      <c r="N1990" s="71" t="str">
        <f>IF(AND(fiche_sel&lt;&gt;"",A1990=fiche_sel),COUNTIF(A$6:A1990,fiche_sel),"")</f>
        <v/>
      </c>
    </row>
    <row r="1991">
      <c r="A1991" s="60" t="n"/>
      <c r="B1991" s="73" t="n"/>
      <c r="C1991" s="60" t="n"/>
      <c r="D1991" s="61" t="n"/>
      <c r="E1991" s="74" t="n"/>
      <c r="F1991" s="74" t="n"/>
      <c r="G1991" s="73" t="n"/>
      <c r="H1991" s="66" t="str">
        <f>IF(M1991&lt;&gt;"OK","",INDEX(po_mo,MATCH(D1991,po_code,0)))</f>
        <v/>
      </c>
      <c r="I1991" s="66" t="str">
        <f>IF(M1991&lt;&gt;"OK","",INDEX(po_mac,MATCH(D1991,po_code,0)))</f>
        <v/>
      </c>
      <c r="J1991" s="66" t="str">
        <f>IF(M1991&lt;&gt;"OK","",N(E1991)*(H1991*IF(G1991="",1,G1991)+I1991))</f>
        <v/>
      </c>
      <c r="K1991" s="66" t="str">
        <f>IF(M1991&lt;&gt;"OK","",N(F1991)/60*H1991*IF(G1991="",1,G1991))</f>
        <v/>
      </c>
      <c r="L1991" s="66" t="str">
        <f>IF(M1991&lt;&gt;"OK","",N(F1991)/60*I1991)</f>
        <v/>
      </c>
      <c r="M1991" s="69" t="str">
        <f>IF(AND(A1991="",D1991=""),"",IF(A1991="","Produit manquant",IF(COUNTIF(prod_ref,A1991)=0,"Produit inconnu",IF(D1991="","Poste manquant",IF(ISNA(MATCH(D1991,po_code,0)),"Poste inconnu",IF(INDEX(po_check,MATCH(D1991,po_code,0))&lt;&gt;"OK","Poste à corriger",IF(AND(E1991&lt;&gt;"",OR(NOT(ISNUMBER(E1991)),N(E1991)&lt;0)),"Réglage invalide",IF(AND(F1991&lt;&gt;"",OR(NOT(ISNUMBER(F1991)),N(F1991)&lt;0)),"Temps par pièce invalide",IF(N(E1991)+N(F1991)=0,"Temps manquant",IF(AND(G1991&lt;&gt;"",OR(NOT(ISNUMBER(G1991)),N(G1991)&lt;=0)),"Opérateurs invalide","OK"))))))))))</f>
        <v/>
      </c>
      <c r="N1991" s="71" t="str">
        <f>IF(AND(fiche_sel&lt;&gt;"",A1991=fiche_sel),COUNTIF(A$6:A1991,fiche_sel),"")</f>
        <v/>
      </c>
    </row>
    <row r="1992">
      <c r="A1992" s="60" t="n"/>
      <c r="B1992" s="73" t="n"/>
      <c r="C1992" s="60" t="n"/>
      <c r="D1992" s="61" t="n"/>
      <c r="E1992" s="74" t="n"/>
      <c r="F1992" s="74" t="n"/>
      <c r="G1992" s="73" t="n"/>
      <c r="H1992" s="66" t="str">
        <f>IF(M1992&lt;&gt;"OK","",INDEX(po_mo,MATCH(D1992,po_code,0)))</f>
        <v/>
      </c>
      <c r="I1992" s="66" t="str">
        <f>IF(M1992&lt;&gt;"OK","",INDEX(po_mac,MATCH(D1992,po_code,0)))</f>
        <v/>
      </c>
      <c r="J1992" s="66" t="str">
        <f>IF(M1992&lt;&gt;"OK","",N(E1992)*(H1992*IF(G1992="",1,G1992)+I1992))</f>
        <v/>
      </c>
      <c r="K1992" s="66" t="str">
        <f>IF(M1992&lt;&gt;"OK","",N(F1992)/60*H1992*IF(G1992="",1,G1992))</f>
        <v/>
      </c>
      <c r="L1992" s="66" t="str">
        <f>IF(M1992&lt;&gt;"OK","",N(F1992)/60*I1992)</f>
        <v/>
      </c>
      <c r="M1992" s="69" t="str">
        <f>IF(AND(A1992="",D1992=""),"",IF(A1992="","Produit manquant",IF(COUNTIF(prod_ref,A1992)=0,"Produit inconnu",IF(D1992="","Poste manquant",IF(ISNA(MATCH(D1992,po_code,0)),"Poste inconnu",IF(INDEX(po_check,MATCH(D1992,po_code,0))&lt;&gt;"OK","Poste à corriger",IF(AND(E1992&lt;&gt;"",OR(NOT(ISNUMBER(E1992)),N(E1992)&lt;0)),"Réglage invalide",IF(AND(F1992&lt;&gt;"",OR(NOT(ISNUMBER(F1992)),N(F1992)&lt;0)),"Temps par pièce invalide",IF(N(E1992)+N(F1992)=0,"Temps manquant",IF(AND(G1992&lt;&gt;"",OR(NOT(ISNUMBER(G1992)),N(G1992)&lt;=0)),"Opérateurs invalide","OK"))))))))))</f>
        <v/>
      </c>
      <c r="N1992" s="71" t="str">
        <f>IF(AND(fiche_sel&lt;&gt;"",A1992=fiche_sel),COUNTIF(A$6:A1992,fiche_sel),"")</f>
        <v/>
      </c>
    </row>
    <row r="1993">
      <c r="A1993" s="60" t="n"/>
      <c r="B1993" s="73" t="n"/>
      <c r="C1993" s="60" t="n"/>
      <c r="D1993" s="61" t="n"/>
      <c r="E1993" s="74" t="n"/>
      <c r="F1993" s="74" t="n"/>
      <c r="G1993" s="73" t="n"/>
      <c r="H1993" s="66" t="str">
        <f>IF(M1993&lt;&gt;"OK","",INDEX(po_mo,MATCH(D1993,po_code,0)))</f>
        <v/>
      </c>
      <c r="I1993" s="66" t="str">
        <f>IF(M1993&lt;&gt;"OK","",INDEX(po_mac,MATCH(D1993,po_code,0)))</f>
        <v/>
      </c>
      <c r="J1993" s="66" t="str">
        <f>IF(M1993&lt;&gt;"OK","",N(E1993)*(H1993*IF(G1993="",1,G1993)+I1993))</f>
        <v/>
      </c>
      <c r="K1993" s="66" t="str">
        <f>IF(M1993&lt;&gt;"OK","",N(F1993)/60*H1993*IF(G1993="",1,G1993))</f>
        <v/>
      </c>
      <c r="L1993" s="66" t="str">
        <f>IF(M1993&lt;&gt;"OK","",N(F1993)/60*I1993)</f>
        <v/>
      </c>
      <c r="M1993" s="69" t="str">
        <f>IF(AND(A1993="",D1993=""),"",IF(A1993="","Produit manquant",IF(COUNTIF(prod_ref,A1993)=0,"Produit inconnu",IF(D1993="","Poste manquant",IF(ISNA(MATCH(D1993,po_code,0)),"Poste inconnu",IF(INDEX(po_check,MATCH(D1993,po_code,0))&lt;&gt;"OK","Poste à corriger",IF(AND(E1993&lt;&gt;"",OR(NOT(ISNUMBER(E1993)),N(E1993)&lt;0)),"Réglage invalide",IF(AND(F1993&lt;&gt;"",OR(NOT(ISNUMBER(F1993)),N(F1993)&lt;0)),"Temps par pièce invalide",IF(N(E1993)+N(F1993)=0,"Temps manquant",IF(AND(G1993&lt;&gt;"",OR(NOT(ISNUMBER(G1993)),N(G1993)&lt;=0)),"Opérateurs invalide","OK"))))))))))</f>
        <v/>
      </c>
      <c r="N1993" s="71" t="str">
        <f>IF(AND(fiche_sel&lt;&gt;"",A1993=fiche_sel),COUNTIF(A$6:A1993,fiche_sel),"")</f>
        <v/>
      </c>
    </row>
    <row r="1994">
      <c r="A1994" s="60" t="n"/>
      <c r="B1994" s="73" t="n"/>
      <c r="C1994" s="60" t="n"/>
      <c r="D1994" s="61" t="n"/>
      <c r="E1994" s="74" t="n"/>
      <c r="F1994" s="74" t="n"/>
      <c r="G1994" s="73" t="n"/>
      <c r="H1994" s="66" t="str">
        <f>IF(M1994&lt;&gt;"OK","",INDEX(po_mo,MATCH(D1994,po_code,0)))</f>
        <v/>
      </c>
      <c r="I1994" s="66" t="str">
        <f>IF(M1994&lt;&gt;"OK","",INDEX(po_mac,MATCH(D1994,po_code,0)))</f>
        <v/>
      </c>
      <c r="J1994" s="66" t="str">
        <f>IF(M1994&lt;&gt;"OK","",N(E1994)*(H1994*IF(G1994="",1,G1994)+I1994))</f>
        <v/>
      </c>
      <c r="K1994" s="66" t="str">
        <f>IF(M1994&lt;&gt;"OK","",N(F1994)/60*H1994*IF(G1994="",1,G1994))</f>
        <v/>
      </c>
      <c r="L1994" s="66" t="str">
        <f>IF(M1994&lt;&gt;"OK","",N(F1994)/60*I1994)</f>
        <v/>
      </c>
      <c r="M1994" s="69" t="str">
        <f>IF(AND(A1994="",D1994=""),"",IF(A1994="","Produit manquant",IF(COUNTIF(prod_ref,A1994)=0,"Produit inconnu",IF(D1994="","Poste manquant",IF(ISNA(MATCH(D1994,po_code,0)),"Poste inconnu",IF(INDEX(po_check,MATCH(D1994,po_code,0))&lt;&gt;"OK","Poste à corriger",IF(AND(E1994&lt;&gt;"",OR(NOT(ISNUMBER(E1994)),N(E1994)&lt;0)),"Réglage invalide",IF(AND(F1994&lt;&gt;"",OR(NOT(ISNUMBER(F1994)),N(F1994)&lt;0)),"Temps par pièce invalide",IF(N(E1994)+N(F1994)=0,"Temps manquant",IF(AND(G1994&lt;&gt;"",OR(NOT(ISNUMBER(G1994)),N(G1994)&lt;=0)),"Opérateurs invalide","OK"))))))))))</f>
        <v/>
      </c>
      <c r="N1994" s="71" t="str">
        <f>IF(AND(fiche_sel&lt;&gt;"",A1994=fiche_sel),COUNTIF(A$6:A1994,fiche_sel),"")</f>
        <v/>
      </c>
    </row>
    <row r="1995">
      <c r="A1995" s="60" t="n"/>
      <c r="B1995" s="73" t="n"/>
      <c r="C1995" s="60" t="n"/>
      <c r="D1995" s="61" t="n"/>
      <c r="E1995" s="74" t="n"/>
      <c r="F1995" s="74" t="n"/>
      <c r="G1995" s="73" t="n"/>
      <c r="H1995" s="66" t="str">
        <f>IF(M1995&lt;&gt;"OK","",INDEX(po_mo,MATCH(D1995,po_code,0)))</f>
        <v/>
      </c>
      <c r="I1995" s="66" t="str">
        <f>IF(M1995&lt;&gt;"OK","",INDEX(po_mac,MATCH(D1995,po_code,0)))</f>
        <v/>
      </c>
      <c r="J1995" s="66" t="str">
        <f>IF(M1995&lt;&gt;"OK","",N(E1995)*(H1995*IF(G1995="",1,G1995)+I1995))</f>
        <v/>
      </c>
      <c r="K1995" s="66" t="str">
        <f>IF(M1995&lt;&gt;"OK","",N(F1995)/60*H1995*IF(G1995="",1,G1995))</f>
        <v/>
      </c>
      <c r="L1995" s="66" t="str">
        <f>IF(M1995&lt;&gt;"OK","",N(F1995)/60*I1995)</f>
        <v/>
      </c>
      <c r="M1995" s="69" t="str">
        <f>IF(AND(A1995="",D1995=""),"",IF(A1995="","Produit manquant",IF(COUNTIF(prod_ref,A1995)=0,"Produit inconnu",IF(D1995="","Poste manquant",IF(ISNA(MATCH(D1995,po_code,0)),"Poste inconnu",IF(INDEX(po_check,MATCH(D1995,po_code,0))&lt;&gt;"OK","Poste à corriger",IF(AND(E1995&lt;&gt;"",OR(NOT(ISNUMBER(E1995)),N(E1995)&lt;0)),"Réglage invalide",IF(AND(F1995&lt;&gt;"",OR(NOT(ISNUMBER(F1995)),N(F1995)&lt;0)),"Temps par pièce invalide",IF(N(E1995)+N(F1995)=0,"Temps manquant",IF(AND(G1995&lt;&gt;"",OR(NOT(ISNUMBER(G1995)),N(G1995)&lt;=0)),"Opérateurs invalide","OK"))))))))))</f>
        <v/>
      </c>
      <c r="N1995" s="71" t="str">
        <f>IF(AND(fiche_sel&lt;&gt;"",A1995=fiche_sel),COUNTIF(A$6:A1995,fiche_sel),"")</f>
        <v/>
      </c>
    </row>
    <row r="1996">
      <c r="A1996" s="60" t="n"/>
      <c r="B1996" s="73" t="n"/>
      <c r="C1996" s="60" t="n"/>
      <c r="D1996" s="61" t="n"/>
      <c r="E1996" s="74" t="n"/>
      <c r="F1996" s="74" t="n"/>
      <c r="G1996" s="73" t="n"/>
      <c r="H1996" s="66" t="str">
        <f>IF(M1996&lt;&gt;"OK","",INDEX(po_mo,MATCH(D1996,po_code,0)))</f>
        <v/>
      </c>
      <c r="I1996" s="66" t="str">
        <f>IF(M1996&lt;&gt;"OK","",INDEX(po_mac,MATCH(D1996,po_code,0)))</f>
        <v/>
      </c>
      <c r="J1996" s="66" t="str">
        <f>IF(M1996&lt;&gt;"OK","",N(E1996)*(H1996*IF(G1996="",1,G1996)+I1996))</f>
        <v/>
      </c>
      <c r="K1996" s="66" t="str">
        <f>IF(M1996&lt;&gt;"OK","",N(F1996)/60*H1996*IF(G1996="",1,G1996))</f>
        <v/>
      </c>
      <c r="L1996" s="66" t="str">
        <f>IF(M1996&lt;&gt;"OK","",N(F1996)/60*I1996)</f>
        <v/>
      </c>
      <c r="M1996" s="69" t="str">
        <f>IF(AND(A1996="",D1996=""),"",IF(A1996="","Produit manquant",IF(COUNTIF(prod_ref,A1996)=0,"Produit inconnu",IF(D1996="","Poste manquant",IF(ISNA(MATCH(D1996,po_code,0)),"Poste inconnu",IF(INDEX(po_check,MATCH(D1996,po_code,0))&lt;&gt;"OK","Poste à corriger",IF(AND(E1996&lt;&gt;"",OR(NOT(ISNUMBER(E1996)),N(E1996)&lt;0)),"Réglage invalide",IF(AND(F1996&lt;&gt;"",OR(NOT(ISNUMBER(F1996)),N(F1996)&lt;0)),"Temps par pièce invalide",IF(N(E1996)+N(F1996)=0,"Temps manquant",IF(AND(G1996&lt;&gt;"",OR(NOT(ISNUMBER(G1996)),N(G1996)&lt;=0)),"Opérateurs invalide","OK"))))))))))</f>
        <v/>
      </c>
      <c r="N1996" s="71" t="str">
        <f>IF(AND(fiche_sel&lt;&gt;"",A1996=fiche_sel),COUNTIF(A$6:A1996,fiche_sel),"")</f>
        <v/>
      </c>
    </row>
    <row r="1997">
      <c r="A1997" s="60" t="n"/>
      <c r="B1997" s="73" t="n"/>
      <c r="C1997" s="60" t="n"/>
      <c r="D1997" s="61" t="n"/>
      <c r="E1997" s="74" t="n"/>
      <c r="F1997" s="74" t="n"/>
      <c r="G1997" s="73" t="n"/>
      <c r="H1997" s="66" t="str">
        <f>IF(M1997&lt;&gt;"OK","",INDEX(po_mo,MATCH(D1997,po_code,0)))</f>
        <v/>
      </c>
      <c r="I1997" s="66" t="str">
        <f>IF(M1997&lt;&gt;"OK","",INDEX(po_mac,MATCH(D1997,po_code,0)))</f>
        <v/>
      </c>
      <c r="J1997" s="66" t="str">
        <f>IF(M1997&lt;&gt;"OK","",N(E1997)*(H1997*IF(G1997="",1,G1997)+I1997))</f>
        <v/>
      </c>
      <c r="K1997" s="66" t="str">
        <f>IF(M1997&lt;&gt;"OK","",N(F1997)/60*H1997*IF(G1997="",1,G1997))</f>
        <v/>
      </c>
      <c r="L1997" s="66" t="str">
        <f>IF(M1997&lt;&gt;"OK","",N(F1997)/60*I1997)</f>
        <v/>
      </c>
      <c r="M1997" s="69" t="str">
        <f>IF(AND(A1997="",D1997=""),"",IF(A1997="","Produit manquant",IF(COUNTIF(prod_ref,A1997)=0,"Produit inconnu",IF(D1997="","Poste manquant",IF(ISNA(MATCH(D1997,po_code,0)),"Poste inconnu",IF(INDEX(po_check,MATCH(D1997,po_code,0))&lt;&gt;"OK","Poste à corriger",IF(AND(E1997&lt;&gt;"",OR(NOT(ISNUMBER(E1997)),N(E1997)&lt;0)),"Réglage invalide",IF(AND(F1997&lt;&gt;"",OR(NOT(ISNUMBER(F1997)),N(F1997)&lt;0)),"Temps par pièce invalide",IF(N(E1997)+N(F1997)=0,"Temps manquant",IF(AND(G1997&lt;&gt;"",OR(NOT(ISNUMBER(G1997)),N(G1997)&lt;=0)),"Opérateurs invalide","OK"))))))))))</f>
        <v/>
      </c>
      <c r="N1997" s="71" t="str">
        <f>IF(AND(fiche_sel&lt;&gt;"",A1997=fiche_sel),COUNTIF(A$6:A1997,fiche_sel),"")</f>
        <v/>
      </c>
    </row>
    <row r="1998">
      <c r="A1998" s="60" t="n"/>
      <c r="B1998" s="73" t="n"/>
      <c r="C1998" s="60" t="n"/>
      <c r="D1998" s="61" t="n"/>
      <c r="E1998" s="74" t="n"/>
      <c r="F1998" s="74" t="n"/>
      <c r="G1998" s="73" t="n"/>
      <c r="H1998" s="66" t="str">
        <f>IF(M1998&lt;&gt;"OK","",INDEX(po_mo,MATCH(D1998,po_code,0)))</f>
        <v/>
      </c>
      <c r="I1998" s="66" t="str">
        <f>IF(M1998&lt;&gt;"OK","",INDEX(po_mac,MATCH(D1998,po_code,0)))</f>
        <v/>
      </c>
      <c r="J1998" s="66" t="str">
        <f>IF(M1998&lt;&gt;"OK","",N(E1998)*(H1998*IF(G1998="",1,G1998)+I1998))</f>
        <v/>
      </c>
      <c r="K1998" s="66" t="str">
        <f>IF(M1998&lt;&gt;"OK","",N(F1998)/60*H1998*IF(G1998="",1,G1998))</f>
        <v/>
      </c>
      <c r="L1998" s="66" t="str">
        <f>IF(M1998&lt;&gt;"OK","",N(F1998)/60*I1998)</f>
        <v/>
      </c>
      <c r="M1998" s="69" t="str">
        <f>IF(AND(A1998="",D1998=""),"",IF(A1998="","Produit manquant",IF(COUNTIF(prod_ref,A1998)=0,"Produit inconnu",IF(D1998="","Poste manquant",IF(ISNA(MATCH(D1998,po_code,0)),"Poste inconnu",IF(INDEX(po_check,MATCH(D1998,po_code,0))&lt;&gt;"OK","Poste à corriger",IF(AND(E1998&lt;&gt;"",OR(NOT(ISNUMBER(E1998)),N(E1998)&lt;0)),"Réglage invalide",IF(AND(F1998&lt;&gt;"",OR(NOT(ISNUMBER(F1998)),N(F1998)&lt;0)),"Temps par pièce invalide",IF(N(E1998)+N(F1998)=0,"Temps manquant",IF(AND(G1998&lt;&gt;"",OR(NOT(ISNUMBER(G1998)),N(G1998)&lt;=0)),"Opérateurs invalide","OK"))))))))))</f>
        <v/>
      </c>
      <c r="N1998" s="71" t="str">
        <f>IF(AND(fiche_sel&lt;&gt;"",A1998=fiche_sel),COUNTIF(A$6:A1998,fiche_sel),"")</f>
        <v/>
      </c>
    </row>
    <row r="1999">
      <c r="A1999" s="60" t="n"/>
      <c r="B1999" s="73" t="n"/>
      <c r="C1999" s="60" t="n"/>
      <c r="D1999" s="61" t="n"/>
      <c r="E1999" s="74" t="n"/>
      <c r="F1999" s="74" t="n"/>
      <c r="G1999" s="73" t="n"/>
      <c r="H1999" s="66" t="str">
        <f>IF(M1999&lt;&gt;"OK","",INDEX(po_mo,MATCH(D1999,po_code,0)))</f>
        <v/>
      </c>
      <c r="I1999" s="66" t="str">
        <f>IF(M1999&lt;&gt;"OK","",INDEX(po_mac,MATCH(D1999,po_code,0)))</f>
        <v/>
      </c>
      <c r="J1999" s="66" t="str">
        <f>IF(M1999&lt;&gt;"OK","",N(E1999)*(H1999*IF(G1999="",1,G1999)+I1999))</f>
        <v/>
      </c>
      <c r="K1999" s="66" t="str">
        <f>IF(M1999&lt;&gt;"OK","",N(F1999)/60*H1999*IF(G1999="",1,G1999))</f>
        <v/>
      </c>
      <c r="L1999" s="66" t="str">
        <f>IF(M1999&lt;&gt;"OK","",N(F1999)/60*I1999)</f>
        <v/>
      </c>
      <c r="M1999" s="69" t="str">
        <f>IF(AND(A1999="",D1999=""),"",IF(A1999="","Produit manquant",IF(COUNTIF(prod_ref,A1999)=0,"Produit inconnu",IF(D1999="","Poste manquant",IF(ISNA(MATCH(D1999,po_code,0)),"Poste inconnu",IF(INDEX(po_check,MATCH(D1999,po_code,0))&lt;&gt;"OK","Poste à corriger",IF(AND(E1999&lt;&gt;"",OR(NOT(ISNUMBER(E1999)),N(E1999)&lt;0)),"Réglage invalide",IF(AND(F1999&lt;&gt;"",OR(NOT(ISNUMBER(F1999)),N(F1999)&lt;0)),"Temps par pièce invalide",IF(N(E1999)+N(F1999)=0,"Temps manquant",IF(AND(G1999&lt;&gt;"",OR(NOT(ISNUMBER(G1999)),N(G1999)&lt;=0)),"Opérateurs invalide","OK"))))))))))</f>
        <v/>
      </c>
      <c r="N1999" s="71" t="str">
        <f>IF(AND(fiche_sel&lt;&gt;"",A1999=fiche_sel),COUNTIF(A$6:A1999,fiche_sel),"")</f>
        <v/>
      </c>
    </row>
    <row r="2000">
      <c r="A2000" s="60" t="n"/>
      <c r="B2000" s="73" t="n"/>
      <c r="C2000" s="60" t="n"/>
      <c r="D2000" s="61" t="n"/>
      <c r="E2000" s="74" t="n"/>
      <c r="F2000" s="74" t="n"/>
      <c r="G2000" s="73" t="n"/>
      <c r="H2000" s="66" t="str">
        <f>IF(M2000&lt;&gt;"OK","",INDEX(po_mo,MATCH(D2000,po_code,0)))</f>
        <v/>
      </c>
      <c r="I2000" s="66" t="str">
        <f>IF(M2000&lt;&gt;"OK","",INDEX(po_mac,MATCH(D2000,po_code,0)))</f>
        <v/>
      </c>
      <c r="J2000" s="66" t="str">
        <f>IF(M2000&lt;&gt;"OK","",N(E2000)*(H2000*IF(G2000="",1,G2000)+I2000))</f>
        <v/>
      </c>
      <c r="K2000" s="66" t="str">
        <f>IF(M2000&lt;&gt;"OK","",N(F2000)/60*H2000*IF(G2000="",1,G2000))</f>
        <v/>
      </c>
      <c r="L2000" s="66" t="str">
        <f>IF(M2000&lt;&gt;"OK","",N(F2000)/60*I2000)</f>
        <v/>
      </c>
      <c r="M2000" s="69" t="str">
        <f>IF(AND(A2000="",D2000=""),"",IF(A2000="","Produit manquant",IF(COUNTIF(prod_ref,A2000)=0,"Produit inconnu",IF(D2000="","Poste manquant",IF(ISNA(MATCH(D2000,po_code,0)),"Poste inconnu",IF(INDEX(po_check,MATCH(D2000,po_code,0))&lt;&gt;"OK","Poste à corriger",IF(AND(E2000&lt;&gt;"",OR(NOT(ISNUMBER(E2000)),N(E2000)&lt;0)),"Réglage invalide",IF(AND(F2000&lt;&gt;"",OR(NOT(ISNUMBER(F2000)),N(F2000)&lt;0)),"Temps par pièce invalide",IF(N(E2000)+N(F2000)=0,"Temps manquant",IF(AND(G2000&lt;&gt;"",OR(NOT(ISNUMBER(G2000)),N(G2000)&lt;=0)),"Opérateurs invalide","OK"))))))))))</f>
        <v/>
      </c>
      <c r="N2000" s="71" t="str">
        <f>IF(AND(fiche_sel&lt;&gt;"",A2000=fiche_sel),COUNTIF(A$6:A2000,fiche_sel),"")</f>
        <v/>
      </c>
    </row>
    <row r="2001">
      <c r="A2001" s="60" t="n"/>
      <c r="B2001" s="73" t="n"/>
      <c r="C2001" s="60" t="n"/>
      <c r="D2001" s="61" t="n"/>
      <c r="E2001" s="74" t="n"/>
      <c r="F2001" s="74" t="n"/>
      <c r="G2001" s="73" t="n"/>
      <c r="H2001" s="66" t="str">
        <f>IF(M2001&lt;&gt;"OK","",INDEX(po_mo,MATCH(D2001,po_code,0)))</f>
        <v/>
      </c>
      <c r="I2001" s="66" t="str">
        <f>IF(M2001&lt;&gt;"OK","",INDEX(po_mac,MATCH(D2001,po_code,0)))</f>
        <v/>
      </c>
      <c r="J2001" s="66" t="str">
        <f>IF(M2001&lt;&gt;"OK","",N(E2001)*(H2001*IF(G2001="",1,G2001)+I2001))</f>
        <v/>
      </c>
      <c r="K2001" s="66" t="str">
        <f>IF(M2001&lt;&gt;"OK","",N(F2001)/60*H2001*IF(G2001="",1,G2001))</f>
        <v/>
      </c>
      <c r="L2001" s="66" t="str">
        <f>IF(M2001&lt;&gt;"OK","",N(F2001)/60*I2001)</f>
        <v/>
      </c>
      <c r="M2001" s="69" t="str">
        <f>IF(AND(A2001="",D2001=""),"",IF(A2001="","Produit manquant",IF(COUNTIF(prod_ref,A2001)=0,"Produit inconnu",IF(D2001="","Poste manquant",IF(ISNA(MATCH(D2001,po_code,0)),"Poste inconnu",IF(INDEX(po_check,MATCH(D2001,po_code,0))&lt;&gt;"OK","Poste à corriger",IF(AND(E2001&lt;&gt;"",OR(NOT(ISNUMBER(E2001)),N(E2001)&lt;0)),"Réglage invalide",IF(AND(F2001&lt;&gt;"",OR(NOT(ISNUMBER(F2001)),N(F2001)&lt;0)),"Temps par pièce invalide",IF(N(E2001)+N(F2001)=0,"Temps manquant",IF(AND(G2001&lt;&gt;"",OR(NOT(ISNUMBER(G2001)),N(G2001)&lt;=0)),"Opérateurs invalide","OK"))))))))))</f>
        <v/>
      </c>
      <c r="N2001" s="71" t="str">
        <f>IF(AND(fiche_sel&lt;&gt;"",A2001=fiche_sel),COUNTIF(A$6:A2001,fiche_sel),"")</f>
        <v/>
      </c>
    </row>
    <row r="2002">
      <c r="A2002" s="60" t="n"/>
      <c r="B2002" s="73" t="n"/>
      <c r="C2002" s="60" t="n"/>
      <c r="D2002" s="61" t="n"/>
      <c r="E2002" s="74" t="n"/>
      <c r="F2002" s="74" t="n"/>
      <c r="G2002" s="73" t="n"/>
      <c r="H2002" s="66" t="str">
        <f>IF(M2002&lt;&gt;"OK","",INDEX(po_mo,MATCH(D2002,po_code,0)))</f>
        <v/>
      </c>
      <c r="I2002" s="66" t="str">
        <f>IF(M2002&lt;&gt;"OK","",INDEX(po_mac,MATCH(D2002,po_code,0)))</f>
        <v/>
      </c>
      <c r="J2002" s="66" t="str">
        <f>IF(M2002&lt;&gt;"OK","",N(E2002)*(H2002*IF(G2002="",1,G2002)+I2002))</f>
        <v/>
      </c>
      <c r="K2002" s="66" t="str">
        <f>IF(M2002&lt;&gt;"OK","",N(F2002)/60*H2002*IF(G2002="",1,G2002))</f>
        <v/>
      </c>
      <c r="L2002" s="66" t="str">
        <f>IF(M2002&lt;&gt;"OK","",N(F2002)/60*I2002)</f>
        <v/>
      </c>
      <c r="M2002" s="69" t="str">
        <f>IF(AND(A2002="",D2002=""),"",IF(A2002="","Produit manquant",IF(COUNTIF(prod_ref,A2002)=0,"Produit inconnu",IF(D2002="","Poste manquant",IF(ISNA(MATCH(D2002,po_code,0)),"Poste inconnu",IF(INDEX(po_check,MATCH(D2002,po_code,0))&lt;&gt;"OK","Poste à corriger",IF(AND(E2002&lt;&gt;"",OR(NOT(ISNUMBER(E2002)),N(E2002)&lt;0)),"Réglage invalide",IF(AND(F2002&lt;&gt;"",OR(NOT(ISNUMBER(F2002)),N(F2002)&lt;0)),"Temps par pièce invalide",IF(N(E2002)+N(F2002)=0,"Temps manquant",IF(AND(G2002&lt;&gt;"",OR(NOT(ISNUMBER(G2002)),N(G2002)&lt;=0)),"Opérateurs invalide","OK"))))))))))</f>
        <v/>
      </c>
      <c r="N2002" s="71" t="str">
        <f>IF(AND(fiche_sel&lt;&gt;"",A2002=fiche_sel),COUNTIF(A$6:A2002,fiche_sel),"")</f>
        <v/>
      </c>
    </row>
    <row r="2003">
      <c r="A2003" s="60" t="n"/>
      <c r="B2003" s="73" t="n"/>
      <c r="C2003" s="60" t="n"/>
      <c r="D2003" s="61" t="n"/>
      <c r="E2003" s="74" t="n"/>
      <c r="F2003" s="74" t="n"/>
      <c r="G2003" s="73" t="n"/>
      <c r="H2003" s="66" t="str">
        <f>IF(M2003&lt;&gt;"OK","",INDEX(po_mo,MATCH(D2003,po_code,0)))</f>
        <v/>
      </c>
      <c r="I2003" s="66" t="str">
        <f>IF(M2003&lt;&gt;"OK","",INDEX(po_mac,MATCH(D2003,po_code,0)))</f>
        <v/>
      </c>
      <c r="J2003" s="66" t="str">
        <f>IF(M2003&lt;&gt;"OK","",N(E2003)*(H2003*IF(G2003="",1,G2003)+I2003))</f>
        <v/>
      </c>
      <c r="K2003" s="66" t="str">
        <f>IF(M2003&lt;&gt;"OK","",N(F2003)/60*H2003*IF(G2003="",1,G2003))</f>
        <v/>
      </c>
      <c r="L2003" s="66" t="str">
        <f>IF(M2003&lt;&gt;"OK","",N(F2003)/60*I2003)</f>
        <v/>
      </c>
      <c r="M2003" s="69" t="str">
        <f>IF(AND(A2003="",D2003=""),"",IF(A2003="","Produit manquant",IF(COUNTIF(prod_ref,A2003)=0,"Produit inconnu",IF(D2003="","Poste manquant",IF(ISNA(MATCH(D2003,po_code,0)),"Poste inconnu",IF(INDEX(po_check,MATCH(D2003,po_code,0))&lt;&gt;"OK","Poste à corriger",IF(AND(E2003&lt;&gt;"",OR(NOT(ISNUMBER(E2003)),N(E2003)&lt;0)),"Réglage invalide",IF(AND(F2003&lt;&gt;"",OR(NOT(ISNUMBER(F2003)),N(F2003)&lt;0)),"Temps par pièce invalide",IF(N(E2003)+N(F2003)=0,"Temps manquant",IF(AND(G2003&lt;&gt;"",OR(NOT(ISNUMBER(G2003)),N(G2003)&lt;=0)),"Opérateurs invalide","OK"))))))))))</f>
        <v/>
      </c>
      <c r="N2003" s="71" t="str">
        <f>IF(AND(fiche_sel&lt;&gt;"",A2003=fiche_sel),COUNTIF(A$6:A2003,fiche_sel),"")</f>
        <v/>
      </c>
    </row>
    <row r="2004">
      <c r="A2004" s="60" t="n"/>
      <c r="B2004" s="73" t="n"/>
      <c r="C2004" s="60" t="n"/>
      <c r="D2004" s="61" t="n"/>
      <c r="E2004" s="74" t="n"/>
      <c r="F2004" s="74" t="n"/>
      <c r="G2004" s="73" t="n"/>
      <c r="H2004" s="66" t="str">
        <f>IF(M2004&lt;&gt;"OK","",INDEX(po_mo,MATCH(D2004,po_code,0)))</f>
        <v/>
      </c>
      <c r="I2004" s="66" t="str">
        <f>IF(M2004&lt;&gt;"OK","",INDEX(po_mac,MATCH(D2004,po_code,0)))</f>
        <v/>
      </c>
      <c r="J2004" s="66" t="str">
        <f>IF(M2004&lt;&gt;"OK","",N(E2004)*(H2004*IF(G2004="",1,G2004)+I2004))</f>
        <v/>
      </c>
      <c r="K2004" s="66" t="str">
        <f>IF(M2004&lt;&gt;"OK","",N(F2004)/60*H2004*IF(G2004="",1,G2004))</f>
        <v/>
      </c>
      <c r="L2004" s="66" t="str">
        <f>IF(M2004&lt;&gt;"OK","",N(F2004)/60*I2004)</f>
        <v/>
      </c>
      <c r="M2004" s="69" t="str">
        <f>IF(AND(A2004="",D2004=""),"",IF(A2004="","Produit manquant",IF(COUNTIF(prod_ref,A2004)=0,"Produit inconnu",IF(D2004="","Poste manquant",IF(ISNA(MATCH(D2004,po_code,0)),"Poste inconnu",IF(INDEX(po_check,MATCH(D2004,po_code,0))&lt;&gt;"OK","Poste à corriger",IF(AND(E2004&lt;&gt;"",OR(NOT(ISNUMBER(E2004)),N(E2004)&lt;0)),"Réglage invalide",IF(AND(F2004&lt;&gt;"",OR(NOT(ISNUMBER(F2004)),N(F2004)&lt;0)),"Temps par pièce invalide",IF(N(E2004)+N(F2004)=0,"Temps manquant",IF(AND(G2004&lt;&gt;"",OR(NOT(ISNUMBER(G2004)),N(G2004)&lt;=0)),"Opérateurs invalide","OK"))))))))))</f>
        <v/>
      </c>
      <c r="N2004" s="71" t="str">
        <f>IF(AND(fiche_sel&lt;&gt;"",A2004=fiche_sel),COUNTIF(A$6:A2004,fiche_sel),"")</f>
        <v/>
      </c>
    </row>
    <row r="2005">
      <c r="A2005" s="60" t="n"/>
      <c r="B2005" s="73" t="n"/>
      <c r="C2005" s="60" t="n"/>
      <c r="D2005" s="61" t="n"/>
      <c r="E2005" s="74" t="n"/>
      <c r="F2005" s="74" t="n"/>
      <c r="G2005" s="73" t="n"/>
      <c r="H2005" s="66" t="str">
        <f>IF(M2005&lt;&gt;"OK","",INDEX(po_mo,MATCH(D2005,po_code,0)))</f>
        <v/>
      </c>
      <c r="I2005" s="66" t="str">
        <f>IF(M2005&lt;&gt;"OK","",INDEX(po_mac,MATCH(D2005,po_code,0)))</f>
        <v/>
      </c>
      <c r="J2005" s="66" t="str">
        <f>IF(M2005&lt;&gt;"OK","",N(E2005)*(H2005*IF(G2005="",1,G2005)+I2005))</f>
        <v/>
      </c>
      <c r="K2005" s="66" t="str">
        <f>IF(M2005&lt;&gt;"OK","",N(F2005)/60*H2005*IF(G2005="",1,G2005))</f>
        <v/>
      </c>
      <c r="L2005" s="66" t="str">
        <f>IF(M2005&lt;&gt;"OK","",N(F2005)/60*I2005)</f>
        <v/>
      </c>
      <c r="M2005" s="69" t="str">
        <f>IF(AND(A2005="",D2005=""),"",IF(A2005="","Produit manquant",IF(COUNTIF(prod_ref,A2005)=0,"Produit inconnu",IF(D2005="","Poste manquant",IF(ISNA(MATCH(D2005,po_code,0)),"Poste inconnu",IF(INDEX(po_check,MATCH(D2005,po_code,0))&lt;&gt;"OK","Poste à corriger",IF(AND(E2005&lt;&gt;"",OR(NOT(ISNUMBER(E2005)),N(E2005)&lt;0)),"Réglage invalide",IF(AND(F2005&lt;&gt;"",OR(NOT(ISNUMBER(F2005)),N(F2005)&lt;0)),"Temps par pièce invalide",IF(N(E2005)+N(F2005)=0,"Temps manquant",IF(AND(G2005&lt;&gt;"",OR(NOT(ISNUMBER(G2005)),N(G2005)&lt;=0)),"Opérateurs invalide","OK"))))))))))</f>
        <v/>
      </c>
      <c r="N2005" s="71" t="str">
        <f>IF(AND(fiche_sel&lt;&gt;"",A2005=fiche_sel),COUNTIF(A$6:A2005,fiche_sel),"")</f>
        <v/>
      </c>
    </row>
  </sheetData>
  <autoFilter ref="A5:M2005"/>
  <conditionalFormatting sqref="M6:M2005">
    <cfRule type="expression" priority="1" dxfId="2">
      <formula>AND($M6&lt;&gt;"",$M6&lt;&gt;"OK")</formula>
    </cfRule>
    <cfRule type="expression" priority="2" dxfId="0">
      <formula>$M6="OK"</formula>
    </cfRule>
  </conditionalFormatting>
  <conditionalFormatting sqref="H6:H2005">
    <cfRule type="expression" priority="3" dxfId="5">
      <formula>p_currency="MAD"</formula>
    </cfRule>
    <cfRule type="expression" priority="8" dxfId="6">
      <formula>p_currency="EUR"</formula>
    </cfRule>
    <cfRule type="expression" priority="13" dxfId="7">
      <formula>p_currency="USD"</formula>
    </cfRule>
  </conditionalFormatting>
  <conditionalFormatting sqref="I6:I2005">
    <cfRule type="expression" priority="4" dxfId="5">
      <formula>p_currency="MAD"</formula>
    </cfRule>
    <cfRule type="expression" priority="9" dxfId="6">
      <formula>p_currency="EUR"</formula>
    </cfRule>
    <cfRule type="expression" priority="14" dxfId="7">
      <formula>p_currency="USD"</formula>
    </cfRule>
  </conditionalFormatting>
  <conditionalFormatting sqref="J6:J2005">
    <cfRule type="expression" priority="5" dxfId="5">
      <formula>p_currency="MAD"</formula>
    </cfRule>
    <cfRule type="expression" priority="10" dxfId="6">
      <formula>p_currency="EUR"</formula>
    </cfRule>
    <cfRule type="expression" priority="15" dxfId="7">
      <formula>p_currency="USD"</formula>
    </cfRule>
  </conditionalFormatting>
  <conditionalFormatting sqref="K6:K2005">
    <cfRule type="expression" priority="6" dxfId="5">
      <formula>p_currency="MAD"</formula>
    </cfRule>
    <cfRule type="expression" priority="11" dxfId="6">
      <formula>p_currency="EUR"</formula>
    </cfRule>
    <cfRule type="expression" priority="16" dxfId="7">
      <formula>p_currency="USD"</formula>
    </cfRule>
  </conditionalFormatting>
  <conditionalFormatting sqref="L6:L2005">
    <cfRule type="expression" priority="7" dxfId="5">
      <formula>p_currency="MAD"</formula>
    </cfRule>
    <cfRule type="expression" priority="12" dxfId="6">
      <formula>p_currency="EUR"</formula>
    </cfRule>
    <cfRule type="expression" priority="17" dxfId="7">
      <formula>p_currency="USD"</formula>
    </cfRule>
  </conditionalFormatting>
  <dataValidations count="6">
    <dataValidation sqref="A6:A2005" showDropDown="0" showInputMessage="1" showErrorMessage="1" allowBlank="1" errorTitle="Produit" error="Choisissez le produit dans la liste (feuille « Produits »)." promptTitle="Produit" prompt="Choisissez le produit dans la liste (feuille « Produits »)." type="list">
      <formula1>=prod_ref</formula1>
    </dataValidation>
    <dataValidation sqref="D6:D2005" showDropDown="0" showInputMessage="1" showErrorMessage="1" allowBlank="1" errorTitle="Poste" error="Choisissez le poste dans la liste (feuille « Postes »)." promptTitle="Poste" prompt="Choisissez le poste dans la liste (feuille « Postes »)." type="list">
      <formula1>=po_code</formula1>
    </dataValidation>
    <dataValidation sqref="B6:B2005" showDropDown="0" showInputMessage="1" showErrorMessage="1" allowBlank="1" errorTitle="N° d'opération" error="Numéro d'ordre de l'opération : 10, 20, 30... Pour information." promptTitle="N° d'opération" prompt="Numéro d'ordre de l'opération : 10, 20, 30... Pour information." type="whole" operator="greaterThanOrEqual">
      <formula1>0</formula1>
    </dataValidation>
    <dataValidation sqref="E6:E2005" showDropDown="0" showInputMessage="1" showErrorMessage="1" allowBlank="1" errorTitle="Réglage" error="Temps de réglage en heures, payé une fois par lot (0,5 = 30 minutes). 0 si aucun." promptTitle="Réglage" prompt="Temps de réglage en heures, payé une fois par lot (0,5 = 30 minutes). 0 si aucun." type="decimal" operator="greaterThanOrEqual">
      <formula1>0</formula1>
    </dataValidation>
    <dataValidation sqref="F6:F2005" showDropDown="0" showInputMessage="1" showErrorMessage="1" allowBlank="1" errorTitle="Temps par pièce" error="Temps de l'opération pour une pièce, en minutes (0,5 = 30 secondes)." promptTitle="Temps par pièce" prompt="Temps de l'opération pour une pièce, en minutes (0,5 = 30 secondes)." type="decimal" operator="greaterThanOrEqual">
      <formula1>0</formula1>
    </dataValidation>
    <dataValidation sqref="G6:G2005" showDropDown="0" showInputMessage="1" showErrorMessage="1" allowBlank="1" errorTitle="Opérateurs" error="Facultatif. Nombre de personnes sur l'opération. Vide = 1." promptTitle="Opérateurs" prompt="Facultatif. Nombre de personnes sur l'opération. Vide = 1." type="whole" operator="greaterThanOrEqual">
      <formula1>1</formula1>
    </dataValidation>
  </dataValidations>
  <hyperlinks>
    <hyperlink ref="M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L73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26" customWidth="1" min="3" max="3"/>
    <col width="12" customWidth="1" min="4" max="4"/>
    <col width="11" customWidth="1" min="5" max="5"/>
    <col width="11" customWidth="1" min="6" max="6"/>
    <col width="13" customWidth="1" min="7" max="7"/>
    <col width="13" customWidth="1" min="8" max="8"/>
    <col width="13" customWidth="1" min="9" max="9"/>
    <col width="22" customWidth="1" min="10" max="10"/>
    <col width="2" customWidth="1" min="11" max="11"/>
    <col hidden="1" width="6" customWidth="1" min="12" max="12"/>
  </cols>
  <sheetData>
    <row r="1" ht="38" customHeight="1">
      <c r="A1" s="1" t="n"/>
      <c r="B1" s="2" t="inlineStr">
        <is>
          <t>Fiche de coût</t>
        </is>
      </c>
      <c r="C1" s="1" t="n"/>
      <c r="D1" s="1" t="n"/>
      <c r="E1" s="1" t="n"/>
      <c r="F1" s="1" t="n"/>
      <c r="G1" s="1" t="n"/>
      <c r="H1" s="1" t="n"/>
      <c r="I1" s="1" t="n"/>
      <c r="J1" s="18" t="inlineStr">
        <is>
          <t>⌂ Mode d'emploi</t>
        </is>
      </c>
    </row>
    <row r="2" ht="22" customHeight="1">
      <c r="A2" s="3" t="n"/>
      <c r="B2" s="4" t="inlineStr">
        <is>
          <t>Choisissez un produit : le détail de son coût de revient, ses matières et ses opérations.</t>
        </is>
      </c>
      <c r="C2" s="3" t="n"/>
      <c r="D2" s="3" t="n"/>
      <c r="E2" s="3" t="n"/>
      <c r="F2" s="3" t="n"/>
      <c r="G2" s="3" t="n"/>
      <c r="H2" s="3" t="n"/>
      <c r="I2" s="3" t="n"/>
      <c r="J2" s="3" t="n"/>
    </row>
    <row r="3" ht="18" customHeight="1"/>
    <row r="5">
      <c r="B5" s="75" t="inlineStr">
        <is>
          <t>Produit</t>
        </is>
      </c>
      <c r="C5" s="76" t="n"/>
      <c r="D5" s="77" t="str">
        <f>IF(fiche_m=0,"",INDEX(prod_des,fiche_m)&amp;"")</f>
        <v/>
      </c>
      <c r="I5" s="78" t="str">
        <f>IF(fiche_m=0,"",INDEX(prod_stat,fiche_m)&amp;"")</f>
        <v/>
      </c>
      <c r="L5" s="79">
        <f>IF(ISNUMBER(MATCH(C5,prod_ref,0)),MATCH(C5,prod_ref,0),0)</f>
        <v>0.0</v>
      </c>
    </row>
    <row r="6">
      <c r="B6" s="41" t="str">
        <f>IF(C5="","Choisissez un produit dans la case blanche.",IF(fiche_m=0,"Produit inconnu : vérifiez la référence dans « Produits ».",IF(INDEX(prod_check,fiche_m)&lt;&gt;"OK","Coût non calculé : "&amp;INDEX(prod_check,fiche_m)&amp;". Corrigez la ligne dans « Produits ».","Coût calculé avec les données des feuilles « Produits », « Nomenclatures » et « Gammes ».")))</f>
        <v>Choisissez un produit dans la case blanche.</v>
      </c>
    </row>
    <row r="8" ht="22" customHeight="1">
      <c r="B8" s="5" t="inlineStr">
        <is>
          <t>Décomposition du coût de revient</t>
        </is>
      </c>
      <c r="C8" s="6" t="n"/>
      <c r="D8" s="6" t="n"/>
      <c r="E8" s="6" t="n"/>
      <c r="F8" s="6" t="n"/>
      <c r="G8" s="5" t="inlineStr">
        <is>
          <t>Prix et marge</t>
        </is>
      </c>
      <c r="H8" s="6" t="n"/>
      <c r="I8" s="6" t="n"/>
      <c r="J8" s="6" t="n"/>
    </row>
    <row r="9" ht="22" customHeight="1">
      <c r="B9" s="42" t="inlineStr">
        <is>
          <t>Élément</t>
        </is>
      </c>
      <c r="C9" s="44" t="n"/>
      <c r="D9" s="42" t="inlineStr">
        <is>
          <t>Par pièce</t>
        </is>
      </c>
      <c r="E9" s="42" t="inlineStr">
        <is>
          <t>Par lot</t>
        </is>
      </c>
      <c r="F9" s="42" t="inlineStr">
        <is>
          <t>% du coût</t>
        </is>
      </c>
    </row>
    <row r="10">
      <c r="B10" s="80" t="inlineStr">
        <is>
          <t>Matières</t>
        </is>
      </c>
      <c r="C10" s="80" t="n"/>
      <c r="D10" s="81" t="str">
        <f>IF(AND(fiche_m&gt;0,INDEX(prod_check,MAX(1,fiche_m))="OK"),INDEX(prod_mat,fiche_m),"")</f>
        <v/>
      </c>
      <c r="E10" s="81" t="str">
        <f>IF(D10="","",D10*INDEX(prod_lot,fiche_m))</f>
        <v/>
      </c>
      <c r="F10" s="82" t="str">
        <f>IF(OR(D10="",N($D$19)&lt;=0),"",D10/$D$19)</f>
        <v/>
      </c>
      <c r="G10" s="83" t="inlineStr">
        <is>
          <t>Taille de lot</t>
        </is>
      </c>
      <c r="H10" s="83" t="n"/>
      <c r="I10" s="84" t="str">
        <f>IF(AND(fiche_m&gt;0,INDEX(prod_check,MAX(1,fiche_m))="OK"),INDEX(prod_lot,fiche_m),"")</f>
        <v/>
      </c>
      <c r="J10" s="85" t="n"/>
    </row>
    <row r="11">
      <c r="B11" s="80" t="inlineStr">
        <is>
          <t>Main-d'œuvre</t>
        </is>
      </c>
      <c r="C11" s="80" t="n"/>
      <c r="D11" s="81" t="str">
        <f>IF(AND(fiche_m&gt;0,INDEX(prod_check,MAX(1,fiche_m))="OK"),INDEX(prod_mo,fiche_m),"")</f>
        <v/>
      </c>
      <c r="E11" s="81" t="str">
        <f>IF(D11="","",D11*INDEX(prod_lot,fiche_m))</f>
        <v/>
      </c>
      <c r="F11" s="82" t="str">
        <f>IF(OR(D11="",N($D$19)&lt;=0),"",D11/$D$19)</f>
        <v/>
      </c>
      <c r="G11" s="83" t="inlineStr">
        <is>
          <t>Volume annuel</t>
        </is>
      </c>
      <c r="H11" s="83" t="n"/>
      <c r="I11" s="86" t="str">
        <f>IF(AND(fiche_m&gt;0,INDEX(prod_check,MAX(1,fiche_m))="OK"),N(INDEX(prod_vol,fiche_m)),"")</f>
        <v/>
      </c>
      <c r="J11" s="85" t="n"/>
    </row>
    <row r="12">
      <c r="B12" s="80" t="inlineStr">
        <is>
          <t>Machine</t>
        </is>
      </c>
      <c r="C12" s="80" t="n"/>
      <c r="D12" s="81" t="str">
        <f>IF(AND(fiche_m&gt;0,INDEX(prod_check,MAX(1,fiche_m))="OK"),INDEX(prod_mac,fiche_m),"")</f>
        <v/>
      </c>
      <c r="E12" s="81" t="str">
        <f>IF(D12="","",D12*INDEX(prod_lot,fiche_m))</f>
        <v/>
      </c>
      <c r="F12" s="82" t="str">
        <f>IF(OR(D12="",N($D$19)&lt;=0),"",D12/$D$19)</f>
        <v/>
      </c>
      <c r="G12" s="83" t="inlineStr">
        <is>
          <t>Prix de vente HT</t>
        </is>
      </c>
      <c r="H12" s="83" t="n"/>
      <c r="I12" s="57" t="str">
        <f>IF(AND(fiche_m&gt;0,INDEX(prod_check,MAX(1,fiche_m))="OK"),IF(N(INDEX(prod_pv,fiche_m))&gt;0,INDEX(prod_pv,fiche_m),""),"")</f>
        <v/>
      </c>
      <c r="J12" s="85" t="n"/>
    </row>
    <row r="13">
      <c r="B13" s="80" t="inlineStr">
        <is>
          <t>Réglage</t>
        </is>
      </c>
      <c r="C13" s="80" t="n"/>
      <c r="D13" s="81" t="str">
        <f>IF(AND(fiche_m&gt;0,INDEX(prod_check,MAX(1,fiche_m))="OK"),INDEX(prod_reg,fiche_m),"")</f>
        <v/>
      </c>
      <c r="E13" s="81" t="str">
        <f>IF(D13="","",D13*INDEX(prod_lot,fiche_m))</f>
        <v/>
      </c>
      <c r="F13" s="82" t="str">
        <f>IF(OR(D13="",N($D$19)&lt;=0),"",D13/$D$19)</f>
        <v/>
      </c>
      <c r="G13" s="83" t="inlineStr">
        <is>
          <t>Marge cible</t>
        </is>
      </c>
      <c r="H13" s="83" t="n"/>
      <c r="I13" s="59" t="str">
        <f>IF(AND(fiche_m&gt;0,INDEX(prod_check,MAX(1,fiche_m))="OK"),INDEX(prod_tgr,fiche_m),"")</f>
        <v/>
      </c>
      <c r="J13" s="85" t="n"/>
    </row>
    <row r="14">
      <c r="B14" s="80" t="inlineStr">
        <is>
          <t>Sous-traitance</t>
        </is>
      </c>
      <c r="C14" s="80" t="n"/>
      <c r="D14" s="81" t="str">
        <f>IF(AND(fiche_m&gt;0,INDEX(prod_check,MAX(1,fiche_m))="OK"),N(INDEX(prod_st,fiche_m)),"")</f>
        <v/>
      </c>
      <c r="E14" s="81" t="str">
        <f>IF(D14="","",D14*INDEX(prod_lot,fiche_m))</f>
        <v/>
      </c>
      <c r="F14" s="82" t="str">
        <f>IF(OR(D14="",N($D$19)&lt;=0),"",D14/$D$19)</f>
        <v/>
      </c>
      <c r="G14" s="83" t="inlineStr">
        <is>
          <t>Prix minimum</t>
        </is>
      </c>
      <c r="H14" s="83" t="n"/>
      <c r="I14" s="87" t="str">
        <f>IF(AND(fiche_m&gt;0,INDEX(prod_check,MAX(1,fiche_m))="OK"),INDEX(prod_min,fiche_m),"")</f>
        <v/>
      </c>
      <c r="J14" s="85" t="n"/>
    </row>
    <row r="15">
      <c r="B15" s="80" t="inlineStr">
        <is>
          <t>Frais généraux</t>
        </is>
      </c>
      <c r="C15" s="80" t="n"/>
      <c r="D15" s="81" t="str">
        <f>IF(AND(fiche_m&gt;0,INDEX(prod_check,MAX(1,fiche_m))="OK"),INDEX(prod_fg,fiche_m),"")</f>
        <v/>
      </c>
      <c r="E15" s="81" t="str">
        <f>IF(D15="","",D15*INDEX(prod_lot,fiche_m))</f>
        <v/>
      </c>
      <c r="F15" s="82" t="str">
        <f>IF(OR(D15="",N($D$19)&lt;=0),"",D15/$D$19)</f>
        <v/>
      </c>
      <c r="G15" s="83" t="inlineStr">
        <is>
          <t>Marge unitaire</t>
        </is>
      </c>
      <c r="H15" s="83" t="n"/>
      <c r="I15" s="87" t="str">
        <f>IF(AND(fiche_m&gt;0,INDEX(prod_check,MAX(1,fiche_m))="OK"),INDEX(prod_marge,fiche_m),"")</f>
        <v/>
      </c>
      <c r="J15" s="85" t="n"/>
    </row>
    <row r="16">
      <c r="B16" s="88" t="inlineStr">
        <is>
          <t>Coût de production</t>
        </is>
      </c>
      <c r="C16" s="88" t="n"/>
      <c r="D16" s="89" t="str">
        <f>IF(AND(fiche_m&gt;0,INDEX(prod_check,MAX(1,fiche_m))="OK"),INDEX(prod_cp,fiche_m),"")</f>
        <v/>
      </c>
      <c r="E16" s="89" t="str">
        <f>IF(D16="","",D16*INDEX(prod_lot,fiche_m))</f>
        <v/>
      </c>
      <c r="F16" s="90" t="str">
        <f>IF(OR(D16="",N($D$19)&lt;=0),"",D16/$D$19)</f>
        <v/>
      </c>
      <c r="G16" s="83" t="inlineStr">
        <is>
          <t>Taux de marge</t>
        </is>
      </c>
      <c r="H16" s="83" t="n"/>
      <c r="I16" s="59" t="str">
        <f>IF(AND(fiche_m&gt;0,INDEX(prod_check,MAX(1,fiche_m))="OK"),INDEX(prod_tm,fiche_m),"")</f>
        <v/>
      </c>
      <c r="J16" s="85" t="n"/>
    </row>
    <row r="17">
      <c r="B17" s="80" t="inlineStr">
        <is>
          <t>Emballage</t>
        </is>
      </c>
      <c r="C17" s="80" t="n"/>
      <c r="D17" s="81" t="str">
        <f>IF(AND(fiche_m&gt;0,INDEX(prod_check,MAX(1,fiche_m))="OK"),N(INDEX(prod_emb,fiche_m)),"")</f>
        <v/>
      </c>
      <c r="E17" s="81" t="str">
        <f>IF(D17="","",D17*INDEX(prod_lot,fiche_m))</f>
        <v/>
      </c>
      <c r="F17" s="82" t="str">
        <f>IF(OR(D17="",N($D$19)&lt;=0),"",D17/$D$19)</f>
        <v/>
      </c>
      <c r="G17" s="83" t="inlineStr">
        <is>
          <t>Taux de marque</t>
        </is>
      </c>
      <c r="H17" s="83" t="n"/>
      <c r="I17" s="59" t="str">
        <f>IF(AND(fiche_m&gt;0,INDEX(prod_check,MAX(1,fiche_m))="OK"),INDEX(prod_tmq,fiche_m),"")</f>
        <v/>
      </c>
      <c r="J17" s="85" t="n"/>
    </row>
    <row r="18">
      <c r="B18" s="80" t="inlineStr">
        <is>
          <t>Transport</t>
        </is>
      </c>
      <c r="C18" s="80" t="n"/>
      <c r="D18" s="81" t="str">
        <f>IF(AND(fiche_m&gt;0,INDEX(prod_check,MAX(1,fiche_m))="OK"),N(INDEX(prod_tr,fiche_m))/INDEX(prod_lot,fiche_m),"")</f>
        <v/>
      </c>
      <c r="E18" s="81" t="str">
        <f>IF(D18="","",D18*INDEX(prod_lot,fiche_m))</f>
        <v/>
      </c>
      <c r="F18" s="82" t="str">
        <f>IF(OR(D18="",N($D$19)&lt;=0),"",D18/$D$19)</f>
        <v/>
      </c>
      <c r="G18" s="83" t="inlineStr">
        <is>
          <t>Frais généraux</t>
        </is>
      </c>
      <c r="H18" s="83" t="n"/>
      <c r="I18" s="59" t="str">
        <f>IF(AND(fiche_m&gt;0,INDEX(prod_check,MAX(1,fiche_m))="OK"),INDEX(prod_fgr,fiche_m),"")</f>
        <v/>
      </c>
      <c r="J18" s="85" t="n"/>
    </row>
    <row r="19">
      <c r="B19" s="88" t="inlineStr">
        <is>
          <t>Coût de revient</t>
        </is>
      </c>
      <c r="C19" s="88" t="n"/>
      <c r="D19" s="89" t="str">
        <f>IF(AND(fiche_m&gt;0,INDEX(prod_check,MAX(1,fiche_m))="OK"),INDEX(prod_cr,fiche_m),"")</f>
        <v/>
      </c>
      <c r="E19" s="89" t="str">
        <f>IF(D19="","",D19*INDEX(prod_lot,fiche_m))</f>
        <v/>
      </c>
      <c r="F19" s="90" t="str">
        <f>IF(OR(D19="",N($D$19)&lt;=0),"",D19/$D$19)</f>
        <v/>
      </c>
      <c r="G19" s="83" t="inlineStr">
        <is>
          <t>Marge annuelle</t>
        </is>
      </c>
      <c r="H19" s="83" t="n"/>
      <c r="I19" s="57" t="str">
        <f>IF(AND(fiche_m&gt;0,INDEX(prod_check,MAX(1,fiche_m))="OK"),INDEX(prod_ma,fiche_m),"")</f>
        <v/>
      </c>
      <c r="J19" s="85" t="n"/>
    </row>
    <row r="22" ht="22" customHeight="1">
      <c r="B22" s="5" t="inlineStr">
        <is>
          <t>Matières (nomenclature, 30 lignes au plus)</t>
        </is>
      </c>
      <c r="C22" s="6" t="n"/>
      <c r="D22" s="6" t="n"/>
      <c r="E22" s="6" t="n"/>
      <c r="F22" s="6" t="n"/>
      <c r="G22" s="6" t="n"/>
      <c r="H22" s="6" t="n"/>
      <c r="I22" s="6" t="n"/>
      <c r="J22" s="6" t="n"/>
    </row>
    <row r="23" ht="22" customHeight="1">
      <c r="B23" s="42" t="inlineStr">
        <is>
          <t>Matière</t>
        </is>
      </c>
      <c r="C23" s="42" t="inlineStr">
        <is>
          <t>Désignation</t>
        </is>
      </c>
      <c r="D23" s="42" t="inlineStr">
        <is>
          <t>Qté / pièce</t>
        </is>
      </c>
      <c r="E23" s="42" t="inlineStr">
        <is>
          <t>Unité</t>
        </is>
      </c>
      <c r="F23" s="42" t="inlineStr">
        <is>
          <t>Perte</t>
        </is>
      </c>
      <c r="G23" s="42" t="inlineStr">
        <is>
          <t>Prix unitaire</t>
        </is>
      </c>
      <c r="H23" s="42" t="inlineStr">
        <is>
          <t>Coût / pièce</t>
        </is>
      </c>
      <c r="I23" s="42" t="inlineStr">
        <is>
          <t>% du coût</t>
        </is>
      </c>
      <c r="J23" s="42" t="inlineStr">
        <is>
          <t>Contrôle</t>
        </is>
      </c>
    </row>
    <row r="24">
      <c r="B24" s="91" t="str">
        <f>IFERROR(INDEX(bom_mat,MATCH(1,bom_rk,0))&amp;"","")</f>
        <v/>
      </c>
      <c r="C24" s="91" t="str">
        <f>IFERROR(INDEX(bom_des,MATCH(1,bom_rk,0))&amp;"","")</f>
        <v/>
      </c>
      <c r="D24" s="92" t="str">
        <f>IFERROR(INDEX(bom_qty,MATCH(1,bom_rk,0)),"")</f>
        <v/>
      </c>
      <c r="E24" s="93" t="str">
        <f>IFERROR(INDEX(bom_unit,MATCH(1,bom_rk,0))&amp;"","")</f>
        <v/>
      </c>
      <c r="F24" s="51" t="str">
        <f>IFERROR(INDEX(bom_loss,MATCH(1,bom_rk,0)),"")</f>
        <v/>
      </c>
      <c r="G24" s="94" t="str">
        <f>IFERROR(INDEX(bom_price,MATCH(1,bom_rk,0)),"")</f>
        <v/>
      </c>
      <c r="H24" s="94" t="str">
        <f>IFERROR(INDEX(bom_cost,MATCH(1,bom_rk,0)),"")</f>
        <v/>
      </c>
      <c r="I24" s="51" t="str">
        <f>IF(OR(H24="",N($D$19)&lt;=0),"",H24/$D$19)</f>
        <v/>
      </c>
      <c r="J24" s="93" t="str">
        <f>IFERROR(INDEX(bom_check,MATCH(1,bom_rk,0))&amp;"","")</f>
        <v/>
      </c>
    </row>
    <row r="25">
      <c r="B25" s="91" t="str">
        <f>IFERROR(INDEX(bom_mat,MATCH(2,bom_rk,0))&amp;"","")</f>
        <v/>
      </c>
      <c r="C25" s="91" t="str">
        <f>IFERROR(INDEX(bom_des,MATCH(2,bom_rk,0))&amp;"","")</f>
        <v/>
      </c>
      <c r="D25" s="92" t="str">
        <f>IFERROR(INDEX(bom_qty,MATCH(2,bom_rk,0)),"")</f>
        <v/>
      </c>
      <c r="E25" s="93" t="str">
        <f>IFERROR(INDEX(bom_unit,MATCH(2,bom_rk,0))&amp;"","")</f>
        <v/>
      </c>
      <c r="F25" s="51" t="str">
        <f>IFERROR(INDEX(bom_loss,MATCH(2,bom_rk,0)),"")</f>
        <v/>
      </c>
      <c r="G25" s="94" t="str">
        <f>IFERROR(INDEX(bom_price,MATCH(2,bom_rk,0)),"")</f>
        <v/>
      </c>
      <c r="H25" s="94" t="str">
        <f>IFERROR(INDEX(bom_cost,MATCH(2,bom_rk,0)),"")</f>
        <v/>
      </c>
      <c r="I25" s="51" t="str">
        <f>IF(OR(H25="",N($D$19)&lt;=0),"",H25/$D$19)</f>
        <v/>
      </c>
      <c r="J25" s="93" t="str">
        <f>IFERROR(INDEX(bom_check,MATCH(2,bom_rk,0))&amp;"","")</f>
        <v/>
      </c>
    </row>
    <row r="26">
      <c r="B26" s="91" t="str">
        <f>IFERROR(INDEX(bom_mat,MATCH(3,bom_rk,0))&amp;"","")</f>
        <v/>
      </c>
      <c r="C26" s="91" t="str">
        <f>IFERROR(INDEX(bom_des,MATCH(3,bom_rk,0))&amp;"","")</f>
        <v/>
      </c>
      <c r="D26" s="92" t="str">
        <f>IFERROR(INDEX(bom_qty,MATCH(3,bom_rk,0)),"")</f>
        <v/>
      </c>
      <c r="E26" s="93" t="str">
        <f>IFERROR(INDEX(bom_unit,MATCH(3,bom_rk,0))&amp;"","")</f>
        <v/>
      </c>
      <c r="F26" s="51" t="str">
        <f>IFERROR(INDEX(bom_loss,MATCH(3,bom_rk,0)),"")</f>
        <v/>
      </c>
      <c r="G26" s="94" t="str">
        <f>IFERROR(INDEX(bom_price,MATCH(3,bom_rk,0)),"")</f>
        <v/>
      </c>
      <c r="H26" s="94" t="str">
        <f>IFERROR(INDEX(bom_cost,MATCH(3,bom_rk,0)),"")</f>
        <v/>
      </c>
      <c r="I26" s="51" t="str">
        <f>IF(OR(H26="",N($D$19)&lt;=0),"",H26/$D$19)</f>
        <v/>
      </c>
      <c r="J26" s="93" t="str">
        <f>IFERROR(INDEX(bom_check,MATCH(3,bom_rk,0))&amp;"","")</f>
        <v/>
      </c>
    </row>
    <row r="27">
      <c r="B27" s="91" t="str">
        <f>IFERROR(INDEX(bom_mat,MATCH(4,bom_rk,0))&amp;"","")</f>
        <v/>
      </c>
      <c r="C27" s="91" t="str">
        <f>IFERROR(INDEX(bom_des,MATCH(4,bom_rk,0))&amp;"","")</f>
        <v/>
      </c>
      <c r="D27" s="92" t="str">
        <f>IFERROR(INDEX(bom_qty,MATCH(4,bom_rk,0)),"")</f>
        <v/>
      </c>
      <c r="E27" s="93" t="str">
        <f>IFERROR(INDEX(bom_unit,MATCH(4,bom_rk,0))&amp;"","")</f>
        <v/>
      </c>
      <c r="F27" s="51" t="str">
        <f>IFERROR(INDEX(bom_loss,MATCH(4,bom_rk,0)),"")</f>
        <v/>
      </c>
      <c r="G27" s="94" t="str">
        <f>IFERROR(INDEX(bom_price,MATCH(4,bom_rk,0)),"")</f>
        <v/>
      </c>
      <c r="H27" s="94" t="str">
        <f>IFERROR(INDEX(bom_cost,MATCH(4,bom_rk,0)),"")</f>
        <v/>
      </c>
      <c r="I27" s="51" t="str">
        <f>IF(OR(H27="",N($D$19)&lt;=0),"",H27/$D$19)</f>
        <v/>
      </c>
      <c r="J27" s="93" t="str">
        <f>IFERROR(INDEX(bom_check,MATCH(4,bom_rk,0))&amp;"","")</f>
        <v/>
      </c>
    </row>
    <row r="28">
      <c r="B28" s="91" t="str">
        <f>IFERROR(INDEX(bom_mat,MATCH(5,bom_rk,0))&amp;"","")</f>
        <v/>
      </c>
      <c r="C28" s="91" t="str">
        <f>IFERROR(INDEX(bom_des,MATCH(5,bom_rk,0))&amp;"","")</f>
        <v/>
      </c>
      <c r="D28" s="92" t="str">
        <f>IFERROR(INDEX(bom_qty,MATCH(5,bom_rk,0)),"")</f>
        <v/>
      </c>
      <c r="E28" s="93" t="str">
        <f>IFERROR(INDEX(bom_unit,MATCH(5,bom_rk,0))&amp;"","")</f>
        <v/>
      </c>
      <c r="F28" s="51" t="str">
        <f>IFERROR(INDEX(bom_loss,MATCH(5,bom_rk,0)),"")</f>
        <v/>
      </c>
      <c r="G28" s="94" t="str">
        <f>IFERROR(INDEX(bom_price,MATCH(5,bom_rk,0)),"")</f>
        <v/>
      </c>
      <c r="H28" s="94" t="str">
        <f>IFERROR(INDEX(bom_cost,MATCH(5,bom_rk,0)),"")</f>
        <v/>
      </c>
      <c r="I28" s="51" t="str">
        <f>IF(OR(H28="",N($D$19)&lt;=0),"",H28/$D$19)</f>
        <v/>
      </c>
      <c r="J28" s="93" t="str">
        <f>IFERROR(INDEX(bom_check,MATCH(5,bom_rk,0))&amp;"","")</f>
        <v/>
      </c>
    </row>
    <row r="29">
      <c r="B29" s="91" t="str">
        <f>IFERROR(INDEX(bom_mat,MATCH(6,bom_rk,0))&amp;"","")</f>
        <v/>
      </c>
      <c r="C29" s="91" t="str">
        <f>IFERROR(INDEX(bom_des,MATCH(6,bom_rk,0))&amp;"","")</f>
        <v/>
      </c>
      <c r="D29" s="92" t="str">
        <f>IFERROR(INDEX(bom_qty,MATCH(6,bom_rk,0)),"")</f>
        <v/>
      </c>
      <c r="E29" s="93" t="str">
        <f>IFERROR(INDEX(bom_unit,MATCH(6,bom_rk,0))&amp;"","")</f>
        <v/>
      </c>
      <c r="F29" s="51" t="str">
        <f>IFERROR(INDEX(bom_loss,MATCH(6,bom_rk,0)),"")</f>
        <v/>
      </c>
      <c r="G29" s="94" t="str">
        <f>IFERROR(INDEX(bom_price,MATCH(6,bom_rk,0)),"")</f>
        <v/>
      </c>
      <c r="H29" s="94" t="str">
        <f>IFERROR(INDEX(bom_cost,MATCH(6,bom_rk,0)),"")</f>
        <v/>
      </c>
      <c r="I29" s="51" t="str">
        <f>IF(OR(H29="",N($D$19)&lt;=0),"",H29/$D$19)</f>
        <v/>
      </c>
      <c r="J29" s="93" t="str">
        <f>IFERROR(INDEX(bom_check,MATCH(6,bom_rk,0))&amp;"","")</f>
        <v/>
      </c>
    </row>
    <row r="30">
      <c r="B30" s="91" t="str">
        <f>IFERROR(INDEX(bom_mat,MATCH(7,bom_rk,0))&amp;"","")</f>
        <v/>
      </c>
      <c r="C30" s="91" t="str">
        <f>IFERROR(INDEX(bom_des,MATCH(7,bom_rk,0))&amp;"","")</f>
        <v/>
      </c>
      <c r="D30" s="92" t="str">
        <f>IFERROR(INDEX(bom_qty,MATCH(7,bom_rk,0)),"")</f>
        <v/>
      </c>
      <c r="E30" s="93" t="str">
        <f>IFERROR(INDEX(bom_unit,MATCH(7,bom_rk,0))&amp;"","")</f>
        <v/>
      </c>
      <c r="F30" s="51" t="str">
        <f>IFERROR(INDEX(bom_loss,MATCH(7,bom_rk,0)),"")</f>
        <v/>
      </c>
      <c r="G30" s="94" t="str">
        <f>IFERROR(INDEX(bom_price,MATCH(7,bom_rk,0)),"")</f>
        <v/>
      </c>
      <c r="H30" s="94" t="str">
        <f>IFERROR(INDEX(bom_cost,MATCH(7,bom_rk,0)),"")</f>
        <v/>
      </c>
      <c r="I30" s="51" t="str">
        <f>IF(OR(H30="",N($D$19)&lt;=0),"",H30/$D$19)</f>
        <v/>
      </c>
      <c r="J30" s="93" t="str">
        <f>IFERROR(INDEX(bom_check,MATCH(7,bom_rk,0))&amp;"","")</f>
        <v/>
      </c>
    </row>
    <row r="31">
      <c r="B31" s="91" t="str">
        <f>IFERROR(INDEX(bom_mat,MATCH(8,bom_rk,0))&amp;"","")</f>
        <v/>
      </c>
      <c r="C31" s="91" t="str">
        <f>IFERROR(INDEX(bom_des,MATCH(8,bom_rk,0))&amp;"","")</f>
        <v/>
      </c>
      <c r="D31" s="92" t="str">
        <f>IFERROR(INDEX(bom_qty,MATCH(8,bom_rk,0)),"")</f>
        <v/>
      </c>
      <c r="E31" s="93" t="str">
        <f>IFERROR(INDEX(bom_unit,MATCH(8,bom_rk,0))&amp;"","")</f>
        <v/>
      </c>
      <c r="F31" s="51" t="str">
        <f>IFERROR(INDEX(bom_loss,MATCH(8,bom_rk,0)),"")</f>
        <v/>
      </c>
      <c r="G31" s="94" t="str">
        <f>IFERROR(INDEX(bom_price,MATCH(8,bom_rk,0)),"")</f>
        <v/>
      </c>
      <c r="H31" s="94" t="str">
        <f>IFERROR(INDEX(bom_cost,MATCH(8,bom_rk,0)),"")</f>
        <v/>
      </c>
      <c r="I31" s="51" t="str">
        <f>IF(OR(H31="",N($D$19)&lt;=0),"",H31/$D$19)</f>
        <v/>
      </c>
      <c r="J31" s="93" t="str">
        <f>IFERROR(INDEX(bom_check,MATCH(8,bom_rk,0))&amp;"","")</f>
        <v/>
      </c>
    </row>
    <row r="32">
      <c r="B32" s="91" t="str">
        <f>IFERROR(INDEX(bom_mat,MATCH(9,bom_rk,0))&amp;"","")</f>
        <v/>
      </c>
      <c r="C32" s="91" t="str">
        <f>IFERROR(INDEX(bom_des,MATCH(9,bom_rk,0))&amp;"","")</f>
        <v/>
      </c>
      <c r="D32" s="92" t="str">
        <f>IFERROR(INDEX(bom_qty,MATCH(9,bom_rk,0)),"")</f>
        <v/>
      </c>
      <c r="E32" s="93" t="str">
        <f>IFERROR(INDEX(bom_unit,MATCH(9,bom_rk,0))&amp;"","")</f>
        <v/>
      </c>
      <c r="F32" s="51" t="str">
        <f>IFERROR(INDEX(bom_loss,MATCH(9,bom_rk,0)),"")</f>
        <v/>
      </c>
      <c r="G32" s="94" t="str">
        <f>IFERROR(INDEX(bom_price,MATCH(9,bom_rk,0)),"")</f>
        <v/>
      </c>
      <c r="H32" s="94" t="str">
        <f>IFERROR(INDEX(bom_cost,MATCH(9,bom_rk,0)),"")</f>
        <v/>
      </c>
      <c r="I32" s="51" t="str">
        <f>IF(OR(H32="",N($D$19)&lt;=0),"",H32/$D$19)</f>
        <v/>
      </c>
      <c r="J32" s="93" t="str">
        <f>IFERROR(INDEX(bom_check,MATCH(9,bom_rk,0))&amp;"","")</f>
        <v/>
      </c>
    </row>
    <row r="33">
      <c r="B33" s="91" t="str">
        <f>IFERROR(INDEX(bom_mat,MATCH(10,bom_rk,0))&amp;"","")</f>
        <v/>
      </c>
      <c r="C33" s="91" t="str">
        <f>IFERROR(INDEX(bom_des,MATCH(10,bom_rk,0))&amp;"","")</f>
        <v/>
      </c>
      <c r="D33" s="92" t="str">
        <f>IFERROR(INDEX(bom_qty,MATCH(10,bom_rk,0)),"")</f>
        <v/>
      </c>
      <c r="E33" s="93" t="str">
        <f>IFERROR(INDEX(bom_unit,MATCH(10,bom_rk,0))&amp;"","")</f>
        <v/>
      </c>
      <c r="F33" s="51" t="str">
        <f>IFERROR(INDEX(bom_loss,MATCH(10,bom_rk,0)),"")</f>
        <v/>
      </c>
      <c r="G33" s="94" t="str">
        <f>IFERROR(INDEX(bom_price,MATCH(10,bom_rk,0)),"")</f>
        <v/>
      </c>
      <c r="H33" s="94" t="str">
        <f>IFERROR(INDEX(bom_cost,MATCH(10,bom_rk,0)),"")</f>
        <v/>
      </c>
      <c r="I33" s="51" t="str">
        <f>IF(OR(H33="",N($D$19)&lt;=0),"",H33/$D$19)</f>
        <v/>
      </c>
      <c r="J33" s="93" t="str">
        <f>IFERROR(INDEX(bom_check,MATCH(10,bom_rk,0))&amp;"","")</f>
        <v/>
      </c>
    </row>
    <row r="34">
      <c r="B34" s="91" t="str">
        <f>IFERROR(INDEX(bom_mat,MATCH(11,bom_rk,0))&amp;"","")</f>
        <v/>
      </c>
      <c r="C34" s="91" t="str">
        <f>IFERROR(INDEX(bom_des,MATCH(11,bom_rk,0))&amp;"","")</f>
        <v/>
      </c>
      <c r="D34" s="92" t="str">
        <f>IFERROR(INDEX(bom_qty,MATCH(11,bom_rk,0)),"")</f>
        <v/>
      </c>
      <c r="E34" s="93" t="str">
        <f>IFERROR(INDEX(bom_unit,MATCH(11,bom_rk,0))&amp;"","")</f>
        <v/>
      </c>
      <c r="F34" s="51" t="str">
        <f>IFERROR(INDEX(bom_loss,MATCH(11,bom_rk,0)),"")</f>
        <v/>
      </c>
      <c r="G34" s="94" t="str">
        <f>IFERROR(INDEX(bom_price,MATCH(11,bom_rk,0)),"")</f>
        <v/>
      </c>
      <c r="H34" s="94" t="str">
        <f>IFERROR(INDEX(bom_cost,MATCH(11,bom_rk,0)),"")</f>
        <v/>
      </c>
      <c r="I34" s="51" t="str">
        <f>IF(OR(H34="",N($D$19)&lt;=0),"",H34/$D$19)</f>
        <v/>
      </c>
      <c r="J34" s="93" t="str">
        <f>IFERROR(INDEX(bom_check,MATCH(11,bom_rk,0))&amp;"","")</f>
        <v/>
      </c>
    </row>
    <row r="35">
      <c r="B35" s="91" t="str">
        <f>IFERROR(INDEX(bom_mat,MATCH(12,bom_rk,0))&amp;"","")</f>
        <v/>
      </c>
      <c r="C35" s="91" t="str">
        <f>IFERROR(INDEX(bom_des,MATCH(12,bom_rk,0))&amp;"","")</f>
        <v/>
      </c>
      <c r="D35" s="92" t="str">
        <f>IFERROR(INDEX(bom_qty,MATCH(12,bom_rk,0)),"")</f>
        <v/>
      </c>
      <c r="E35" s="93" t="str">
        <f>IFERROR(INDEX(bom_unit,MATCH(12,bom_rk,0))&amp;"","")</f>
        <v/>
      </c>
      <c r="F35" s="51" t="str">
        <f>IFERROR(INDEX(bom_loss,MATCH(12,bom_rk,0)),"")</f>
        <v/>
      </c>
      <c r="G35" s="94" t="str">
        <f>IFERROR(INDEX(bom_price,MATCH(12,bom_rk,0)),"")</f>
        <v/>
      </c>
      <c r="H35" s="94" t="str">
        <f>IFERROR(INDEX(bom_cost,MATCH(12,bom_rk,0)),"")</f>
        <v/>
      </c>
      <c r="I35" s="51" t="str">
        <f>IF(OR(H35="",N($D$19)&lt;=0),"",H35/$D$19)</f>
        <v/>
      </c>
      <c r="J35" s="93" t="str">
        <f>IFERROR(INDEX(bom_check,MATCH(12,bom_rk,0))&amp;"","")</f>
        <v/>
      </c>
    </row>
    <row r="36">
      <c r="B36" s="91" t="str">
        <f>IFERROR(INDEX(bom_mat,MATCH(13,bom_rk,0))&amp;"","")</f>
        <v/>
      </c>
      <c r="C36" s="91" t="str">
        <f>IFERROR(INDEX(bom_des,MATCH(13,bom_rk,0))&amp;"","")</f>
        <v/>
      </c>
      <c r="D36" s="92" t="str">
        <f>IFERROR(INDEX(bom_qty,MATCH(13,bom_rk,0)),"")</f>
        <v/>
      </c>
      <c r="E36" s="93" t="str">
        <f>IFERROR(INDEX(bom_unit,MATCH(13,bom_rk,0))&amp;"","")</f>
        <v/>
      </c>
      <c r="F36" s="51" t="str">
        <f>IFERROR(INDEX(bom_loss,MATCH(13,bom_rk,0)),"")</f>
        <v/>
      </c>
      <c r="G36" s="94" t="str">
        <f>IFERROR(INDEX(bom_price,MATCH(13,bom_rk,0)),"")</f>
        <v/>
      </c>
      <c r="H36" s="94" t="str">
        <f>IFERROR(INDEX(bom_cost,MATCH(13,bom_rk,0)),"")</f>
        <v/>
      </c>
      <c r="I36" s="51" t="str">
        <f>IF(OR(H36="",N($D$19)&lt;=0),"",H36/$D$19)</f>
        <v/>
      </c>
      <c r="J36" s="93" t="str">
        <f>IFERROR(INDEX(bom_check,MATCH(13,bom_rk,0))&amp;"","")</f>
        <v/>
      </c>
    </row>
    <row r="37">
      <c r="B37" s="91" t="str">
        <f>IFERROR(INDEX(bom_mat,MATCH(14,bom_rk,0))&amp;"","")</f>
        <v/>
      </c>
      <c r="C37" s="91" t="str">
        <f>IFERROR(INDEX(bom_des,MATCH(14,bom_rk,0))&amp;"","")</f>
        <v/>
      </c>
      <c r="D37" s="92" t="str">
        <f>IFERROR(INDEX(bom_qty,MATCH(14,bom_rk,0)),"")</f>
        <v/>
      </c>
      <c r="E37" s="93" t="str">
        <f>IFERROR(INDEX(bom_unit,MATCH(14,bom_rk,0))&amp;"","")</f>
        <v/>
      </c>
      <c r="F37" s="51" t="str">
        <f>IFERROR(INDEX(bom_loss,MATCH(14,bom_rk,0)),"")</f>
        <v/>
      </c>
      <c r="G37" s="94" t="str">
        <f>IFERROR(INDEX(bom_price,MATCH(14,bom_rk,0)),"")</f>
        <v/>
      </c>
      <c r="H37" s="94" t="str">
        <f>IFERROR(INDEX(bom_cost,MATCH(14,bom_rk,0)),"")</f>
        <v/>
      </c>
      <c r="I37" s="51" t="str">
        <f>IF(OR(H37="",N($D$19)&lt;=0),"",H37/$D$19)</f>
        <v/>
      </c>
      <c r="J37" s="93" t="str">
        <f>IFERROR(INDEX(bom_check,MATCH(14,bom_rk,0))&amp;"","")</f>
        <v/>
      </c>
    </row>
    <row r="38">
      <c r="B38" s="91" t="str">
        <f>IFERROR(INDEX(bom_mat,MATCH(15,bom_rk,0))&amp;"","")</f>
        <v/>
      </c>
      <c r="C38" s="91" t="str">
        <f>IFERROR(INDEX(bom_des,MATCH(15,bom_rk,0))&amp;"","")</f>
        <v/>
      </c>
      <c r="D38" s="92" t="str">
        <f>IFERROR(INDEX(bom_qty,MATCH(15,bom_rk,0)),"")</f>
        <v/>
      </c>
      <c r="E38" s="93" t="str">
        <f>IFERROR(INDEX(bom_unit,MATCH(15,bom_rk,0))&amp;"","")</f>
        <v/>
      </c>
      <c r="F38" s="51" t="str">
        <f>IFERROR(INDEX(bom_loss,MATCH(15,bom_rk,0)),"")</f>
        <v/>
      </c>
      <c r="G38" s="94" t="str">
        <f>IFERROR(INDEX(bom_price,MATCH(15,bom_rk,0)),"")</f>
        <v/>
      </c>
      <c r="H38" s="94" t="str">
        <f>IFERROR(INDEX(bom_cost,MATCH(15,bom_rk,0)),"")</f>
        <v/>
      </c>
      <c r="I38" s="51" t="str">
        <f>IF(OR(H38="",N($D$19)&lt;=0),"",H38/$D$19)</f>
        <v/>
      </c>
      <c r="J38" s="93" t="str">
        <f>IFERROR(INDEX(bom_check,MATCH(15,bom_rk,0))&amp;"","")</f>
        <v/>
      </c>
    </row>
    <row r="39">
      <c r="B39" s="91" t="str">
        <f>IFERROR(INDEX(bom_mat,MATCH(16,bom_rk,0))&amp;"","")</f>
        <v/>
      </c>
      <c r="C39" s="91" t="str">
        <f>IFERROR(INDEX(bom_des,MATCH(16,bom_rk,0))&amp;"","")</f>
        <v/>
      </c>
      <c r="D39" s="92" t="str">
        <f>IFERROR(INDEX(bom_qty,MATCH(16,bom_rk,0)),"")</f>
        <v/>
      </c>
      <c r="E39" s="93" t="str">
        <f>IFERROR(INDEX(bom_unit,MATCH(16,bom_rk,0))&amp;"","")</f>
        <v/>
      </c>
      <c r="F39" s="51" t="str">
        <f>IFERROR(INDEX(bom_loss,MATCH(16,bom_rk,0)),"")</f>
        <v/>
      </c>
      <c r="G39" s="94" t="str">
        <f>IFERROR(INDEX(bom_price,MATCH(16,bom_rk,0)),"")</f>
        <v/>
      </c>
      <c r="H39" s="94" t="str">
        <f>IFERROR(INDEX(bom_cost,MATCH(16,bom_rk,0)),"")</f>
        <v/>
      </c>
      <c r="I39" s="51" t="str">
        <f>IF(OR(H39="",N($D$19)&lt;=0),"",H39/$D$19)</f>
        <v/>
      </c>
      <c r="J39" s="93" t="str">
        <f>IFERROR(INDEX(bom_check,MATCH(16,bom_rk,0))&amp;"","")</f>
        <v/>
      </c>
    </row>
    <row r="40">
      <c r="B40" s="91" t="str">
        <f>IFERROR(INDEX(bom_mat,MATCH(17,bom_rk,0))&amp;"","")</f>
        <v/>
      </c>
      <c r="C40" s="91" t="str">
        <f>IFERROR(INDEX(bom_des,MATCH(17,bom_rk,0))&amp;"","")</f>
        <v/>
      </c>
      <c r="D40" s="92" t="str">
        <f>IFERROR(INDEX(bom_qty,MATCH(17,bom_rk,0)),"")</f>
        <v/>
      </c>
      <c r="E40" s="93" t="str">
        <f>IFERROR(INDEX(bom_unit,MATCH(17,bom_rk,0))&amp;"","")</f>
        <v/>
      </c>
      <c r="F40" s="51" t="str">
        <f>IFERROR(INDEX(bom_loss,MATCH(17,bom_rk,0)),"")</f>
        <v/>
      </c>
      <c r="G40" s="94" t="str">
        <f>IFERROR(INDEX(bom_price,MATCH(17,bom_rk,0)),"")</f>
        <v/>
      </c>
      <c r="H40" s="94" t="str">
        <f>IFERROR(INDEX(bom_cost,MATCH(17,bom_rk,0)),"")</f>
        <v/>
      </c>
      <c r="I40" s="51" t="str">
        <f>IF(OR(H40="",N($D$19)&lt;=0),"",H40/$D$19)</f>
        <v/>
      </c>
      <c r="J40" s="93" t="str">
        <f>IFERROR(INDEX(bom_check,MATCH(17,bom_rk,0))&amp;"","")</f>
        <v/>
      </c>
    </row>
    <row r="41">
      <c r="B41" s="91" t="str">
        <f>IFERROR(INDEX(bom_mat,MATCH(18,bom_rk,0))&amp;"","")</f>
        <v/>
      </c>
      <c r="C41" s="91" t="str">
        <f>IFERROR(INDEX(bom_des,MATCH(18,bom_rk,0))&amp;"","")</f>
        <v/>
      </c>
      <c r="D41" s="92" t="str">
        <f>IFERROR(INDEX(bom_qty,MATCH(18,bom_rk,0)),"")</f>
        <v/>
      </c>
      <c r="E41" s="93" t="str">
        <f>IFERROR(INDEX(bom_unit,MATCH(18,bom_rk,0))&amp;"","")</f>
        <v/>
      </c>
      <c r="F41" s="51" t="str">
        <f>IFERROR(INDEX(bom_loss,MATCH(18,bom_rk,0)),"")</f>
        <v/>
      </c>
      <c r="G41" s="94" t="str">
        <f>IFERROR(INDEX(bom_price,MATCH(18,bom_rk,0)),"")</f>
        <v/>
      </c>
      <c r="H41" s="94" t="str">
        <f>IFERROR(INDEX(bom_cost,MATCH(18,bom_rk,0)),"")</f>
        <v/>
      </c>
      <c r="I41" s="51" t="str">
        <f>IF(OR(H41="",N($D$19)&lt;=0),"",H41/$D$19)</f>
        <v/>
      </c>
      <c r="J41" s="93" t="str">
        <f>IFERROR(INDEX(bom_check,MATCH(18,bom_rk,0))&amp;"","")</f>
        <v/>
      </c>
    </row>
    <row r="42">
      <c r="B42" s="91" t="str">
        <f>IFERROR(INDEX(bom_mat,MATCH(19,bom_rk,0))&amp;"","")</f>
        <v/>
      </c>
      <c r="C42" s="91" t="str">
        <f>IFERROR(INDEX(bom_des,MATCH(19,bom_rk,0))&amp;"","")</f>
        <v/>
      </c>
      <c r="D42" s="92" t="str">
        <f>IFERROR(INDEX(bom_qty,MATCH(19,bom_rk,0)),"")</f>
        <v/>
      </c>
      <c r="E42" s="93" t="str">
        <f>IFERROR(INDEX(bom_unit,MATCH(19,bom_rk,0))&amp;"","")</f>
        <v/>
      </c>
      <c r="F42" s="51" t="str">
        <f>IFERROR(INDEX(bom_loss,MATCH(19,bom_rk,0)),"")</f>
        <v/>
      </c>
      <c r="G42" s="94" t="str">
        <f>IFERROR(INDEX(bom_price,MATCH(19,bom_rk,0)),"")</f>
        <v/>
      </c>
      <c r="H42" s="94" t="str">
        <f>IFERROR(INDEX(bom_cost,MATCH(19,bom_rk,0)),"")</f>
        <v/>
      </c>
      <c r="I42" s="51" t="str">
        <f>IF(OR(H42="",N($D$19)&lt;=0),"",H42/$D$19)</f>
        <v/>
      </c>
      <c r="J42" s="93" t="str">
        <f>IFERROR(INDEX(bom_check,MATCH(19,bom_rk,0))&amp;"","")</f>
        <v/>
      </c>
    </row>
    <row r="43">
      <c r="B43" s="91" t="str">
        <f>IFERROR(INDEX(bom_mat,MATCH(20,bom_rk,0))&amp;"","")</f>
        <v/>
      </c>
      <c r="C43" s="91" t="str">
        <f>IFERROR(INDEX(bom_des,MATCH(20,bom_rk,0))&amp;"","")</f>
        <v/>
      </c>
      <c r="D43" s="92" t="str">
        <f>IFERROR(INDEX(bom_qty,MATCH(20,bom_rk,0)),"")</f>
        <v/>
      </c>
      <c r="E43" s="93" t="str">
        <f>IFERROR(INDEX(bom_unit,MATCH(20,bom_rk,0))&amp;"","")</f>
        <v/>
      </c>
      <c r="F43" s="51" t="str">
        <f>IFERROR(INDEX(bom_loss,MATCH(20,bom_rk,0)),"")</f>
        <v/>
      </c>
      <c r="G43" s="94" t="str">
        <f>IFERROR(INDEX(bom_price,MATCH(20,bom_rk,0)),"")</f>
        <v/>
      </c>
      <c r="H43" s="94" t="str">
        <f>IFERROR(INDEX(bom_cost,MATCH(20,bom_rk,0)),"")</f>
        <v/>
      </c>
      <c r="I43" s="51" t="str">
        <f>IF(OR(H43="",N($D$19)&lt;=0),"",H43/$D$19)</f>
        <v/>
      </c>
      <c r="J43" s="93" t="str">
        <f>IFERROR(INDEX(bom_check,MATCH(20,bom_rk,0))&amp;"","")</f>
        <v/>
      </c>
    </row>
    <row r="44">
      <c r="B44" s="91" t="str">
        <f>IFERROR(INDEX(bom_mat,MATCH(21,bom_rk,0))&amp;"","")</f>
        <v/>
      </c>
      <c r="C44" s="91" t="str">
        <f>IFERROR(INDEX(bom_des,MATCH(21,bom_rk,0))&amp;"","")</f>
        <v/>
      </c>
      <c r="D44" s="92" t="str">
        <f>IFERROR(INDEX(bom_qty,MATCH(21,bom_rk,0)),"")</f>
        <v/>
      </c>
      <c r="E44" s="93" t="str">
        <f>IFERROR(INDEX(bom_unit,MATCH(21,bom_rk,0))&amp;"","")</f>
        <v/>
      </c>
      <c r="F44" s="51" t="str">
        <f>IFERROR(INDEX(bom_loss,MATCH(21,bom_rk,0)),"")</f>
        <v/>
      </c>
      <c r="G44" s="94" t="str">
        <f>IFERROR(INDEX(bom_price,MATCH(21,bom_rk,0)),"")</f>
        <v/>
      </c>
      <c r="H44" s="94" t="str">
        <f>IFERROR(INDEX(bom_cost,MATCH(21,bom_rk,0)),"")</f>
        <v/>
      </c>
      <c r="I44" s="51" t="str">
        <f>IF(OR(H44="",N($D$19)&lt;=0),"",H44/$D$19)</f>
        <v/>
      </c>
      <c r="J44" s="93" t="str">
        <f>IFERROR(INDEX(bom_check,MATCH(21,bom_rk,0))&amp;"","")</f>
        <v/>
      </c>
    </row>
    <row r="45">
      <c r="B45" s="91" t="str">
        <f>IFERROR(INDEX(bom_mat,MATCH(22,bom_rk,0))&amp;"","")</f>
        <v/>
      </c>
      <c r="C45" s="91" t="str">
        <f>IFERROR(INDEX(bom_des,MATCH(22,bom_rk,0))&amp;"","")</f>
        <v/>
      </c>
      <c r="D45" s="92" t="str">
        <f>IFERROR(INDEX(bom_qty,MATCH(22,bom_rk,0)),"")</f>
        <v/>
      </c>
      <c r="E45" s="93" t="str">
        <f>IFERROR(INDEX(bom_unit,MATCH(22,bom_rk,0))&amp;"","")</f>
        <v/>
      </c>
      <c r="F45" s="51" t="str">
        <f>IFERROR(INDEX(bom_loss,MATCH(22,bom_rk,0)),"")</f>
        <v/>
      </c>
      <c r="G45" s="94" t="str">
        <f>IFERROR(INDEX(bom_price,MATCH(22,bom_rk,0)),"")</f>
        <v/>
      </c>
      <c r="H45" s="94" t="str">
        <f>IFERROR(INDEX(bom_cost,MATCH(22,bom_rk,0)),"")</f>
        <v/>
      </c>
      <c r="I45" s="51" t="str">
        <f>IF(OR(H45="",N($D$19)&lt;=0),"",H45/$D$19)</f>
        <v/>
      </c>
      <c r="J45" s="93" t="str">
        <f>IFERROR(INDEX(bom_check,MATCH(22,bom_rk,0))&amp;"","")</f>
        <v/>
      </c>
    </row>
    <row r="46">
      <c r="B46" s="91" t="str">
        <f>IFERROR(INDEX(bom_mat,MATCH(23,bom_rk,0))&amp;"","")</f>
        <v/>
      </c>
      <c r="C46" s="91" t="str">
        <f>IFERROR(INDEX(bom_des,MATCH(23,bom_rk,0))&amp;"","")</f>
        <v/>
      </c>
      <c r="D46" s="92" t="str">
        <f>IFERROR(INDEX(bom_qty,MATCH(23,bom_rk,0)),"")</f>
        <v/>
      </c>
      <c r="E46" s="93" t="str">
        <f>IFERROR(INDEX(bom_unit,MATCH(23,bom_rk,0))&amp;"","")</f>
        <v/>
      </c>
      <c r="F46" s="51" t="str">
        <f>IFERROR(INDEX(bom_loss,MATCH(23,bom_rk,0)),"")</f>
        <v/>
      </c>
      <c r="G46" s="94" t="str">
        <f>IFERROR(INDEX(bom_price,MATCH(23,bom_rk,0)),"")</f>
        <v/>
      </c>
      <c r="H46" s="94" t="str">
        <f>IFERROR(INDEX(bom_cost,MATCH(23,bom_rk,0)),"")</f>
        <v/>
      </c>
      <c r="I46" s="51" t="str">
        <f>IF(OR(H46="",N($D$19)&lt;=0),"",H46/$D$19)</f>
        <v/>
      </c>
      <c r="J46" s="93" t="str">
        <f>IFERROR(INDEX(bom_check,MATCH(23,bom_rk,0))&amp;"","")</f>
        <v/>
      </c>
    </row>
    <row r="47">
      <c r="B47" s="91" t="str">
        <f>IFERROR(INDEX(bom_mat,MATCH(24,bom_rk,0))&amp;"","")</f>
        <v/>
      </c>
      <c r="C47" s="91" t="str">
        <f>IFERROR(INDEX(bom_des,MATCH(24,bom_rk,0))&amp;"","")</f>
        <v/>
      </c>
      <c r="D47" s="92" t="str">
        <f>IFERROR(INDEX(bom_qty,MATCH(24,bom_rk,0)),"")</f>
        <v/>
      </c>
      <c r="E47" s="93" t="str">
        <f>IFERROR(INDEX(bom_unit,MATCH(24,bom_rk,0))&amp;"","")</f>
        <v/>
      </c>
      <c r="F47" s="51" t="str">
        <f>IFERROR(INDEX(bom_loss,MATCH(24,bom_rk,0)),"")</f>
        <v/>
      </c>
      <c r="G47" s="94" t="str">
        <f>IFERROR(INDEX(bom_price,MATCH(24,bom_rk,0)),"")</f>
        <v/>
      </c>
      <c r="H47" s="94" t="str">
        <f>IFERROR(INDEX(bom_cost,MATCH(24,bom_rk,0)),"")</f>
        <v/>
      </c>
      <c r="I47" s="51" t="str">
        <f>IF(OR(H47="",N($D$19)&lt;=0),"",H47/$D$19)</f>
        <v/>
      </c>
      <c r="J47" s="93" t="str">
        <f>IFERROR(INDEX(bom_check,MATCH(24,bom_rk,0))&amp;"","")</f>
        <v/>
      </c>
    </row>
    <row r="48">
      <c r="B48" s="91" t="str">
        <f>IFERROR(INDEX(bom_mat,MATCH(25,bom_rk,0))&amp;"","")</f>
        <v/>
      </c>
      <c r="C48" s="91" t="str">
        <f>IFERROR(INDEX(bom_des,MATCH(25,bom_rk,0))&amp;"","")</f>
        <v/>
      </c>
      <c r="D48" s="92" t="str">
        <f>IFERROR(INDEX(bom_qty,MATCH(25,bom_rk,0)),"")</f>
        <v/>
      </c>
      <c r="E48" s="93" t="str">
        <f>IFERROR(INDEX(bom_unit,MATCH(25,bom_rk,0))&amp;"","")</f>
        <v/>
      </c>
      <c r="F48" s="51" t="str">
        <f>IFERROR(INDEX(bom_loss,MATCH(25,bom_rk,0)),"")</f>
        <v/>
      </c>
      <c r="G48" s="94" t="str">
        <f>IFERROR(INDEX(bom_price,MATCH(25,bom_rk,0)),"")</f>
        <v/>
      </c>
      <c r="H48" s="94" t="str">
        <f>IFERROR(INDEX(bom_cost,MATCH(25,bom_rk,0)),"")</f>
        <v/>
      </c>
      <c r="I48" s="51" t="str">
        <f>IF(OR(H48="",N($D$19)&lt;=0),"",H48/$D$19)</f>
        <v/>
      </c>
      <c r="J48" s="93" t="str">
        <f>IFERROR(INDEX(bom_check,MATCH(25,bom_rk,0))&amp;"","")</f>
        <v/>
      </c>
    </row>
    <row r="49">
      <c r="B49" s="91" t="str">
        <f>IFERROR(INDEX(bom_mat,MATCH(26,bom_rk,0))&amp;"","")</f>
        <v/>
      </c>
      <c r="C49" s="91" t="str">
        <f>IFERROR(INDEX(bom_des,MATCH(26,bom_rk,0))&amp;"","")</f>
        <v/>
      </c>
      <c r="D49" s="92" t="str">
        <f>IFERROR(INDEX(bom_qty,MATCH(26,bom_rk,0)),"")</f>
        <v/>
      </c>
      <c r="E49" s="93" t="str">
        <f>IFERROR(INDEX(bom_unit,MATCH(26,bom_rk,0))&amp;"","")</f>
        <v/>
      </c>
      <c r="F49" s="51" t="str">
        <f>IFERROR(INDEX(bom_loss,MATCH(26,bom_rk,0)),"")</f>
        <v/>
      </c>
      <c r="G49" s="94" t="str">
        <f>IFERROR(INDEX(bom_price,MATCH(26,bom_rk,0)),"")</f>
        <v/>
      </c>
      <c r="H49" s="94" t="str">
        <f>IFERROR(INDEX(bom_cost,MATCH(26,bom_rk,0)),"")</f>
        <v/>
      </c>
      <c r="I49" s="51" t="str">
        <f>IF(OR(H49="",N($D$19)&lt;=0),"",H49/$D$19)</f>
        <v/>
      </c>
      <c r="J49" s="93" t="str">
        <f>IFERROR(INDEX(bom_check,MATCH(26,bom_rk,0))&amp;"","")</f>
        <v/>
      </c>
    </row>
    <row r="50">
      <c r="B50" s="91" t="str">
        <f>IFERROR(INDEX(bom_mat,MATCH(27,bom_rk,0))&amp;"","")</f>
        <v/>
      </c>
      <c r="C50" s="91" t="str">
        <f>IFERROR(INDEX(bom_des,MATCH(27,bom_rk,0))&amp;"","")</f>
        <v/>
      </c>
      <c r="D50" s="92" t="str">
        <f>IFERROR(INDEX(bom_qty,MATCH(27,bom_rk,0)),"")</f>
        <v/>
      </c>
      <c r="E50" s="93" t="str">
        <f>IFERROR(INDEX(bom_unit,MATCH(27,bom_rk,0))&amp;"","")</f>
        <v/>
      </c>
      <c r="F50" s="51" t="str">
        <f>IFERROR(INDEX(bom_loss,MATCH(27,bom_rk,0)),"")</f>
        <v/>
      </c>
      <c r="G50" s="94" t="str">
        <f>IFERROR(INDEX(bom_price,MATCH(27,bom_rk,0)),"")</f>
        <v/>
      </c>
      <c r="H50" s="94" t="str">
        <f>IFERROR(INDEX(bom_cost,MATCH(27,bom_rk,0)),"")</f>
        <v/>
      </c>
      <c r="I50" s="51" t="str">
        <f>IF(OR(H50="",N($D$19)&lt;=0),"",H50/$D$19)</f>
        <v/>
      </c>
      <c r="J50" s="93" t="str">
        <f>IFERROR(INDEX(bom_check,MATCH(27,bom_rk,0))&amp;"","")</f>
        <v/>
      </c>
    </row>
    <row r="51">
      <c r="B51" s="91" t="str">
        <f>IFERROR(INDEX(bom_mat,MATCH(28,bom_rk,0))&amp;"","")</f>
        <v/>
      </c>
      <c r="C51" s="91" t="str">
        <f>IFERROR(INDEX(bom_des,MATCH(28,bom_rk,0))&amp;"","")</f>
        <v/>
      </c>
      <c r="D51" s="92" t="str">
        <f>IFERROR(INDEX(bom_qty,MATCH(28,bom_rk,0)),"")</f>
        <v/>
      </c>
      <c r="E51" s="93" t="str">
        <f>IFERROR(INDEX(bom_unit,MATCH(28,bom_rk,0))&amp;"","")</f>
        <v/>
      </c>
      <c r="F51" s="51" t="str">
        <f>IFERROR(INDEX(bom_loss,MATCH(28,bom_rk,0)),"")</f>
        <v/>
      </c>
      <c r="G51" s="94" t="str">
        <f>IFERROR(INDEX(bom_price,MATCH(28,bom_rk,0)),"")</f>
        <v/>
      </c>
      <c r="H51" s="94" t="str">
        <f>IFERROR(INDEX(bom_cost,MATCH(28,bom_rk,0)),"")</f>
        <v/>
      </c>
      <c r="I51" s="51" t="str">
        <f>IF(OR(H51="",N($D$19)&lt;=0),"",H51/$D$19)</f>
        <v/>
      </c>
      <c r="J51" s="93" t="str">
        <f>IFERROR(INDEX(bom_check,MATCH(28,bom_rk,0))&amp;"","")</f>
        <v/>
      </c>
    </row>
    <row r="52">
      <c r="B52" s="91" t="str">
        <f>IFERROR(INDEX(bom_mat,MATCH(29,bom_rk,0))&amp;"","")</f>
        <v/>
      </c>
      <c r="C52" s="91" t="str">
        <f>IFERROR(INDEX(bom_des,MATCH(29,bom_rk,0))&amp;"","")</f>
        <v/>
      </c>
      <c r="D52" s="92" t="str">
        <f>IFERROR(INDEX(bom_qty,MATCH(29,bom_rk,0)),"")</f>
        <v/>
      </c>
      <c r="E52" s="93" t="str">
        <f>IFERROR(INDEX(bom_unit,MATCH(29,bom_rk,0))&amp;"","")</f>
        <v/>
      </c>
      <c r="F52" s="51" t="str">
        <f>IFERROR(INDEX(bom_loss,MATCH(29,bom_rk,0)),"")</f>
        <v/>
      </c>
      <c r="G52" s="94" t="str">
        <f>IFERROR(INDEX(bom_price,MATCH(29,bom_rk,0)),"")</f>
        <v/>
      </c>
      <c r="H52" s="94" t="str">
        <f>IFERROR(INDEX(bom_cost,MATCH(29,bom_rk,0)),"")</f>
        <v/>
      </c>
      <c r="I52" s="51" t="str">
        <f>IF(OR(H52="",N($D$19)&lt;=0),"",H52/$D$19)</f>
        <v/>
      </c>
      <c r="J52" s="93" t="str">
        <f>IFERROR(INDEX(bom_check,MATCH(29,bom_rk,0))&amp;"","")</f>
        <v/>
      </c>
    </row>
    <row r="53">
      <c r="B53" s="91" t="str">
        <f>IFERROR(INDEX(bom_mat,MATCH(30,bom_rk,0))&amp;"","")</f>
        <v/>
      </c>
      <c r="C53" s="91" t="str">
        <f>IFERROR(INDEX(bom_des,MATCH(30,bom_rk,0))&amp;"","")</f>
        <v/>
      </c>
      <c r="D53" s="92" t="str">
        <f>IFERROR(INDEX(bom_qty,MATCH(30,bom_rk,0)),"")</f>
        <v/>
      </c>
      <c r="E53" s="93" t="str">
        <f>IFERROR(INDEX(bom_unit,MATCH(30,bom_rk,0))&amp;"","")</f>
        <v/>
      </c>
      <c r="F53" s="51" t="str">
        <f>IFERROR(INDEX(bom_loss,MATCH(30,bom_rk,0)),"")</f>
        <v/>
      </c>
      <c r="G53" s="94" t="str">
        <f>IFERROR(INDEX(bom_price,MATCH(30,bom_rk,0)),"")</f>
        <v/>
      </c>
      <c r="H53" s="94" t="str">
        <f>IFERROR(INDEX(bom_cost,MATCH(30,bom_rk,0)),"")</f>
        <v/>
      </c>
      <c r="I53" s="51" t="str">
        <f>IF(OR(H53="",N($D$19)&lt;=0),"",H53/$D$19)</f>
        <v/>
      </c>
      <c r="J53" s="93" t="str">
        <f>IFERROR(INDEX(bom_check,MATCH(30,bom_rk,0))&amp;"","")</f>
        <v/>
      </c>
    </row>
    <row r="54">
      <c r="B54" s="41" t="str">
        <f>IF(COUNT(bom_rk)&gt;30,"Et "&amp;(COUNT(bom_rk)-30)&amp;" autre(s) ligne(s) dans « Nomenclatures ».",IF(AND(fiche_m&gt;0,COUNT(bom_rk)=0),"Aucune matière pour ce produit.",""))</f>
        <v/>
      </c>
    </row>
    <row r="56" ht="22" customHeight="1">
      <c r="B56" s="5" t="inlineStr">
        <is>
          <t>Opérations (gamme, 15 lignes au plus)</t>
        </is>
      </c>
      <c r="C56" s="6" t="n"/>
      <c r="D56" s="6" t="n"/>
      <c r="E56" s="6" t="n"/>
      <c r="F56" s="6" t="n"/>
      <c r="G56" s="6" t="n"/>
      <c r="H56" s="6" t="n"/>
      <c r="I56" s="6" t="n"/>
      <c r="J56" s="6" t="n"/>
    </row>
    <row r="57" ht="22" customHeight="1">
      <c r="B57" s="42" t="inlineStr">
        <is>
          <t>N° op.</t>
        </is>
      </c>
      <c r="C57" s="42" t="inlineStr">
        <is>
          <t>Opération</t>
        </is>
      </c>
      <c r="D57" s="42" t="inlineStr">
        <is>
          <t>Poste</t>
        </is>
      </c>
      <c r="E57" s="42" t="inlineStr">
        <is>
          <t>Réglage (h)</t>
        </is>
      </c>
      <c r="F57" s="42" t="inlineStr">
        <is>
          <t>Temps (min)</t>
        </is>
      </c>
      <c r="G57" s="42" t="inlineStr">
        <is>
          <t>Opérateurs</t>
        </is>
      </c>
      <c r="H57" s="42" t="inlineStr">
        <is>
          <t>Réglage / lot</t>
        </is>
      </c>
      <c r="I57" s="42" t="inlineStr">
        <is>
          <t>MO / pièce</t>
        </is>
      </c>
      <c r="J57" s="42" t="inlineStr">
        <is>
          <t>Machine / pièce</t>
        </is>
      </c>
    </row>
    <row r="58">
      <c r="B58" s="95" t="str">
        <f>IFERROR(IF(INDEX(gam_op,MATCH(1,gam_rk,0))="","",INDEX(gam_op,MATCH(1,gam_rk,0))),"")</f>
        <v/>
      </c>
      <c r="C58" s="91" t="str">
        <f>IFERROR(INDEX(gam_label,MATCH(1,gam_rk,0))&amp;"","")</f>
        <v/>
      </c>
      <c r="D58" s="93" t="str">
        <f>IFERROR(INDEX(gam_poste,MATCH(1,gam_rk,0))&amp;"","")</f>
        <v/>
      </c>
      <c r="E58" s="96" t="str">
        <f>IFERROR(N(INDEX(gam_setup_h,MATCH(1,gam_rk,0))),"")</f>
        <v/>
      </c>
      <c r="F58" s="96" t="str">
        <f>IFERROR(N(INDEX(gam_time,MATCH(1,gam_rk,0))),"")</f>
        <v/>
      </c>
      <c r="G58" s="95" t="str">
        <f>IFERROR(IF(INDEX(gam_ops,MATCH(1,gam_rk,0))="",1,INDEX(gam_ops,MATCH(1,gam_rk,0))),"")</f>
        <v/>
      </c>
      <c r="H58" s="94" t="str">
        <f>IFERROR(INDEX(gam_setup,MATCH(1,gam_rk,0)),"")</f>
        <v/>
      </c>
      <c r="I58" s="94" t="str">
        <f>IFERROR(INDEX(gam_mo,MATCH(1,gam_rk,0)),"")</f>
        <v/>
      </c>
      <c r="J58" s="94" t="str">
        <f>IFERROR(INDEX(gam_mac,MATCH(1,gam_rk,0)),"")</f>
        <v/>
      </c>
    </row>
    <row r="59">
      <c r="B59" s="95" t="str">
        <f>IFERROR(IF(INDEX(gam_op,MATCH(2,gam_rk,0))="","",INDEX(gam_op,MATCH(2,gam_rk,0))),"")</f>
        <v/>
      </c>
      <c r="C59" s="91" t="str">
        <f>IFERROR(INDEX(gam_label,MATCH(2,gam_rk,0))&amp;"","")</f>
        <v/>
      </c>
      <c r="D59" s="93" t="str">
        <f>IFERROR(INDEX(gam_poste,MATCH(2,gam_rk,0))&amp;"","")</f>
        <v/>
      </c>
      <c r="E59" s="96" t="str">
        <f>IFERROR(N(INDEX(gam_setup_h,MATCH(2,gam_rk,0))),"")</f>
        <v/>
      </c>
      <c r="F59" s="96" t="str">
        <f>IFERROR(N(INDEX(gam_time,MATCH(2,gam_rk,0))),"")</f>
        <v/>
      </c>
      <c r="G59" s="95" t="str">
        <f>IFERROR(IF(INDEX(gam_ops,MATCH(2,gam_rk,0))="",1,INDEX(gam_ops,MATCH(2,gam_rk,0))),"")</f>
        <v/>
      </c>
      <c r="H59" s="94" t="str">
        <f>IFERROR(INDEX(gam_setup,MATCH(2,gam_rk,0)),"")</f>
        <v/>
      </c>
      <c r="I59" s="94" t="str">
        <f>IFERROR(INDEX(gam_mo,MATCH(2,gam_rk,0)),"")</f>
        <v/>
      </c>
      <c r="J59" s="94" t="str">
        <f>IFERROR(INDEX(gam_mac,MATCH(2,gam_rk,0)),"")</f>
        <v/>
      </c>
    </row>
    <row r="60">
      <c r="B60" s="95" t="str">
        <f>IFERROR(IF(INDEX(gam_op,MATCH(3,gam_rk,0))="","",INDEX(gam_op,MATCH(3,gam_rk,0))),"")</f>
        <v/>
      </c>
      <c r="C60" s="91" t="str">
        <f>IFERROR(INDEX(gam_label,MATCH(3,gam_rk,0))&amp;"","")</f>
        <v/>
      </c>
      <c r="D60" s="93" t="str">
        <f>IFERROR(INDEX(gam_poste,MATCH(3,gam_rk,0))&amp;"","")</f>
        <v/>
      </c>
      <c r="E60" s="96" t="str">
        <f>IFERROR(N(INDEX(gam_setup_h,MATCH(3,gam_rk,0))),"")</f>
        <v/>
      </c>
      <c r="F60" s="96" t="str">
        <f>IFERROR(N(INDEX(gam_time,MATCH(3,gam_rk,0))),"")</f>
        <v/>
      </c>
      <c r="G60" s="95" t="str">
        <f>IFERROR(IF(INDEX(gam_ops,MATCH(3,gam_rk,0))="",1,INDEX(gam_ops,MATCH(3,gam_rk,0))),"")</f>
        <v/>
      </c>
      <c r="H60" s="94" t="str">
        <f>IFERROR(INDEX(gam_setup,MATCH(3,gam_rk,0)),"")</f>
        <v/>
      </c>
      <c r="I60" s="94" t="str">
        <f>IFERROR(INDEX(gam_mo,MATCH(3,gam_rk,0)),"")</f>
        <v/>
      </c>
      <c r="J60" s="94" t="str">
        <f>IFERROR(INDEX(gam_mac,MATCH(3,gam_rk,0)),"")</f>
        <v/>
      </c>
    </row>
    <row r="61">
      <c r="B61" s="95" t="str">
        <f>IFERROR(IF(INDEX(gam_op,MATCH(4,gam_rk,0))="","",INDEX(gam_op,MATCH(4,gam_rk,0))),"")</f>
        <v/>
      </c>
      <c r="C61" s="91" t="str">
        <f>IFERROR(INDEX(gam_label,MATCH(4,gam_rk,0))&amp;"","")</f>
        <v/>
      </c>
      <c r="D61" s="93" t="str">
        <f>IFERROR(INDEX(gam_poste,MATCH(4,gam_rk,0))&amp;"","")</f>
        <v/>
      </c>
      <c r="E61" s="96" t="str">
        <f>IFERROR(N(INDEX(gam_setup_h,MATCH(4,gam_rk,0))),"")</f>
        <v/>
      </c>
      <c r="F61" s="96" t="str">
        <f>IFERROR(N(INDEX(gam_time,MATCH(4,gam_rk,0))),"")</f>
        <v/>
      </c>
      <c r="G61" s="95" t="str">
        <f>IFERROR(IF(INDEX(gam_ops,MATCH(4,gam_rk,0))="",1,INDEX(gam_ops,MATCH(4,gam_rk,0))),"")</f>
        <v/>
      </c>
      <c r="H61" s="94" t="str">
        <f>IFERROR(INDEX(gam_setup,MATCH(4,gam_rk,0)),"")</f>
        <v/>
      </c>
      <c r="I61" s="94" t="str">
        <f>IFERROR(INDEX(gam_mo,MATCH(4,gam_rk,0)),"")</f>
        <v/>
      </c>
      <c r="J61" s="94" t="str">
        <f>IFERROR(INDEX(gam_mac,MATCH(4,gam_rk,0)),"")</f>
        <v/>
      </c>
    </row>
    <row r="62">
      <c r="B62" s="95" t="str">
        <f>IFERROR(IF(INDEX(gam_op,MATCH(5,gam_rk,0))="","",INDEX(gam_op,MATCH(5,gam_rk,0))),"")</f>
        <v/>
      </c>
      <c r="C62" s="91" t="str">
        <f>IFERROR(INDEX(gam_label,MATCH(5,gam_rk,0))&amp;"","")</f>
        <v/>
      </c>
      <c r="D62" s="93" t="str">
        <f>IFERROR(INDEX(gam_poste,MATCH(5,gam_rk,0))&amp;"","")</f>
        <v/>
      </c>
      <c r="E62" s="96" t="str">
        <f>IFERROR(N(INDEX(gam_setup_h,MATCH(5,gam_rk,0))),"")</f>
        <v/>
      </c>
      <c r="F62" s="96" t="str">
        <f>IFERROR(N(INDEX(gam_time,MATCH(5,gam_rk,0))),"")</f>
        <v/>
      </c>
      <c r="G62" s="95" t="str">
        <f>IFERROR(IF(INDEX(gam_ops,MATCH(5,gam_rk,0))="",1,INDEX(gam_ops,MATCH(5,gam_rk,0))),"")</f>
        <v/>
      </c>
      <c r="H62" s="94" t="str">
        <f>IFERROR(INDEX(gam_setup,MATCH(5,gam_rk,0)),"")</f>
        <v/>
      </c>
      <c r="I62" s="94" t="str">
        <f>IFERROR(INDEX(gam_mo,MATCH(5,gam_rk,0)),"")</f>
        <v/>
      </c>
      <c r="J62" s="94" t="str">
        <f>IFERROR(INDEX(gam_mac,MATCH(5,gam_rk,0)),"")</f>
        <v/>
      </c>
    </row>
    <row r="63">
      <c r="B63" s="95" t="str">
        <f>IFERROR(IF(INDEX(gam_op,MATCH(6,gam_rk,0))="","",INDEX(gam_op,MATCH(6,gam_rk,0))),"")</f>
        <v/>
      </c>
      <c r="C63" s="91" t="str">
        <f>IFERROR(INDEX(gam_label,MATCH(6,gam_rk,0))&amp;"","")</f>
        <v/>
      </c>
      <c r="D63" s="93" t="str">
        <f>IFERROR(INDEX(gam_poste,MATCH(6,gam_rk,0))&amp;"","")</f>
        <v/>
      </c>
      <c r="E63" s="96" t="str">
        <f>IFERROR(N(INDEX(gam_setup_h,MATCH(6,gam_rk,0))),"")</f>
        <v/>
      </c>
      <c r="F63" s="96" t="str">
        <f>IFERROR(N(INDEX(gam_time,MATCH(6,gam_rk,0))),"")</f>
        <v/>
      </c>
      <c r="G63" s="95" t="str">
        <f>IFERROR(IF(INDEX(gam_ops,MATCH(6,gam_rk,0))="",1,INDEX(gam_ops,MATCH(6,gam_rk,0))),"")</f>
        <v/>
      </c>
      <c r="H63" s="94" t="str">
        <f>IFERROR(INDEX(gam_setup,MATCH(6,gam_rk,0)),"")</f>
        <v/>
      </c>
      <c r="I63" s="94" t="str">
        <f>IFERROR(INDEX(gam_mo,MATCH(6,gam_rk,0)),"")</f>
        <v/>
      </c>
      <c r="J63" s="94" t="str">
        <f>IFERROR(INDEX(gam_mac,MATCH(6,gam_rk,0)),"")</f>
        <v/>
      </c>
    </row>
    <row r="64">
      <c r="B64" s="95" t="str">
        <f>IFERROR(IF(INDEX(gam_op,MATCH(7,gam_rk,0))="","",INDEX(gam_op,MATCH(7,gam_rk,0))),"")</f>
        <v/>
      </c>
      <c r="C64" s="91" t="str">
        <f>IFERROR(INDEX(gam_label,MATCH(7,gam_rk,0))&amp;"","")</f>
        <v/>
      </c>
      <c r="D64" s="93" t="str">
        <f>IFERROR(INDEX(gam_poste,MATCH(7,gam_rk,0))&amp;"","")</f>
        <v/>
      </c>
      <c r="E64" s="96" t="str">
        <f>IFERROR(N(INDEX(gam_setup_h,MATCH(7,gam_rk,0))),"")</f>
        <v/>
      </c>
      <c r="F64" s="96" t="str">
        <f>IFERROR(N(INDEX(gam_time,MATCH(7,gam_rk,0))),"")</f>
        <v/>
      </c>
      <c r="G64" s="95" t="str">
        <f>IFERROR(IF(INDEX(gam_ops,MATCH(7,gam_rk,0))="",1,INDEX(gam_ops,MATCH(7,gam_rk,0))),"")</f>
        <v/>
      </c>
      <c r="H64" s="94" t="str">
        <f>IFERROR(INDEX(gam_setup,MATCH(7,gam_rk,0)),"")</f>
        <v/>
      </c>
      <c r="I64" s="94" t="str">
        <f>IFERROR(INDEX(gam_mo,MATCH(7,gam_rk,0)),"")</f>
        <v/>
      </c>
      <c r="J64" s="94" t="str">
        <f>IFERROR(INDEX(gam_mac,MATCH(7,gam_rk,0)),"")</f>
        <v/>
      </c>
    </row>
    <row r="65">
      <c r="B65" s="95" t="str">
        <f>IFERROR(IF(INDEX(gam_op,MATCH(8,gam_rk,0))="","",INDEX(gam_op,MATCH(8,gam_rk,0))),"")</f>
        <v/>
      </c>
      <c r="C65" s="91" t="str">
        <f>IFERROR(INDEX(gam_label,MATCH(8,gam_rk,0))&amp;"","")</f>
        <v/>
      </c>
      <c r="D65" s="93" t="str">
        <f>IFERROR(INDEX(gam_poste,MATCH(8,gam_rk,0))&amp;"","")</f>
        <v/>
      </c>
      <c r="E65" s="96" t="str">
        <f>IFERROR(N(INDEX(gam_setup_h,MATCH(8,gam_rk,0))),"")</f>
        <v/>
      </c>
      <c r="F65" s="96" t="str">
        <f>IFERROR(N(INDEX(gam_time,MATCH(8,gam_rk,0))),"")</f>
        <v/>
      </c>
      <c r="G65" s="95" t="str">
        <f>IFERROR(IF(INDEX(gam_ops,MATCH(8,gam_rk,0))="",1,INDEX(gam_ops,MATCH(8,gam_rk,0))),"")</f>
        <v/>
      </c>
      <c r="H65" s="94" t="str">
        <f>IFERROR(INDEX(gam_setup,MATCH(8,gam_rk,0)),"")</f>
        <v/>
      </c>
      <c r="I65" s="94" t="str">
        <f>IFERROR(INDEX(gam_mo,MATCH(8,gam_rk,0)),"")</f>
        <v/>
      </c>
      <c r="J65" s="94" t="str">
        <f>IFERROR(INDEX(gam_mac,MATCH(8,gam_rk,0)),"")</f>
        <v/>
      </c>
    </row>
    <row r="66">
      <c r="B66" s="95" t="str">
        <f>IFERROR(IF(INDEX(gam_op,MATCH(9,gam_rk,0))="","",INDEX(gam_op,MATCH(9,gam_rk,0))),"")</f>
        <v/>
      </c>
      <c r="C66" s="91" t="str">
        <f>IFERROR(INDEX(gam_label,MATCH(9,gam_rk,0))&amp;"","")</f>
        <v/>
      </c>
      <c r="D66" s="93" t="str">
        <f>IFERROR(INDEX(gam_poste,MATCH(9,gam_rk,0))&amp;"","")</f>
        <v/>
      </c>
      <c r="E66" s="96" t="str">
        <f>IFERROR(N(INDEX(gam_setup_h,MATCH(9,gam_rk,0))),"")</f>
        <v/>
      </c>
      <c r="F66" s="96" t="str">
        <f>IFERROR(N(INDEX(gam_time,MATCH(9,gam_rk,0))),"")</f>
        <v/>
      </c>
      <c r="G66" s="95" t="str">
        <f>IFERROR(IF(INDEX(gam_ops,MATCH(9,gam_rk,0))="",1,INDEX(gam_ops,MATCH(9,gam_rk,0))),"")</f>
        <v/>
      </c>
      <c r="H66" s="94" t="str">
        <f>IFERROR(INDEX(gam_setup,MATCH(9,gam_rk,0)),"")</f>
        <v/>
      </c>
      <c r="I66" s="94" t="str">
        <f>IFERROR(INDEX(gam_mo,MATCH(9,gam_rk,0)),"")</f>
        <v/>
      </c>
      <c r="J66" s="94" t="str">
        <f>IFERROR(INDEX(gam_mac,MATCH(9,gam_rk,0)),"")</f>
        <v/>
      </c>
    </row>
    <row r="67">
      <c r="B67" s="95" t="str">
        <f>IFERROR(IF(INDEX(gam_op,MATCH(10,gam_rk,0))="","",INDEX(gam_op,MATCH(10,gam_rk,0))),"")</f>
        <v/>
      </c>
      <c r="C67" s="91" t="str">
        <f>IFERROR(INDEX(gam_label,MATCH(10,gam_rk,0))&amp;"","")</f>
        <v/>
      </c>
      <c r="D67" s="93" t="str">
        <f>IFERROR(INDEX(gam_poste,MATCH(10,gam_rk,0))&amp;"","")</f>
        <v/>
      </c>
      <c r="E67" s="96" t="str">
        <f>IFERROR(N(INDEX(gam_setup_h,MATCH(10,gam_rk,0))),"")</f>
        <v/>
      </c>
      <c r="F67" s="96" t="str">
        <f>IFERROR(N(INDEX(gam_time,MATCH(10,gam_rk,0))),"")</f>
        <v/>
      </c>
      <c r="G67" s="95" t="str">
        <f>IFERROR(IF(INDEX(gam_ops,MATCH(10,gam_rk,0))="",1,INDEX(gam_ops,MATCH(10,gam_rk,0))),"")</f>
        <v/>
      </c>
      <c r="H67" s="94" t="str">
        <f>IFERROR(INDEX(gam_setup,MATCH(10,gam_rk,0)),"")</f>
        <v/>
      </c>
      <c r="I67" s="94" t="str">
        <f>IFERROR(INDEX(gam_mo,MATCH(10,gam_rk,0)),"")</f>
        <v/>
      </c>
      <c r="J67" s="94" t="str">
        <f>IFERROR(INDEX(gam_mac,MATCH(10,gam_rk,0)),"")</f>
        <v/>
      </c>
    </row>
    <row r="68">
      <c r="B68" s="95" t="str">
        <f>IFERROR(IF(INDEX(gam_op,MATCH(11,gam_rk,0))="","",INDEX(gam_op,MATCH(11,gam_rk,0))),"")</f>
        <v/>
      </c>
      <c r="C68" s="91" t="str">
        <f>IFERROR(INDEX(gam_label,MATCH(11,gam_rk,0))&amp;"","")</f>
        <v/>
      </c>
      <c r="D68" s="93" t="str">
        <f>IFERROR(INDEX(gam_poste,MATCH(11,gam_rk,0))&amp;"","")</f>
        <v/>
      </c>
      <c r="E68" s="96" t="str">
        <f>IFERROR(N(INDEX(gam_setup_h,MATCH(11,gam_rk,0))),"")</f>
        <v/>
      </c>
      <c r="F68" s="96" t="str">
        <f>IFERROR(N(INDEX(gam_time,MATCH(11,gam_rk,0))),"")</f>
        <v/>
      </c>
      <c r="G68" s="95" t="str">
        <f>IFERROR(IF(INDEX(gam_ops,MATCH(11,gam_rk,0))="",1,INDEX(gam_ops,MATCH(11,gam_rk,0))),"")</f>
        <v/>
      </c>
      <c r="H68" s="94" t="str">
        <f>IFERROR(INDEX(gam_setup,MATCH(11,gam_rk,0)),"")</f>
        <v/>
      </c>
      <c r="I68" s="94" t="str">
        <f>IFERROR(INDEX(gam_mo,MATCH(11,gam_rk,0)),"")</f>
        <v/>
      </c>
      <c r="J68" s="94" t="str">
        <f>IFERROR(INDEX(gam_mac,MATCH(11,gam_rk,0)),"")</f>
        <v/>
      </c>
    </row>
    <row r="69">
      <c r="B69" s="95" t="str">
        <f>IFERROR(IF(INDEX(gam_op,MATCH(12,gam_rk,0))="","",INDEX(gam_op,MATCH(12,gam_rk,0))),"")</f>
        <v/>
      </c>
      <c r="C69" s="91" t="str">
        <f>IFERROR(INDEX(gam_label,MATCH(12,gam_rk,0))&amp;"","")</f>
        <v/>
      </c>
      <c r="D69" s="93" t="str">
        <f>IFERROR(INDEX(gam_poste,MATCH(12,gam_rk,0))&amp;"","")</f>
        <v/>
      </c>
      <c r="E69" s="96" t="str">
        <f>IFERROR(N(INDEX(gam_setup_h,MATCH(12,gam_rk,0))),"")</f>
        <v/>
      </c>
      <c r="F69" s="96" t="str">
        <f>IFERROR(N(INDEX(gam_time,MATCH(12,gam_rk,0))),"")</f>
        <v/>
      </c>
      <c r="G69" s="95" t="str">
        <f>IFERROR(IF(INDEX(gam_ops,MATCH(12,gam_rk,0))="",1,INDEX(gam_ops,MATCH(12,gam_rk,0))),"")</f>
        <v/>
      </c>
      <c r="H69" s="94" t="str">
        <f>IFERROR(INDEX(gam_setup,MATCH(12,gam_rk,0)),"")</f>
        <v/>
      </c>
      <c r="I69" s="94" t="str">
        <f>IFERROR(INDEX(gam_mo,MATCH(12,gam_rk,0)),"")</f>
        <v/>
      </c>
      <c r="J69" s="94" t="str">
        <f>IFERROR(INDEX(gam_mac,MATCH(12,gam_rk,0)),"")</f>
        <v/>
      </c>
    </row>
    <row r="70">
      <c r="B70" s="95" t="str">
        <f>IFERROR(IF(INDEX(gam_op,MATCH(13,gam_rk,0))="","",INDEX(gam_op,MATCH(13,gam_rk,0))),"")</f>
        <v/>
      </c>
      <c r="C70" s="91" t="str">
        <f>IFERROR(INDEX(gam_label,MATCH(13,gam_rk,0))&amp;"","")</f>
        <v/>
      </c>
      <c r="D70" s="93" t="str">
        <f>IFERROR(INDEX(gam_poste,MATCH(13,gam_rk,0))&amp;"","")</f>
        <v/>
      </c>
      <c r="E70" s="96" t="str">
        <f>IFERROR(N(INDEX(gam_setup_h,MATCH(13,gam_rk,0))),"")</f>
        <v/>
      </c>
      <c r="F70" s="96" t="str">
        <f>IFERROR(N(INDEX(gam_time,MATCH(13,gam_rk,0))),"")</f>
        <v/>
      </c>
      <c r="G70" s="95" t="str">
        <f>IFERROR(IF(INDEX(gam_ops,MATCH(13,gam_rk,0))="",1,INDEX(gam_ops,MATCH(13,gam_rk,0))),"")</f>
        <v/>
      </c>
      <c r="H70" s="94" t="str">
        <f>IFERROR(INDEX(gam_setup,MATCH(13,gam_rk,0)),"")</f>
        <v/>
      </c>
      <c r="I70" s="94" t="str">
        <f>IFERROR(INDEX(gam_mo,MATCH(13,gam_rk,0)),"")</f>
        <v/>
      </c>
      <c r="J70" s="94" t="str">
        <f>IFERROR(INDEX(gam_mac,MATCH(13,gam_rk,0)),"")</f>
        <v/>
      </c>
    </row>
    <row r="71">
      <c r="B71" s="95" t="str">
        <f>IFERROR(IF(INDEX(gam_op,MATCH(14,gam_rk,0))="","",INDEX(gam_op,MATCH(14,gam_rk,0))),"")</f>
        <v/>
      </c>
      <c r="C71" s="91" t="str">
        <f>IFERROR(INDEX(gam_label,MATCH(14,gam_rk,0))&amp;"","")</f>
        <v/>
      </c>
      <c r="D71" s="93" t="str">
        <f>IFERROR(INDEX(gam_poste,MATCH(14,gam_rk,0))&amp;"","")</f>
        <v/>
      </c>
      <c r="E71" s="96" t="str">
        <f>IFERROR(N(INDEX(gam_setup_h,MATCH(14,gam_rk,0))),"")</f>
        <v/>
      </c>
      <c r="F71" s="96" t="str">
        <f>IFERROR(N(INDEX(gam_time,MATCH(14,gam_rk,0))),"")</f>
        <v/>
      </c>
      <c r="G71" s="95" t="str">
        <f>IFERROR(IF(INDEX(gam_ops,MATCH(14,gam_rk,0))="",1,INDEX(gam_ops,MATCH(14,gam_rk,0))),"")</f>
        <v/>
      </c>
      <c r="H71" s="94" t="str">
        <f>IFERROR(INDEX(gam_setup,MATCH(14,gam_rk,0)),"")</f>
        <v/>
      </c>
      <c r="I71" s="94" t="str">
        <f>IFERROR(INDEX(gam_mo,MATCH(14,gam_rk,0)),"")</f>
        <v/>
      </c>
      <c r="J71" s="94" t="str">
        <f>IFERROR(INDEX(gam_mac,MATCH(14,gam_rk,0)),"")</f>
        <v/>
      </c>
    </row>
    <row r="72">
      <c r="B72" s="95" t="str">
        <f>IFERROR(IF(INDEX(gam_op,MATCH(15,gam_rk,0))="","",INDEX(gam_op,MATCH(15,gam_rk,0))),"")</f>
        <v/>
      </c>
      <c r="C72" s="91" t="str">
        <f>IFERROR(INDEX(gam_label,MATCH(15,gam_rk,0))&amp;"","")</f>
        <v/>
      </c>
      <c r="D72" s="93" t="str">
        <f>IFERROR(INDEX(gam_poste,MATCH(15,gam_rk,0))&amp;"","")</f>
        <v/>
      </c>
      <c r="E72" s="96" t="str">
        <f>IFERROR(N(INDEX(gam_setup_h,MATCH(15,gam_rk,0))),"")</f>
        <v/>
      </c>
      <c r="F72" s="96" t="str">
        <f>IFERROR(N(INDEX(gam_time,MATCH(15,gam_rk,0))),"")</f>
        <v/>
      </c>
      <c r="G72" s="95" t="str">
        <f>IFERROR(IF(INDEX(gam_ops,MATCH(15,gam_rk,0))="",1,INDEX(gam_ops,MATCH(15,gam_rk,0))),"")</f>
        <v/>
      </c>
      <c r="H72" s="94" t="str">
        <f>IFERROR(INDEX(gam_setup,MATCH(15,gam_rk,0)),"")</f>
        <v/>
      </c>
      <c r="I72" s="94" t="str">
        <f>IFERROR(INDEX(gam_mo,MATCH(15,gam_rk,0)),"")</f>
        <v/>
      </c>
      <c r="J72" s="94" t="str">
        <f>IFERROR(INDEX(gam_mac,MATCH(15,gam_rk,0)),"")</f>
        <v/>
      </c>
    </row>
    <row r="73">
      <c r="B73" s="41" t="str">
        <f>IF(COUNT(gam_rk)&gt;15,"Et "&amp;(COUNT(gam_rk)-15)&amp;" autre(s) opération(s) dans « Gammes ».",IF(AND(fiche_m&gt;0,COUNT(gam_rk)=0),"Aucune opération pour ce produit.",""))</f>
        <v/>
      </c>
    </row>
  </sheetData>
  <mergeCells count="32">
    <mergeCell ref="B16:C16"/>
    <mergeCell ref="G12:H12"/>
    <mergeCell ref="I15:J15"/>
    <mergeCell ref="G11:H11"/>
    <mergeCell ref="I11:J11"/>
    <mergeCell ref="B18:C18"/>
    <mergeCell ref="G17:H17"/>
    <mergeCell ref="B12:C12"/>
    <mergeCell ref="B11:C11"/>
    <mergeCell ref="I16:J16"/>
    <mergeCell ref="G10:H10"/>
    <mergeCell ref="G19:H19"/>
    <mergeCell ref="B14:C14"/>
    <mergeCell ref="G13:H13"/>
    <mergeCell ref="B17:C17"/>
    <mergeCell ref="G18:H18"/>
    <mergeCell ref="I18:J18"/>
    <mergeCell ref="B13:C13"/>
    <mergeCell ref="I12:J12"/>
    <mergeCell ref="B19:C19"/>
    <mergeCell ref="G15:H15"/>
    <mergeCell ref="B10:C10"/>
    <mergeCell ref="G14:H14"/>
    <mergeCell ref="I14:J14"/>
    <mergeCell ref="B9:C9"/>
    <mergeCell ref="I17:J17"/>
    <mergeCell ref="B15:C15"/>
    <mergeCell ref="G16:H16"/>
    <mergeCell ref="I10:J10"/>
    <mergeCell ref="I19:J19"/>
    <mergeCell ref="D5:H5"/>
    <mergeCell ref="I13:J13"/>
  </mergeCells>
  <conditionalFormatting sqref="I5">
    <cfRule type="expression" priority="1" dxfId="0">
      <formula>$I5="OK"</formula>
    </cfRule>
    <cfRule type="expression" priority="2" dxfId="1">
      <formula>$I5="Sous la cible"</formula>
    </cfRule>
    <cfRule type="expression" priority="3" dxfId="2">
      <formula>$I5="Vendu à perte"</formula>
    </cfRule>
    <cfRule type="expression" priority="4" dxfId="3">
      <formula>$I5="Prix à saisir"</formula>
    </cfRule>
    <cfRule type="expression" priority="5" dxfId="4">
      <formula>$I5="À corriger"</formula>
    </cfRule>
  </conditionalFormatting>
  <conditionalFormatting sqref="F10:F15">
    <cfRule type="dataBar" priority="6">
      <dataBar showValue="1">
        <cfvo type="num" val="0"/>
        <cfvo type="num" val="1"/>
        <color rgb="00B45309"/>
      </dataBar>
    </cfRule>
  </conditionalFormatting>
  <conditionalFormatting sqref="F17:F18">
    <cfRule type="dataBar" priority="7">
      <dataBar showValue="1">
        <cfvo type="num" val="0"/>
        <cfvo type="num" val="1"/>
        <color rgb="00B45309"/>
      </dataBar>
    </cfRule>
  </conditionalFormatting>
  <conditionalFormatting sqref="J24:J53">
    <cfRule type="expression" priority="8" dxfId="2">
      <formula>AND($J24&lt;&gt;"",$J24&lt;&gt;"OK")</formula>
    </cfRule>
    <cfRule type="expression" priority="9" dxfId="0">
      <formula>$J24="OK"</formula>
    </cfRule>
  </conditionalFormatting>
  <conditionalFormatting sqref="D10:E19">
    <cfRule type="expression" priority="10" dxfId="5">
      <formula>p_currency="MAD"</formula>
    </cfRule>
    <cfRule type="expression" priority="17" dxfId="6">
      <formula>p_currency="EUR"</formula>
    </cfRule>
    <cfRule type="expression" priority="24" dxfId="7">
      <formula>p_currency="USD"</formula>
    </cfRule>
  </conditionalFormatting>
  <conditionalFormatting sqref="I12">
    <cfRule type="expression" priority="11" dxfId="5">
      <formula>p_currency="MAD"</formula>
    </cfRule>
    <cfRule type="expression" priority="18" dxfId="6">
      <formula>p_currency="EUR"</formula>
    </cfRule>
    <cfRule type="expression" priority="25" dxfId="7">
      <formula>p_currency="USD"</formula>
    </cfRule>
  </conditionalFormatting>
  <conditionalFormatting sqref="I14">
    <cfRule type="expression" priority="12" dxfId="5">
      <formula>p_currency="MAD"</formula>
    </cfRule>
    <cfRule type="expression" priority="19" dxfId="6">
      <formula>p_currency="EUR"</formula>
    </cfRule>
    <cfRule type="expression" priority="26" dxfId="7">
      <formula>p_currency="USD"</formula>
    </cfRule>
  </conditionalFormatting>
  <conditionalFormatting sqref="I15">
    <cfRule type="expression" priority="13" dxfId="5">
      <formula>p_currency="MAD"</formula>
    </cfRule>
    <cfRule type="expression" priority="20" dxfId="6">
      <formula>p_currency="EUR"</formula>
    </cfRule>
    <cfRule type="expression" priority="27" dxfId="7">
      <formula>p_currency="USD"</formula>
    </cfRule>
  </conditionalFormatting>
  <conditionalFormatting sqref="I19">
    <cfRule type="expression" priority="14" dxfId="5">
      <formula>p_currency="MAD"</formula>
    </cfRule>
    <cfRule type="expression" priority="21" dxfId="6">
      <formula>p_currency="EUR"</formula>
    </cfRule>
    <cfRule type="expression" priority="28" dxfId="7">
      <formula>p_currency="USD"</formula>
    </cfRule>
  </conditionalFormatting>
  <conditionalFormatting sqref="G24:H53">
    <cfRule type="expression" priority="15" dxfId="5">
      <formula>p_currency="MAD"</formula>
    </cfRule>
    <cfRule type="expression" priority="22" dxfId="6">
      <formula>p_currency="EUR"</formula>
    </cfRule>
    <cfRule type="expression" priority="29" dxfId="7">
      <formula>p_currency="USD"</formula>
    </cfRule>
  </conditionalFormatting>
  <conditionalFormatting sqref="H58:J72">
    <cfRule type="expression" priority="16" dxfId="5">
      <formula>p_currency="MAD"</formula>
    </cfRule>
    <cfRule type="expression" priority="23" dxfId="6">
      <formula>p_currency="EUR"</formula>
    </cfRule>
    <cfRule type="expression" priority="30" dxfId="7">
      <formula>p_currency="USD"</formula>
    </cfRule>
  </conditionalFormatting>
  <dataValidations count="1">
    <dataValidation sqref="C5" showDropDown="0" showInputMessage="1" showErrorMessage="1" allowBlank="1" errorTitle="Produit" error="Choisissez le produit à afficher (feuille « Produits »)." promptTitle="Produit" prompt="Choisissez le produit à afficher (feuille « Produits »)." type="list">
      <formula1>=prod_ref</formula1>
    </dataValidation>
  </dataValidations>
  <hyperlinks>
    <hyperlink ref="J1" location="'Mode d''emploi'!A1"/>
  </hyperlinks>
  <printOptions horizontalCentered="1"/>
  <pageMargins left="0.4" right="0.4" top="0.5" bottom="0.5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N32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4" customWidth="1" min="3" max="3"/>
    <col width="3" customWidth="1" min="4" max="4"/>
    <col width="12" customWidth="1" min="5" max="5"/>
    <col width="13" customWidth="1" min="6" max="6"/>
    <col width="13" customWidth="1" min="7" max="7"/>
    <col width="14" customWidth="1" min="8" max="8"/>
    <col width="13" customWidth="1" min="9" max="9"/>
    <col width="13" customWidth="1" min="10" max="10"/>
    <col width="11" customWidth="1" min="11" max="11"/>
    <col width="14" customWidth="1" min="12" max="12"/>
    <col width="2" customWidth="1" min="13" max="13"/>
    <col hidden="1" width="6" customWidth="1" min="14" max="14"/>
  </cols>
  <sheetData>
    <row r="1" ht="38" customHeight="1">
      <c r="A1" s="1" t="n"/>
      <c r="B1" s="2" t="inlineStr">
        <is>
          <t>Simulation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8" t="inlineStr">
        <is>
          <t>⌂ Mode d'emploi</t>
        </is>
      </c>
    </row>
    <row r="2" ht="22" customHeight="1">
      <c r="A2" s="3" t="n"/>
      <c r="B2" s="4" t="inlineStr">
        <is>
          <t>Que devient le coût de revient si le lot change, si l'acier augmente ou si le client demande une remise ?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 ht="18" customHeight="1">
      <c r="K3" s="16" t="inlineStr">
        <is>
          <t>Saisie</t>
        </is>
      </c>
      <c r="L3" s="17" t="inlineStr">
        <is>
          <t>Calcul auto</t>
        </is>
      </c>
    </row>
    <row r="5">
      <c r="B5" s="75" t="inlineStr">
        <is>
          <t>Produit à simuler</t>
        </is>
      </c>
      <c r="C5" s="76" t="n"/>
      <c r="E5" s="77" t="str">
        <f>IF(sim_m=0,"",INDEX(prod_des,sim_m)&amp;"")</f>
        <v/>
      </c>
      <c r="N5">
        <f>IF(ISNUMBER(MATCH(C5,prod_ref,0)),IF(INDEX(prod_check,MATCH(C5,prod_ref,0))="OK",MATCH(C5,prod_ref,0),0),0)</f>
        <v>0.0</v>
      </c>
    </row>
    <row r="6">
      <c r="B6" s="41" t="str">
        <f>IF(C5="","Choisissez un produit dans la case blanche.",IF(ISNA(MATCH(C5,prod_ref,0)),"Produit inconnu : vérifiez la référence dans « Produits ».",IF(sim_m=0,"Ce produit est à corriger dans « Produits » (colonne Contrôle) avant de le simuler.","Les cellules blanches des deux tableaux sont modifiables : changez-les pour tester vos hypothèses.")))</f>
        <v>Choisissez un produit dans la case blanche.</v>
      </c>
    </row>
    <row r="8" ht="22" customHeight="1">
      <c r="B8" s="5" t="inlineStr">
        <is>
          <t>Données actuelles du produit</t>
        </is>
      </c>
      <c r="C8" s="6" t="n"/>
      <c r="E8" s="5" t="inlineStr">
        <is>
          <t>Effet de la taille de lot</t>
        </is>
      </c>
      <c r="F8" s="6" t="n"/>
      <c r="G8" s="6" t="n"/>
      <c r="H8" s="6" t="n"/>
      <c r="I8" s="6" t="n"/>
      <c r="J8" s="6" t="n"/>
      <c r="K8" s="6" t="n"/>
      <c r="L8" s="6" t="n"/>
    </row>
    <row r="9" ht="32" customHeight="1">
      <c r="B9" s="42" t="inlineStr">
        <is>
          <t>Élément</t>
        </is>
      </c>
      <c r="C9" s="42" t="inlineStr">
        <is>
          <t>Valeur</t>
        </is>
      </c>
      <c r="E9" s="42" t="inlineStr">
        <is>
          <t>Taille de lot</t>
        </is>
      </c>
      <c r="F9" s="42" t="inlineStr">
        <is>
          <t>Réglage / pièce</t>
        </is>
      </c>
      <c r="G9" s="42" t="inlineStr">
        <is>
          <t>Transport / pièce</t>
        </is>
      </c>
      <c r="H9" s="42" t="inlineStr">
        <is>
          <t>Coût de revient</t>
        </is>
      </c>
      <c r="I9" s="42" t="inlineStr">
        <is>
          <t>Prix de vente</t>
        </is>
      </c>
      <c r="J9" s="42" t="inlineStr">
        <is>
          <t>Marge unitaire</t>
        </is>
      </c>
      <c r="K9" s="42" t="inlineStr">
        <is>
          <t>Taux de marge</t>
        </is>
      </c>
      <c r="L9" s="42" t="inlineStr">
        <is>
          <t>Statut</t>
        </is>
      </c>
    </row>
    <row r="10">
      <c r="B10" s="97" t="inlineStr">
        <is>
          <t>Matières / pièce</t>
        </is>
      </c>
      <c r="C10" s="57" t="str">
        <f>IF(sim_m=0,"",INDEX(prod_mat,sim_m))</f>
        <v/>
      </c>
      <c r="E10" s="62" t="n">
        <v>10</v>
      </c>
      <c r="F10" s="66" t="str">
        <f>IF(OR(sim_m=0,NOT(ISNUMBER(E10)),N(E10)&lt;=0),"",$C$14/E10)</f>
        <v/>
      </c>
      <c r="G10" s="66" t="str">
        <f>IF(OR(sim_m=0,NOT(ISNUMBER(E10)),N(E10)&lt;=0),"",$C$17/E10)</f>
        <v/>
      </c>
      <c r="H10" s="66" t="str">
        <f>IF(OR(sim_m=0,NOT(ISNUMBER(E10)),N(E10)&lt;=0),"",ROUND(($C$10+$C$11+$C$12+$C$13+F10)*(1+$C$15)+$C$16+G10,4))</f>
        <v/>
      </c>
      <c r="I10" s="66" t="str">
        <f>IF(OR(H10="",N($C$19)&lt;=0),"",$C$19)</f>
        <v/>
      </c>
      <c r="J10" s="66" t="str">
        <f>IF(I10="","",I10-H10)</f>
        <v/>
      </c>
      <c r="K10" s="68" t="str">
        <f>IF(OR(J10="",N(H10)&lt;=0),"",J10/H10)</f>
        <v/>
      </c>
      <c r="L10" s="69" t="str">
        <f>IF(H10="","",IF(N($C$19)&lt;=0,"Prix à saisir",IF($C$19&lt;H10,"Vendu à perte",IF($C$19&lt;ROUND(H10*(1+$C$20),2),"Sous la cible","OK"))))</f>
        <v/>
      </c>
    </row>
    <row r="11">
      <c r="B11" s="97" t="inlineStr">
        <is>
          <t>Main-d'œuvre / pièce</t>
        </is>
      </c>
      <c r="C11" s="57" t="str">
        <f>IF(sim_m=0,"",INDEX(prod_mo,sim_m))</f>
        <v/>
      </c>
      <c r="E11" s="62" t="n">
        <v>20</v>
      </c>
      <c r="F11" s="66" t="str">
        <f>IF(OR(sim_m=0,NOT(ISNUMBER(E11)),N(E11)&lt;=0),"",$C$14/E11)</f>
        <v/>
      </c>
      <c r="G11" s="66" t="str">
        <f>IF(OR(sim_m=0,NOT(ISNUMBER(E11)),N(E11)&lt;=0),"",$C$17/E11)</f>
        <v/>
      </c>
      <c r="H11" s="66" t="str">
        <f>IF(OR(sim_m=0,NOT(ISNUMBER(E11)),N(E11)&lt;=0),"",ROUND(($C$10+$C$11+$C$12+$C$13+F11)*(1+$C$15)+$C$16+G11,4))</f>
        <v/>
      </c>
      <c r="I11" s="66" t="str">
        <f>IF(OR(H11="",N($C$19)&lt;=0),"",$C$19)</f>
        <v/>
      </c>
      <c r="J11" s="66" t="str">
        <f>IF(I11="","",I11-H11)</f>
        <v/>
      </c>
      <c r="K11" s="68" t="str">
        <f>IF(OR(J11="",N(H11)&lt;=0),"",J11/H11)</f>
        <v/>
      </c>
      <c r="L11" s="69" t="str">
        <f>IF(H11="","",IF(N($C$19)&lt;=0,"Prix à saisir",IF($C$19&lt;H11,"Vendu à perte",IF($C$19&lt;ROUND(H11*(1+$C$20),2),"Sous la cible","OK"))))</f>
        <v/>
      </c>
    </row>
    <row r="12">
      <c r="B12" s="97" t="inlineStr">
        <is>
          <t>Machine / pièce</t>
        </is>
      </c>
      <c r="C12" s="57" t="str">
        <f>IF(sim_m=0,"",INDEX(prod_mac,sim_m))</f>
        <v/>
      </c>
      <c r="E12" s="62" t="n">
        <v>50</v>
      </c>
      <c r="F12" s="66" t="str">
        <f>IF(OR(sim_m=0,NOT(ISNUMBER(E12)),N(E12)&lt;=0),"",$C$14/E12)</f>
        <v/>
      </c>
      <c r="G12" s="66" t="str">
        <f>IF(OR(sim_m=0,NOT(ISNUMBER(E12)),N(E12)&lt;=0),"",$C$17/E12)</f>
        <v/>
      </c>
      <c r="H12" s="66" t="str">
        <f>IF(OR(sim_m=0,NOT(ISNUMBER(E12)),N(E12)&lt;=0),"",ROUND(($C$10+$C$11+$C$12+$C$13+F12)*(1+$C$15)+$C$16+G12,4))</f>
        <v/>
      </c>
      <c r="I12" s="66" t="str">
        <f>IF(OR(H12="",N($C$19)&lt;=0),"",$C$19)</f>
        <v/>
      </c>
      <c r="J12" s="66" t="str">
        <f>IF(I12="","",I12-H12)</f>
        <v/>
      </c>
      <c r="K12" s="68" t="str">
        <f>IF(OR(J12="",N(H12)&lt;=0),"",J12/H12)</f>
        <v/>
      </c>
      <c r="L12" s="69" t="str">
        <f>IF(H12="","",IF(N($C$19)&lt;=0,"Prix à saisir",IF($C$19&lt;H12,"Vendu à perte",IF($C$19&lt;ROUND(H12*(1+$C$20),2),"Sous la cible","OK"))))</f>
        <v/>
      </c>
    </row>
    <row r="13">
      <c r="B13" s="97" t="inlineStr">
        <is>
          <t>Sous-traitance / pièce</t>
        </is>
      </c>
      <c r="C13" s="57" t="str">
        <f>IF(sim_m=0,"",N(INDEX(prod_st,sim_m)))</f>
        <v/>
      </c>
      <c r="E13" s="62" t="n">
        <v>100</v>
      </c>
      <c r="F13" s="66" t="str">
        <f>IF(OR(sim_m=0,NOT(ISNUMBER(E13)),N(E13)&lt;=0),"",$C$14/E13)</f>
        <v/>
      </c>
      <c r="G13" s="66" t="str">
        <f>IF(OR(sim_m=0,NOT(ISNUMBER(E13)),N(E13)&lt;=0),"",$C$17/E13)</f>
        <v/>
      </c>
      <c r="H13" s="66" t="str">
        <f>IF(OR(sim_m=0,NOT(ISNUMBER(E13)),N(E13)&lt;=0),"",ROUND(($C$10+$C$11+$C$12+$C$13+F13)*(1+$C$15)+$C$16+G13,4))</f>
        <v/>
      </c>
      <c r="I13" s="66" t="str">
        <f>IF(OR(H13="",N($C$19)&lt;=0),"",$C$19)</f>
        <v/>
      </c>
      <c r="J13" s="66" t="str">
        <f>IF(I13="","",I13-H13)</f>
        <v/>
      </c>
      <c r="K13" s="68" t="str">
        <f>IF(OR(J13="",N(H13)&lt;=0),"",J13/H13)</f>
        <v/>
      </c>
      <c r="L13" s="69" t="str">
        <f>IF(H13="","",IF(N($C$19)&lt;=0,"Prix à saisir",IF($C$19&lt;H13,"Vendu à perte",IF($C$19&lt;ROUND(H13*(1+$C$20),2),"Sous la cible","OK"))))</f>
        <v/>
      </c>
    </row>
    <row r="14">
      <c r="B14" s="97" t="inlineStr">
        <is>
          <t>Réglage par lot</t>
        </is>
      </c>
      <c r="C14" s="57" t="str">
        <f>IF(sim_m=0,"",SUMIF(gam_prod,C5,gam_setup))</f>
        <v/>
      </c>
      <c r="E14" s="62" t="n">
        <v>200</v>
      </c>
      <c r="F14" s="66" t="str">
        <f>IF(OR(sim_m=0,NOT(ISNUMBER(E14)),N(E14)&lt;=0),"",$C$14/E14)</f>
        <v/>
      </c>
      <c r="G14" s="66" t="str">
        <f>IF(OR(sim_m=0,NOT(ISNUMBER(E14)),N(E14)&lt;=0),"",$C$17/E14)</f>
        <v/>
      </c>
      <c r="H14" s="66" t="str">
        <f>IF(OR(sim_m=0,NOT(ISNUMBER(E14)),N(E14)&lt;=0),"",ROUND(($C$10+$C$11+$C$12+$C$13+F14)*(1+$C$15)+$C$16+G14,4))</f>
        <v/>
      </c>
      <c r="I14" s="66" t="str">
        <f>IF(OR(H14="",N($C$19)&lt;=0),"",$C$19)</f>
        <v/>
      </c>
      <c r="J14" s="66" t="str">
        <f>IF(I14="","",I14-H14)</f>
        <v/>
      </c>
      <c r="K14" s="68" t="str">
        <f>IF(OR(J14="",N(H14)&lt;=0),"",J14/H14)</f>
        <v/>
      </c>
      <c r="L14" s="69" t="str">
        <f>IF(H14="","",IF(N($C$19)&lt;=0,"Prix à saisir",IF($C$19&lt;H14,"Vendu à perte",IF($C$19&lt;ROUND(H14*(1+$C$20),2),"Sous la cible","OK"))))</f>
        <v/>
      </c>
    </row>
    <row r="15">
      <c r="B15" s="97" t="inlineStr">
        <is>
          <t>Frais généraux</t>
        </is>
      </c>
      <c r="C15" s="59" t="str">
        <f>IF(sim_m=0,"",INDEX(prod_fgr,sim_m))</f>
        <v/>
      </c>
      <c r="E15" s="62" t="n">
        <v>300</v>
      </c>
      <c r="F15" s="66" t="str">
        <f>IF(OR(sim_m=0,NOT(ISNUMBER(E15)),N(E15)&lt;=0),"",$C$14/E15)</f>
        <v/>
      </c>
      <c r="G15" s="66" t="str">
        <f>IF(OR(sim_m=0,NOT(ISNUMBER(E15)),N(E15)&lt;=0),"",$C$17/E15)</f>
        <v/>
      </c>
      <c r="H15" s="66" t="str">
        <f>IF(OR(sim_m=0,NOT(ISNUMBER(E15)),N(E15)&lt;=0),"",ROUND(($C$10+$C$11+$C$12+$C$13+F15)*(1+$C$15)+$C$16+G15,4))</f>
        <v/>
      </c>
      <c r="I15" s="66" t="str">
        <f>IF(OR(H15="",N($C$19)&lt;=0),"",$C$19)</f>
        <v/>
      </c>
      <c r="J15" s="66" t="str">
        <f>IF(I15="","",I15-H15)</f>
        <v/>
      </c>
      <c r="K15" s="68" t="str">
        <f>IF(OR(J15="",N(H15)&lt;=0),"",J15/H15)</f>
        <v/>
      </c>
      <c r="L15" s="69" t="str">
        <f>IF(H15="","",IF(N($C$19)&lt;=0,"Prix à saisir",IF($C$19&lt;H15,"Vendu à perte",IF($C$19&lt;ROUND(H15*(1+$C$20),2),"Sous la cible","OK"))))</f>
        <v/>
      </c>
    </row>
    <row r="16">
      <c r="B16" s="97" t="inlineStr">
        <is>
          <t>Emballage / pièce</t>
        </is>
      </c>
      <c r="C16" s="57" t="str">
        <f>IF(sim_m=0,"",N(INDEX(prod_emb,sim_m)))</f>
        <v/>
      </c>
      <c r="E16" s="62" t="n">
        <v>500</v>
      </c>
      <c r="F16" s="66" t="str">
        <f>IF(OR(sim_m=0,NOT(ISNUMBER(E16)),N(E16)&lt;=0),"",$C$14/E16)</f>
        <v/>
      </c>
      <c r="G16" s="66" t="str">
        <f>IF(OR(sim_m=0,NOT(ISNUMBER(E16)),N(E16)&lt;=0),"",$C$17/E16)</f>
        <v/>
      </c>
      <c r="H16" s="66" t="str">
        <f>IF(OR(sim_m=0,NOT(ISNUMBER(E16)),N(E16)&lt;=0),"",ROUND(($C$10+$C$11+$C$12+$C$13+F16)*(1+$C$15)+$C$16+G16,4))</f>
        <v/>
      </c>
      <c r="I16" s="66" t="str">
        <f>IF(OR(H16="",N($C$19)&lt;=0),"",$C$19)</f>
        <v/>
      </c>
      <c r="J16" s="66" t="str">
        <f>IF(I16="","",I16-H16)</f>
        <v/>
      </c>
      <c r="K16" s="68" t="str">
        <f>IF(OR(J16="",N(H16)&lt;=0),"",J16/H16)</f>
        <v/>
      </c>
      <c r="L16" s="69" t="str">
        <f>IF(H16="","",IF(N($C$19)&lt;=0,"Prix à saisir",IF($C$19&lt;H16,"Vendu à perte",IF($C$19&lt;ROUND(H16*(1+$C$20),2),"Sous la cible","OK"))))</f>
        <v/>
      </c>
    </row>
    <row r="17">
      <c r="B17" s="97" t="inlineStr">
        <is>
          <t>Transport par lot</t>
        </is>
      </c>
      <c r="C17" s="57" t="str">
        <f>IF(sim_m=0,"",N(INDEX(prod_tr,sim_m)))</f>
        <v/>
      </c>
      <c r="E17" s="62" t="n">
        <v>1000</v>
      </c>
      <c r="F17" s="66" t="str">
        <f>IF(OR(sim_m=0,NOT(ISNUMBER(E17)),N(E17)&lt;=0),"",$C$14/E17)</f>
        <v/>
      </c>
      <c r="G17" s="66" t="str">
        <f>IF(OR(sim_m=0,NOT(ISNUMBER(E17)),N(E17)&lt;=0),"",$C$17/E17)</f>
        <v/>
      </c>
      <c r="H17" s="66" t="str">
        <f>IF(OR(sim_m=0,NOT(ISNUMBER(E17)),N(E17)&lt;=0),"",ROUND(($C$10+$C$11+$C$12+$C$13+F17)*(1+$C$15)+$C$16+G17,4))</f>
        <v/>
      </c>
      <c r="I17" s="66" t="str">
        <f>IF(OR(H17="",N($C$19)&lt;=0),"",$C$19)</f>
        <v/>
      </c>
      <c r="J17" s="66" t="str">
        <f>IF(I17="","",I17-H17)</f>
        <v/>
      </c>
      <c r="K17" s="68" t="str">
        <f>IF(OR(J17="",N(H17)&lt;=0),"",J17/H17)</f>
        <v/>
      </c>
      <c r="L17" s="69" t="str">
        <f>IF(H17="","",IF(N($C$19)&lt;=0,"Prix à saisir",IF($C$19&lt;H17,"Vendu à perte",IF($C$19&lt;ROUND(H17*(1+$C$20),2),"Sous la cible","OK"))))</f>
        <v/>
      </c>
    </row>
    <row r="18">
      <c r="B18" s="97" t="inlineStr">
        <is>
          <t>Taille de lot actuelle</t>
        </is>
      </c>
      <c r="C18" s="84" t="str">
        <f>IF(sim_m=0,"",INDEX(prod_lot,sim_m))</f>
        <v/>
      </c>
      <c r="E18" s="62" t="n">
        <v>2000</v>
      </c>
      <c r="F18" s="66" t="str">
        <f>IF(OR(sim_m=0,NOT(ISNUMBER(E18)),N(E18)&lt;=0),"",$C$14/E18)</f>
        <v/>
      </c>
      <c r="G18" s="66" t="str">
        <f>IF(OR(sim_m=0,NOT(ISNUMBER(E18)),N(E18)&lt;=0),"",$C$17/E18)</f>
        <v/>
      </c>
      <c r="H18" s="66" t="str">
        <f>IF(OR(sim_m=0,NOT(ISNUMBER(E18)),N(E18)&lt;=0),"",ROUND(($C$10+$C$11+$C$12+$C$13+F18)*(1+$C$15)+$C$16+G18,4))</f>
        <v/>
      </c>
      <c r="I18" s="66" t="str">
        <f>IF(OR(H18="",N($C$19)&lt;=0),"",$C$19)</f>
        <v/>
      </c>
      <c r="J18" s="66" t="str">
        <f>IF(I18="","",I18-H18)</f>
        <v/>
      </c>
      <c r="K18" s="68" t="str">
        <f>IF(OR(J18="",N(H18)&lt;=0),"",J18/H18)</f>
        <v/>
      </c>
      <c r="L18" s="69" t="str">
        <f>IF(H18="","",IF(N($C$19)&lt;=0,"Prix à saisir",IF($C$19&lt;H18,"Vendu à perte",IF($C$19&lt;ROUND(H18*(1+$C$20),2),"Sous la cible","OK"))))</f>
        <v/>
      </c>
    </row>
    <row r="19">
      <c r="B19" s="97" t="inlineStr">
        <is>
          <t>Prix de vente HT</t>
        </is>
      </c>
      <c r="C19" s="57" t="str">
        <f>IF(sim_m=0,"",N(INDEX(prod_pv,sim_m)))</f>
        <v/>
      </c>
      <c r="E19" s="62" t="n">
        <v>5000</v>
      </c>
      <c r="F19" s="66" t="str">
        <f>IF(OR(sim_m=0,NOT(ISNUMBER(E19)),N(E19)&lt;=0),"",$C$14/E19)</f>
        <v/>
      </c>
      <c r="G19" s="66" t="str">
        <f>IF(OR(sim_m=0,NOT(ISNUMBER(E19)),N(E19)&lt;=0),"",$C$17/E19)</f>
        <v/>
      </c>
      <c r="H19" s="66" t="str">
        <f>IF(OR(sim_m=0,NOT(ISNUMBER(E19)),N(E19)&lt;=0),"",ROUND(($C$10+$C$11+$C$12+$C$13+F19)*(1+$C$15)+$C$16+G19,4))</f>
        <v/>
      </c>
      <c r="I19" s="66" t="str">
        <f>IF(OR(H19="",N($C$19)&lt;=0),"",$C$19)</f>
        <v/>
      </c>
      <c r="J19" s="66" t="str">
        <f>IF(I19="","",I19-H19)</f>
        <v/>
      </c>
      <c r="K19" s="68" t="str">
        <f>IF(OR(J19="",N(H19)&lt;=0),"",J19/H19)</f>
        <v/>
      </c>
      <c r="L19" s="69" t="str">
        <f>IF(H19="","",IF(N($C$19)&lt;=0,"Prix à saisir",IF($C$19&lt;H19,"Vendu à perte",IF($C$19&lt;ROUND(H19*(1+$C$20),2),"Sous la cible","OK"))))</f>
        <v/>
      </c>
    </row>
    <row r="20">
      <c r="B20" s="97" t="inlineStr">
        <is>
          <t>Marge cible</t>
        </is>
      </c>
      <c r="C20" s="59" t="str">
        <f>IF(sim_m=0,"",INDEX(prod_tgr,sim_m))</f>
        <v/>
      </c>
      <c r="E20" s="54" t="inlineStr">
        <is>
          <t>La taille de lot surlignée est celle du produit aujourd'hui, si elle figure dans la liste.</t>
        </is>
      </c>
    </row>
    <row r="21">
      <c r="B21" s="98" t="inlineStr">
        <is>
          <t>Coût de revient actuel</t>
        </is>
      </c>
      <c r="C21" s="87" t="str">
        <f>IF(sim_m=0,"",INDEX(prod_cr,sim_m))</f>
        <v/>
      </c>
    </row>
    <row r="23" ht="22" customHeight="1">
      <c r="B23" s="5" t="inlineStr">
        <is>
          <t>Scénarios de prix</t>
        </is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32" customHeight="1">
      <c r="B24" s="42" t="inlineStr">
        <is>
          <t>Scénario</t>
        </is>
      </c>
      <c r="C24" s="42" t="inlineStr">
        <is>
          <t>Matières</t>
        </is>
      </c>
      <c r="D24" s="44" t="n"/>
      <c r="E24" s="42" t="inlineStr">
        <is>
          <t>Taux horaires</t>
        </is>
      </c>
      <c r="F24" s="42" t="inlineStr">
        <is>
          <t>Prix de vente</t>
        </is>
      </c>
      <c r="G24" s="42" t="inlineStr">
        <is>
          <t>Coût de revient</t>
        </is>
      </c>
      <c r="H24" s="42" t="inlineStr">
        <is>
          <t>Prix de vente</t>
        </is>
      </c>
      <c r="I24" s="42" t="inlineStr">
        <is>
          <t>Marge unitaire</t>
        </is>
      </c>
      <c r="J24" s="42" t="inlineStr">
        <is>
          <t>Taux de marge</t>
        </is>
      </c>
      <c r="K24" s="42" t="inlineStr">
        <is>
          <t>Statut</t>
        </is>
      </c>
      <c r="L24" s="42" t="inlineStr">
        <is>
          <t>Écart de coût</t>
        </is>
      </c>
    </row>
    <row r="25">
      <c r="B25" s="60" t="inlineStr">
        <is>
          <t>Situation actuelle</t>
        </is>
      </c>
      <c r="C25" s="99" t="n">
        <v>0</v>
      </c>
      <c r="D25" s="44" t="n"/>
      <c r="E25" s="99" t="n">
        <v>0</v>
      </c>
      <c r="F25" s="99" t="n">
        <v>0</v>
      </c>
      <c r="G25" s="66" t="str">
        <f>IF(sim_m=0,"",ROUND(($C$10*(1+N(C25))+($C$11+$C$12)*(1+N(E25))+$C$13+$C$14*(1+N(E25))/$C$18)*(1+$C$15)+$C$16+$C$17/$C$18,4))</f>
        <v/>
      </c>
      <c r="H25" s="66" t="str">
        <f>IF(OR(G25="",N($C$19)&lt;=0),"",ROUND($C$19*(1+N(F25)),2))</f>
        <v/>
      </c>
      <c r="I25" s="66" t="str">
        <f>IF(H25="","",H25-G25)</f>
        <v/>
      </c>
      <c r="J25" s="68" t="str">
        <f>IF(OR(I25="",N(G25)&lt;=0),"",I25/G25)</f>
        <v/>
      </c>
      <c r="K25" s="69" t="str">
        <f>IF(G25="","",IF(N(H25)&lt;=0,"Prix à saisir",IF(H25&lt;G25,"Vendu à perte",IF(H25&lt;ROUND(G25*(1+$C$20),2),"Sous la cible","OK"))))</f>
        <v/>
      </c>
      <c r="L25" s="66" t="str">
        <f>IF(G25="","",G25-$C$21)</f>
        <v/>
      </c>
    </row>
    <row r="26">
      <c r="B26" s="60" t="inlineStr">
        <is>
          <t>Matières +10 %</t>
        </is>
      </c>
      <c r="C26" s="99" t="n">
        <v>0.1</v>
      </c>
      <c r="D26" s="44" t="n"/>
      <c r="E26" s="99" t="n">
        <v>0</v>
      </c>
      <c r="F26" s="99" t="n">
        <v>0</v>
      </c>
      <c r="G26" s="66" t="str">
        <f>IF(sim_m=0,"",ROUND(($C$10*(1+N(C26))+($C$11+$C$12)*(1+N(E26))+$C$13+$C$14*(1+N(E26))/$C$18)*(1+$C$15)+$C$16+$C$17/$C$18,4))</f>
        <v/>
      </c>
      <c r="H26" s="66" t="str">
        <f>IF(OR(G26="",N($C$19)&lt;=0),"",ROUND($C$19*(1+N(F26)),2))</f>
        <v/>
      </c>
      <c r="I26" s="66" t="str">
        <f>IF(H26="","",H26-G26)</f>
        <v/>
      </c>
      <c r="J26" s="68" t="str">
        <f>IF(OR(I26="",N(G26)&lt;=0),"",I26/G26)</f>
        <v/>
      </c>
      <c r="K26" s="69" t="str">
        <f>IF(G26="","",IF(N(H26)&lt;=0,"Prix à saisir",IF(H26&lt;G26,"Vendu à perte",IF(H26&lt;ROUND(G26*(1+$C$20),2),"Sous la cible","OK"))))</f>
        <v/>
      </c>
      <c r="L26" s="66" t="str">
        <f>IF(G26="","",G26-$C$21)</f>
        <v/>
      </c>
    </row>
    <row r="27">
      <c r="B27" s="60" t="inlineStr">
        <is>
          <t>Matières +20 %</t>
        </is>
      </c>
      <c r="C27" s="99" t="n">
        <v>0.2</v>
      </c>
      <c r="D27" s="44" t="n"/>
      <c r="E27" s="99" t="n">
        <v>0</v>
      </c>
      <c r="F27" s="99" t="n">
        <v>0</v>
      </c>
      <c r="G27" s="66" t="str">
        <f>IF(sim_m=0,"",ROUND(($C$10*(1+N(C27))+($C$11+$C$12)*(1+N(E27))+$C$13+$C$14*(1+N(E27))/$C$18)*(1+$C$15)+$C$16+$C$17/$C$18,4))</f>
        <v/>
      </c>
      <c r="H27" s="66" t="str">
        <f>IF(OR(G27="",N($C$19)&lt;=0),"",ROUND($C$19*(1+N(F27)),2))</f>
        <v/>
      </c>
      <c r="I27" s="66" t="str">
        <f>IF(H27="","",H27-G27)</f>
        <v/>
      </c>
      <c r="J27" s="68" t="str">
        <f>IF(OR(I27="",N(G27)&lt;=0),"",I27/G27)</f>
        <v/>
      </c>
      <c r="K27" s="69" t="str">
        <f>IF(G27="","",IF(N(H27)&lt;=0,"Prix à saisir",IF(H27&lt;G27,"Vendu à perte",IF(H27&lt;ROUND(G27*(1+$C$20),2),"Sous la cible","OK"))))</f>
        <v/>
      </c>
      <c r="L27" s="66" t="str">
        <f>IF(G27="","",G27-$C$21)</f>
        <v/>
      </c>
    </row>
    <row r="28">
      <c r="B28" s="60" t="inlineStr">
        <is>
          <t>Salaires et taux +8 %</t>
        </is>
      </c>
      <c r="C28" s="99" t="n">
        <v>0</v>
      </c>
      <c r="D28" s="44" t="n"/>
      <c r="E28" s="99" t="n">
        <v>0.08</v>
      </c>
      <c r="F28" s="99" t="n">
        <v>0</v>
      </c>
      <c r="G28" s="66" t="str">
        <f>IF(sim_m=0,"",ROUND(($C$10*(1+N(C28))+($C$11+$C$12)*(1+N(E28))+$C$13+$C$14*(1+N(E28))/$C$18)*(1+$C$15)+$C$16+$C$17/$C$18,4))</f>
        <v/>
      </c>
      <c r="H28" s="66" t="str">
        <f>IF(OR(G28="",N($C$19)&lt;=0),"",ROUND($C$19*(1+N(F28)),2))</f>
        <v/>
      </c>
      <c r="I28" s="66" t="str">
        <f>IF(H28="","",H28-G28)</f>
        <v/>
      </c>
      <c r="J28" s="68" t="str">
        <f>IF(OR(I28="",N(G28)&lt;=0),"",I28/G28)</f>
        <v/>
      </c>
      <c r="K28" s="69" t="str">
        <f>IF(G28="","",IF(N(H28)&lt;=0,"Prix à saisir",IF(H28&lt;G28,"Vendu à perte",IF(H28&lt;ROUND(G28*(1+$C$20),2),"Sous la cible","OK"))))</f>
        <v/>
      </c>
      <c r="L28" s="66" t="str">
        <f>IF(G28="","",G28-$C$21)</f>
        <v/>
      </c>
    </row>
    <row r="29">
      <c r="B29" s="60" t="inlineStr">
        <is>
          <t>Remise client -5 %</t>
        </is>
      </c>
      <c r="C29" s="99" t="n">
        <v>0</v>
      </c>
      <c r="D29" s="44" t="n"/>
      <c r="E29" s="99" t="n">
        <v>0</v>
      </c>
      <c r="F29" s="99" t="n">
        <v>-0.05</v>
      </c>
      <c r="G29" s="66" t="str">
        <f>IF(sim_m=0,"",ROUND(($C$10*(1+N(C29))+($C$11+$C$12)*(1+N(E29))+$C$13+$C$14*(1+N(E29))/$C$18)*(1+$C$15)+$C$16+$C$17/$C$18,4))</f>
        <v/>
      </c>
      <c r="H29" s="66" t="str">
        <f>IF(OR(G29="",N($C$19)&lt;=0),"",ROUND($C$19*(1+N(F29)),2))</f>
        <v/>
      </c>
      <c r="I29" s="66" t="str">
        <f>IF(H29="","",H29-G29)</f>
        <v/>
      </c>
      <c r="J29" s="68" t="str">
        <f>IF(OR(I29="",N(G29)&lt;=0),"",I29/G29)</f>
        <v/>
      </c>
      <c r="K29" s="69" t="str">
        <f>IF(G29="","",IF(N(H29)&lt;=0,"Prix à saisir",IF(H29&lt;G29,"Vendu à perte",IF(H29&lt;ROUND(G29*(1+$C$20),2),"Sous la cible","OK"))))</f>
        <v/>
      </c>
      <c r="L29" s="66" t="str">
        <f>IF(G29="","",G29-$C$21)</f>
        <v/>
      </c>
    </row>
    <row r="30">
      <c r="B30" s="60" t="inlineStr">
        <is>
          <t>Matières +10 %, taux +5 %</t>
        </is>
      </c>
      <c r="C30" s="99" t="n">
        <v>0.1</v>
      </c>
      <c r="D30" s="44" t="n"/>
      <c r="E30" s="99" t="n">
        <v>0.05</v>
      </c>
      <c r="F30" s="99" t="n">
        <v>0</v>
      </c>
      <c r="G30" s="66" t="str">
        <f>IF(sim_m=0,"",ROUND(($C$10*(1+N(C30))+($C$11+$C$12)*(1+N(E30))+$C$13+$C$14*(1+N(E30))/$C$18)*(1+$C$15)+$C$16+$C$17/$C$18,4))</f>
        <v/>
      </c>
      <c r="H30" s="66" t="str">
        <f>IF(OR(G30="",N($C$19)&lt;=0),"",ROUND($C$19*(1+N(F30)),2))</f>
        <v/>
      </c>
      <c r="I30" s="66" t="str">
        <f>IF(H30="","",H30-G30)</f>
        <v/>
      </c>
      <c r="J30" s="68" t="str">
        <f>IF(OR(I30="",N(G30)&lt;=0),"",I30/G30)</f>
        <v/>
      </c>
      <c r="K30" s="69" t="str">
        <f>IF(G30="","",IF(N(H30)&lt;=0,"Prix à saisir",IF(H30&lt;G30,"Vendu à perte",IF(H30&lt;ROUND(G30*(1+$C$20),2),"Sous la cible","OK"))))</f>
        <v/>
      </c>
      <c r="L30" s="66" t="str">
        <f>IF(G30="","",G30-$C$21)</f>
        <v/>
      </c>
    </row>
    <row r="31">
      <c r="B31" s="60" t="inlineStr">
        <is>
          <t>Nouveau fournisseur -5 %</t>
        </is>
      </c>
      <c r="C31" s="99" t="n">
        <v>-0.05</v>
      </c>
      <c r="D31" s="44" t="n"/>
      <c r="E31" s="99" t="n">
        <v>0</v>
      </c>
      <c r="F31" s="99" t="n">
        <v>0</v>
      </c>
      <c r="G31" s="66" t="str">
        <f>IF(sim_m=0,"",ROUND(($C$10*(1+N(C31))+($C$11+$C$12)*(1+N(E31))+$C$13+$C$14*(1+N(E31))/$C$18)*(1+$C$15)+$C$16+$C$17/$C$18,4))</f>
        <v/>
      </c>
      <c r="H31" s="66" t="str">
        <f>IF(OR(G31="",N($C$19)&lt;=0),"",ROUND($C$19*(1+N(F31)),2))</f>
        <v/>
      </c>
      <c r="I31" s="66" t="str">
        <f>IF(H31="","",H31-G31)</f>
        <v/>
      </c>
      <c r="J31" s="68" t="str">
        <f>IF(OR(I31="",N(G31)&lt;=0),"",I31/G31)</f>
        <v/>
      </c>
      <c r="K31" s="69" t="str">
        <f>IF(G31="","",IF(N(H31)&lt;=0,"Prix à saisir",IF(H31&lt;G31,"Vendu à perte",IF(H31&lt;ROUND(G31*(1+$C$20),2),"Sous la cible","OK"))))</f>
        <v/>
      </c>
      <c r="L31" s="66" t="str">
        <f>IF(G31="","",G31-$C$21)</f>
        <v/>
      </c>
    </row>
    <row r="32">
      <c r="B32" s="60" t="inlineStr">
        <is>
          <t>Hausse de prix +5 %</t>
        </is>
      </c>
      <c r="C32" s="99" t="n">
        <v>0</v>
      </c>
      <c r="D32" s="44" t="n"/>
      <c r="E32" s="99" t="n">
        <v>0</v>
      </c>
      <c r="F32" s="99" t="n">
        <v>0.05</v>
      </c>
      <c r="G32" s="66" t="str">
        <f>IF(sim_m=0,"",ROUND(($C$10*(1+N(C32))+($C$11+$C$12)*(1+N(E32))+$C$13+$C$14*(1+N(E32))/$C$18)*(1+$C$15)+$C$16+$C$17/$C$18,4))</f>
        <v/>
      </c>
      <c r="H32" s="66" t="str">
        <f>IF(OR(G32="",N($C$19)&lt;=0),"",ROUND($C$19*(1+N(F32)),2))</f>
        <v/>
      </c>
      <c r="I32" s="66" t="str">
        <f>IF(H32="","",H32-G32)</f>
        <v/>
      </c>
      <c r="J32" s="68" t="str">
        <f>IF(OR(I32="",N(G32)&lt;=0),"",I32/G32)</f>
        <v/>
      </c>
      <c r="K32" s="69" t="str">
        <f>IF(G32="","",IF(N(H32)&lt;=0,"Prix à saisir",IF(H32&lt;G32,"Vendu à perte",IF(H32&lt;ROUND(G32*(1+$C$20),2),"Sous la cible","OK"))))</f>
        <v/>
      </c>
      <c r="L32" s="66" t="str">
        <f>IF(G32="","",G32-$C$21)</f>
        <v/>
      </c>
    </row>
  </sheetData>
  <mergeCells count="11">
    <mergeCell ref="E20:L20"/>
    <mergeCell ref="C24:D24"/>
    <mergeCell ref="C29:D29"/>
    <mergeCell ref="C30:D30"/>
    <mergeCell ref="C32:D32"/>
    <mergeCell ref="C25:D25"/>
    <mergeCell ref="C27:D27"/>
    <mergeCell ref="C28:D28"/>
    <mergeCell ref="E5:I5"/>
    <mergeCell ref="C31:D31"/>
    <mergeCell ref="C26:D26"/>
  </mergeCells>
  <conditionalFormatting sqref="L10:L19">
    <cfRule type="expression" priority="1" dxfId="0">
      <formula>$L10="OK"</formula>
    </cfRule>
    <cfRule type="expression" priority="2" dxfId="1">
      <formula>$L10="Sous la cible"</formula>
    </cfRule>
    <cfRule type="expression" priority="3" dxfId="2">
      <formula>$L10="Vendu à perte"</formula>
    </cfRule>
    <cfRule type="expression" priority="4" dxfId="3">
      <formula>$L10="Prix à saisir"</formula>
    </cfRule>
    <cfRule type="expression" priority="5" dxfId="4">
      <formula>$L10="À corriger"</formula>
    </cfRule>
  </conditionalFormatting>
  <conditionalFormatting sqref="E10:E19">
    <cfRule type="expression" priority="6" dxfId="11">
      <formula>AND(sim_m&gt;0,$E10=$C$18)</formula>
    </cfRule>
  </conditionalFormatting>
  <conditionalFormatting sqref="K25:K32">
    <cfRule type="expression" priority="7" dxfId="0">
      <formula>$K25="OK"</formula>
    </cfRule>
    <cfRule type="expression" priority="8" dxfId="1">
      <formula>$K25="Sous la cible"</formula>
    </cfRule>
    <cfRule type="expression" priority="9" dxfId="2">
      <formula>$K25="Vendu à perte"</formula>
    </cfRule>
    <cfRule type="expression" priority="10" dxfId="3">
      <formula>$K25="Prix à saisir"</formula>
    </cfRule>
    <cfRule type="expression" priority="11" dxfId="4">
      <formula>$K25="À corriger"</formula>
    </cfRule>
  </conditionalFormatting>
  <conditionalFormatting sqref="C10">
    <cfRule type="expression" priority="12" dxfId="5">
      <formula>p_currency="MAD"</formula>
    </cfRule>
    <cfRule type="expression" priority="30" dxfId="6">
      <formula>p_currency="EUR"</formula>
    </cfRule>
    <cfRule type="expression" priority="48" dxfId="7">
      <formula>p_currency="USD"</formula>
    </cfRule>
  </conditionalFormatting>
  <conditionalFormatting sqref="C11">
    <cfRule type="expression" priority="13" dxfId="5">
      <formula>p_currency="MAD"</formula>
    </cfRule>
    <cfRule type="expression" priority="31" dxfId="6">
      <formula>p_currency="EUR"</formula>
    </cfRule>
    <cfRule type="expression" priority="49" dxfId="7">
      <formula>p_currency="USD"</formula>
    </cfRule>
  </conditionalFormatting>
  <conditionalFormatting sqref="C12">
    <cfRule type="expression" priority="14" dxfId="5">
      <formula>p_currency="MAD"</formula>
    </cfRule>
    <cfRule type="expression" priority="32" dxfId="6">
      <formula>p_currency="EUR"</formula>
    </cfRule>
    <cfRule type="expression" priority="50" dxfId="7">
      <formula>p_currency="USD"</formula>
    </cfRule>
  </conditionalFormatting>
  <conditionalFormatting sqref="C13">
    <cfRule type="expression" priority="15" dxfId="5">
      <formula>p_currency="MAD"</formula>
    </cfRule>
    <cfRule type="expression" priority="33" dxfId="6">
      <formula>p_currency="EUR"</formula>
    </cfRule>
    <cfRule type="expression" priority="51" dxfId="7">
      <formula>p_currency="USD"</formula>
    </cfRule>
  </conditionalFormatting>
  <conditionalFormatting sqref="C14">
    <cfRule type="expression" priority="16" dxfId="5">
      <formula>p_currency="MAD"</formula>
    </cfRule>
    <cfRule type="expression" priority="34" dxfId="6">
      <formula>p_currency="EUR"</formula>
    </cfRule>
    <cfRule type="expression" priority="52" dxfId="7">
      <formula>p_currency="USD"</formula>
    </cfRule>
  </conditionalFormatting>
  <conditionalFormatting sqref="C16">
    <cfRule type="expression" priority="17" dxfId="5">
      <formula>p_currency="MAD"</formula>
    </cfRule>
    <cfRule type="expression" priority="35" dxfId="6">
      <formula>p_currency="EUR"</formula>
    </cfRule>
    <cfRule type="expression" priority="53" dxfId="7">
      <formula>p_currency="USD"</formula>
    </cfRule>
  </conditionalFormatting>
  <conditionalFormatting sqref="C17">
    <cfRule type="expression" priority="18" dxfId="5">
      <formula>p_currency="MAD"</formula>
    </cfRule>
    <cfRule type="expression" priority="36" dxfId="6">
      <formula>p_currency="EUR"</formula>
    </cfRule>
    <cfRule type="expression" priority="54" dxfId="7">
      <formula>p_currency="USD"</formula>
    </cfRule>
  </conditionalFormatting>
  <conditionalFormatting sqref="C19">
    <cfRule type="expression" priority="19" dxfId="5">
      <formula>p_currency="MAD"</formula>
    </cfRule>
    <cfRule type="expression" priority="37" dxfId="6">
      <formula>p_currency="EUR"</formula>
    </cfRule>
    <cfRule type="expression" priority="55" dxfId="7">
      <formula>p_currency="USD"</formula>
    </cfRule>
  </conditionalFormatting>
  <conditionalFormatting sqref="C21">
    <cfRule type="expression" priority="20" dxfId="5">
      <formula>p_currency="MAD"</formula>
    </cfRule>
    <cfRule type="expression" priority="38" dxfId="6">
      <formula>p_currency="EUR"</formula>
    </cfRule>
    <cfRule type="expression" priority="56" dxfId="7">
      <formula>p_currency="USD"</formula>
    </cfRule>
  </conditionalFormatting>
  <conditionalFormatting sqref="F10:F19">
    <cfRule type="expression" priority="21" dxfId="5">
      <formula>p_currency="MAD"</formula>
    </cfRule>
    <cfRule type="expression" priority="39" dxfId="6">
      <formula>p_currency="EUR"</formula>
    </cfRule>
    <cfRule type="expression" priority="57" dxfId="7">
      <formula>p_currency="USD"</formula>
    </cfRule>
  </conditionalFormatting>
  <conditionalFormatting sqref="G10:G19">
    <cfRule type="expression" priority="22" dxfId="5">
      <formula>p_currency="MAD"</formula>
    </cfRule>
    <cfRule type="expression" priority="40" dxfId="6">
      <formula>p_currency="EUR"</formula>
    </cfRule>
    <cfRule type="expression" priority="58" dxfId="7">
      <formula>p_currency="USD"</formula>
    </cfRule>
  </conditionalFormatting>
  <conditionalFormatting sqref="H10:H19">
    <cfRule type="expression" priority="23" dxfId="5">
      <formula>p_currency="MAD"</formula>
    </cfRule>
    <cfRule type="expression" priority="41" dxfId="6">
      <formula>p_currency="EUR"</formula>
    </cfRule>
    <cfRule type="expression" priority="59" dxfId="7">
      <formula>p_currency="USD"</formula>
    </cfRule>
  </conditionalFormatting>
  <conditionalFormatting sqref="I10:I19">
    <cfRule type="expression" priority="24" dxfId="5">
      <formula>p_currency="MAD"</formula>
    </cfRule>
    <cfRule type="expression" priority="42" dxfId="6">
      <formula>p_currency="EUR"</formula>
    </cfRule>
    <cfRule type="expression" priority="60" dxfId="7">
      <formula>p_currency="USD"</formula>
    </cfRule>
  </conditionalFormatting>
  <conditionalFormatting sqref="J10:J19">
    <cfRule type="expression" priority="25" dxfId="5">
      <formula>p_currency="MAD"</formula>
    </cfRule>
    <cfRule type="expression" priority="43" dxfId="6">
      <formula>p_currency="EUR"</formula>
    </cfRule>
    <cfRule type="expression" priority="61" dxfId="7">
      <formula>p_currency="USD"</formula>
    </cfRule>
  </conditionalFormatting>
  <conditionalFormatting sqref="G25:G32">
    <cfRule type="expression" priority="26" dxfId="5">
      <formula>p_currency="MAD"</formula>
    </cfRule>
    <cfRule type="expression" priority="44" dxfId="6">
      <formula>p_currency="EUR"</formula>
    </cfRule>
    <cfRule type="expression" priority="62" dxfId="7">
      <formula>p_currency="USD"</formula>
    </cfRule>
  </conditionalFormatting>
  <conditionalFormatting sqref="H25:H32">
    <cfRule type="expression" priority="27" dxfId="5">
      <formula>p_currency="MAD"</formula>
    </cfRule>
    <cfRule type="expression" priority="45" dxfId="6">
      <formula>p_currency="EUR"</formula>
    </cfRule>
    <cfRule type="expression" priority="63" dxfId="7">
      <formula>p_currency="USD"</formula>
    </cfRule>
  </conditionalFormatting>
  <conditionalFormatting sqref="I25:I32">
    <cfRule type="expression" priority="28" dxfId="5">
      <formula>p_currency="MAD"</formula>
    </cfRule>
    <cfRule type="expression" priority="46" dxfId="6">
      <formula>p_currency="EUR"</formula>
    </cfRule>
    <cfRule type="expression" priority="64" dxfId="7">
      <formula>p_currency="USD"</formula>
    </cfRule>
  </conditionalFormatting>
  <conditionalFormatting sqref="L25:L32">
    <cfRule type="expression" priority="29" dxfId="5">
      <formula>p_currency="MAD"</formula>
    </cfRule>
    <cfRule type="expression" priority="47" dxfId="6">
      <formula>p_currency="EUR"</formula>
    </cfRule>
    <cfRule type="expression" priority="65" dxfId="7">
      <formula>p_currency="USD"</formula>
    </cfRule>
  </conditionalFormatting>
  <dataValidations count="4">
    <dataValidation sqref="C5" showDropDown="0" showInputMessage="1" showErrorMessage="1" allowBlank="1" errorTitle="Produit" error="Choisissez le produit à simuler (feuille « Produits »)." promptTitle="Produit" prompt="Choisissez le produit à simuler (feuille « Produits »)." type="list">
      <formula1>=prod_ref</formula1>
    </dataValidation>
    <dataValidation sqref="E10:E19" showDropDown="0" showInputMessage="1" showErrorMessage="1" allowBlank="1" errorTitle="Taille de lot" error="Nombre de pièces par lot à tester." promptTitle="Taille de lot" prompt="Nombre de pièces par lot à tester." type="decimal" operator="greaterThan">
      <formula1>0</formula1>
    </dataValidation>
    <dataValidation sqref="C25:C32" showDropDown="0" showInputMessage="1" showErrorMessage="1" allowBlank="1" errorTitle="Variation matières" error="Variation du prix de toutes les matières : +10 % = 0,1, -5 % = -0,05." promptTitle="Variation matières" prompt="Variation du prix de toutes les matières : +10 % = 0,1, -5 % = -0,05." type="decimal" operator="between">
      <formula1>-0.99</formula1>
      <formula2>10</formula2>
    </dataValidation>
    <dataValidation sqref="E25:F32" showDropDown="0" showInputMessage="1" showErrorMessage="1" allowBlank="1" errorTitle="Variation" error="Variation en % : +8 % = 0,08, -5 % = -0,05. Taux horaires = main-d'œuvre, machine et réglage." promptTitle="Variation" prompt="Variation en % : +8 % = 0,08, -5 % = -0,05. Taux horaires = main-d'œuvre, machine et réglage." type="decimal" operator="between">
      <formula1>-0.99</formula1>
      <formula2>10</formula2>
    </dataValidation>
  </dataValidations>
  <hyperlinks>
    <hyperlink ref="L1" location="'Mode d''emploi'!A1"/>
  </hyperlinks>
  <printOptions horizontalCentered="1"/>
  <pageMargins left="0.4" right="0.4" top="0.5" bottom="0.5" header="0.5" footer="0.5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I505"/>
  <sheetViews>
    <sheetView showGridLines="0" tabSelected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30" customWidth="1" min="2" max="2"/>
    <col width="9" customWidth="1" min="3" max="3"/>
    <col width="13" customWidth="1" min="4" max="4"/>
    <col width="10" customWidth="1" min="5" max="5"/>
    <col width="24" customWidth="1" min="6" max="6"/>
    <col width="13" customWidth="1" min="7" max="7"/>
    <col width="13" customWidth="1" min="8" max="8"/>
    <col width="26" customWidth="1" min="9" max="9"/>
  </cols>
  <sheetData>
    <row r="1" ht="38" customHeight="1">
      <c r="A1" s="2" t="inlineStr">
        <is>
          <t>Matières</t>
        </is>
      </c>
      <c r="B1" s="1" t="n"/>
      <c r="C1" s="1" t="n"/>
      <c r="D1" s="1" t="n"/>
      <c r="E1" s="1" t="n"/>
      <c r="F1" s="1" t="n"/>
      <c r="G1" s="1" t="n"/>
      <c r="H1" s="1" t="n"/>
      <c r="I1" s="18" t="inlineStr">
        <is>
          <t>⌂ Mode d'emploi</t>
        </is>
      </c>
    </row>
    <row r="2" ht="22" customHeight="1">
      <c r="A2" s="4" t="inlineStr">
        <is>
          <t>Une ligne par matière ou composant acheté. Le prix est un prix d'achat hors taxes par unité.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 ht="18" customHeight="1">
      <c r="G3" s="16" t="inlineStr">
        <is>
          <t>Saisie</t>
        </is>
      </c>
      <c r="H3" s="17" t="inlineStr">
        <is>
          <t>Calcul auto</t>
        </is>
      </c>
    </row>
    <row r="5" ht="34" customHeight="1">
      <c r="A5" s="42" t="inlineStr">
        <is>
          <t>Référence</t>
        </is>
      </c>
      <c r="B5" s="42" t="inlineStr">
        <is>
          <t>Désignation</t>
        </is>
      </c>
      <c r="C5" s="42" t="inlineStr">
        <is>
          <t>Unité</t>
        </is>
      </c>
      <c r="D5" s="42" t="inlineStr">
        <is>
          <t>Prix unitaire HT</t>
        </is>
      </c>
      <c r="E5" s="42" t="inlineStr">
        <is>
          <t>Taux de perte</t>
        </is>
      </c>
      <c r="F5" s="42" t="inlineStr">
        <is>
          <t>Fournisseur</t>
        </is>
      </c>
      <c r="G5" s="42" t="inlineStr">
        <is>
          <t>Date du prix</t>
        </is>
      </c>
      <c r="H5" s="42" t="inlineStr">
        <is>
          <t>État du prix</t>
        </is>
      </c>
      <c r="I5" s="42" t="inlineStr">
        <is>
          <t>Contrôle</t>
        </is>
      </c>
    </row>
    <row r="6">
      <c r="A6" s="60" t="n"/>
      <c r="B6" s="60" t="n"/>
      <c r="C6" s="61" t="n"/>
      <c r="D6" s="64" t="n"/>
      <c r="E6" s="65" t="n"/>
      <c r="F6" s="60" t="n"/>
      <c r="G6" s="100" t="n"/>
      <c r="H6" s="69" t="str">
        <f>IF(A6="","",IF(NOT(ISNUMBER(G6)),"Date à saisir",IF(EDATE(G6,N(p_age))&lt;TODAY(),"Ancien","À jour")))</f>
        <v/>
      </c>
      <c r="I6" s="69" t="str">
        <f>IF(AND(A6="",COUNTA(B6:G6)=0),"",IF(A6="","Référence manquante",IF(COUNTIF($A$6:$A$505,A6)&gt;1,"Référence en double",IF(C6="","Unité manquante",IF(D6="","Prix manquant",IF(AND(D6&lt;&gt;"",OR(NOT(ISNUMBER(D6)),N(D6)&lt;0)),"Prix invalide",IF(AND(E6&lt;&gt;"",OR(NOT(ISNUMBER(E6)),N(E6)&lt;0,N(E6)&gt;=1)),"Perte entre 0 et 99 %","OK")))))))</f>
        <v/>
      </c>
    </row>
    <row r="7">
      <c r="A7" s="60" t="n"/>
      <c r="B7" s="60" t="n"/>
      <c r="C7" s="61" t="n"/>
      <c r="D7" s="64" t="n"/>
      <c r="E7" s="65" t="n"/>
      <c r="F7" s="60" t="n"/>
      <c r="G7" s="100" t="n"/>
      <c r="H7" s="69" t="str">
        <f>IF(A7="","",IF(NOT(ISNUMBER(G7)),"Date à saisir",IF(EDATE(G7,N(p_age))&lt;TODAY(),"Ancien","À jour")))</f>
        <v/>
      </c>
      <c r="I7" s="69" t="str">
        <f>IF(AND(A7="",COUNTA(B7:G7)=0),"",IF(A7="","Référence manquante",IF(COUNTIF($A$6:$A$505,A7)&gt;1,"Référence en double",IF(C7="","Unité manquante",IF(D7="","Prix manquant",IF(AND(D7&lt;&gt;"",OR(NOT(ISNUMBER(D7)),N(D7)&lt;0)),"Prix invalide",IF(AND(E7&lt;&gt;"",OR(NOT(ISNUMBER(E7)),N(E7)&lt;0,N(E7)&gt;=1)),"Perte entre 0 et 99 %","OK")))))))</f>
        <v/>
      </c>
    </row>
    <row r="8">
      <c r="A8" s="60" t="n"/>
      <c r="B8" s="60" t="n"/>
      <c r="C8" s="61" t="n"/>
      <c r="D8" s="64" t="n"/>
      <c r="E8" s="65" t="n"/>
      <c r="F8" s="60" t="n"/>
      <c r="G8" s="100" t="n"/>
      <c r="H8" s="69" t="str">
        <f>IF(A8="","",IF(NOT(ISNUMBER(G8)),"Date à saisir",IF(EDATE(G8,N(p_age))&lt;TODAY(),"Ancien","À jour")))</f>
        <v/>
      </c>
      <c r="I8" s="69" t="str">
        <f>IF(AND(A8="",COUNTA(B8:G8)=0),"",IF(A8="","Référence manquante",IF(COUNTIF($A$6:$A$505,A8)&gt;1,"Référence en double",IF(C8="","Unité manquante",IF(D8="","Prix manquant",IF(AND(D8&lt;&gt;"",OR(NOT(ISNUMBER(D8)),N(D8)&lt;0)),"Prix invalide",IF(AND(E8&lt;&gt;"",OR(NOT(ISNUMBER(E8)),N(E8)&lt;0,N(E8)&gt;=1)),"Perte entre 0 et 99 %","OK")))))))</f>
        <v/>
      </c>
    </row>
    <row r="9">
      <c r="A9" s="60" t="n"/>
      <c r="B9" s="60" t="n"/>
      <c r="C9" s="61" t="n"/>
      <c r="D9" s="64" t="n"/>
      <c r="E9" s="65" t="n"/>
      <c r="F9" s="60" t="n"/>
      <c r="G9" s="100" t="n"/>
      <c r="H9" s="69" t="str">
        <f>IF(A9="","",IF(NOT(ISNUMBER(G9)),"Date à saisir",IF(EDATE(G9,N(p_age))&lt;TODAY(),"Ancien","À jour")))</f>
        <v/>
      </c>
      <c r="I9" s="69" t="str">
        <f>IF(AND(A9="",COUNTA(B9:G9)=0),"",IF(A9="","Référence manquante",IF(COUNTIF($A$6:$A$505,A9)&gt;1,"Référence en double",IF(C9="","Unité manquante",IF(D9="","Prix manquant",IF(AND(D9&lt;&gt;"",OR(NOT(ISNUMBER(D9)),N(D9)&lt;0)),"Prix invalide",IF(AND(E9&lt;&gt;"",OR(NOT(ISNUMBER(E9)),N(E9)&lt;0,N(E9)&gt;=1)),"Perte entre 0 et 99 %","OK")))))))</f>
        <v/>
      </c>
    </row>
    <row r="10">
      <c r="A10" s="60" t="n"/>
      <c r="B10" s="60" t="n"/>
      <c r="C10" s="61" t="n"/>
      <c r="D10" s="64" t="n"/>
      <c r="E10" s="65" t="n"/>
      <c r="F10" s="60" t="n"/>
      <c r="G10" s="100" t="n"/>
      <c r="H10" s="69" t="str">
        <f>IF(A10="","",IF(NOT(ISNUMBER(G10)),"Date à saisir",IF(EDATE(G10,N(p_age))&lt;TODAY(),"Ancien","À jour")))</f>
        <v/>
      </c>
      <c r="I10" s="69" t="str">
        <f>IF(AND(A10="",COUNTA(B10:G10)=0),"",IF(A10="","Référence manquante",IF(COUNTIF($A$6:$A$505,A10)&gt;1,"Référence en double",IF(C10="","Unité manquante",IF(D10="","Prix manquant",IF(AND(D10&lt;&gt;"",OR(NOT(ISNUMBER(D10)),N(D10)&lt;0)),"Prix invalide",IF(AND(E10&lt;&gt;"",OR(NOT(ISNUMBER(E10)),N(E10)&lt;0,N(E10)&gt;=1)),"Perte entre 0 et 99 %","OK")))))))</f>
        <v/>
      </c>
    </row>
    <row r="11">
      <c r="A11" s="60" t="n"/>
      <c r="B11" s="60" t="n"/>
      <c r="C11" s="61" t="n"/>
      <c r="D11" s="64" t="n"/>
      <c r="E11" s="65" t="n"/>
      <c r="F11" s="60" t="n"/>
      <c r="G11" s="100" t="n"/>
      <c r="H11" s="69" t="str">
        <f>IF(A11="","",IF(NOT(ISNUMBER(G11)),"Date à saisir",IF(EDATE(G11,N(p_age))&lt;TODAY(),"Ancien","À jour")))</f>
        <v/>
      </c>
      <c r="I11" s="69" t="str">
        <f>IF(AND(A11="",COUNTA(B11:G11)=0),"",IF(A11="","Référence manquante",IF(COUNTIF($A$6:$A$505,A11)&gt;1,"Référence en double",IF(C11="","Unité manquante",IF(D11="","Prix manquant",IF(AND(D11&lt;&gt;"",OR(NOT(ISNUMBER(D11)),N(D11)&lt;0)),"Prix invalide",IF(AND(E11&lt;&gt;"",OR(NOT(ISNUMBER(E11)),N(E11)&lt;0,N(E11)&gt;=1)),"Perte entre 0 et 99 %","OK")))))))</f>
        <v/>
      </c>
    </row>
    <row r="12">
      <c r="A12" s="60" t="n"/>
      <c r="B12" s="60" t="n"/>
      <c r="C12" s="61" t="n"/>
      <c r="D12" s="64" t="n"/>
      <c r="E12" s="65" t="n"/>
      <c r="F12" s="60" t="n"/>
      <c r="G12" s="100" t="n"/>
      <c r="H12" s="69" t="str">
        <f>IF(A12="","",IF(NOT(ISNUMBER(G12)),"Date à saisir",IF(EDATE(G12,N(p_age))&lt;TODAY(),"Ancien","À jour")))</f>
        <v/>
      </c>
      <c r="I12" s="69" t="str">
        <f>IF(AND(A12="",COUNTA(B12:G12)=0),"",IF(A12="","Référence manquante",IF(COUNTIF($A$6:$A$505,A12)&gt;1,"Référence en double",IF(C12="","Unité manquante",IF(D12="","Prix manquant",IF(AND(D12&lt;&gt;"",OR(NOT(ISNUMBER(D12)),N(D12)&lt;0)),"Prix invalide",IF(AND(E12&lt;&gt;"",OR(NOT(ISNUMBER(E12)),N(E12)&lt;0,N(E12)&gt;=1)),"Perte entre 0 et 99 %","OK")))))))</f>
        <v/>
      </c>
    </row>
    <row r="13">
      <c r="A13" s="60" t="n"/>
      <c r="B13" s="60" t="n"/>
      <c r="C13" s="61" t="n"/>
      <c r="D13" s="64" t="n"/>
      <c r="E13" s="65" t="n"/>
      <c r="F13" s="60" t="n"/>
      <c r="G13" s="100" t="n"/>
      <c r="H13" s="69" t="str">
        <f>IF(A13="","",IF(NOT(ISNUMBER(G13)),"Date à saisir",IF(EDATE(G13,N(p_age))&lt;TODAY(),"Ancien","À jour")))</f>
        <v/>
      </c>
      <c r="I13" s="69" t="str">
        <f>IF(AND(A13="",COUNTA(B13:G13)=0),"",IF(A13="","Référence manquante",IF(COUNTIF($A$6:$A$505,A13)&gt;1,"Référence en double",IF(C13="","Unité manquante",IF(D13="","Prix manquant",IF(AND(D13&lt;&gt;"",OR(NOT(ISNUMBER(D13)),N(D13)&lt;0)),"Prix invalide",IF(AND(E13&lt;&gt;"",OR(NOT(ISNUMBER(E13)),N(E13)&lt;0,N(E13)&gt;=1)),"Perte entre 0 et 99 %","OK")))))))</f>
        <v/>
      </c>
    </row>
    <row r="14">
      <c r="A14" s="60" t="n"/>
      <c r="B14" s="60" t="n"/>
      <c r="C14" s="61" t="n"/>
      <c r="D14" s="64" t="n"/>
      <c r="E14" s="65" t="n"/>
      <c r="F14" s="60" t="n"/>
      <c r="G14" s="100" t="n"/>
      <c r="H14" s="69" t="str">
        <f>IF(A14="","",IF(NOT(ISNUMBER(G14)),"Date à saisir",IF(EDATE(G14,N(p_age))&lt;TODAY(),"Ancien","À jour")))</f>
        <v/>
      </c>
      <c r="I14" s="69" t="str">
        <f>IF(AND(A14="",COUNTA(B14:G14)=0),"",IF(A14="","Référence manquante",IF(COUNTIF($A$6:$A$505,A14)&gt;1,"Référence en double",IF(C14="","Unité manquante",IF(D14="","Prix manquant",IF(AND(D14&lt;&gt;"",OR(NOT(ISNUMBER(D14)),N(D14)&lt;0)),"Prix invalide",IF(AND(E14&lt;&gt;"",OR(NOT(ISNUMBER(E14)),N(E14)&lt;0,N(E14)&gt;=1)),"Perte entre 0 et 99 %","OK")))))))</f>
        <v/>
      </c>
    </row>
    <row r="15">
      <c r="A15" s="60" t="n"/>
      <c r="B15" s="60" t="n"/>
      <c r="C15" s="61" t="n"/>
      <c r="D15" s="64" t="n"/>
      <c r="E15" s="65" t="n"/>
      <c r="F15" s="60" t="n"/>
      <c r="G15" s="100" t="n"/>
      <c r="H15" s="69" t="str">
        <f>IF(A15="","",IF(NOT(ISNUMBER(G15)),"Date à saisir",IF(EDATE(G15,N(p_age))&lt;TODAY(),"Ancien","À jour")))</f>
        <v/>
      </c>
      <c r="I15" s="69" t="str">
        <f>IF(AND(A15="",COUNTA(B15:G15)=0),"",IF(A15="","Référence manquante",IF(COUNTIF($A$6:$A$505,A15)&gt;1,"Référence en double",IF(C15="","Unité manquante",IF(D15="","Prix manquant",IF(AND(D15&lt;&gt;"",OR(NOT(ISNUMBER(D15)),N(D15)&lt;0)),"Prix invalide",IF(AND(E15&lt;&gt;"",OR(NOT(ISNUMBER(E15)),N(E15)&lt;0,N(E15)&gt;=1)),"Perte entre 0 et 99 %","OK")))))))</f>
        <v/>
      </c>
    </row>
    <row r="16">
      <c r="A16" s="60" t="n"/>
      <c r="B16" s="60" t="n"/>
      <c r="C16" s="61" t="n"/>
      <c r="D16" s="64" t="n"/>
      <c r="E16" s="65" t="n"/>
      <c r="F16" s="60" t="n"/>
      <c r="G16" s="100" t="n"/>
      <c r="H16" s="69" t="str">
        <f>IF(A16="","",IF(NOT(ISNUMBER(G16)),"Date à saisir",IF(EDATE(G16,N(p_age))&lt;TODAY(),"Ancien","À jour")))</f>
        <v/>
      </c>
      <c r="I16" s="69" t="str">
        <f>IF(AND(A16="",COUNTA(B16:G16)=0),"",IF(A16="","Référence manquante",IF(COUNTIF($A$6:$A$505,A16)&gt;1,"Référence en double",IF(C16="","Unité manquante",IF(D16="","Prix manquant",IF(AND(D16&lt;&gt;"",OR(NOT(ISNUMBER(D16)),N(D16)&lt;0)),"Prix invalide",IF(AND(E16&lt;&gt;"",OR(NOT(ISNUMBER(E16)),N(E16)&lt;0,N(E16)&gt;=1)),"Perte entre 0 et 99 %","OK")))))))</f>
        <v/>
      </c>
    </row>
    <row r="17">
      <c r="A17" s="60" t="n"/>
      <c r="B17" s="60" t="n"/>
      <c r="C17" s="61" t="n"/>
      <c r="D17" s="64" t="n"/>
      <c r="E17" s="65" t="n"/>
      <c r="F17" s="60" t="n"/>
      <c r="G17" s="100" t="n"/>
      <c r="H17" s="69" t="str">
        <f>IF(A17="","",IF(NOT(ISNUMBER(G17)),"Date à saisir",IF(EDATE(G17,N(p_age))&lt;TODAY(),"Ancien","À jour")))</f>
        <v/>
      </c>
      <c r="I17" s="69" t="str">
        <f>IF(AND(A17="",COUNTA(B17:G17)=0),"",IF(A17="","Référence manquante",IF(COUNTIF($A$6:$A$505,A17)&gt;1,"Référence en double",IF(C17="","Unité manquante",IF(D17="","Prix manquant",IF(AND(D17&lt;&gt;"",OR(NOT(ISNUMBER(D17)),N(D17)&lt;0)),"Prix invalide",IF(AND(E17&lt;&gt;"",OR(NOT(ISNUMBER(E17)),N(E17)&lt;0,N(E17)&gt;=1)),"Perte entre 0 et 99 %","OK")))))))</f>
        <v/>
      </c>
    </row>
    <row r="18">
      <c r="A18" s="60" t="n"/>
      <c r="B18" s="60" t="n"/>
      <c r="C18" s="61" t="n"/>
      <c r="D18" s="64" t="n"/>
      <c r="E18" s="65" t="n"/>
      <c r="F18" s="60" t="n"/>
      <c r="G18" s="100" t="n"/>
      <c r="H18" s="69" t="str">
        <f>IF(A18="","",IF(NOT(ISNUMBER(G18)),"Date à saisir",IF(EDATE(G18,N(p_age))&lt;TODAY(),"Ancien","À jour")))</f>
        <v/>
      </c>
      <c r="I18" s="69" t="str">
        <f>IF(AND(A18="",COUNTA(B18:G18)=0),"",IF(A18="","Référence manquante",IF(COUNTIF($A$6:$A$505,A18)&gt;1,"Référence en double",IF(C18="","Unité manquante",IF(D18="","Prix manquant",IF(AND(D18&lt;&gt;"",OR(NOT(ISNUMBER(D18)),N(D18)&lt;0)),"Prix invalide",IF(AND(E18&lt;&gt;"",OR(NOT(ISNUMBER(E18)),N(E18)&lt;0,N(E18)&gt;=1)),"Perte entre 0 et 99 %","OK")))))))</f>
        <v/>
      </c>
    </row>
    <row r="19">
      <c r="A19" s="60" t="n"/>
      <c r="B19" s="60" t="n"/>
      <c r="C19" s="61" t="n"/>
      <c r="D19" s="64" t="n"/>
      <c r="E19" s="65" t="n"/>
      <c r="F19" s="60" t="n"/>
      <c r="G19" s="100" t="n"/>
      <c r="H19" s="69" t="str">
        <f>IF(A19="","",IF(NOT(ISNUMBER(G19)),"Date à saisir",IF(EDATE(G19,N(p_age))&lt;TODAY(),"Ancien","À jour")))</f>
        <v/>
      </c>
      <c r="I19" s="69" t="str">
        <f>IF(AND(A19="",COUNTA(B19:G19)=0),"",IF(A19="","Référence manquante",IF(COUNTIF($A$6:$A$505,A19)&gt;1,"Référence en double",IF(C19="","Unité manquante",IF(D19="","Prix manquant",IF(AND(D19&lt;&gt;"",OR(NOT(ISNUMBER(D19)),N(D19)&lt;0)),"Prix invalide",IF(AND(E19&lt;&gt;"",OR(NOT(ISNUMBER(E19)),N(E19)&lt;0,N(E19)&gt;=1)),"Perte entre 0 et 99 %","OK")))))))</f>
        <v/>
      </c>
    </row>
    <row r="20">
      <c r="A20" s="60" t="n"/>
      <c r="B20" s="60" t="n"/>
      <c r="C20" s="61" t="n"/>
      <c r="D20" s="64" t="n"/>
      <c r="E20" s="65" t="n"/>
      <c r="F20" s="60" t="n"/>
      <c r="G20" s="100" t="n"/>
      <c r="H20" s="69" t="str">
        <f>IF(A20="","",IF(NOT(ISNUMBER(G20)),"Date à saisir",IF(EDATE(G20,N(p_age))&lt;TODAY(),"Ancien","À jour")))</f>
        <v/>
      </c>
      <c r="I20" s="69" t="str">
        <f>IF(AND(A20="",COUNTA(B20:G20)=0),"",IF(A20="","Référence manquante",IF(COUNTIF($A$6:$A$505,A20)&gt;1,"Référence en double",IF(C20="","Unité manquante",IF(D20="","Prix manquant",IF(AND(D20&lt;&gt;"",OR(NOT(ISNUMBER(D20)),N(D20)&lt;0)),"Prix invalide",IF(AND(E20&lt;&gt;"",OR(NOT(ISNUMBER(E20)),N(E20)&lt;0,N(E20)&gt;=1)),"Perte entre 0 et 99 %","OK")))))))</f>
        <v/>
      </c>
    </row>
    <row r="21">
      <c r="A21" s="60" t="n"/>
      <c r="B21" s="60" t="n"/>
      <c r="C21" s="61" t="n"/>
      <c r="D21" s="64" t="n"/>
      <c r="E21" s="65" t="n"/>
      <c r="F21" s="60" t="n"/>
      <c r="G21" s="100" t="n"/>
      <c r="H21" s="69" t="str">
        <f>IF(A21="","",IF(NOT(ISNUMBER(G21)),"Date à saisir",IF(EDATE(G21,N(p_age))&lt;TODAY(),"Ancien","À jour")))</f>
        <v/>
      </c>
      <c r="I21" s="69" t="str">
        <f>IF(AND(A21="",COUNTA(B21:G21)=0),"",IF(A21="","Référence manquante",IF(COUNTIF($A$6:$A$505,A21)&gt;1,"Référence en double",IF(C21="","Unité manquante",IF(D21="","Prix manquant",IF(AND(D21&lt;&gt;"",OR(NOT(ISNUMBER(D21)),N(D21)&lt;0)),"Prix invalide",IF(AND(E21&lt;&gt;"",OR(NOT(ISNUMBER(E21)),N(E21)&lt;0,N(E21)&gt;=1)),"Perte entre 0 et 99 %","OK")))))))</f>
        <v/>
      </c>
    </row>
    <row r="22">
      <c r="A22" s="60" t="n"/>
      <c r="B22" s="60" t="n"/>
      <c r="C22" s="61" t="n"/>
      <c r="D22" s="64" t="n"/>
      <c r="E22" s="65" t="n"/>
      <c r="F22" s="60" t="n"/>
      <c r="G22" s="100" t="n"/>
      <c r="H22" s="69" t="str">
        <f>IF(A22="","",IF(NOT(ISNUMBER(G22)),"Date à saisir",IF(EDATE(G22,N(p_age))&lt;TODAY(),"Ancien","À jour")))</f>
        <v/>
      </c>
      <c r="I22" s="69" t="str">
        <f>IF(AND(A22="",COUNTA(B22:G22)=0),"",IF(A22="","Référence manquante",IF(COUNTIF($A$6:$A$505,A22)&gt;1,"Référence en double",IF(C22="","Unité manquante",IF(D22="","Prix manquant",IF(AND(D22&lt;&gt;"",OR(NOT(ISNUMBER(D22)),N(D22)&lt;0)),"Prix invalide",IF(AND(E22&lt;&gt;"",OR(NOT(ISNUMBER(E22)),N(E22)&lt;0,N(E22)&gt;=1)),"Perte entre 0 et 99 %","OK")))))))</f>
        <v/>
      </c>
    </row>
    <row r="23">
      <c r="A23" s="60" t="n"/>
      <c r="B23" s="60" t="n"/>
      <c r="C23" s="61" t="n"/>
      <c r="D23" s="64" t="n"/>
      <c r="E23" s="65" t="n"/>
      <c r="F23" s="60" t="n"/>
      <c r="G23" s="100" t="n"/>
      <c r="H23" s="69" t="str">
        <f>IF(A23="","",IF(NOT(ISNUMBER(G23)),"Date à saisir",IF(EDATE(G23,N(p_age))&lt;TODAY(),"Ancien","À jour")))</f>
        <v/>
      </c>
      <c r="I23" s="69" t="str">
        <f>IF(AND(A23="",COUNTA(B23:G23)=0),"",IF(A23="","Référence manquante",IF(COUNTIF($A$6:$A$505,A23)&gt;1,"Référence en double",IF(C23="","Unité manquante",IF(D23="","Prix manquant",IF(AND(D23&lt;&gt;"",OR(NOT(ISNUMBER(D23)),N(D23)&lt;0)),"Prix invalide",IF(AND(E23&lt;&gt;"",OR(NOT(ISNUMBER(E23)),N(E23)&lt;0,N(E23)&gt;=1)),"Perte entre 0 et 99 %","OK")))))))</f>
        <v/>
      </c>
    </row>
    <row r="24">
      <c r="A24" s="60" t="n"/>
      <c r="B24" s="60" t="n"/>
      <c r="C24" s="61" t="n"/>
      <c r="D24" s="64" t="n"/>
      <c r="E24" s="65" t="n"/>
      <c r="F24" s="60" t="n"/>
      <c r="G24" s="100" t="n"/>
      <c r="H24" s="69" t="str">
        <f>IF(A24="","",IF(NOT(ISNUMBER(G24)),"Date à saisir",IF(EDATE(G24,N(p_age))&lt;TODAY(),"Ancien","À jour")))</f>
        <v/>
      </c>
      <c r="I24" s="69" t="str">
        <f>IF(AND(A24="",COUNTA(B24:G24)=0),"",IF(A24="","Référence manquante",IF(COUNTIF($A$6:$A$505,A24)&gt;1,"Référence en double",IF(C24="","Unité manquante",IF(D24="","Prix manquant",IF(AND(D24&lt;&gt;"",OR(NOT(ISNUMBER(D24)),N(D24)&lt;0)),"Prix invalide",IF(AND(E24&lt;&gt;"",OR(NOT(ISNUMBER(E24)),N(E24)&lt;0,N(E24)&gt;=1)),"Perte entre 0 et 99 %","OK")))))))</f>
        <v/>
      </c>
    </row>
    <row r="25">
      <c r="A25" s="60" t="n"/>
      <c r="B25" s="60" t="n"/>
      <c r="C25" s="61" t="n"/>
      <c r="D25" s="64" t="n"/>
      <c r="E25" s="65" t="n"/>
      <c r="F25" s="60" t="n"/>
      <c r="G25" s="100" t="n"/>
      <c r="H25" s="69" t="str">
        <f>IF(A25="","",IF(NOT(ISNUMBER(G25)),"Date à saisir",IF(EDATE(G25,N(p_age))&lt;TODAY(),"Ancien","À jour")))</f>
        <v/>
      </c>
      <c r="I25" s="69" t="str">
        <f>IF(AND(A25="",COUNTA(B25:G25)=0),"",IF(A25="","Référence manquante",IF(COUNTIF($A$6:$A$505,A25)&gt;1,"Référence en double",IF(C25="","Unité manquante",IF(D25="","Prix manquant",IF(AND(D25&lt;&gt;"",OR(NOT(ISNUMBER(D25)),N(D25)&lt;0)),"Prix invalide",IF(AND(E25&lt;&gt;"",OR(NOT(ISNUMBER(E25)),N(E25)&lt;0,N(E25)&gt;=1)),"Perte entre 0 et 99 %","OK")))))))</f>
        <v/>
      </c>
    </row>
    <row r="26">
      <c r="A26" s="60" t="n"/>
      <c r="B26" s="60" t="n"/>
      <c r="C26" s="61" t="n"/>
      <c r="D26" s="64" t="n"/>
      <c r="E26" s="65" t="n"/>
      <c r="F26" s="60" t="n"/>
      <c r="G26" s="100" t="n"/>
      <c r="H26" s="69" t="str">
        <f>IF(A26="","",IF(NOT(ISNUMBER(G26)),"Date à saisir",IF(EDATE(G26,N(p_age))&lt;TODAY(),"Ancien","À jour")))</f>
        <v/>
      </c>
      <c r="I26" s="69" t="str">
        <f>IF(AND(A26="",COUNTA(B26:G26)=0),"",IF(A26="","Référence manquante",IF(COUNTIF($A$6:$A$505,A26)&gt;1,"Référence en double",IF(C26="","Unité manquante",IF(D26="","Prix manquant",IF(AND(D26&lt;&gt;"",OR(NOT(ISNUMBER(D26)),N(D26)&lt;0)),"Prix invalide",IF(AND(E26&lt;&gt;"",OR(NOT(ISNUMBER(E26)),N(E26)&lt;0,N(E26)&gt;=1)),"Perte entre 0 et 99 %","OK")))))))</f>
        <v/>
      </c>
    </row>
    <row r="27">
      <c r="A27" s="60" t="n"/>
      <c r="B27" s="60" t="n"/>
      <c r="C27" s="61" t="n"/>
      <c r="D27" s="64" t="n"/>
      <c r="E27" s="65" t="n"/>
      <c r="F27" s="60" t="n"/>
      <c r="G27" s="100" t="n"/>
      <c r="H27" s="69" t="str">
        <f>IF(A27="","",IF(NOT(ISNUMBER(G27)),"Date à saisir",IF(EDATE(G27,N(p_age))&lt;TODAY(),"Ancien","À jour")))</f>
        <v/>
      </c>
      <c r="I27" s="69" t="str">
        <f>IF(AND(A27="",COUNTA(B27:G27)=0),"",IF(A27="","Référence manquante",IF(COUNTIF($A$6:$A$505,A27)&gt;1,"Référence en double",IF(C27="","Unité manquante",IF(D27="","Prix manquant",IF(AND(D27&lt;&gt;"",OR(NOT(ISNUMBER(D27)),N(D27)&lt;0)),"Prix invalide",IF(AND(E27&lt;&gt;"",OR(NOT(ISNUMBER(E27)),N(E27)&lt;0,N(E27)&gt;=1)),"Perte entre 0 et 99 %","OK")))))))</f>
        <v/>
      </c>
    </row>
    <row r="28">
      <c r="A28" s="60" t="n"/>
      <c r="B28" s="60" t="n"/>
      <c r="C28" s="61" t="n"/>
      <c r="D28" s="64" t="n"/>
      <c r="E28" s="65" t="n"/>
      <c r="F28" s="60" t="n"/>
      <c r="G28" s="100" t="n"/>
      <c r="H28" s="69" t="str">
        <f>IF(A28="","",IF(NOT(ISNUMBER(G28)),"Date à saisir",IF(EDATE(G28,N(p_age))&lt;TODAY(),"Ancien","À jour")))</f>
        <v/>
      </c>
      <c r="I28" s="69" t="str">
        <f>IF(AND(A28="",COUNTA(B28:G28)=0),"",IF(A28="","Référence manquante",IF(COUNTIF($A$6:$A$505,A28)&gt;1,"Référence en double",IF(C28="","Unité manquante",IF(D28="","Prix manquant",IF(AND(D28&lt;&gt;"",OR(NOT(ISNUMBER(D28)),N(D28)&lt;0)),"Prix invalide",IF(AND(E28&lt;&gt;"",OR(NOT(ISNUMBER(E28)),N(E28)&lt;0,N(E28)&gt;=1)),"Perte entre 0 et 99 %","OK")))))))</f>
        <v/>
      </c>
    </row>
    <row r="29">
      <c r="A29" s="60" t="n"/>
      <c r="B29" s="60" t="n"/>
      <c r="C29" s="61" t="n"/>
      <c r="D29" s="64" t="n"/>
      <c r="E29" s="65" t="n"/>
      <c r="F29" s="60" t="n"/>
      <c r="G29" s="100" t="n"/>
      <c r="H29" s="69" t="str">
        <f>IF(A29="","",IF(NOT(ISNUMBER(G29)),"Date à saisir",IF(EDATE(G29,N(p_age))&lt;TODAY(),"Ancien","À jour")))</f>
        <v/>
      </c>
      <c r="I29" s="69" t="str">
        <f>IF(AND(A29="",COUNTA(B29:G29)=0),"",IF(A29="","Référence manquante",IF(COUNTIF($A$6:$A$505,A29)&gt;1,"Référence en double",IF(C29="","Unité manquante",IF(D29="","Prix manquant",IF(AND(D29&lt;&gt;"",OR(NOT(ISNUMBER(D29)),N(D29)&lt;0)),"Prix invalide",IF(AND(E29&lt;&gt;"",OR(NOT(ISNUMBER(E29)),N(E29)&lt;0,N(E29)&gt;=1)),"Perte entre 0 et 99 %","OK")))))))</f>
        <v/>
      </c>
    </row>
    <row r="30">
      <c r="A30" s="60" t="n"/>
      <c r="B30" s="60" t="n"/>
      <c r="C30" s="61" t="n"/>
      <c r="D30" s="64" t="n"/>
      <c r="E30" s="65" t="n"/>
      <c r="F30" s="60" t="n"/>
      <c r="G30" s="100" t="n"/>
      <c r="H30" s="69" t="str">
        <f>IF(A30="","",IF(NOT(ISNUMBER(G30)),"Date à saisir",IF(EDATE(G30,N(p_age))&lt;TODAY(),"Ancien","À jour")))</f>
        <v/>
      </c>
      <c r="I30" s="69" t="str">
        <f>IF(AND(A30="",COUNTA(B30:G30)=0),"",IF(A30="","Référence manquante",IF(COUNTIF($A$6:$A$505,A30)&gt;1,"Référence en double",IF(C30="","Unité manquante",IF(D30="","Prix manquant",IF(AND(D30&lt;&gt;"",OR(NOT(ISNUMBER(D30)),N(D30)&lt;0)),"Prix invalide",IF(AND(E30&lt;&gt;"",OR(NOT(ISNUMBER(E30)),N(E30)&lt;0,N(E30)&gt;=1)),"Perte entre 0 et 99 %","OK")))))))</f>
        <v/>
      </c>
    </row>
    <row r="31">
      <c r="A31" s="60" t="n"/>
      <c r="B31" s="60" t="n"/>
      <c r="C31" s="61" t="n"/>
      <c r="D31" s="64" t="n"/>
      <c r="E31" s="65" t="n"/>
      <c r="F31" s="60" t="n"/>
      <c r="G31" s="100" t="n"/>
      <c r="H31" s="69" t="str">
        <f>IF(A31="","",IF(NOT(ISNUMBER(G31)),"Date à saisir",IF(EDATE(G31,N(p_age))&lt;TODAY(),"Ancien","À jour")))</f>
        <v/>
      </c>
      <c r="I31" s="69" t="str">
        <f>IF(AND(A31="",COUNTA(B31:G31)=0),"",IF(A31="","Référence manquante",IF(COUNTIF($A$6:$A$505,A31)&gt;1,"Référence en double",IF(C31="","Unité manquante",IF(D31="","Prix manquant",IF(AND(D31&lt;&gt;"",OR(NOT(ISNUMBER(D31)),N(D31)&lt;0)),"Prix invalide",IF(AND(E31&lt;&gt;"",OR(NOT(ISNUMBER(E31)),N(E31)&lt;0,N(E31)&gt;=1)),"Perte entre 0 et 99 %","OK")))))))</f>
        <v/>
      </c>
    </row>
    <row r="32">
      <c r="A32" s="60" t="n"/>
      <c r="B32" s="60" t="n"/>
      <c r="C32" s="61" t="n"/>
      <c r="D32" s="64" t="n"/>
      <c r="E32" s="65" t="n"/>
      <c r="F32" s="60" t="n"/>
      <c r="G32" s="100" t="n"/>
      <c r="H32" s="69" t="str">
        <f>IF(A32="","",IF(NOT(ISNUMBER(G32)),"Date à saisir",IF(EDATE(G32,N(p_age))&lt;TODAY(),"Ancien","À jour")))</f>
        <v/>
      </c>
      <c r="I32" s="69" t="str">
        <f>IF(AND(A32="",COUNTA(B32:G32)=0),"",IF(A32="","Référence manquante",IF(COUNTIF($A$6:$A$505,A32)&gt;1,"Référence en double",IF(C32="","Unité manquante",IF(D32="","Prix manquant",IF(AND(D32&lt;&gt;"",OR(NOT(ISNUMBER(D32)),N(D32)&lt;0)),"Prix invalide",IF(AND(E32&lt;&gt;"",OR(NOT(ISNUMBER(E32)),N(E32)&lt;0,N(E32)&gt;=1)),"Perte entre 0 et 99 %","OK")))))))</f>
        <v/>
      </c>
    </row>
    <row r="33">
      <c r="A33" s="60" t="n"/>
      <c r="B33" s="60" t="n"/>
      <c r="C33" s="61" t="n"/>
      <c r="D33" s="64" t="n"/>
      <c r="E33" s="65" t="n"/>
      <c r="F33" s="60" t="n"/>
      <c r="G33" s="100" t="n"/>
      <c r="H33" s="69" t="str">
        <f>IF(A33="","",IF(NOT(ISNUMBER(G33)),"Date à saisir",IF(EDATE(G33,N(p_age))&lt;TODAY(),"Ancien","À jour")))</f>
        <v/>
      </c>
      <c r="I33" s="69" t="str">
        <f>IF(AND(A33="",COUNTA(B33:G33)=0),"",IF(A33="","Référence manquante",IF(COUNTIF($A$6:$A$505,A33)&gt;1,"Référence en double",IF(C33="","Unité manquante",IF(D33="","Prix manquant",IF(AND(D33&lt;&gt;"",OR(NOT(ISNUMBER(D33)),N(D33)&lt;0)),"Prix invalide",IF(AND(E33&lt;&gt;"",OR(NOT(ISNUMBER(E33)),N(E33)&lt;0,N(E33)&gt;=1)),"Perte entre 0 et 99 %","OK")))))))</f>
        <v/>
      </c>
    </row>
    <row r="34">
      <c r="A34" s="60" t="n"/>
      <c r="B34" s="60" t="n"/>
      <c r="C34" s="61" t="n"/>
      <c r="D34" s="64" t="n"/>
      <c r="E34" s="65" t="n"/>
      <c r="F34" s="60" t="n"/>
      <c r="G34" s="100" t="n"/>
      <c r="H34" s="69" t="str">
        <f>IF(A34="","",IF(NOT(ISNUMBER(G34)),"Date à saisir",IF(EDATE(G34,N(p_age))&lt;TODAY(),"Ancien","À jour")))</f>
        <v/>
      </c>
      <c r="I34" s="69" t="str">
        <f>IF(AND(A34="",COUNTA(B34:G34)=0),"",IF(A34="","Référence manquante",IF(COUNTIF($A$6:$A$505,A34)&gt;1,"Référence en double",IF(C34="","Unité manquante",IF(D34="","Prix manquant",IF(AND(D34&lt;&gt;"",OR(NOT(ISNUMBER(D34)),N(D34)&lt;0)),"Prix invalide",IF(AND(E34&lt;&gt;"",OR(NOT(ISNUMBER(E34)),N(E34)&lt;0,N(E34)&gt;=1)),"Perte entre 0 et 99 %","OK")))))))</f>
        <v/>
      </c>
    </row>
    <row r="35">
      <c r="A35" s="60" t="n"/>
      <c r="B35" s="60" t="n"/>
      <c r="C35" s="61" t="n"/>
      <c r="D35" s="64" t="n"/>
      <c r="E35" s="65" t="n"/>
      <c r="F35" s="60" t="n"/>
      <c r="G35" s="100" t="n"/>
      <c r="H35" s="69" t="str">
        <f>IF(A35="","",IF(NOT(ISNUMBER(G35)),"Date à saisir",IF(EDATE(G35,N(p_age))&lt;TODAY(),"Ancien","À jour")))</f>
        <v/>
      </c>
      <c r="I35" s="69" t="str">
        <f>IF(AND(A35="",COUNTA(B35:G35)=0),"",IF(A35="","Référence manquante",IF(COUNTIF($A$6:$A$505,A35)&gt;1,"Référence en double",IF(C35="","Unité manquante",IF(D35="","Prix manquant",IF(AND(D35&lt;&gt;"",OR(NOT(ISNUMBER(D35)),N(D35)&lt;0)),"Prix invalide",IF(AND(E35&lt;&gt;"",OR(NOT(ISNUMBER(E35)),N(E35)&lt;0,N(E35)&gt;=1)),"Perte entre 0 et 99 %","OK")))))))</f>
        <v/>
      </c>
    </row>
    <row r="36">
      <c r="A36" s="60" t="n"/>
      <c r="B36" s="60" t="n"/>
      <c r="C36" s="61" t="n"/>
      <c r="D36" s="64" t="n"/>
      <c r="E36" s="65" t="n"/>
      <c r="F36" s="60" t="n"/>
      <c r="G36" s="100" t="n"/>
      <c r="H36" s="69" t="str">
        <f>IF(A36="","",IF(NOT(ISNUMBER(G36)),"Date à saisir",IF(EDATE(G36,N(p_age))&lt;TODAY(),"Ancien","À jour")))</f>
        <v/>
      </c>
      <c r="I36" s="69" t="str">
        <f>IF(AND(A36="",COUNTA(B36:G36)=0),"",IF(A36="","Référence manquante",IF(COUNTIF($A$6:$A$505,A36)&gt;1,"Référence en double",IF(C36="","Unité manquante",IF(D36="","Prix manquant",IF(AND(D36&lt;&gt;"",OR(NOT(ISNUMBER(D36)),N(D36)&lt;0)),"Prix invalide",IF(AND(E36&lt;&gt;"",OR(NOT(ISNUMBER(E36)),N(E36)&lt;0,N(E36)&gt;=1)),"Perte entre 0 et 99 %","OK")))))))</f>
        <v/>
      </c>
    </row>
    <row r="37">
      <c r="A37" s="60" t="n"/>
      <c r="B37" s="60" t="n"/>
      <c r="C37" s="61" t="n"/>
      <c r="D37" s="64" t="n"/>
      <c r="E37" s="65" t="n"/>
      <c r="F37" s="60" t="n"/>
      <c r="G37" s="100" t="n"/>
      <c r="H37" s="69" t="str">
        <f>IF(A37="","",IF(NOT(ISNUMBER(G37)),"Date à saisir",IF(EDATE(G37,N(p_age))&lt;TODAY(),"Ancien","À jour")))</f>
        <v/>
      </c>
      <c r="I37" s="69" t="str">
        <f>IF(AND(A37="",COUNTA(B37:G37)=0),"",IF(A37="","Référence manquante",IF(COUNTIF($A$6:$A$505,A37)&gt;1,"Référence en double",IF(C37="","Unité manquante",IF(D37="","Prix manquant",IF(AND(D37&lt;&gt;"",OR(NOT(ISNUMBER(D37)),N(D37)&lt;0)),"Prix invalide",IF(AND(E37&lt;&gt;"",OR(NOT(ISNUMBER(E37)),N(E37)&lt;0,N(E37)&gt;=1)),"Perte entre 0 et 99 %","OK")))))))</f>
        <v/>
      </c>
    </row>
    <row r="38">
      <c r="A38" s="60" t="n"/>
      <c r="B38" s="60" t="n"/>
      <c r="C38" s="61" t="n"/>
      <c r="D38" s="64" t="n"/>
      <c r="E38" s="65" t="n"/>
      <c r="F38" s="60" t="n"/>
      <c r="G38" s="100" t="n"/>
      <c r="H38" s="69" t="str">
        <f>IF(A38="","",IF(NOT(ISNUMBER(G38)),"Date à saisir",IF(EDATE(G38,N(p_age))&lt;TODAY(),"Ancien","À jour")))</f>
        <v/>
      </c>
      <c r="I38" s="69" t="str">
        <f>IF(AND(A38="",COUNTA(B38:G38)=0),"",IF(A38="","Référence manquante",IF(COUNTIF($A$6:$A$505,A38)&gt;1,"Référence en double",IF(C38="","Unité manquante",IF(D38="","Prix manquant",IF(AND(D38&lt;&gt;"",OR(NOT(ISNUMBER(D38)),N(D38)&lt;0)),"Prix invalide",IF(AND(E38&lt;&gt;"",OR(NOT(ISNUMBER(E38)),N(E38)&lt;0,N(E38)&gt;=1)),"Perte entre 0 et 99 %","OK")))))))</f>
        <v/>
      </c>
    </row>
    <row r="39">
      <c r="A39" s="60" t="n"/>
      <c r="B39" s="60" t="n"/>
      <c r="C39" s="61" t="n"/>
      <c r="D39" s="64" t="n"/>
      <c r="E39" s="65" t="n"/>
      <c r="F39" s="60" t="n"/>
      <c r="G39" s="100" t="n"/>
      <c r="H39" s="69" t="str">
        <f>IF(A39="","",IF(NOT(ISNUMBER(G39)),"Date à saisir",IF(EDATE(G39,N(p_age))&lt;TODAY(),"Ancien","À jour")))</f>
        <v/>
      </c>
      <c r="I39" s="69" t="str">
        <f>IF(AND(A39="",COUNTA(B39:G39)=0),"",IF(A39="","Référence manquante",IF(COUNTIF($A$6:$A$505,A39)&gt;1,"Référence en double",IF(C39="","Unité manquante",IF(D39="","Prix manquant",IF(AND(D39&lt;&gt;"",OR(NOT(ISNUMBER(D39)),N(D39)&lt;0)),"Prix invalide",IF(AND(E39&lt;&gt;"",OR(NOT(ISNUMBER(E39)),N(E39)&lt;0,N(E39)&gt;=1)),"Perte entre 0 et 99 %","OK")))))))</f>
        <v/>
      </c>
    </row>
    <row r="40">
      <c r="A40" s="60" t="n"/>
      <c r="B40" s="60" t="n"/>
      <c r="C40" s="61" t="n"/>
      <c r="D40" s="64" t="n"/>
      <c r="E40" s="65" t="n"/>
      <c r="F40" s="60" t="n"/>
      <c r="G40" s="100" t="n"/>
      <c r="H40" s="69" t="str">
        <f>IF(A40="","",IF(NOT(ISNUMBER(G40)),"Date à saisir",IF(EDATE(G40,N(p_age))&lt;TODAY(),"Ancien","À jour")))</f>
        <v/>
      </c>
      <c r="I40" s="69" t="str">
        <f>IF(AND(A40="",COUNTA(B40:G40)=0),"",IF(A40="","Référence manquante",IF(COUNTIF($A$6:$A$505,A40)&gt;1,"Référence en double",IF(C40="","Unité manquante",IF(D40="","Prix manquant",IF(AND(D40&lt;&gt;"",OR(NOT(ISNUMBER(D40)),N(D40)&lt;0)),"Prix invalide",IF(AND(E40&lt;&gt;"",OR(NOT(ISNUMBER(E40)),N(E40)&lt;0,N(E40)&gt;=1)),"Perte entre 0 et 99 %","OK")))))))</f>
        <v/>
      </c>
    </row>
    <row r="41">
      <c r="A41" s="60" t="n"/>
      <c r="B41" s="60" t="n"/>
      <c r="C41" s="61" t="n"/>
      <c r="D41" s="64" t="n"/>
      <c r="E41" s="65" t="n"/>
      <c r="F41" s="60" t="n"/>
      <c r="G41" s="100" t="n"/>
      <c r="H41" s="69" t="str">
        <f>IF(A41="","",IF(NOT(ISNUMBER(G41)),"Date à saisir",IF(EDATE(G41,N(p_age))&lt;TODAY(),"Ancien","À jour")))</f>
        <v/>
      </c>
      <c r="I41" s="69" t="str">
        <f>IF(AND(A41="",COUNTA(B41:G41)=0),"",IF(A41="","Référence manquante",IF(COUNTIF($A$6:$A$505,A41)&gt;1,"Référence en double",IF(C41="","Unité manquante",IF(D41="","Prix manquant",IF(AND(D41&lt;&gt;"",OR(NOT(ISNUMBER(D41)),N(D41)&lt;0)),"Prix invalide",IF(AND(E41&lt;&gt;"",OR(NOT(ISNUMBER(E41)),N(E41)&lt;0,N(E41)&gt;=1)),"Perte entre 0 et 99 %","OK")))))))</f>
        <v/>
      </c>
    </row>
    <row r="42">
      <c r="A42" s="60" t="n"/>
      <c r="B42" s="60" t="n"/>
      <c r="C42" s="61" t="n"/>
      <c r="D42" s="64" t="n"/>
      <c r="E42" s="65" t="n"/>
      <c r="F42" s="60" t="n"/>
      <c r="G42" s="100" t="n"/>
      <c r="H42" s="69" t="str">
        <f>IF(A42="","",IF(NOT(ISNUMBER(G42)),"Date à saisir",IF(EDATE(G42,N(p_age))&lt;TODAY(),"Ancien","À jour")))</f>
        <v/>
      </c>
      <c r="I42" s="69" t="str">
        <f>IF(AND(A42="",COUNTA(B42:G42)=0),"",IF(A42="","Référence manquante",IF(COUNTIF($A$6:$A$505,A42)&gt;1,"Référence en double",IF(C42="","Unité manquante",IF(D42="","Prix manquant",IF(AND(D42&lt;&gt;"",OR(NOT(ISNUMBER(D42)),N(D42)&lt;0)),"Prix invalide",IF(AND(E42&lt;&gt;"",OR(NOT(ISNUMBER(E42)),N(E42)&lt;0,N(E42)&gt;=1)),"Perte entre 0 et 99 %","OK")))))))</f>
        <v/>
      </c>
    </row>
    <row r="43">
      <c r="A43" s="60" t="n"/>
      <c r="B43" s="60" t="n"/>
      <c r="C43" s="61" t="n"/>
      <c r="D43" s="64" t="n"/>
      <c r="E43" s="65" t="n"/>
      <c r="F43" s="60" t="n"/>
      <c r="G43" s="100" t="n"/>
      <c r="H43" s="69" t="str">
        <f>IF(A43="","",IF(NOT(ISNUMBER(G43)),"Date à saisir",IF(EDATE(G43,N(p_age))&lt;TODAY(),"Ancien","À jour")))</f>
        <v/>
      </c>
      <c r="I43" s="69" t="str">
        <f>IF(AND(A43="",COUNTA(B43:G43)=0),"",IF(A43="","Référence manquante",IF(COUNTIF($A$6:$A$505,A43)&gt;1,"Référence en double",IF(C43="","Unité manquante",IF(D43="","Prix manquant",IF(AND(D43&lt;&gt;"",OR(NOT(ISNUMBER(D43)),N(D43)&lt;0)),"Prix invalide",IF(AND(E43&lt;&gt;"",OR(NOT(ISNUMBER(E43)),N(E43)&lt;0,N(E43)&gt;=1)),"Perte entre 0 et 99 %","OK")))))))</f>
        <v/>
      </c>
    </row>
    <row r="44">
      <c r="A44" s="60" t="n"/>
      <c r="B44" s="60" t="n"/>
      <c r="C44" s="61" t="n"/>
      <c r="D44" s="64" t="n"/>
      <c r="E44" s="65" t="n"/>
      <c r="F44" s="60" t="n"/>
      <c r="G44" s="100" t="n"/>
      <c r="H44" s="69" t="str">
        <f>IF(A44="","",IF(NOT(ISNUMBER(G44)),"Date à saisir",IF(EDATE(G44,N(p_age))&lt;TODAY(),"Ancien","À jour")))</f>
        <v/>
      </c>
      <c r="I44" s="69" t="str">
        <f>IF(AND(A44="",COUNTA(B44:G44)=0),"",IF(A44="","Référence manquante",IF(COUNTIF($A$6:$A$505,A44)&gt;1,"Référence en double",IF(C44="","Unité manquante",IF(D44="","Prix manquant",IF(AND(D44&lt;&gt;"",OR(NOT(ISNUMBER(D44)),N(D44)&lt;0)),"Prix invalide",IF(AND(E44&lt;&gt;"",OR(NOT(ISNUMBER(E44)),N(E44)&lt;0,N(E44)&gt;=1)),"Perte entre 0 et 99 %","OK")))))))</f>
        <v/>
      </c>
    </row>
    <row r="45">
      <c r="A45" s="60" t="n"/>
      <c r="B45" s="60" t="n"/>
      <c r="C45" s="61" t="n"/>
      <c r="D45" s="64" t="n"/>
      <c r="E45" s="65" t="n"/>
      <c r="F45" s="60" t="n"/>
      <c r="G45" s="100" t="n"/>
      <c r="H45" s="69" t="str">
        <f>IF(A45="","",IF(NOT(ISNUMBER(G45)),"Date à saisir",IF(EDATE(G45,N(p_age))&lt;TODAY(),"Ancien","À jour")))</f>
        <v/>
      </c>
      <c r="I45" s="69" t="str">
        <f>IF(AND(A45="",COUNTA(B45:G45)=0),"",IF(A45="","Référence manquante",IF(COUNTIF($A$6:$A$505,A45)&gt;1,"Référence en double",IF(C45="","Unité manquante",IF(D45="","Prix manquant",IF(AND(D45&lt;&gt;"",OR(NOT(ISNUMBER(D45)),N(D45)&lt;0)),"Prix invalide",IF(AND(E45&lt;&gt;"",OR(NOT(ISNUMBER(E45)),N(E45)&lt;0,N(E45)&gt;=1)),"Perte entre 0 et 99 %","OK")))))))</f>
        <v/>
      </c>
    </row>
    <row r="46">
      <c r="A46" s="60" t="n"/>
      <c r="B46" s="60" t="n"/>
      <c r="C46" s="61" t="n"/>
      <c r="D46" s="64" t="n"/>
      <c r="E46" s="65" t="n"/>
      <c r="F46" s="60" t="n"/>
      <c r="G46" s="100" t="n"/>
      <c r="H46" s="69" t="str">
        <f>IF(A46="","",IF(NOT(ISNUMBER(G46)),"Date à saisir",IF(EDATE(G46,N(p_age))&lt;TODAY(),"Ancien","À jour")))</f>
        <v/>
      </c>
      <c r="I46" s="69" t="str">
        <f>IF(AND(A46="",COUNTA(B46:G46)=0),"",IF(A46="","Référence manquante",IF(COUNTIF($A$6:$A$505,A46)&gt;1,"Référence en double",IF(C46="","Unité manquante",IF(D46="","Prix manquant",IF(AND(D46&lt;&gt;"",OR(NOT(ISNUMBER(D46)),N(D46)&lt;0)),"Prix invalide",IF(AND(E46&lt;&gt;"",OR(NOT(ISNUMBER(E46)),N(E46)&lt;0,N(E46)&gt;=1)),"Perte entre 0 et 99 %","OK")))))))</f>
        <v/>
      </c>
    </row>
    <row r="47">
      <c r="A47" s="60" t="n"/>
      <c r="B47" s="60" t="n"/>
      <c r="C47" s="61" t="n"/>
      <c r="D47" s="64" t="n"/>
      <c r="E47" s="65" t="n"/>
      <c r="F47" s="60" t="n"/>
      <c r="G47" s="100" t="n"/>
      <c r="H47" s="69" t="str">
        <f>IF(A47="","",IF(NOT(ISNUMBER(G47)),"Date à saisir",IF(EDATE(G47,N(p_age))&lt;TODAY(),"Ancien","À jour")))</f>
        <v/>
      </c>
      <c r="I47" s="69" t="str">
        <f>IF(AND(A47="",COUNTA(B47:G47)=0),"",IF(A47="","Référence manquante",IF(COUNTIF($A$6:$A$505,A47)&gt;1,"Référence en double",IF(C47="","Unité manquante",IF(D47="","Prix manquant",IF(AND(D47&lt;&gt;"",OR(NOT(ISNUMBER(D47)),N(D47)&lt;0)),"Prix invalide",IF(AND(E47&lt;&gt;"",OR(NOT(ISNUMBER(E47)),N(E47)&lt;0,N(E47)&gt;=1)),"Perte entre 0 et 99 %","OK")))))))</f>
        <v/>
      </c>
    </row>
    <row r="48">
      <c r="A48" s="60" t="n"/>
      <c r="B48" s="60" t="n"/>
      <c r="C48" s="61" t="n"/>
      <c r="D48" s="64" t="n"/>
      <c r="E48" s="65" t="n"/>
      <c r="F48" s="60" t="n"/>
      <c r="G48" s="100" t="n"/>
      <c r="H48" s="69" t="str">
        <f>IF(A48="","",IF(NOT(ISNUMBER(G48)),"Date à saisir",IF(EDATE(G48,N(p_age))&lt;TODAY(),"Ancien","À jour")))</f>
        <v/>
      </c>
      <c r="I48" s="69" t="str">
        <f>IF(AND(A48="",COUNTA(B48:G48)=0),"",IF(A48="","Référence manquante",IF(COUNTIF($A$6:$A$505,A48)&gt;1,"Référence en double",IF(C48="","Unité manquante",IF(D48="","Prix manquant",IF(AND(D48&lt;&gt;"",OR(NOT(ISNUMBER(D48)),N(D48)&lt;0)),"Prix invalide",IF(AND(E48&lt;&gt;"",OR(NOT(ISNUMBER(E48)),N(E48)&lt;0,N(E48)&gt;=1)),"Perte entre 0 et 99 %","OK")))))))</f>
        <v/>
      </c>
    </row>
    <row r="49">
      <c r="A49" s="60" t="n"/>
      <c r="B49" s="60" t="n"/>
      <c r="C49" s="61" t="n"/>
      <c r="D49" s="64" t="n"/>
      <c r="E49" s="65" t="n"/>
      <c r="F49" s="60" t="n"/>
      <c r="G49" s="100" t="n"/>
      <c r="H49" s="69" t="str">
        <f>IF(A49="","",IF(NOT(ISNUMBER(G49)),"Date à saisir",IF(EDATE(G49,N(p_age))&lt;TODAY(),"Ancien","À jour")))</f>
        <v/>
      </c>
      <c r="I49" s="69" t="str">
        <f>IF(AND(A49="",COUNTA(B49:G49)=0),"",IF(A49="","Référence manquante",IF(COUNTIF($A$6:$A$505,A49)&gt;1,"Référence en double",IF(C49="","Unité manquante",IF(D49="","Prix manquant",IF(AND(D49&lt;&gt;"",OR(NOT(ISNUMBER(D49)),N(D49)&lt;0)),"Prix invalide",IF(AND(E49&lt;&gt;"",OR(NOT(ISNUMBER(E49)),N(E49)&lt;0,N(E49)&gt;=1)),"Perte entre 0 et 99 %","OK")))))))</f>
        <v/>
      </c>
    </row>
    <row r="50">
      <c r="A50" s="60" t="n"/>
      <c r="B50" s="60" t="n"/>
      <c r="C50" s="61" t="n"/>
      <c r="D50" s="64" t="n"/>
      <c r="E50" s="65" t="n"/>
      <c r="F50" s="60" t="n"/>
      <c r="G50" s="100" t="n"/>
      <c r="H50" s="69" t="str">
        <f>IF(A50="","",IF(NOT(ISNUMBER(G50)),"Date à saisir",IF(EDATE(G50,N(p_age))&lt;TODAY(),"Ancien","À jour")))</f>
        <v/>
      </c>
      <c r="I50" s="69" t="str">
        <f>IF(AND(A50="",COUNTA(B50:G50)=0),"",IF(A50="","Référence manquante",IF(COUNTIF($A$6:$A$505,A50)&gt;1,"Référence en double",IF(C50="","Unité manquante",IF(D50="","Prix manquant",IF(AND(D50&lt;&gt;"",OR(NOT(ISNUMBER(D50)),N(D50)&lt;0)),"Prix invalide",IF(AND(E50&lt;&gt;"",OR(NOT(ISNUMBER(E50)),N(E50)&lt;0,N(E50)&gt;=1)),"Perte entre 0 et 99 %","OK")))))))</f>
        <v/>
      </c>
    </row>
    <row r="51">
      <c r="A51" s="60" t="n"/>
      <c r="B51" s="60" t="n"/>
      <c r="C51" s="61" t="n"/>
      <c r="D51" s="64" t="n"/>
      <c r="E51" s="65" t="n"/>
      <c r="F51" s="60" t="n"/>
      <c r="G51" s="100" t="n"/>
      <c r="H51" s="69" t="str">
        <f>IF(A51="","",IF(NOT(ISNUMBER(G51)),"Date à saisir",IF(EDATE(G51,N(p_age))&lt;TODAY(),"Ancien","À jour")))</f>
        <v/>
      </c>
      <c r="I51" s="69" t="str">
        <f>IF(AND(A51="",COUNTA(B51:G51)=0),"",IF(A51="","Référence manquante",IF(COUNTIF($A$6:$A$505,A51)&gt;1,"Référence en double",IF(C51="","Unité manquante",IF(D51="","Prix manquant",IF(AND(D51&lt;&gt;"",OR(NOT(ISNUMBER(D51)),N(D51)&lt;0)),"Prix invalide",IF(AND(E51&lt;&gt;"",OR(NOT(ISNUMBER(E51)),N(E51)&lt;0,N(E51)&gt;=1)),"Perte entre 0 et 99 %","OK")))))))</f>
        <v/>
      </c>
    </row>
    <row r="52">
      <c r="A52" s="60" t="n"/>
      <c r="B52" s="60" t="n"/>
      <c r="C52" s="61" t="n"/>
      <c r="D52" s="64" t="n"/>
      <c r="E52" s="65" t="n"/>
      <c r="F52" s="60" t="n"/>
      <c r="G52" s="100" t="n"/>
      <c r="H52" s="69" t="str">
        <f>IF(A52="","",IF(NOT(ISNUMBER(G52)),"Date à saisir",IF(EDATE(G52,N(p_age))&lt;TODAY(),"Ancien","À jour")))</f>
        <v/>
      </c>
      <c r="I52" s="69" t="str">
        <f>IF(AND(A52="",COUNTA(B52:G52)=0),"",IF(A52="","Référence manquante",IF(COUNTIF($A$6:$A$505,A52)&gt;1,"Référence en double",IF(C52="","Unité manquante",IF(D52="","Prix manquant",IF(AND(D52&lt;&gt;"",OR(NOT(ISNUMBER(D52)),N(D52)&lt;0)),"Prix invalide",IF(AND(E52&lt;&gt;"",OR(NOT(ISNUMBER(E52)),N(E52)&lt;0,N(E52)&gt;=1)),"Perte entre 0 et 99 %","OK")))))))</f>
        <v/>
      </c>
    </row>
    <row r="53">
      <c r="A53" s="60" t="n"/>
      <c r="B53" s="60" t="n"/>
      <c r="C53" s="61" t="n"/>
      <c r="D53" s="64" t="n"/>
      <c r="E53" s="65" t="n"/>
      <c r="F53" s="60" t="n"/>
      <c r="G53" s="100" t="n"/>
      <c r="H53" s="69" t="str">
        <f>IF(A53="","",IF(NOT(ISNUMBER(G53)),"Date à saisir",IF(EDATE(G53,N(p_age))&lt;TODAY(),"Ancien","À jour")))</f>
        <v/>
      </c>
      <c r="I53" s="69" t="str">
        <f>IF(AND(A53="",COUNTA(B53:G53)=0),"",IF(A53="","Référence manquante",IF(COUNTIF($A$6:$A$505,A53)&gt;1,"Référence en double",IF(C53="","Unité manquante",IF(D53="","Prix manquant",IF(AND(D53&lt;&gt;"",OR(NOT(ISNUMBER(D53)),N(D53)&lt;0)),"Prix invalide",IF(AND(E53&lt;&gt;"",OR(NOT(ISNUMBER(E53)),N(E53)&lt;0,N(E53)&gt;=1)),"Perte entre 0 et 99 %","OK")))))))</f>
        <v/>
      </c>
    </row>
    <row r="54">
      <c r="A54" s="60" t="n"/>
      <c r="B54" s="60" t="n"/>
      <c r="C54" s="61" t="n"/>
      <c r="D54" s="64" t="n"/>
      <c r="E54" s="65" t="n"/>
      <c r="F54" s="60" t="n"/>
      <c r="G54" s="100" t="n"/>
      <c r="H54" s="69" t="str">
        <f>IF(A54="","",IF(NOT(ISNUMBER(G54)),"Date à saisir",IF(EDATE(G54,N(p_age))&lt;TODAY(),"Ancien","À jour")))</f>
        <v/>
      </c>
      <c r="I54" s="69" t="str">
        <f>IF(AND(A54="",COUNTA(B54:G54)=0),"",IF(A54="","Référence manquante",IF(COUNTIF($A$6:$A$505,A54)&gt;1,"Référence en double",IF(C54="","Unité manquante",IF(D54="","Prix manquant",IF(AND(D54&lt;&gt;"",OR(NOT(ISNUMBER(D54)),N(D54)&lt;0)),"Prix invalide",IF(AND(E54&lt;&gt;"",OR(NOT(ISNUMBER(E54)),N(E54)&lt;0,N(E54)&gt;=1)),"Perte entre 0 et 99 %","OK")))))))</f>
        <v/>
      </c>
    </row>
    <row r="55">
      <c r="A55" s="60" t="n"/>
      <c r="B55" s="60" t="n"/>
      <c r="C55" s="61" t="n"/>
      <c r="D55" s="64" t="n"/>
      <c r="E55" s="65" t="n"/>
      <c r="F55" s="60" t="n"/>
      <c r="G55" s="100" t="n"/>
      <c r="H55" s="69" t="str">
        <f>IF(A55="","",IF(NOT(ISNUMBER(G55)),"Date à saisir",IF(EDATE(G55,N(p_age))&lt;TODAY(),"Ancien","À jour")))</f>
        <v/>
      </c>
      <c r="I55" s="69" t="str">
        <f>IF(AND(A55="",COUNTA(B55:G55)=0),"",IF(A55="","Référence manquante",IF(COUNTIF($A$6:$A$505,A55)&gt;1,"Référence en double",IF(C55="","Unité manquante",IF(D55="","Prix manquant",IF(AND(D55&lt;&gt;"",OR(NOT(ISNUMBER(D55)),N(D55)&lt;0)),"Prix invalide",IF(AND(E55&lt;&gt;"",OR(NOT(ISNUMBER(E55)),N(E55)&lt;0,N(E55)&gt;=1)),"Perte entre 0 et 99 %","OK")))))))</f>
        <v/>
      </c>
    </row>
    <row r="56">
      <c r="A56" s="60" t="n"/>
      <c r="B56" s="60" t="n"/>
      <c r="C56" s="61" t="n"/>
      <c r="D56" s="64" t="n"/>
      <c r="E56" s="65" t="n"/>
      <c r="F56" s="60" t="n"/>
      <c r="G56" s="100" t="n"/>
      <c r="H56" s="69" t="str">
        <f>IF(A56="","",IF(NOT(ISNUMBER(G56)),"Date à saisir",IF(EDATE(G56,N(p_age))&lt;TODAY(),"Ancien","À jour")))</f>
        <v/>
      </c>
      <c r="I56" s="69" t="str">
        <f>IF(AND(A56="",COUNTA(B56:G56)=0),"",IF(A56="","Référence manquante",IF(COUNTIF($A$6:$A$505,A56)&gt;1,"Référence en double",IF(C56="","Unité manquante",IF(D56="","Prix manquant",IF(AND(D56&lt;&gt;"",OR(NOT(ISNUMBER(D56)),N(D56)&lt;0)),"Prix invalide",IF(AND(E56&lt;&gt;"",OR(NOT(ISNUMBER(E56)),N(E56)&lt;0,N(E56)&gt;=1)),"Perte entre 0 et 99 %","OK")))))))</f>
        <v/>
      </c>
    </row>
    <row r="57">
      <c r="A57" s="60" t="n"/>
      <c r="B57" s="60" t="n"/>
      <c r="C57" s="61" t="n"/>
      <c r="D57" s="64" t="n"/>
      <c r="E57" s="65" t="n"/>
      <c r="F57" s="60" t="n"/>
      <c r="G57" s="100" t="n"/>
      <c r="H57" s="69" t="str">
        <f>IF(A57="","",IF(NOT(ISNUMBER(G57)),"Date à saisir",IF(EDATE(G57,N(p_age))&lt;TODAY(),"Ancien","À jour")))</f>
        <v/>
      </c>
      <c r="I57" s="69" t="str">
        <f>IF(AND(A57="",COUNTA(B57:G57)=0),"",IF(A57="","Référence manquante",IF(COUNTIF($A$6:$A$505,A57)&gt;1,"Référence en double",IF(C57="","Unité manquante",IF(D57="","Prix manquant",IF(AND(D57&lt;&gt;"",OR(NOT(ISNUMBER(D57)),N(D57)&lt;0)),"Prix invalide",IF(AND(E57&lt;&gt;"",OR(NOT(ISNUMBER(E57)),N(E57)&lt;0,N(E57)&gt;=1)),"Perte entre 0 et 99 %","OK")))))))</f>
        <v/>
      </c>
    </row>
    <row r="58">
      <c r="A58" s="60" t="n"/>
      <c r="B58" s="60" t="n"/>
      <c r="C58" s="61" t="n"/>
      <c r="D58" s="64" t="n"/>
      <c r="E58" s="65" t="n"/>
      <c r="F58" s="60" t="n"/>
      <c r="G58" s="100" t="n"/>
      <c r="H58" s="69" t="str">
        <f>IF(A58="","",IF(NOT(ISNUMBER(G58)),"Date à saisir",IF(EDATE(G58,N(p_age))&lt;TODAY(),"Ancien","À jour")))</f>
        <v/>
      </c>
      <c r="I58" s="69" t="str">
        <f>IF(AND(A58="",COUNTA(B58:G58)=0),"",IF(A58="","Référence manquante",IF(COUNTIF($A$6:$A$505,A58)&gt;1,"Référence en double",IF(C58="","Unité manquante",IF(D58="","Prix manquant",IF(AND(D58&lt;&gt;"",OR(NOT(ISNUMBER(D58)),N(D58)&lt;0)),"Prix invalide",IF(AND(E58&lt;&gt;"",OR(NOT(ISNUMBER(E58)),N(E58)&lt;0,N(E58)&gt;=1)),"Perte entre 0 et 99 %","OK")))))))</f>
        <v/>
      </c>
    </row>
    <row r="59">
      <c r="A59" s="60" t="n"/>
      <c r="B59" s="60" t="n"/>
      <c r="C59" s="61" t="n"/>
      <c r="D59" s="64" t="n"/>
      <c r="E59" s="65" t="n"/>
      <c r="F59" s="60" t="n"/>
      <c r="G59" s="100" t="n"/>
      <c r="H59" s="69" t="str">
        <f>IF(A59="","",IF(NOT(ISNUMBER(G59)),"Date à saisir",IF(EDATE(G59,N(p_age))&lt;TODAY(),"Ancien","À jour")))</f>
        <v/>
      </c>
      <c r="I59" s="69" t="str">
        <f>IF(AND(A59="",COUNTA(B59:G59)=0),"",IF(A59="","Référence manquante",IF(COUNTIF($A$6:$A$505,A59)&gt;1,"Référence en double",IF(C59="","Unité manquante",IF(D59="","Prix manquant",IF(AND(D59&lt;&gt;"",OR(NOT(ISNUMBER(D59)),N(D59)&lt;0)),"Prix invalide",IF(AND(E59&lt;&gt;"",OR(NOT(ISNUMBER(E59)),N(E59)&lt;0,N(E59)&gt;=1)),"Perte entre 0 et 99 %","OK")))))))</f>
        <v/>
      </c>
    </row>
    <row r="60">
      <c r="A60" s="60" t="n"/>
      <c r="B60" s="60" t="n"/>
      <c r="C60" s="61" t="n"/>
      <c r="D60" s="64" t="n"/>
      <c r="E60" s="65" t="n"/>
      <c r="F60" s="60" t="n"/>
      <c r="G60" s="100" t="n"/>
      <c r="H60" s="69" t="str">
        <f>IF(A60="","",IF(NOT(ISNUMBER(G60)),"Date à saisir",IF(EDATE(G60,N(p_age))&lt;TODAY(),"Ancien","À jour")))</f>
        <v/>
      </c>
      <c r="I60" s="69" t="str">
        <f>IF(AND(A60="",COUNTA(B60:G60)=0),"",IF(A60="","Référence manquante",IF(COUNTIF($A$6:$A$505,A60)&gt;1,"Référence en double",IF(C60="","Unité manquante",IF(D60="","Prix manquant",IF(AND(D60&lt;&gt;"",OR(NOT(ISNUMBER(D60)),N(D60)&lt;0)),"Prix invalide",IF(AND(E60&lt;&gt;"",OR(NOT(ISNUMBER(E60)),N(E60)&lt;0,N(E60)&gt;=1)),"Perte entre 0 et 99 %","OK")))))))</f>
        <v/>
      </c>
    </row>
    <row r="61">
      <c r="A61" s="60" t="n"/>
      <c r="B61" s="60" t="n"/>
      <c r="C61" s="61" t="n"/>
      <c r="D61" s="64" t="n"/>
      <c r="E61" s="65" t="n"/>
      <c r="F61" s="60" t="n"/>
      <c r="G61" s="100" t="n"/>
      <c r="H61" s="69" t="str">
        <f>IF(A61="","",IF(NOT(ISNUMBER(G61)),"Date à saisir",IF(EDATE(G61,N(p_age))&lt;TODAY(),"Ancien","À jour")))</f>
        <v/>
      </c>
      <c r="I61" s="69" t="str">
        <f>IF(AND(A61="",COUNTA(B61:G61)=0),"",IF(A61="","Référence manquante",IF(COUNTIF($A$6:$A$505,A61)&gt;1,"Référence en double",IF(C61="","Unité manquante",IF(D61="","Prix manquant",IF(AND(D61&lt;&gt;"",OR(NOT(ISNUMBER(D61)),N(D61)&lt;0)),"Prix invalide",IF(AND(E61&lt;&gt;"",OR(NOT(ISNUMBER(E61)),N(E61)&lt;0,N(E61)&gt;=1)),"Perte entre 0 et 99 %","OK")))))))</f>
        <v/>
      </c>
    </row>
    <row r="62">
      <c r="A62" s="60" t="n"/>
      <c r="B62" s="60" t="n"/>
      <c r="C62" s="61" t="n"/>
      <c r="D62" s="64" t="n"/>
      <c r="E62" s="65" t="n"/>
      <c r="F62" s="60" t="n"/>
      <c r="G62" s="100" t="n"/>
      <c r="H62" s="69" t="str">
        <f>IF(A62="","",IF(NOT(ISNUMBER(G62)),"Date à saisir",IF(EDATE(G62,N(p_age))&lt;TODAY(),"Ancien","À jour")))</f>
        <v/>
      </c>
      <c r="I62" s="69" t="str">
        <f>IF(AND(A62="",COUNTA(B62:G62)=0),"",IF(A62="","Référence manquante",IF(COUNTIF($A$6:$A$505,A62)&gt;1,"Référence en double",IF(C62="","Unité manquante",IF(D62="","Prix manquant",IF(AND(D62&lt;&gt;"",OR(NOT(ISNUMBER(D62)),N(D62)&lt;0)),"Prix invalide",IF(AND(E62&lt;&gt;"",OR(NOT(ISNUMBER(E62)),N(E62)&lt;0,N(E62)&gt;=1)),"Perte entre 0 et 99 %","OK")))))))</f>
        <v/>
      </c>
    </row>
    <row r="63">
      <c r="A63" s="60" t="n"/>
      <c r="B63" s="60" t="n"/>
      <c r="C63" s="61" t="n"/>
      <c r="D63" s="64" t="n"/>
      <c r="E63" s="65" t="n"/>
      <c r="F63" s="60" t="n"/>
      <c r="G63" s="100" t="n"/>
      <c r="H63" s="69" t="str">
        <f>IF(A63="","",IF(NOT(ISNUMBER(G63)),"Date à saisir",IF(EDATE(G63,N(p_age))&lt;TODAY(),"Ancien","À jour")))</f>
        <v/>
      </c>
      <c r="I63" s="69" t="str">
        <f>IF(AND(A63="",COUNTA(B63:G63)=0),"",IF(A63="","Référence manquante",IF(COUNTIF($A$6:$A$505,A63)&gt;1,"Référence en double",IF(C63="","Unité manquante",IF(D63="","Prix manquant",IF(AND(D63&lt;&gt;"",OR(NOT(ISNUMBER(D63)),N(D63)&lt;0)),"Prix invalide",IF(AND(E63&lt;&gt;"",OR(NOT(ISNUMBER(E63)),N(E63)&lt;0,N(E63)&gt;=1)),"Perte entre 0 et 99 %","OK")))))))</f>
        <v/>
      </c>
    </row>
    <row r="64">
      <c r="A64" s="60" t="n"/>
      <c r="B64" s="60" t="n"/>
      <c r="C64" s="61" t="n"/>
      <c r="D64" s="64" t="n"/>
      <c r="E64" s="65" t="n"/>
      <c r="F64" s="60" t="n"/>
      <c r="G64" s="100" t="n"/>
      <c r="H64" s="69" t="str">
        <f>IF(A64="","",IF(NOT(ISNUMBER(G64)),"Date à saisir",IF(EDATE(G64,N(p_age))&lt;TODAY(),"Ancien","À jour")))</f>
        <v/>
      </c>
      <c r="I64" s="69" t="str">
        <f>IF(AND(A64="",COUNTA(B64:G64)=0),"",IF(A64="","Référence manquante",IF(COUNTIF($A$6:$A$505,A64)&gt;1,"Référence en double",IF(C64="","Unité manquante",IF(D64="","Prix manquant",IF(AND(D64&lt;&gt;"",OR(NOT(ISNUMBER(D64)),N(D64)&lt;0)),"Prix invalide",IF(AND(E64&lt;&gt;"",OR(NOT(ISNUMBER(E64)),N(E64)&lt;0,N(E64)&gt;=1)),"Perte entre 0 et 99 %","OK")))))))</f>
        <v/>
      </c>
    </row>
    <row r="65">
      <c r="A65" s="60" t="n"/>
      <c r="B65" s="60" t="n"/>
      <c r="C65" s="61" t="n"/>
      <c r="D65" s="64" t="n"/>
      <c r="E65" s="65" t="n"/>
      <c r="F65" s="60" t="n"/>
      <c r="G65" s="100" t="n"/>
      <c r="H65" s="69" t="str">
        <f>IF(A65="","",IF(NOT(ISNUMBER(G65)),"Date à saisir",IF(EDATE(G65,N(p_age))&lt;TODAY(),"Ancien","À jour")))</f>
        <v/>
      </c>
      <c r="I65" s="69" t="str">
        <f>IF(AND(A65="",COUNTA(B65:G65)=0),"",IF(A65="","Référence manquante",IF(COUNTIF($A$6:$A$505,A65)&gt;1,"Référence en double",IF(C65="","Unité manquante",IF(D65="","Prix manquant",IF(AND(D65&lt;&gt;"",OR(NOT(ISNUMBER(D65)),N(D65)&lt;0)),"Prix invalide",IF(AND(E65&lt;&gt;"",OR(NOT(ISNUMBER(E65)),N(E65)&lt;0,N(E65)&gt;=1)),"Perte entre 0 et 99 %","OK")))))))</f>
        <v/>
      </c>
    </row>
    <row r="66">
      <c r="A66" s="60" t="n"/>
      <c r="B66" s="60" t="n"/>
      <c r="C66" s="61" t="n"/>
      <c r="D66" s="64" t="n"/>
      <c r="E66" s="65" t="n"/>
      <c r="F66" s="60" t="n"/>
      <c r="G66" s="100" t="n"/>
      <c r="H66" s="69" t="str">
        <f>IF(A66="","",IF(NOT(ISNUMBER(G66)),"Date à saisir",IF(EDATE(G66,N(p_age))&lt;TODAY(),"Ancien","À jour")))</f>
        <v/>
      </c>
      <c r="I66" s="69" t="str">
        <f>IF(AND(A66="",COUNTA(B66:G66)=0),"",IF(A66="","Référence manquante",IF(COUNTIF($A$6:$A$505,A66)&gt;1,"Référence en double",IF(C66="","Unité manquante",IF(D66="","Prix manquant",IF(AND(D66&lt;&gt;"",OR(NOT(ISNUMBER(D66)),N(D66)&lt;0)),"Prix invalide",IF(AND(E66&lt;&gt;"",OR(NOT(ISNUMBER(E66)),N(E66)&lt;0,N(E66)&gt;=1)),"Perte entre 0 et 99 %","OK")))))))</f>
        <v/>
      </c>
    </row>
    <row r="67">
      <c r="A67" s="60" t="n"/>
      <c r="B67" s="60" t="n"/>
      <c r="C67" s="61" t="n"/>
      <c r="D67" s="64" t="n"/>
      <c r="E67" s="65" t="n"/>
      <c r="F67" s="60" t="n"/>
      <c r="G67" s="100" t="n"/>
      <c r="H67" s="69" t="str">
        <f>IF(A67="","",IF(NOT(ISNUMBER(G67)),"Date à saisir",IF(EDATE(G67,N(p_age))&lt;TODAY(),"Ancien","À jour")))</f>
        <v/>
      </c>
      <c r="I67" s="69" t="str">
        <f>IF(AND(A67="",COUNTA(B67:G67)=0),"",IF(A67="","Référence manquante",IF(COUNTIF($A$6:$A$505,A67)&gt;1,"Référence en double",IF(C67="","Unité manquante",IF(D67="","Prix manquant",IF(AND(D67&lt;&gt;"",OR(NOT(ISNUMBER(D67)),N(D67)&lt;0)),"Prix invalide",IF(AND(E67&lt;&gt;"",OR(NOT(ISNUMBER(E67)),N(E67)&lt;0,N(E67)&gt;=1)),"Perte entre 0 et 99 %","OK")))))))</f>
        <v/>
      </c>
    </row>
    <row r="68">
      <c r="A68" s="60" t="n"/>
      <c r="B68" s="60" t="n"/>
      <c r="C68" s="61" t="n"/>
      <c r="D68" s="64" t="n"/>
      <c r="E68" s="65" t="n"/>
      <c r="F68" s="60" t="n"/>
      <c r="G68" s="100" t="n"/>
      <c r="H68" s="69" t="str">
        <f>IF(A68="","",IF(NOT(ISNUMBER(G68)),"Date à saisir",IF(EDATE(G68,N(p_age))&lt;TODAY(),"Ancien","À jour")))</f>
        <v/>
      </c>
      <c r="I68" s="69" t="str">
        <f>IF(AND(A68="",COUNTA(B68:G68)=0),"",IF(A68="","Référence manquante",IF(COUNTIF($A$6:$A$505,A68)&gt;1,"Référence en double",IF(C68="","Unité manquante",IF(D68="","Prix manquant",IF(AND(D68&lt;&gt;"",OR(NOT(ISNUMBER(D68)),N(D68)&lt;0)),"Prix invalide",IF(AND(E68&lt;&gt;"",OR(NOT(ISNUMBER(E68)),N(E68)&lt;0,N(E68)&gt;=1)),"Perte entre 0 et 99 %","OK")))))))</f>
        <v/>
      </c>
    </row>
    <row r="69">
      <c r="A69" s="60" t="n"/>
      <c r="B69" s="60" t="n"/>
      <c r="C69" s="61" t="n"/>
      <c r="D69" s="64" t="n"/>
      <c r="E69" s="65" t="n"/>
      <c r="F69" s="60" t="n"/>
      <c r="G69" s="100" t="n"/>
      <c r="H69" s="69" t="str">
        <f>IF(A69="","",IF(NOT(ISNUMBER(G69)),"Date à saisir",IF(EDATE(G69,N(p_age))&lt;TODAY(),"Ancien","À jour")))</f>
        <v/>
      </c>
      <c r="I69" s="69" t="str">
        <f>IF(AND(A69="",COUNTA(B69:G69)=0),"",IF(A69="","Référence manquante",IF(COUNTIF($A$6:$A$505,A69)&gt;1,"Référence en double",IF(C69="","Unité manquante",IF(D69="","Prix manquant",IF(AND(D69&lt;&gt;"",OR(NOT(ISNUMBER(D69)),N(D69)&lt;0)),"Prix invalide",IF(AND(E69&lt;&gt;"",OR(NOT(ISNUMBER(E69)),N(E69)&lt;0,N(E69)&gt;=1)),"Perte entre 0 et 99 %","OK")))))))</f>
        <v/>
      </c>
    </row>
    <row r="70">
      <c r="A70" s="60" t="n"/>
      <c r="B70" s="60" t="n"/>
      <c r="C70" s="61" t="n"/>
      <c r="D70" s="64" t="n"/>
      <c r="E70" s="65" t="n"/>
      <c r="F70" s="60" t="n"/>
      <c r="G70" s="100" t="n"/>
      <c r="H70" s="69" t="str">
        <f>IF(A70="","",IF(NOT(ISNUMBER(G70)),"Date à saisir",IF(EDATE(G70,N(p_age))&lt;TODAY(),"Ancien","À jour")))</f>
        <v/>
      </c>
      <c r="I70" s="69" t="str">
        <f>IF(AND(A70="",COUNTA(B70:G70)=0),"",IF(A70="","Référence manquante",IF(COUNTIF($A$6:$A$505,A70)&gt;1,"Référence en double",IF(C70="","Unité manquante",IF(D70="","Prix manquant",IF(AND(D70&lt;&gt;"",OR(NOT(ISNUMBER(D70)),N(D70)&lt;0)),"Prix invalide",IF(AND(E70&lt;&gt;"",OR(NOT(ISNUMBER(E70)),N(E70)&lt;0,N(E70)&gt;=1)),"Perte entre 0 et 99 %","OK")))))))</f>
        <v/>
      </c>
    </row>
    <row r="71">
      <c r="A71" s="60" t="n"/>
      <c r="B71" s="60" t="n"/>
      <c r="C71" s="61" t="n"/>
      <c r="D71" s="64" t="n"/>
      <c r="E71" s="65" t="n"/>
      <c r="F71" s="60" t="n"/>
      <c r="G71" s="100" t="n"/>
      <c r="H71" s="69" t="str">
        <f>IF(A71="","",IF(NOT(ISNUMBER(G71)),"Date à saisir",IF(EDATE(G71,N(p_age))&lt;TODAY(),"Ancien","À jour")))</f>
        <v/>
      </c>
      <c r="I71" s="69" t="str">
        <f>IF(AND(A71="",COUNTA(B71:G71)=0),"",IF(A71="","Référence manquante",IF(COUNTIF($A$6:$A$505,A71)&gt;1,"Référence en double",IF(C71="","Unité manquante",IF(D71="","Prix manquant",IF(AND(D71&lt;&gt;"",OR(NOT(ISNUMBER(D71)),N(D71)&lt;0)),"Prix invalide",IF(AND(E71&lt;&gt;"",OR(NOT(ISNUMBER(E71)),N(E71)&lt;0,N(E71)&gt;=1)),"Perte entre 0 et 99 %","OK")))))))</f>
        <v/>
      </c>
    </row>
    <row r="72">
      <c r="A72" s="60" t="n"/>
      <c r="B72" s="60" t="n"/>
      <c r="C72" s="61" t="n"/>
      <c r="D72" s="64" t="n"/>
      <c r="E72" s="65" t="n"/>
      <c r="F72" s="60" t="n"/>
      <c r="G72" s="100" t="n"/>
      <c r="H72" s="69" t="str">
        <f>IF(A72="","",IF(NOT(ISNUMBER(G72)),"Date à saisir",IF(EDATE(G72,N(p_age))&lt;TODAY(),"Ancien","À jour")))</f>
        <v/>
      </c>
      <c r="I72" s="69" t="str">
        <f>IF(AND(A72="",COUNTA(B72:G72)=0),"",IF(A72="","Référence manquante",IF(COUNTIF($A$6:$A$505,A72)&gt;1,"Référence en double",IF(C72="","Unité manquante",IF(D72="","Prix manquant",IF(AND(D72&lt;&gt;"",OR(NOT(ISNUMBER(D72)),N(D72)&lt;0)),"Prix invalide",IF(AND(E72&lt;&gt;"",OR(NOT(ISNUMBER(E72)),N(E72)&lt;0,N(E72)&gt;=1)),"Perte entre 0 et 99 %","OK")))))))</f>
        <v/>
      </c>
    </row>
    <row r="73">
      <c r="A73" s="60" t="n"/>
      <c r="B73" s="60" t="n"/>
      <c r="C73" s="61" t="n"/>
      <c r="D73" s="64" t="n"/>
      <c r="E73" s="65" t="n"/>
      <c r="F73" s="60" t="n"/>
      <c r="G73" s="100" t="n"/>
      <c r="H73" s="69" t="str">
        <f>IF(A73="","",IF(NOT(ISNUMBER(G73)),"Date à saisir",IF(EDATE(G73,N(p_age))&lt;TODAY(),"Ancien","À jour")))</f>
        <v/>
      </c>
      <c r="I73" s="69" t="str">
        <f>IF(AND(A73="",COUNTA(B73:G73)=0),"",IF(A73="","Référence manquante",IF(COUNTIF($A$6:$A$505,A73)&gt;1,"Référence en double",IF(C73="","Unité manquante",IF(D73="","Prix manquant",IF(AND(D73&lt;&gt;"",OR(NOT(ISNUMBER(D73)),N(D73)&lt;0)),"Prix invalide",IF(AND(E73&lt;&gt;"",OR(NOT(ISNUMBER(E73)),N(E73)&lt;0,N(E73)&gt;=1)),"Perte entre 0 et 99 %","OK")))))))</f>
        <v/>
      </c>
    </row>
    <row r="74">
      <c r="A74" s="60" t="n"/>
      <c r="B74" s="60" t="n"/>
      <c r="C74" s="61" t="n"/>
      <c r="D74" s="64" t="n"/>
      <c r="E74" s="65" t="n"/>
      <c r="F74" s="60" t="n"/>
      <c r="G74" s="100" t="n"/>
      <c r="H74" s="69" t="str">
        <f>IF(A74="","",IF(NOT(ISNUMBER(G74)),"Date à saisir",IF(EDATE(G74,N(p_age))&lt;TODAY(),"Ancien","À jour")))</f>
        <v/>
      </c>
      <c r="I74" s="69" t="str">
        <f>IF(AND(A74="",COUNTA(B74:G74)=0),"",IF(A74="","Référence manquante",IF(COUNTIF($A$6:$A$505,A74)&gt;1,"Référence en double",IF(C74="","Unité manquante",IF(D74="","Prix manquant",IF(AND(D74&lt;&gt;"",OR(NOT(ISNUMBER(D74)),N(D74)&lt;0)),"Prix invalide",IF(AND(E74&lt;&gt;"",OR(NOT(ISNUMBER(E74)),N(E74)&lt;0,N(E74)&gt;=1)),"Perte entre 0 et 99 %","OK")))))))</f>
        <v/>
      </c>
    </row>
    <row r="75">
      <c r="A75" s="60" t="n"/>
      <c r="B75" s="60" t="n"/>
      <c r="C75" s="61" t="n"/>
      <c r="D75" s="64" t="n"/>
      <c r="E75" s="65" t="n"/>
      <c r="F75" s="60" t="n"/>
      <c r="G75" s="100" t="n"/>
      <c r="H75" s="69" t="str">
        <f>IF(A75="","",IF(NOT(ISNUMBER(G75)),"Date à saisir",IF(EDATE(G75,N(p_age))&lt;TODAY(),"Ancien","À jour")))</f>
        <v/>
      </c>
      <c r="I75" s="69" t="str">
        <f>IF(AND(A75="",COUNTA(B75:G75)=0),"",IF(A75="","Référence manquante",IF(COUNTIF($A$6:$A$505,A75)&gt;1,"Référence en double",IF(C75="","Unité manquante",IF(D75="","Prix manquant",IF(AND(D75&lt;&gt;"",OR(NOT(ISNUMBER(D75)),N(D75)&lt;0)),"Prix invalide",IF(AND(E75&lt;&gt;"",OR(NOT(ISNUMBER(E75)),N(E75)&lt;0,N(E75)&gt;=1)),"Perte entre 0 et 99 %","OK")))))))</f>
        <v/>
      </c>
    </row>
    <row r="76">
      <c r="A76" s="60" t="n"/>
      <c r="B76" s="60" t="n"/>
      <c r="C76" s="61" t="n"/>
      <c r="D76" s="64" t="n"/>
      <c r="E76" s="65" t="n"/>
      <c r="F76" s="60" t="n"/>
      <c r="G76" s="100" t="n"/>
      <c r="H76" s="69" t="str">
        <f>IF(A76="","",IF(NOT(ISNUMBER(G76)),"Date à saisir",IF(EDATE(G76,N(p_age))&lt;TODAY(),"Ancien","À jour")))</f>
        <v/>
      </c>
      <c r="I76" s="69" t="str">
        <f>IF(AND(A76="",COUNTA(B76:G76)=0),"",IF(A76="","Référence manquante",IF(COUNTIF($A$6:$A$505,A76)&gt;1,"Référence en double",IF(C76="","Unité manquante",IF(D76="","Prix manquant",IF(AND(D76&lt;&gt;"",OR(NOT(ISNUMBER(D76)),N(D76)&lt;0)),"Prix invalide",IF(AND(E76&lt;&gt;"",OR(NOT(ISNUMBER(E76)),N(E76)&lt;0,N(E76)&gt;=1)),"Perte entre 0 et 99 %","OK")))))))</f>
        <v/>
      </c>
    </row>
    <row r="77">
      <c r="A77" s="60" t="n"/>
      <c r="B77" s="60" t="n"/>
      <c r="C77" s="61" t="n"/>
      <c r="D77" s="64" t="n"/>
      <c r="E77" s="65" t="n"/>
      <c r="F77" s="60" t="n"/>
      <c r="G77" s="100" t="n"/>
      <c r="H77" s="69" t="str">
        <f>IF(A77="","",IF(NOT(ISNUMBER(G77)),"Date à saisir",IF(EDATE(G77,N(p_age))&lt;TODAY(),"Ancien","À jour")))</f>
        <v/>
      </c>
      <c r="I77" s="69" t="str">
        <f>IF(AND(A77="",COUNTA(B77:G77)=0),"",IF(A77="","Référence manquante",IF(COUNTIF($A$6:$A$505,A77)&gt;1,"Référence en double",IF(C77="","Unité manquante",IF(D77="","Prix manquant",IF(AND(D77&lt;&gt;"",OR(NOT(ISNUMBER(D77)),N(D77)&lt;0)),"Prix invalide",IF(AND(E77&lt;&gt;"",OR(NOT(ISNUMBER(E77)),N(E77)&lt;0,N(E77)&gt;=1)),"Perte entre 0 et 99 %","OK")))))))</f>
        <v/>
      </c>
    </row>
    <row r="78">
      <c r="A78" s="60" t="n"/>
      <c r="B78" s="60" t="n"/>
      <c r="C78" s="61" t="n"/>
      <c r="D78" s="64" t="n"/>
      <c r="E78" s="65" t="n"/>
      <c r="F78" s="60" t="n"/>
      <c r="G78" s="100" t="n"/>
      <c r="H78" s="69" t="str">
        <f>IF(A78="","",IF(NOT(ISNUMBER(G78)),"Date à saisir",IF(EDATE(G78,N(p_age))&lt;TODAY(),"Ancien","À jour")))</f>
        <v/>
      </c>
      <c r="I78" s="69" t="str">
        <f>IF(AND(A78="",COUNTA(B78:G78)=0),"",IF(A78="","Référence manquante",IF(COUNTIF($A$6:$A$505,A78)&gt;1,"Référence en double",IF(C78="","Unité manquante",IF(D78="","Prix manquant",IF(AND(D78&lt;&gt;"",OR(NOT(ISNUMBER(D78)),N(D78)&lt;0)),"Prix invalide",IF(AND(E78&lt;&gt;"",OR(NOT(ISNUMBER(E78)),N(E78)&lt;0,N(E78)&gt;=1)),"Perte entre 0 et 99 %","OK")))))))</f>
        <v/>
      </c>
    </row>
    <row r="79">
      <c r="A79" s="60" t="n"/>
      <c r="B79" s="60" t="n"/>
      <c r="C79" s="61" t="n"/>
      <c r="D79" s="64" t="n"/>
      <c r="E79" s="65" t="n"/>
      <c r="F79" s="60" t="n"/>
      <c r="G79" s="100" t="n"/>
      <c r="H79" s="69" t="str">
        <f>IF(A79="","",IF(NOT(ISNUMBER(G79)),"Date à saisir",IF(EDATE(G79,N(p_age))&lt;TODAY(),"Ancien","À jour")))</f>
        <v/>
      </c>
      <c r="I79" s="69" t="str">
        <f>IF(AND(A79="",COUNTA(B79:G79)=0),"",IF(A79="","Référence manquante",IF(COUNTIF($A$6:$A$505,A79)&gt;1,"Référence en double",IF(C79="","Unité manquante",IF(D79="","Prix manquant",IF(AND(D79&lt;&gt;"",OR(NOT(ISNUMBER(D79)),N(D79)&lt;0)),"Prix invalide",IF(AND(E79&lt;&gt;"",OR(NOT(ISNUMBER(E79)),N(E79)&lt;0,N(E79)&gt;=1)),"Perte entre 0 et 99 %","OK")))))))</f>
        <v/>
      </c>
    </row>
    <row r="80">
      <c r="A80" s="60" t="n"/>
      <c r="B80" s="60" t="n"/>
      <c r="C80" s="61" t="n"/>
      <c r="D80" s="64" t="n"/>
      <c r="E80" s="65" t="n"/>
      <c r="F80" s="60" t="n"/>
      <c r="G80" s="100" t="n"/>
      <c r="H80" s="69" t="str">
        <f>IF(A80="","",IF(NOT(ISNUMBER(G80)),"Date à saisir",IF(EDATE(G80,N(p_age))&lt;TODAY(),"Ancien","À jour")))</f>
        <v/>
      </c>
      <c r="I80" s="69" t="str">
        <f>IF(AND(A80="",COUNTA(B80:G80)=0),"",IF(A80="","Référence manquante",IF(COUNTIF($A$6:$A$505,A80)&gt;1,"Référence en double",IF(C80="","Unité manquante",IF(D80="","Prix manquant",IF(AND(D80&lt;&gt;"",OR(NOT(ISNUMBER(D80)),N(D80)&lt;0)),"Prix invalide",IF(AND(E80&lt;&gt;"",OR(NOT(ISNUMBER(E80)),N(E80)&lt;0,N(E80)&gt;=1)),"Perte entre 0 et 99 %","OK")))))))</f>
        <v/>
      </c>
    </row>
    <row r="81">
      <c r="A81" s="60" t="n"/>
      <c r="B81" s="60" t="n"/>
      <c r="C81" s="61" t="n"/>
      <c r="D81" s="64" t="n"/>
      <c r="E81" s="65" t="n"/>
      <c r="F81" s="60" t="n"/>
      <c r="G81" s="100" t="n"/>
      <c r="H81" s="69" t="str">
        <f>IF(A81="","",IF(NOT(ISNUMBER(G81)),"Date à saisir",IF(EDATE(G81,N(p_age))&lt;TODAY(),"Ancien","À jour")))</f>
        <v/>
      </c>
      <c r="I81" s="69" t="str">
        <f>IF(AND(A81="",COUNTA(B81:G81)=0),"",IF(A81="","Référence manquante",IF(COUNTIF($A$6:$A$505,A81)&gt;1,"Référence en double",IF(C81="","Unité manquante",IF(D81="","Prix manquant",IF(AND(D81&lt;&gt;"",OR(NOT(ISNUMBER(D81)),N(D81)&lt;0)),"Prix invalide",IF(AND(E81&lt;&gt;"",OR(NOT(ISNUMBER(E81)),N(E81)&lt;0,N(E81)&gt;=1)),"Perte entre 0 et 99 %","OK")))))))</f>
        <v/>
      </c>
    </row>
    <row r="82">
      <c r="A82" s="60" t="n"/>
      <c r="B82" s="60" t="n"/>
      <c r="C82" s="61" t="n"/>
      <c r="D82" s="64" t="n"/>
      <c r="E82" s="65" t="n"/>
      <c r="F82" s="60" t="n"/>
      <c r="G82" s="100" t="n"/>
      <c r="H82" s="69" t="str">
        <f>IF(A82="","",IF(NOT(ISNUMBER(G82)),"Date à saisir",IF(EDATE(G82,N(p_age))&lt;TODAY(),"Ancien","À jour")))</f>
        <v/>
      </c>
      <c r="I82" s="69" t="str">
        <f>IF(AND(A82="",COUNTA(B82:G82)=0),"",IF(A82="","Référence manquante",IF(COUNTIF($A$6:$A$505,A82)&gt;1,"Référence en double",IF(C82="","Unité manquante",IF(D82="","Prix manquant",IF(AND(D82&lt;&gt;"",OR(NOT(ISNUMBER(D82)),N(D82)&lt;0)),"Prix invalide",IF(AND(E82&lt;&gt;"",OR(NOT(ISNUMBER(E82)),N(E82)&lt;0,N(E82)&gt;=1)),"Perte entre 0 et 99 %","OK")))))))</f>
        <v/>
      </c>
    </row>
    <row r="83">
      <c r="A83" s="60" t="n"/>
      <c r="B83" s="60" t="n"/>
      <c r="C83" s="61" t="n"/>
      <c r="D83" s="64" t="n"/>
      <c r="E83" s="65" t="n"/>
      <c r="F83" s="60" t="n"/>
      <c r="G83" s="100" t="n"/>
      <c r="H83" s="69" t="str">
        <f>IF(A83="","",IF(NOT(ISNUMBER(G83)),"Date à saisir",IF(EDATE(G83,N(p_age))&lt;TODAY(),"Ancien","À jour")))</f>
        <v/>
      </c>
      <c r="I83" s="69" t="str">
        <f>IF(AND(A83="",COUNTA(B83:G83)=0),"",IF(A83="","Référence manquante",IF(COUNTIF($A$6:$A$505,A83)&gt;1,"Référence en double",IF(C83="","Unité manquante",IF(D83="","Prix manquant",IF(AND(D83&lt;&gt;"",OR(NOT(ISNUMBER(D83)),N(D83)&lt;0)),"Prix invalide",IF(AND(E83&lt;&gt;"",OR(NOT(ISNUMBER(E83)),N(E83)&lt;0,N(E83)&gt;=1)),"Perte entre 0 et 99 %","OK")))))))</f>
        <v/>
      </c>
    </row>
    <row r="84">
      <c r="A84" s="60" t="n"/>
      <c r="B84" s="60" t="n"/>
      <c r="C84" s="61" t="n"/>
      <c r="D84" s="64" t="n"/>
      <c r="E84" s="65" t="n"/>
      <c r="F84" s="60" t="n"/>
      <c r="G84" s="100" t="n"/>
      <c r="H84" s="69" t="str">
        <f>IF(A84="","",IF(NOT(ISNUMBER(G84)),"Date à saisir",IF(EDATE(G84,N(p_age))&lt;TODAY(),"Ancien","À jour")))</f>
        <v/>
      </c>
      <c r="I84" s="69" t="str">
        <f>IF(AND(A84="",COUNTA(B84:G84)=0),"",IF(A84="","Référence manquante",IF(COUNTIF($A$6:$A$505,A84)&gt;1,"Référence en double",IF(C84="","Unité manquante",IF(D84="","Prix manquant",IF(AND(D84&lt;&gt;"",OR(NOT(ISNUMBER(D84)),N(D84)&lt;0)),"Prix invalide",IF(AND(E84&lt;&gt;"",OR(NOT(ISNUMBER(E84)),N(E84)&lt;0,N(E84)&gt;=1)),"Perte entre 0 et 99 %","OK")))))))</f>
        <v/>
      </c>
    </row>
    <row r="85">
      <c r="A85" s="60" t="n"/>
      <c r="B85" s="60" t="n"/>
      <c r="C85" s="61" t="n"/>
      <c r="D85" s="64" t="n"/>
      <c r="E85" s="65" t="n"/>
      <c r="F85" s="60" t="n"/>
      <c r="G85" s="100" t="n"/>
      <c r="H85" s="69" t="str">
        <f>IF(A85="","",IF(NOT(ISNUMBER(G85)),"Date à saisir",IF(EDATE(G85,N(p_age))&lt;TODAY(),"Ancien","À jour")))</f>
        <v/>
      </c>
      <c r="I85" s="69" t="str">
        <f>IF(AND(A85="",COUNTA(B85:G85)=0),"",IF(A85="","Référence manquante",IF(COUNTIF($A$6:$A$505,A85)&gt;1,"Référence en double",IF(C85="","Unité manquante",IF(D85="","Prix manquant",IF(AND(D85&lt;&gt;"",OR(NOT(ISNUMBER(D85)),N(D85)&lt;0)),"Prix invalide",IF(AND(E85&lt;&gt;"",OR(NOT(ISNUMBER(E85)),N(E85)&lt;0,N(E85)&gt;=1)),"Perte entre 0 et 99 %","OK")))))))</f>
        <v/>
      </c>
    </row>
    <row r="86">
      <c r="A86" s="60" t="n"/>
      <c r="B86" s="60" t="n"/>
      <c r="C86" s="61" t="n"/>
      <c r="D86" s="64" t="n"/>
      <c r="E86" s="65" t="n"/>
      <c r="F86" s="60" t="n"/>
      <c r="G86" s="100" t="n"/>
      <c r="H86" s="69" t="str">
        <f>IF(A86="","",IF(NOT(ISNUMBER(G86)),"Date à saisir",IF(EDATE(G86,N(p_age))&lt;TODAY(),"Ancien","À jour")))</f>
        <v/>
      </c>
      <c r="I86" s="69" t="str">
        <f>IF(AND(A86="",COUNTA(B86:G86)=0),"",IF(A86="","Référence manquante",IF(COUNTIF($A$6:$A$505,A86)&gt;1,"Référence en double",IF(C86="","Unité manquante",IF(D86="","Prix manquant",IF(AND(D86&lt;&gt;"",OR(NOT(ISNUMBER(D86)),N(D86)&lt;0)),"Prix invalide",IF(AND(E86&lt;&gt;"",OR(NOT(ISNUMBER(E86)),N(E86)&lt;0,N(E86)&gt;=1)),"Perte entre 0 et 99 %","OK")))))))</f>
        <v/>
      </c>
    </row>
    <row r="87">
      <c r="A87" s="60" t="n"/>
      <c r="B87" s="60" t="n"/>
      <c r="C87" s="61" t="n"/>
      <c r="D87" s="64" t="n"/>
      <c r="E87" s="65" t="n"/>
      <c r="F87" s="60" t="n"/>
      <c r="G87" s="100" t="n"/>
      <c r="H87" s="69" t="str">
        <f>IF(A87="","",IF(NOT(ISNUMBER(G87)),"Date à saisir",IF(EDATE(G87,N(p_age))&lt;TODAY(),"Ancien","À jour")))</f>
        <v/>
      </c>
      <c r="I87" s="69" t="str">
        <f>IF(AND(A87="",COUNTA(B87:G87)=0),"",IF(A87="","Référence manquante",IF(COUNTIF($A$6:$A$505,A87)&gt;1,"Référence en double",IF(C87="","Unité manquante",IF(D87="","Prix manquant",IF(AND(D87&lt;&gt;"",OR(NOT(ISNUMBER(D87)),N(D87)&lt;0)),"Prix invalide",IF(AND(E87&lt;&gt;"",OR(NOT(ISNUMBER(E87)),N(E87)&lt;0,N(E87)&gt;=1)),"Perte entre 0 et 99 %","OK")))))))</f>
        <v/>
      </c>
    </row>
    <row r="88">
      <c r="A88" s="60" t="n"/>
      <c r="B88" s="60" t="n"/>
      <c r="C88" s="61" t="n"/>
      <c r="D88" s="64" t="n"/>
      <c r="E88" s="65" t="n"/>
      <c r="F88" s="60" t="n"/>
      <c r="G88" s="100" t="n"/>
      <c r="H88" s="69" t="str">
        <f>IF(A88="","",IF(NOT(ISNUMBER(G88)),"Date à saisir",IF(EDATE(G88,N(p_age))&lt;TODAY(),"Ancien","À jour")))</f>
        <v/>
      </c>
      <c r="I88" s="69" t="str">
        <f>IF(AND(A88="",COUNTA(B88:G88)=0),"",IF(A88="","Référence manquante",IF(COUNTIF($A$6:$A$505,A88)&gt;1,"Référence en double",IF(C88="","Unité manquante",IF(D88="","Prix manquant",IF(AND(D88&lt;&gt;"",OR(NOT(ISNUMBER(D88)),N(D88)&lt;0)),"Prix invalide",IF(AND(E88&lt;&gt;"",OR(NOT(ISNUMBER(E88)),N(E88)&lt;0,N(E88)&gt;=1)),"Perte entre 0 et 99 %","OK")))))))</f>
        <v/>
      </c>
    </row>
    <row r="89">
      <c r="A89" s="60" t="n"/>
      <c r="B89" s="60" t="n"/>
      <c r="C89" s="61" t="n"/>
      <c r="D89" s="64" t="n"/>
      <c r="E89" s="65" t="n"/>
      <c r="F89" s="60" t="n"/>
      <c r="G89" s="100" t="n"/>
      <c r="H89" s="69" t="str">
        <f>IF(A89="","",IF(NOT(ISNUMBER(G89)),"Date à saisir",IF(EDATE(G89,N(p_age))&lt;TODAY(),"Ancien","À jour")))</f>
        <v/>
      </c>
      <c r="I89" s="69" t="str">
        <f>IF(AND(A89="",COUNTA(B89:G89)=0),"",IF(A89="","Référence manquante",IF(COUNTIF($A$6:$A$505,A89)&gt;1,"Référence en double",IF(C89="","Unité manquante",IF(D89="","Prix manquant",IF(AND(D89&lt;&gt;"",OR(NOT(ISNUMBER(D89)),N(D89)&lt;0)),"Prix invalide",IF(AND(E89&lt;&gt;"",OR(NOT(ISNUMBER(E89)),N(E89)&lt;0,N(E89)&gt;=1)),"Perte entre 0 et 99 %","OK")))))))</f>
        <v/>
      </c>
    </row>
    <row r="90">
      <c r="A90" s="60" t="n"/>
      <c r="B90" s="60" t="n"/>
      <c r="C90" s="61" t="n"/>
      <c r="D90" s="64" t="n"/>
      <c r="E90" s="65" t="n"/>
      <c r="F90" s="60" t="n"/>
      <c r="G90" s="100" t="n"/>
      <c r="H90" s="69" t="str">
        <f>IF(A90="","",IF(NOT(ISNUMBER(G90)),"Date à saisir",IF(EDATE(G90,N(p_age))&lt;TODAY(),"Ancien","À jour")))</f>
        <v/>
      </c>
      <c r="I90" s="69" t="str">
        <f>IF(AND(A90="",COUNTA(B90:G90)=0),"",IF(A90="","Référence manquante",IF(COUNTIF($A$6:$A$505,A90)&gt;1,"Référence en double",IF(C90="","Unité manquante",IF(D90="","Prix manquant",IF(AND(D90&lt;&gt;"",OR(NOT(ISNUMBER(D90)),N(D90)&lt;0)),"Prix invalide",IF(AND(E90&lt;&gt;"",OR(NOT(ISNUMBER(E90)),N(E90)&lt;0,N(E90)&gt;=1)),"Perte entre 0 et 99 %","OK")))))))</f>
        <v/>
      </c>
    </row>
    <row r="91">
      <c r="A91" s="60" t="n"/>
      <c r="B91" s="60" t="n"/>
      <c r="C91" s="61" t="n"/>
      <c r="D91" s="64" t="n"/>
      <c r="E91" s="65" t="n"/>
      <c r="F91" s="60" t="n"/>
      <c r="G91" s="100" t="n"/>
      <c r="H91" s="69" t="str">
        <f>IF(A91="","",IF(NOT(ISNUMBER(G91)),"Date à saisir",IF(EDATE(G91,N(p_age))&lt;TODAY(),"Ancien","À jour")))</f>
        <v/>
      </c>
      <c r="I91" s="69" t="str">
        <f>IF(AND(A91="",COUNTA(B91:G91)=0),"",IF(A91="","Référence manquante",IF(COUNTIF($A$6:$A$505,A91)&gt;1,"Référence en double",IF(C91="","Unité manquante",IF(D91="","Prix manquant",IF(AND(D91&lt;&gt;"",OR(NOT(ISNUMBER(D91)),N(D91)&lt;0)),"Prix invalide",IF(AND(E91&lt;&gt;"",OR(NOT(ISNUMBER(E91)),N(E91)&lt;0,N(E91)&gt;=1)),"Perte entre 0 et 99 %","OK")))))))</f>
        <v/>
      </c>
    </row>
    <row r="92">
      <c r="A92" s="60" t="n"/>
      <c r="B92" s="60" t="n"/>
      <c r="C92" s="61" t="n"/>
      <c r="D92" s="64" t="n"/>
      <c r="E92" s="65" t="n"/>
      <c r="F92" s="60" t="n"/>
      <c r="G92" s="100" t="n"/>
      <c r="H92" s="69" t="str">
        <f>IF(A92="","",IF(NOT(ISNUMBER(G92)),"Date à saisir",IF(EDATE(G92,N(p_age))&lt;TODAY(),"Ancien","À jour")))</f>
        <v/>
      </c>
      <c r="I92" s="69" t="str">
        <f>IF(AND(A92="",COUNTA(B92:G92)=0),"",IF(A92="","Référence manquante",IF(COUNTIF($A$6:$A$505,A92)&gt;1,"Référence en double",IF(C92="","Unité manquante",IF(D92="","Prix manquant",IF(AND(D92&lt;&gt;"",OR(NOT(ISNUMBER(D92)),N(D92)&lt;0)),"Prix invalide",IF(AND(E92&lt;&gt;"",OR(NOT(ISNUMBER(E92)),N(E92)&lt;0,N(E92)&gt;=1)),"Perte entre 0 et 99 %","OK")))))))</f>
        <v/>
      </c>
    </row>
    <row r="93">
      <c r="A93" s="60" t="n"/>
      <c r="B93" s="60" t="n"/>
      <c r="C93" s="61" t="n"/>
      <c r="D93" s="64" t="n"/>
      <c r="E93" s="65" t="n"/>
      <c r="F93" s="60" t="n"/>
      <c r="G93" s="100" t="n"/>
      <c r="H93" s="69" t="str">
        <f>IF(A93="","",IF(NOT(ISNUMBER(G93)),"Date à saisir",IF(EDATE(G93,N(p_age))&lt;TODAY(),"Ancien","À jour")))</f>
        <v/>
      </c>
      <c r="I93" s="69" t="str">
        <f>IF(AND(A93="",COUNTA(B93:G93)=0),"",IF(A93="","Référence manquante",IF(COUNTIF($A$6:$A$505,A93)&gt;1,"Référence en double",IF(C93="","Unité manquante",IF(D93="","Prix manquant",IF(AND(D93&lt;&gt;"",OR(NOT(ISNUMBER(D93)),N(D93)&lt;0)),"Prix invalide",IF(AND(E93&lt;&gt;"",OR(NOT(ISNUMBER(E93)),N(E93)&lt;0,N(E93)&gt;=1)),"Perte entre 0 et 99 %","OK")))))))</f>
        <v/>
      </c>
    </row>
    <row r="94">
      <c r="A94" s="60" t="n"/>
      <c r="B94" s="60" t="n"/>
      <c r="C94" s="61" t="n"/>
      <c r="D94" s="64" t="n"/>
      <c r="E94" s="65" t="n"/>
      <c r="F94" s="60" t="n"/>
      <c r="G94" s="100" t="n"/>
      <c r="H94" s="69" t="str">
        <f>IF(A94="","",IF(NOT(ISNUMBER(G94)),"Date à saisir",IF(EDATE(G94,N(p_age))&lt;TODAY(),"Ancien","À jour")))</f>
        <v/>
      </c>
      <c r="I94" s="69" t="str">
        <f>IF(AND(A94="",COUNTA(B94:G94)=0),"",IF(A94="","Référence manquante",IF(COUNTIF($A$6:$A$505,A94)&gt;1,"Référence en double",IF(C94="","Unité manquante",IF(D94="","Prix manquant",IF(AND(D94&lt;&gt;"",OR(NOT(ISNUMBER(D94)),N(D94)&lt;0)),"Prix invalide",IF(AND(E94&lt;&gt;"",OR(NOT(ISNUMBER(E94)),N(E94)&lt;0,N(E94)&gt;=1)),"Perte entre 0 et 99 %","OK")))))))</f>
        <v/>
      </c>
    </row>
    <row r="95">
      <c r="A95" s="60" t="n"/>
      <c r="B95" s="60" t="n"/>
      <c r="C95" s="61" t="n"/>
      <c r="D95" s="64" t="n"/>
      <c r="E95" s="65" t="n"/>
      <c r="F95" s="60" t="n"/>
      <c r="G95" s="100" t="n"/>
      <c r="H95" s="69" t="str">
        <f>IF(A95="","",IF(NOT(ISNUMBER(G95)),"Date à saisir",IF(EDATE(G95,N(p_age))&lt;TODAY(),"Ancien","À jour")))</f>
        <v/>
      </c>
      <c r="I95" s="69" t="str">
        <f>IF(AND(A95="",COUNTA(B95:G95)=0),"",IF(A95="","Référence manquante",IF(COUNTIF($A$6:$A$505,A95)&gt;1,"Référence en double",IF(C95="","Unité manquante",IF(D95="","Prix manquant",IF(AND(D95&lt;&gt;"",OR(NOT(ISNUMBER(D95)),N(D95)&lt;0)),"Prix invalide",IF(AND(E95&lt;&gt;"",OR(NOT(ISNUMBER(E95)),N(E95)&lt;0,N(E95)&gt;=1)),"Perte entre 0 et 99 %","OK")))))))</f>
        <v/>
      </c>
    </row>
    <row r="96">
      <c r="A96" s="60" t="n"/>
      <c r="B96" s="60" t="n"/>
      <c r="C96" s="61" t="n"/>
      <c r="D96" s="64" t="n"/>
      <c r="E96" s="65" t="n"/>
      <c r="F96" s="60" t="n"/>
      <c r="G96" s="100" t="n"/>
      <c r="H96" s="69" t="str">
        <f>IF(A96="","",IF(NOT(ISNUMBER(G96)),"Date à saisir",IF(EDATE(G96,N(p_age))&lt;TODAY(),"Ancien","À jour")))</f>
        <v/>
      </c>
      <c r="I96" s="69" t="str">
        <f>IF(AND(A96="",COUNTA(B96:G96)=0),"",IF(A96="","Référence manquante",IF(COUNTIF($A$6:$A$505,A96)&gt;1,"Référence en double",IF(C96="","Unité manquante",IF(D96="","Prix manquant",IF(AND(D96&lt;&gt;"",OR(NOT(ISNUMBER(D96)),N(D96)&lt;0)),"Prix invalide",IF(AND(E96&lt;&gt;"",OR(NOT(ISNUMBER(E96)),N(E96)&lt;0,N(E96)&gt;=1)),"Perte entre 0 et 99 %","OK")))))))</f>
        <v/>
      </c>
    </row>
    <row r="97">
      <c r="A97" s="60" t="n"/>
      <c r="B97" s="60" t="n"/>
      <c r="C97" s="61" t="n"/>
      <c r="D97" s="64" t="n"/>
      <c r="E97" s="65" t="n"/>
      <c r="F97" s="60" t="n"/>
      <c r="G97" s="100" t="n"/>
      <c r="H97" s="69" t="str">
        <f>IF(A97="","",IF(NOT(ISNUMBER(G97)),"Date à saisir",IF(EDATE(G97,N(p_age))&lt;TODAY(),"Ancien","À jour")))</f>
        <v/>
      </c>
      <c r="I97" s="69" t="str">
        <f>IF(AND(A97="",COUNTA(B97:G97)=0),"",IF(A97="","Référence manquante",IF(COUNTIF($A$6:$A$505,A97)&gt;1,"Référence en double",IF(C97="","Unité manquante",IF(D97="","Prix manquant",IF(AND(D97&lt;&gt;"",OR(NOT(ISNUMBER(D97)),N(D97)&lt;0)),"Prix invalide",IF(AND(E97&lt;&gt;"",OR(NOT(ISNUMBER(E97)),N(E97)&lt;0,N(E97)&gt;=1)),"Perte entre 0 et 99 %","OK")))))))</f>
        <v/>
      </c>
    </row>
    <row r="98">
      <c r="A98" s="60" t="n"/>
      <c r="B98" s="60" t="n"/>
      <c r="C98" s="61" t="n"/>
      <c r="D98" s="64" t="n"/>
      <c r="E98" s="65" t="n"/>
      <c r="F98" s="60" t="n"/>
      <c r="G98" s="100" t="n"/>
      <c r="H98" s="69" t="str">
        <f>IF(A98="","",IF(NOT(ISNUMBER(G98)),"Date à saisir",IF(EDATE(G98,N(p_age))&lt;TODAY(),"Ancien","À jour")))</f>
        <v/>
      </c>
      <c r="I98" s="69" t="str">
        <f>IF(AND(A98="",COUNTA(B98:G98)=0),"",IF(A98="","Référence manquante",IF(COUNTIF($A$6:$A$505,A98)&gt;1,"Référence en double",IF(C98="","Unité manquante",IF(D98="","Prix manquant",IF(AND(D98&lt;&gt;"",OR(NOT(ISNUMBER(D98)),N(D98)&lt;0)),"Prix invalide",IF(AND(E98&lt;&gt;"",OR(NOT(ISNUMBER(E98)),N(E98)&lt;0,N(E98)&gt;=1)),"Perte entre 0 et 99 %","OK")))))))</f>
        <v/>
      </c>
    </row>
    <row r="99">
      <c r="A99" s="60" t="n"/>
      <c r="B99" s="60" t="n"/>
      <c r="C99" s="61" t="n"/>
      <c r="D99" s="64" t="n"/>
      <c r="E99" s="65" t="n"/>
      <c r="F99" s="60" t="n"/>
      <c r="G99" s="100" t="n"/>
      <c r="H99" s="69" t="str">
        <f>IF(A99="","",IF(NOT(ISNUMBER(G99)),"Date à saisir",IF(EDATE(G99,N(p_age))&lt;TODAY(),"Ancien","À jour")))</f>
        <v/>
      </c>
      <c r="I99" s="69" t="str">
        <f>IF(AND(A99="",COUNTA(B99:G99)=0),"",IF(A99="","Référence manquante",IF(COUNTIF($A$6:$A$505,A99)&gt;1,"Référence en double",IF(C99="","Unité manquante",IF(D99="","Prix manquant",IF(AND(D99&lt;&gt;"",OR(NOT(ISNUMBER(D99)),N(D99)&lt;0)),"Prix invalide",IF(AND(E99&lt;&gt;"",OR(NOT(ISNUMBER(E99)),N(E99)&lt;0,N(E99)&gt;=1)),"Perte entre 0 et 99 %","OK")))))))</f>
        <v/>
      </c>
    </row>
    <row r="100">
      <c r="A100" s="60" t="n"/>
      <c r="B100" s="60" t="n"/>
      <c r="C100" s="61" t="n"/>
      <c r="D100" s="64" t="n"/>
      <c r="E100" s="65" t="n"/>
      <c r="F100" s="60" t="n"/>
      <c r="G100" s="100" t="n"/>
      <c r="H100" s="69" t="str">
        <f>IF(A100="","",IF(NOT(ISNUMBER(G100)),"Date à saisir",IF(EDATE(G100,N(p_age))&lt;TODAY(),"Ancien","À jour")))</f>
        <v/>
      </c>
      <c r="I100" s="69" t="str">
        <f>IF(AND(A100="",COUNTA(B100:G100)=0),"",IF(A100="","Référence manquante",IF(COUNTIF($A$6:$A$505,A100)&gt;1,"Référence en double",IF(C100="","Unité manquante",IF(D100="","Prix manquant",IF(AND(D100&lt;&gt;"",OR(NOT(ISNUMBER(D100)),N(D100)&lt;0)),"Prix invalide",IF(AND(E100&lt;&gt;"",OR(NOT(ISNUMBER(E100)),N(E100)&lt;0,N(E100)&gt;=1)),"Perte entre 0 et 99 %","OK")))))))</f>
        <v/>
      </c>
    </row>
    <row r="101">
      <c r="A101" s="60" t="n"/>
      <c r="B101" s="60" t="n"/>
      <c r="C101" s="61" t="n"/>
      <c r="D101" s="64" t="n"/>
      <c r="E101" s="65" t="n"/>
      <c r="F101" s="60" t="n"/>
      <c r="G101" s="100" t="n"/>
      <c r="H101" s="69" t="str">
        <f>IF(A101="","",IF(NOT(ISNUMBER(G101)),"Date à saisir",IF(EDATE(G101,N(p_age))&lt;TODAY(),"Ancien","À jour")))</f>
        <v/>
      </c>
      <c r="I101" s="69" t="str">
        <f>IF(AND(A101="",COUNTA(B101:G101)=0),"",IF(A101="","Référence manquante",IF(COUNTIF($A$6:$A$505,A101)&gt;1,"Référence en double",IF(C101="","Unité manquante",IF(D101="","Prix manquant",IF(AND(D101&lt;&gt;"",OR(NOT(ISNUMBER(D101)),N(D101)&lt;0)),"Prix invalide",IF(AND(E101&lt;&gt;"",OR(NOT(ISNUMBER(E101)),N(E101)&lt;0,N(E101)&gt;=1)),"Perte entre 0 et 99 %","OK")))))))</f>
        <v/>
      </c>
    </row>
    <row r="102">
      <c r="A102" s="60" t="n"/>
      <c r="B102" s="60" t="n"/>
      <c r="C102" s="61" t="n"/>
      <c r="D102" s="64" t="n"/>
      <c r="E102" s="65" t="n"/>
      <c r="F102" s="60" t="n"/>
      <c r="G102" s="100" t="n"/>
      <c r="H102" s="69" t="str">
        <f>IF(A102="","",IF(NOT(ISNUMBER(G102)),"Date à saisir",IF(EDATE(G102,N(p_age))&lt;TODAY(),"Ancien","À jour")))</f>
        <v/>
      </c>
      <c r="I102" s="69" t="str">
        <f>IF(AND(A102="",COUNTA(B102:G102)=0),"",IF(A102="","Référence manquante",IF(COUNTIF($A$6:$A$505,A102)&gt;1,"Référence en double",IF(C102="","Unité manquante",IF(D102="","Prix manquant",IF(AND(D102&lt;&gt;"",OR(NOT(ISNUMBER(D102)),N(D102)&lt;0)),"Prix invalide",IF(AND(E102&lt;&gt;"",OR(NOT(ISNUMBER(E102)),N(E102)&lt;0,N(E102)&gt;=1)),"Perte entre 0 et 99 %","OK")))))))</f>
        <v/>
      </c>
    </row>
    <row r="103">
      <c r="A103" s="60" t="n"/>
      <c r="B103" s="60" t="n"/>
      <c r="C103" s="61" t="n"/>
      <c r="D103" s="64" t="n"/>
      <c r="E103" s="65" t="n"/>
      <c r="F103" s="60" t="n"/>
      <c r="G103" s="100" t="n"/>
      <c r="H103" s="69" t="str">
        <f>IF(A103="","",IF(NOT(ISNUMBER(G103)),"Date à saisir",IF(EDATE(G103,N(p_age))&lt;TODAY(),"Ancien","À jour")))</f>
        <v/>
      </c>
      <c r="I103" s="69" t="str">
        <f>IF(AND(A103="",COUNTA(B103:G103)=0),"",IF(A103="","Référence manquante",IF(COUNTIF($A$6:$A$505,A103)&gt;1,"Référence en double",IF(C103="","Unité manquante",IF(D103="","Prix manquant",IF(AND(D103&lt;&gt;"",OR(NOT(ISNUMBER(D103)),N(D103)&lt;0)),"Prix invalide",IF(AND(E103&lt;&gt;"",OR(NOT(ISNUMBER(E103)),N(E103)&lt;0,N(E103)&gt;=1)),"Perte entre 0 et 99 %","OK")))))))</f>
        <v/>
      </c>
    </row>
    <row r="104">
      <c r="A104" s="60" t="n"/>
      <c r="B104" s="60" t="n"/>
      <c r="C104" s="61" t="n"/>
      <c r="D104" s="64" t="n"/>
      <c r="E104" s="65" t="n"/>
      <c r="F104" s="60" t="n"/>
      <c r="G104" s="100" t="n"/>
      <c r="H104" s="69" t="str">
        <f>IF(A104="","",IF(NOT(ISNUMBER(G104)),"Date à saisir",IF(EDATE(G104,N(p_age))&lt;TODAY(),"Ancien","À jour")))</f>
        <v/>
      </c>
      <c r="I104" s="69" t="str">
        <f>IF(AND(A104="",COUNTA(B104:G104)=0),"",IF(A104="","Référence manquante",IF(COUNTIF($A$6:$A$505,A104)&gt;1,"Référence en double",IF(C104="","Unité manquante",IF(D104="","Prix manquant",IF(AND(D104&lt;&gt;"",OR(NOT(ISNUMBER(D104)),N(D104)&lt;0)),"Prix invalide",IF(AND(E104&lt;&gt;"",OR(NOT(ISNUMBER(E104)),N(E104)&lt;0,N(E104)&gt;=1)),"Perte entre 0 et 99 %","OK")))))))</f>
        <v/>
      </c>
    </row>
    <row r="105">
      <c r="A105" s="60" t="n"/>
      <c r="B105" s="60" t="n"/>
      <c r="C105" s="61" t="n"/>
      <c r="D105" s="64" t="n"/>
      <c r="E105" s="65" t="n"/>
      <c r="F105" s="60" t="n"/>
      <c r="G105" s="100" t="n"/>
      <c r="H105" s="69" t="str">
        <f>IF(A105="","",IF(NOT(ISNUMBER(G105)),"Date à saisir",IF(EDATE(G105,N(p_age))&lt;TODAY(),"Ancien","À jour")))</f>
        <v/>
      </c>
      <c r="I105" s="69" t="str">
        <f>IF(AND(A105="",COUNTA(B105:G105)=0),"",IF(A105="","Référence manquante",IF(COUNTIF($A$6:$A$505,A105)&gt;1,"Référence en double",IF(C105="","Unité manquante",IF(D105="","Prix manquant",IF(AND(D105&lt;&gt;"",OR(NOT(ISNUMBER(D105)),N(D105)&lt;0)),"Prix invalide",IF(AND(E105&lt;&gt;"",OR(NOT(ISNUMBER(E105)),N(E105)&lt;0,N(E105)&gt;=1)),"Perte entre 0 et 99 %","OK")))))))</f>
        <v/>
      </c>
    </row>
    <row r="106">
      <c r="A106" s="60" t="n"/>
      <c r="B106" s="60" t="n"/>
      <c r="C106" s="61" t="n"/>
      <c r="D106" s="64" t="n"/>
      <c r="E106" s="65" t="n"/>
      <c r="F106" s="60" t="n"/>
      <c r="G106" s="100" t="n"/>
      <c r="H106" s="69" t="str">
        <f>IF(A106="","",IF(NOT(ISNUMBER(G106)),"Date à saisir",IF(EDATE(G106,N(p_age))&lt;TODAY(),"Ancien","À jour")))</f>
        <v/>
      </c>
      <c r="I106" s="69" t="str">
        <f>IF(AND(A106="",COUNTA(B106:G106)=0),"",IF(A106="","Référence manquante",IF(COUNTIF($A$6:$A$505,A106)&gt;1,"Référence en double",IF(C106="","Unité manquante",IF(D106="","Prix manquant",IF(AND(D106&lt;&gt;"",OR(NOT(ISNUMBER(D106)),N(D106)&lt;0)),"Prix invalide",IF(AND(E106&lt;&gt;"",OR(NOT(ISNUMBER(E106)),N(E106)&lt;0,N(E106)&gt;=1)),"Perte entre 0 et 99 %","OK")))))))</f>
        <v/>
      </c>
    </row>
    <row r="107">
      <c r="A107" s="60" t="n"/>
      <c r="B107" s="60" t="n"/>
      <c r="C107" s="61" t="n"/>
      <c r="D107" s="64" t="n"/>
      <c r="E107" s="65" t="n"/>
      <c r="F107" s="60" t="n"/>
      <c r="G107" s="100" t="n"/>
      <c r="H107" s="69" t="str">
        <f>IF(A107="","",IF(NOT(ISNUMBER(G107)),"Date à saisir",IF(EDATE(G107,N(p_age))&lt;TODAY(),"Ancien","À jour")))</f>
        <v/>
      </c>
      <c r="I107" s="69" t="str">
        <f>IF(AND(A107="",COUNTA(B107:G107)=0),"",IF(A107="","Référence manquante",IF(COUNTIF($A$6:$A$505,A107)&gt;1,"Référence en double",IF(C107="","Unité manquante",IF(D107="","Prix manquant",IF(AND(D107&lt;&gt;"",OR(NOT(ISNUMBER(D107)),N(D107)&lt;0)),"Prix invalide",IF(AND(E107&lt;&gt;"",OR(NOT(ISNUMBER(E107)),N(E107)&lt;0,N(E107)&gt;=1)),"Perte entre 0 et 99 %","OK")))))))</f>
        <v/>
      </c>
    </row>
    <row r="108">
      <c r="A108" s="60" t="n"/>
      <c r="B108" s="60" t="n"/>
      <c r="C108" s="61" t="n"/>
      <c r="D108" s="64" t="n"/>
      <c r="E108" s="65" t="n"/>
      <c r="F108" s="60" t="n"/>
      <c r="G108" s="100" t="n"/>
      <c r="H108" s="69" t="str">
        <f>IF(A108="","",IF(NOT(ISNUMBER(G108)),"Date à saisir",IF(EDATE(G108,N(p_age))&lt;TODAY(),"Ancien","À jour")))</f>
        <v/>
      </c>
      <c r="I108" s="69" t="str">
        <f>IF(AND(A108="",COUNTA(B108:G108)=0),"",IF(A108="","Référence manquante",IF(COUNTIF($A$6:$A$505,A108)&gt;1,"Référence en double",IF(C108="","Unité manquante",IF(D108="","Prix manquant",IF(AND(D108&lt;&gt;"",OR(NOT(ISNUMBER(D108)),N(D108)&lt;0)),"Prix invalide",IF(AND(E108&lt;&gt;"",OR(NOT(ISNUMBER(E108)),N(E108)&lt;0,N(E108)&gt;=1)),"Perte entre 0 et 99 %","OK")))))))</f>
        <v/>
      </c>
    </row>
    <row r="109">
      <c r="A109" s="60" t="n"/>
      <c r="B109" s="60" t="n"/>
      <c r="C109" s="61" t="n"/>
      <c r="D109" s="64" t="n"/>
      <c r="E109" s="65" t="n"/>
      <c r="F109" s="60" t="n"/>
      <c r="G109" s="100" t="n"/>
      <c r="H109" s="69" t="str">
        <f>IF(A109="","",IF(NOT(ISNUMBER(G109)),"Date à saisir",IF(EDATE(G109,N(p_age))&lt;TODAY(),"Ancien","À jour")))</f>
        <v/>
      </c>
      <c r="I109" s="69" t="str">
        <f>IF(AND(A109="",COUNTA(B109:G109)=0),"",IF(A109="","Référence manquante",IF(COUNTIF($A$6:$A$505,A109)&gt;1,"Référence en double",IF(C109="","Unité manquante",IF(D109="","Prix manquant",IF(AND(D109&lt;&gt;"",OR(NOT(ISNUMBER(D109)),N(D109)&lt;0)),"Prix invalide",IF(AND(E109&lt;&gt;"",OR(NOT(ISNUMBER(E109)),N(E109)&lt;0,N(E109)&gt;=1)),"Perte entre 0 et 99 %","OK")))))))</f>
        <v/>
      </c>
    </row>
    <row r="110">
      <c r="A110" s="60" t="n"/>
      <c r="B110" s="60" t="n"/>
      <c r="C110" s="61" t="n"/>
      <c r="D110" s="64" t="n"/>
      <c r="E110" s="65" t="n"/>
      <c r="F110" s="60" t="n"/>
      <c r="G110" s="100" t="n"/>
      <c r="H110" s="69" t="str">
        <f>IF(A110="","",IF(NOT(ISNUMBER(G110)),"Date à saisir",IF(EDATE(G110,N(p_age))&lt;TODAY(),"Ancien","À jour")))</f>
        <v/>
      </c>
      <c r="I110" s="69" t="str">
        <f>IF(AND(A110="",COUNTA(B110:G110)=0),"",IF(A110="","Référence manquante",IF(COUNTIF($A$6:$A$505,A110)&gt;1,"Référence en double",IF(C110="","Unité manquante",IF(D110="","Prix manquant",IF(AND(D110&lt;&gt;"",OR(NOT(ISNUMBER(D110)),N(D110)&lt;0)),"Prix invalide",IF(AND(E110&lt;&gt;"",OR(NOT(ISNUMBER(E110)),N(E110)&lt;0,N(E110)&gt;=1)),"Perte entre 0 et 99 %","OK")))))))</f>
        <v/>
      </c>
    </row>
    <row r="111">
      <c r="A111" s="60" t="n"/>
      <c r="B111" s="60" t="n"/>
      <c r="C111" s="61" t="n"/>
      <c r="D111" s="64" t="n"/>
      <c r="E111" s="65" t="n"/>
      <c r="F111" s="60" t="n"/>
      <c r="G111" s="100" t="n"/>
      <c r="H111" s="69" t="str">
        <f>IF(A111="","",IF(NOT(ISNUMBER(G111)),"Date à saisir",IF(EDATE(G111,N(p_age))&lt;TODAY(),"Ancien","À jour")))</f>
        <v/>
      </c>
      <c r="I111" s="69" t="str">
        <f>IF(AND(A111="",COUNTA(B111:G111)=0),"",IF(A111="","Référence manquante",IF(COUNTIF($A$6:$A$505,A111)&gt;1,"Référence en double",IF(C111="","Unité manquante",IF(D111="","Prix manquant",IF(AND(D111&lt;&gt;"",OR(NOT(ISNUMBER(D111)),N(D111)&lt;0)),"Prix invalide",IF(AND(E111&lt;&gt;"",OR(NOT(ISNUMBER(E111)),N(E111)&lt;0,N(E111)&gt;=1)),"Perte entre 0 et 99 %","OK")))))))</f>
        <v/>
      </c>
    </row>
    <row r="112">
      <c r="A112" s="60" t="n"/>
      <c r="B112" s="60" t="n"/>
      <c r="C112" s="61" t="n"/>
      <c r="D112" s="64" t="n"/>
      <c r="E112" s="65" t="n"/>
      <c r="F112" s="60" t="n"/>
      <c r="G112" s="100" t="n"/>
      <c r="H112" s="69" t="str">
        <f>IF(A112="","",IF(NOT(ISNUMBER(G112)),"Date à saisir",IF(EDATE(G112,N(p_age))&lt;TODAY(),"Ancien","À jour")))</f>
        <v/>
      </c>
      <c r="I112" s="69" t="str">
        <f>IF(AND(A112="",COUNTA(B112:G112)=0),"",IF(A112="","Référence manquante",IF(COUNTIF($A$6:$A$505,A112)&gt;1,"Référence en double",IF(C112="","Unité manquante",IF(D112="","Prix manquant",IF(AND(D112&lt;&gt;"",OR(NOT(ISNUMBER(D112)),N(D112)&lt;0)),"Prix invalide",IF(AND(E112&lt;&gt;"",OR(NOT(ISNUMBER(E112)),N(E112)&lt;0,N(E112)&gt;=1)),"Perte entre 0 et 99 %","OK")))))))</f>
        <v/>
      </c>
    </row>
    <row r="113">
      <c r="A113" s="60" t="n"/>
      <c r="B113" s="60" t="n"/>
      <c r="C113" s="61" t="n"/>
      <c r="D113" s="64" t="n"/>
      <c r="E113" s="65" t="n"/>
      <c r="F113" s="60" t="n"/>
      <c r="G113" s="100" t="n"/>
      <c r="H113" s="69" t="str">
        <f>IF(A113="","",IF(NOT(ISNUMBER(G113)),"Date à saisir",IF(EDATE(G113,N(p_age))&lt;TODAY(),"Ancien","À jour")))</f>
        <v/>
      </c>
      <c r="I113" s="69" t="str">
        <f>IF(AND(A113="",COUNTA(B113:G113)=0),"",IF(A113="","Référence manquante",IF(COUNTIF($A$6:$A$505,A113)&gt;1,"Référence en double",IF(C113="","Unité manquante",IF(D113="","Prix manquant",IF(AND(D113&lt;&gt;"",OR(NOT(ISNUMBER(D113)),N(D113)&lt;0)),"Prix invalide",IF(AND(E113&lt;&gt;"",OR(NOT(ISNUMBER(E113)),N(E113)&lt;0,N(E113)&gt;=1)),"Perte entre 0 et 99 %","OK")))))))</f>
        <v/>
      </c>
    </row>
    <row r="114">
      <c r="A114" s="60" t="n"/>
      <c r="B114" s="60" t="n"/>
      <c r="C114" s="61" t="n"/>
      <c r="D114" s="64" t="n"/>
      <c r="E114" s="65" t="n"/>
      <c r="F114" s="60" t="n"/>
      <c r="G114" s="100" t="n"/>
      <c r="H114" s="69" t="str">
        <f>IF(A114="","",IF(NOT(ISNUMBER(G114)),"Date à saisir",IF(EDATE(G114,N(p_age))&lt;TODAY(),"Ancien","À jour")))</f>
        <v/>
      </c>
      <c r="I114" s="69" t="str">
        <f>IF(AND(A114="",COUNTA(B114:G114)=0),"",IF(A114="","Référence manquante",IF(COUNTIF($A$6:$A$505,A114)&gt;1,"Référence en double",IF(C114="","Unité manquante",IF(D114="","Prix manquant",IF(AND(D114&lt;&gt;"",OR(NOT(ISNUMBER(D114)),N(D114)&lt;0)),"Prix invalide",IF(AND(E114&lt;&gt;"",OR(NOT(ISNUMBER(E114)),N(E114)&lt;0,N(E114)&gt;=1)),"Perte entre 0 et 99 %","OK")))))))</f>
        <v/>
      </c>
    </row>
    <row r="115">
      <c r="A115" s="60" t="n"/>
      <c r="B115" s="60" t="n"/>
      <c r="C115" s="61" t="n"/>
      <c r="D115" s="64" t="n"/>
      <c r="E115" s="65" t="n"/>
      <c r="F115" s="60" t="n"/>
      <c r="G115" s="100" t="n"/>
      <c r="H115" s="69" t="str">
        <f>IF(A115="","",IF(NOT(ISNUMBER(G115)),"Date à saisir",IF(EDATE(G115,N(p_age))&lt;TODAY(),"Ancien","À jour")))</f>
        <v/>
      </c>
      <c r="I115" s="69" t="str">
        <f>IF(AND(A115="",COUNTA(B115:G115)=0),"",IF(A115="","Référence manquante",IF(COUNTIF($A$6:$A$505,A115)&gt;1,"Référence en double",IF(C115="","Unité manquante",IF(D115="","Prix manquant",IF(AND(D115&lt;&gt;"",OR(NOT(ISNUMBER(D115)),N(D115)&lt;0)),"Prix invalide",IF(AND(E115&lt;&gt;"",OR(NOT(ISNUMBER(E115)),N(E115)&lt;0,N(E115)&gt;=1)),"Perte entre 0 et 99 %","OK")))))))</f>
        <v/>
      </c>
    </row>
    <row r="116">
      <c r="A116" s="60" t="n"/>
      <c r="B116" s="60" t="n"/>
      <c r="C116" s="61" t="n"/>
      <c r="D116" s="64" t="n"/>
      <c r="E116" s="65" t="n"/>
      <c r="F116" s="60" t="n"/>
      <c r="G116" s="100" t="n"/>
      <c r="H116" s="69" t="str">
        <f>IF(A116="","",IF(NOT(ISNUMBER(G116)),"Date à saisir",IF(EDATE(G116,N(p_age))&lt;TODAY(),"Ancien","À jour")))</f>
        <v/>
      </c>
      <c r="I116" s="69" t="str">
        <f>IF(AND(A116="",COUNTA(B116:G116)=0),"",IF(A116="","Référence manquante",IF(COUNTIF($A$6:$A$505,A116)&gt;1,"Référence en double",IF(C116="","Unité manquante",IF(D116="","Prix manquant",IF(AND(D116&lt;&gt;"",OR(NOT(ISNUMBER(D116)),N(D116)&lt;0)),"Prix invalide",IF(AND(E116&lt;&gt;"",OR(NOT(ISNUMBER(E116)),N(E116)&lt;0,N(E116)&gt;=1)),"Perte entre 0 et 99 %","OK")))))))</f>
        <v/>
      </c>
    </row>
    <row r="117">
      <c r="A117" s="60" t="n"/>
      <c r="B117" s="60" t="n"/>
      <c r="C117" s="61" t="n"/>
      <c r="D117" s="64" t="n"/>
      <c r="E117" s="65" t="n"/>
      <c r="F117" s="60" t="n"/>
      <c r="G117" s="100" t="n"/>
      <c r="H117" s="69" t="str">
        <f>IF(A117="","",IF(NOT(ISNUMBER(G117)),"Date à saisir",IF(EDATE(G117,N(p_age))&lt;TODAY(),"Ancien","À jour")))</f>
        <v/>
      </c>
      <c r="I117" s="69" t="str">
        <f>IF(AND(A117="",COUNTA(B117:G117)=0),"",IF(A117="","Référence manquante",IF(COUNTIF($A$6:$A$505,A117)&gt;1,"Référence en double",IF(C117="","Unité manquante",IF(D117="","Prix manquant",IF(AND(D117&lt;&gt;"",OR(NOT(ISNUMBER(D117)),N(D117)&lt;0)),"Prix invalide",IF(AND(E117&lt;&gt;"",OR(NOT(ISNUMBER(E117)),N(E117)&lt;0,N(E117)&gt;=1)),"Perte entre 0 et 99 %","OK")))))))</f>
        <v/>
      </c>
    </row>
    <row r="118">
      <c r="A118" s="60" t="n"/>
      <c r="B118" s="60" t="n"/>
      <c r="C118" s="61" t="n"/>
      <c r="D118" s="64" t="n"/>
      <c r="E118" s="65" t="n"/>
      <c r="F118" s="60" t="n"/>
      <c r="G118" s="100" t="n"/>
      <c r="H118" s="69" t="str">
        <f>IF(A118="","",IF(NOT(ISNUMBER(G118)),"Date à saisir",IF(EDATE(G118,N(p_age))&lt;TODAY(),"Ancien","À jour")))</f>
        <v/>
      </c>
      <c r="I118" s="69" t="str">
        <f>IF(AND(A118="",COUNTA(B118:G118)=0),"",IF(A118="","Référence manquante",IF(COUNTIF($A$6:$A$505,A118)&gt;1,"Référence en double",IF(C118="","Unité manquante",IF(D118="","Prix manquant",IF(AND(D118&lt;&gt;"",OR(NOT(ISNUMBER(D118)),N(D118)&lt;0)),"Prix invalide",IF(AND(E118&lt;&gt;"",OR(NOT(ISNUMBER(E118)),N(E118)&lt;0,N(E118)&gt;=1)),"Perte entre 0 et 99 %","OK")))))))</f>
        <v/>
      </c>
    </row>
    <row r="119">
      <c r="A119" s="60" t="n"/>
      <c r="B119" s="60" t="n"/>
      <c r="C119" s="61" t="n"/>
      <c r="D119" s="64" t="n"/>
      <c r="E119" s="65" t="n"/>
      <c r="F119" s="60" t="n"/>
      <c r="G119" s="100" t="n"/>
      <c r="H119" s="69" t="str">
        <f>IF(A119="","",IF(NOT(ISNUMBER(G119)),"Date à saisir",IF(EDATE(G119,N(p_age))&lt;TODAY(),"Ancien","À jour")))</f>
        <v/>
      </c>
      <c r="I119" s="69" t="str">
        <f>IF(AND(A119="",COUNTA(B119:G119)=0),"",IF(A119="","Référence manquante",IF(COUNTIF($A$6:$A$505,A119)&gt;1,"Référence en double",IF(C119="","Unité manquante",IF(D119="","Prix manquant",IF(AND(D119&lt;&gt;"",OR(NOT(ISNUMBER(D119)),N(D119)&lt;0)),"Prix invalide",IF(AND(E119&lt;&gt;"",OR(NOT(ISNUMBER(E119)),N(E119)&lt;0,N(E119)&gt;=1)),"Perte entre 0 et 99 %","OK")))))))</f>
        <v/>
      </c>
    </row>
    <row r="120">
      <c r="A120" s="60" t="n"/>
      <c r="B120" s="60" t="n"/>
      <c r="C120" s="61" t="n"/>
      <c r="D120" s="64" t="n"/>
      <c r="E120" s="65" t="n"/>
      <c r="F120" s="60" t="n"/>
      <c r="G120" s="100" t="n"/>
      <c r="H120" s="69" t="str">
        <f>IF(A120="","",IF(NOT(ISNUMBER(G120)),"Date à saisir",IF(EDATE(G120,N(p_age))&lt;TODAY(),"Ancien","À jour")))</f>
        <v/>
      </c>
      <c r="I120" s="69" t="str">
        <f>IF(AND(A120="",COUNTA(B120:G120)=0),"",IF(A120="","Référence manquante",IF(COUNTIF($A$6:$A$505,A120)&gt;1,"Référence en double",IF(C120="","Unité manquante",IF(D120="","Prix manquant",IF(AND(D120&lt;&gt;"",OR(NOT(ISNUMBER(D120)),N(D120)&lt;0)),"Prix invalide",IF(AND(E120&lt;&gt;"",OR(NOT(ISNUMBER(E120)),N(E120)&lt;0,N(E120)&gt;=1)),"Perte entre 0 et 99 %","OK")))))))</f>
        <v/>
      </c>
    </row>
    <row r="121">
      <c r="A121" s="60" t="n"/>
      <c r="B121" s="60" t="n"/>
      <c r="C121" s="61" t="n"/>
      <c r="D121" s="64" t="n"/>
      <c r="E121" s="65" t="n"/>
      <c r="F121" s="60" t="n"/>
      <c r="G121" s="100" t="n"/>
      <c r="H121" s="69" t="str">
        <f>IF(A121="","",IF(NOT(ISNUMBER(G121)),"Date à saisir",IF(EDATE(G121,N(p_age))&lt;TODAY(),"Ancien","À jour")))</f>
        <v/>
      </c>
      <c r="I121" s="69" t="str">
        <f>IF(AND(A121="",COUNTA(B121:G121)=0),"",IF(A121="","Référence manquante",IF(COUNTIF($A$6:$A$505,A121)&gt;1,"Référence en double",IF(C121="","Unité manquante",IF(D121="","Prix manquant",IF(AND(D121&lt;&gt;"",OR(NOT(ISNUMBER(D121)),N(D121)&lt;0)),"Prix invalide",IF(AND(E121&lt;&gt;"",OR(NOT(ISNUMBER(E121)),N(E121)&lt;0,N(E121)&gt;=1)),"Perte entre 0 et 99 %","OK")))))))</f>
        <v/>
      </c>
    </row>
    <row r="122">
      <c r="A122" s="60" t="n"/>
      <c r="B122" s="60" t="n"/>
      <c r="C122" s="61" t="n"/>
      <c r="D122" s="64" t="n"/>
      <c r="E122" s="65" t="n"/>
      <c r="F122" s="60" t="n"/>
      <c r="G122" s="100" t="n"/>
      <c r="H122" s="69" t="str">
        <f>IF(A122="","",IF(NOT(ISNUMBER(G122)),"Date à saisir",IF(EDATE(G122,N(p_age))&lt;TODAY(),"Ancien","À jour")))</f>
        <v/>
      </c>
      <c r="I122" s="69" t="str">
        <f>IF(AND(A122="",COUNTA(B122:G122)=0),"",IF(A122="","Référence manquante",IF(COUNTIF($A$6:$A$505,A122)&gt;1,"Référence en double",IF(C122="","Unité manquante",IF(D122="","Prix manquant",IF(AND(D122&lt;&gt;"",OR(NOT(ISNUMBER(D122)),N(D122)&lt;0)),"Prix invalide",IF(AND(E122&lt;&gt;"",OR(NOT(ISNUMBER(E122)),N(E122)&lt;0,N(E122)&gt;=1)),"Perte entre 0 et 99 %","OK")))))))</f>
        <v/>
      </c>
    </row>
    <row r="123">
      <c r="A123" s="60" t="n"/>
      <c r="B123" s="60" t="n"/>
      <c r="C123" s="61" t="n"/>
      <c r="D123" s="64" t="n"/>
      <c r="E123" s="65" t="n"/>
      <c r="F123" s="60" t="n"/>
      <c r="G123" s="100" t="n"/>
      <c r="H123" s="69" t="str">
        <f>IF(A123="","",IF(NOT(ISNUMBER(G123)),"Date à saisir",IF(EDATE(G123,N(p_age))&lt;TODAY(),"Ancien","À jour")))</f>
        <v/>
      </c>
      <c r="I123" s="69" t="str">
        <f>IF(AND(A123="",COUNTA(B123:G123)=0),"",IF(A123="","Référence manquante",IF(COUNTIF($A$6:$A$505,A123)&gt;1,"Référence en double",IF(C123="","Unité manquante",IF(D123="","Prix manquant",IF(AND(D123&lt;&gt;"",OR(NOT(ISNUMBER(D123)),N(D123)&lt;0)),"Prix invalide",IF(AND(E123&lt;&gt;"",OR(NOT(ISNUMBER(E123)),N(E123)&lt;0,N(E123)&gt;=1)),"Perte entre 0 et 99 %","OK")))))))</f>
        <v/>
      </c>
    </row>
    <row r="124">
      <c r="A124" s="60" t="n"/>
      <c r="B124" s="60" t="n"/>
      <c r="C124" s="61" t="n"/>
      <c r="D124" s="64" t="n"/>
      <c r="E124" s="65" t="n"/>
      <c r="F124" s="60" t="n"/>
      <c r="G124" s="100" t="n"/>
      <c r="H124" s="69" t="str">
        <f>IF(A124="","",IF(NOT(ISNUMBER(G124)),"Date à saisir",IF(EDATE(G124,N(p_age))&lt;TODAY(),"Ancien","À jour")))</f>
        <v/>
      </c>
      <c r="I124" s="69" t="str">
        <f>IF(AND(A124="",COUNTA(B124:G124)=0),"",IF(A124="","Référence manquante",IF(COUNTIF($A$6:$A$505,A124)&gt;1,"Référence en double",IF(C124="","Unité manquante",IF(D124="","Prix manquant",IF(AND(D124&lt;&gt;"",OR(NOT(ISNUMBER(D124)),N(D124)&lt;0)),"Prix invalide",IF(AND(E124&lt;&gt;"",OR(NOT(ISNUMBER(E124)),N(E124)&lt;0,N(E124)&gt;=1)),"Perte entre 0 et 99 %","OK")))))))</f>
        <v/>
      </c>
    </row>
    <row r="125">
      <c r="A125" s="60" t="n"/>
      <c r="B125" s="60" t="n"/>
      <c r="C125" s="61" t="n"/>
      <c r="D125" s="64" t="n"/>
      <c r="E125" s="65" t="n"/>
      <c r="F125" s="60" t="n"/>
      <c r="G125" s="100" t="n"/>
      <c r="H125" s="69" t="str">
        <f>IF(A125="","",IF(NOT(ISNUMBER(G125)),"Date à saisir",IF(EDATE(G125,N(p_age))&lt;TODAY(),"Ancien","À jour")))</f>
        <v/>
      </c>
      <c r="I125" s="69" t="str">
        <f>IF(AND(A125="",COUNTA(B125:G125)=0),"",IF(A125="","Référence manquante",IF(COUNTIF($A$6:$A$505,A125)&gt;1,"Référence en double",IF(C125="","Unité manquante",IF(D125="","Prix manquant",IF(AND(D125&lt;&gt;"",OR(NOT(ISNUMBER(D125)),N(D125)&lt;0)),"Prix invalide",IF(AND(E125&lt;&gt;"",OR(NOT(ISNUMBER(E125)),N(E125)&lt;0,N(E125)&gt;=1)),"Perte entre 0 et 99 %","OK")))))))</f>
        <v/>
      </c>
    </row>
    <row r="126">
      <c r="A126" s="60" t="n"/>
      <c r="B126" s="60" t="n"/>
      <c r="C126" s="61" t="n"/>
      <c r="D126" s="64" t="n"/>
      <c r="E126" s="65" t="n"/>
      <c r="F126" s="60" t="n"/>
      <c r="G126" s="100" t="n"/>
      <c r="H126" s="69" t="str">
        <f>IF(A126="","",IF(NOT(ISNUMBER(G126)),"Date à saisir",IF(EDATE(G126,N(p_age))&lt;TODAY(),"Ancien","À jour")))</f>
        <v/>
      </c>
      <c r="I126" s="69" t="str">
        <f>IF(AND(A126="",COUNTA(B126:G126)=0),"",IF(A126="","Référence manquante",IF(COUNTIF($A$6:$A$505,A126)&gt;1,"Référence en double",IF(C126="","Unité manquante",IF(D126="","Prix manquant",IF(AND(D126&lt;&gt;"",OR(NOT(ISNUMBER(D126)),N(D126)&lt;0)),"Prix invalide",IF(AND(E126&lt;&gt;"",OR(NOT(ISNUMBER(E126)),N(E126)&lt;0,N(E126)&gt;=1)),"Perte entre 0 et 99 %","OK")))))))</f>
        <v/>
      </c>
    </row>
    <row r="127">
      <c r="A127" s="60" t="n"/>
      <c r="B127" s="60" t="n"/>
      <c r="C127" s="61" t="n"/>
      <c r="D127" s="64" t="n"/>
      <c r="E127" s="65" t="n"/>
      <c r="F127" s="60" t="n"/>
      <c r="G127" s="100" t="n"/>
      <c r="H127" s="69" t="str">
        <f>IF(A127="","",IF(NOT(ISNUMBER(G127)),"Date à saisir",IF(EDATE(G127,N(p_age))&lt;TODAY(),"Ancien","À jour")))</f>
        <v/>
      </c>
      <c r="I127" s="69" t="str">
        <f>IF(AND(A127="",COUNTA(B127:G127)=0),"",IF(A127="","Référence manquante",IF(COUNTIF($A$6:$A$505,A127)&gt;1,"Référence en double",IF(C127="","Unité manquante",IF(D127="","Prix manquant",IF(AND(D127&lt;&gt;"",OR(NOT(ISNUMBER(D127)),N(D127)&lt;0)),"Prix invalide",IF(AND(E127&lt;&gt;"",OR(NOT(ISNUMBER(E127)),N(E127)&lt;0,N(E127)&gt;=1)),"Perte entre 0 et 99 %","OK")))))))</f>
        <v/>
      </c>
    </row>
    <row r="128">
      <c r="A128" s="60" t="n"/>
      <c r="B128" s="60" t="n"/>
      <c r="C128" s="61" t="n"/>
      <c r="D128" s="64" t="n"/>
      <c r="E128" s="65" t="n"/>
      <c r="F128" s="60" t="n"/>
      <c r="G128" s="100" t="n"/>
      <c r="H128" s="69" t="str">
        <f>IF(A128="","",IF(NOT(ISNUMBER(G128)),"Date à saisir",IF(EDATE(G128,N(p_age))&lt;TODAY(),"Ancien","À jour")))</f>
        <v/>
      </c>
      <c r="I128" s="69" t="str">
        <f>IF(AND(A128="",COUNTA(B128:G128)=0),"",IF(A128="","Référence manquante",IF(COUNTIF($A$6:$A$505,A128)&gt;1,"Référence en double",IF(C128="","Unité manquante",IF(D128="","Prix manquant",IF(AND(D128&lt;&gt;"",OR(NOT(ISNUMBER(D128)),N(D128)&lt;0)),"Prix invalide",IF(AND(E128&lt;&gt;"",OR(NOT(ISNUMBER(E128)),N(E128)&lt;0,N(E128)&gt;=1)),"Perte entre 0 et 99 %","OK")))))))</f>
        <v/>
      </c>
    </row>
    <row r="129">
      <c r="A129" s="60" t="n"/>
      <c r="B129" s="60" t="n"/>
      <c r="C129" s="61" t="n"/>
      <c r="D129" s="64" t="n"/>
      <c r="E129" s="65" t="n"/>
      <c r="F129" s="60" t="n"/>
      <c r="G129" s="100" t="n"/>
      <c r="H129" s="69" t="str">
        <f>IF(A129="","",IF(NOT(ISNUMBER(G129)),"Date à saisir",IF(EDATE(G129,N(p_age))&lt;TODAY(),"Ancien","À jour")))</f>
        <v/>
      </c>
      <c r="I129" s="69" t="str">
        <f>IF(AND(A129="",COUNTA(B129:G129)=0),"",IF(A129="","Référence manquante",IF(COUNTIF($A$6:$A$505,A129)&gt;1,"Référence en double",IF(C129="","Unité manquante",IF(D129="","Prix manquant",IF(AND(D129&lt;&gt;"",OR(NOT(ISNUMBER(D129)),N(D129)&lt;0)),"Prix invalide",IF(AND(E129&lt;&gt;"",OR(NOT(ISNUMBER(E129)),N(E129)&lt;0,N(E129)&gt;=1)),"Perte entre 0 et 99 %","OK")))))))</f>
        <v/>
      </c>
    </row>
    <row r="130">
      <c r="A130" s="60" t="n"/>
      <c r="B130" s="60" t="n"/>
      <c r="C130" s="61" t="n"/>
      <c r="D130" s="64" t="n"/>
      <c r="E130" s="65" t="n"/>
      <c r="F130" s="60" t="n"/>
      <c r="G130" s="100" t="n"/>
      <c r="H130" s="69" t="str">
        <f>IF(A130="","",IF(NOT(ISNUMBER(G130)),"Date à saisir",IF(EDATE(G130,N(p_age))&lt;TODAY(),"Ancien","À jour")))</f>
        <v/>
      </c>
      <c r="I130" s="69" t="str">
        <f>IF(AND(A130="",COUNTA(B130:G130)=0),"",IF(A130="","Référence manquante",IF(COUNTIF($A$6:$A$505,A130)&gt;1,"Référence en double",IF(C130="","Unité manquante",IF(D130="","Prix manquant",IF(AND(D130&lt;&gt;"",OR(NOT(ISNUMBER(D130)),N(D130)&lt;0)),"Prix invalide",IF(AND(E130&lt;&gt;"",OR(NOT(ISNUMBER(E130)),N(E130)&lt;0,N(E130)&gt;=1)),"Perte entre 0 et 99 %","OK")))))))</f>
        <v/>
      </c>
    </row>
    <row r="131">
      <c r="A131" s="60" t="n"/>
      <c r="B131" s="60" t="n"/>
      <c r="C131" s="61" t="n"/>
      <c r="D131" s="64" t="n"/>
      <c r="E131" s="65" t="n"/>
      <c r="F131" s="60" t="n"/>
      <c r="G131" s="100" t="n"/>
      <c r="H131" s="69" t="str">
        <f>IF(A131="","",IF(NOT(ISNUMBER(G131)),"Date à saisir",IF(EDATE(G131,N(p_age))&lt;TODAY(),"Ancien","À jour")))</f>
        <v/>
      </c>
      <c r="I131" s="69" t="str">
        <f>IF(AND(A131="",COUNTA(B131:G131)=0),"",IF(A131="","Référence manquante",IF(COUNTIF($A$6:$A$505,A131)&gt;1,"Référence en double",IF(C131="","Unité manquante",IF(D131="","Prix manquant",IF(AND(D131&lt;&gt;"",OR(NOT(ISNUMBER(D131)),N(D131)&lt;0)),"Prix invalide",IF(AND(E131&lt;&gt;"",OR(NOT(ISNUMBER(E131)),N(E131)&lt;0,N(E131)&gt;=1)),"Perte entre 0 et 99 %","OK")))))))</f>
        <v/>
      </c>
    </row>
    <row r="132">
      <c r="A132" s="60" t="n"/>
      <c r="B132" s="60" t="n"/>
      <c r="C132" s="61" t="n"/>
      <c r="D132" s="64" t="n"/>
      <c r="E132" s="65" t="n"/>
      <c r="F132" s="60" t="n"/>
      <c r="G132" s="100" t="n"/>
      <c r="H132" s="69" t="str">
        <f>IF(A132="","",IF(NOT(ISNUMBER(G132)),"Date à saisir",IF(EDATE(G132,N(p_age))&lt;TODAY(),"Ancien","À jour")))</f>
        <v/>
      </c>
      <c r="I132" s="69" t="str">
        <f>IF(AND(A132="",COUNTA(B132:G132)=0),"",IF(A132="","Référence manquante",IF(COUNTIF($A$6:$A$505,A132)&gt;1,"Référence en double",IF(C132="","Unité manquante",IF(D132="","Prix manquant",IF(AND(D132&lt;&gt;"",OR(NOT(ISNUMBER(D132)),N(D132)&lt;0)),"Prix invalide",IF(AND(E132&lt;&gt;"",OR(NOT(ISNUMBER(E132)),N(E132)&lt;0,N(E132)&gt;=1)),"Perte entre 0 et 99 %","OK")))))))</f>
        <v/>
      </c>
    </row>
    <row r="133">
      <c r="A133" s="60" t="n"/>
      <c r="B133" s="60" t="n"/>
      <c r="C133" s="61" t="n"/>
      <c r="D133" s="64" t="n"/>
      <c r="E133" s="65" t="n"/>
      <c r="F133" s="60" t="n"/>
      <c r="G133" s="100" t="n"/>
      <c r="H133" s="69" t="str">
        <f>IF(A133="","",IF(NOT(ISNUMBER(G133)),"Date à saisir",IF(EDATE(G133,N(p_age))&lt;TODAY(),"Ancien","À jour")))</f>
        <v/>
      </c>
      <c r="I133" s="69" t="str">
        <f>IF(AND(A133="",COUNTA(B133:G133)=0),"",IF(A133="","Référence manquante",IF(COUNTIF($A$6:$A$505,A133)&gt;1,"Référence en double",IF(C133="","Unité manquante",IF(D133="","Prix manquant",IF(AND(D133&lt;&gt;"",OR(NOT(ISNUMBER(D133)),N(D133)&lt;0)),"Prix invalide",IF(AND(E133&lt;&gt;"",OR(NOT(ISNUMBER(E133)),N(E133)&lt;0,N(E133)&gt;=1)),"Perte entre 0 et 99 %","OK")))))))</f>
        <v/>
      </c>
    </row>
    <row r="134">
      <c r="A134" s="60" t="n"/>
      <c r="B134" s="60" t="n"/>
      <c r="C134" s="61" t="n"/>
      <c r="D134" s="64" t="n"/>
      <c r="E134" s="65" t="n"/>
      <c r="F134" s="60" t="n"/>
      <c r="G134" s="100" t="n"/>
      <c r="H134" s="69" t="str">
        <f>IF(A134="","",IF(NOT(ISNUMBER(G134)),"Date à saisir",IF(EDATE(G134,N(p_age))&lt;TODAY(),"Ancien","À jour")))</f>
        <v/>
      </c>
      <c r="I134" s="69" t="str">
        <f>IF(AND(A134="",COUNTA(B134:G134)=0),"",IF(A134="","Référence manquante",IF(COUNTIF($A$6:$A$505,A134)&gt;1,"Référence en double",IF(C134="","Unité manquante",IF(D134="","Prix manquant",IF(AND(D134&lt;&gt;"",OR(NOT(ISNUMBER(D134)),N(D134)&lt;0)),"Prix invalide",IF(AND(E134&lt;&gt;"",OR(NOT(ISNUMBER(E134)),N(E134)&lt;0,N(E134)&gt;=1)),"Perte entre 0 et 99 %","OK")))))))</f>
        <v/>
      </c>
    </row>
    <row r="135">
      <c r="A135" s="60" t="n"/>
      <c r="B135" s="60" t="n"/>
      <c r="C135" s="61" t="n"/>
      <c r="D135" s="64" t="n"/>
      <c r="E135" s="65" t="n"/>
      <c r="F135" s="60" t="n"/>
      <c r="G135" s="100" t="n"/>
      <c r="H135" s="69" t="str">
        <f>IF(A135="","",IF(NOT(ISNUMBER(G135)),"Date à saisir",IF(EDATE(G135,N(p_age))&lt;TODAY(),"Ancien","À jour")))</f>
        <v/>
      </c>
      <c r="I135" s="69" t="str">
        <f>IF(AND(A135="",COUNTA(B135:G135)=0),"",IF(A135="","Référence manquante",IF(COUNTIF($A$6:$A$505,A135)&gt;1,"Référence en double",IF(C135="","Unité manquante",IF(D135="","Prix manquant",IF(AND(D135&lt;&gt;"",OR(NOT(ISNUMBER(D135)),N(D135)&lt;0)),"Prix invalide",IF(AND(E135&lt;&gt;"",OR(NOT(ISNUMBER(E135)),N(E135)&lt;0,N(E135)&gt;=1)),"Perte entre 0 et 99 %","OK")))))))</f>
        <v/>
      </c>
    </row>
    <row r="136">
      <c r="A136" s="60" t="n"/>
      <c r="B136" s="60" t="n"/>
      <c r="C136" s="61" t="n"/>
      <c r="D136" s="64" t="n"/>
      <c r="E136" s="65" t="n"/>
      <c r="F136" s="60" t="n"/>
      <c r="G136" s="100" t="n"/>
      <c r="H136" s="69" t="str">
        <f>IF(A136="","",IF(NOT(ISNUMBER(G136)),"Date à saisir",IF(EDATE(G136,N(p_age))&lt;TODAY(),"Ancien","À jour")))</f>
        <v/>
      </c>
      <c r="I136" s="69" t="str">
        <f>IF(AND(A136="",COUNTA(B136:G136)=0),"",IF(A136="","Référence manquante",IF(COUNTIF($A$6:$A$505,A136)&gt;1,"Référence en double",IF(C136="","Unité manquante",IF(D136="","Prix manquant",IF(AND(D136&lt;&gt;"",OR(NOT(ISNUMBER(D136)),N(D136)&lt;0)),"Prix invalide",IF(AND(E136&lt;&gt;"",OR(NOT(ISNUMBER(E136)),N(E136)&lt;0,N(E136)&gt;=1)),"Perte entre 0 et 99 %","OK")))))))</f>
        <v/>
      </c>
    </row>
    <row r="137">
      <c r="A137" s="60" t="n"/>
      <c r="B137" s="60" t="n"/>
      <c r="C137" s="61" t="n"/>
      <c r="D137" s="64" t="n"/>
      <c r="E137" s="65" t="n"/>
      <c r="F137" s="60" t="n"/>
      <c r="G137" s="100" t="n"/>
      <c r="H137" s="69" t="str">
        <f>IF(A137="","",IF(NOT(ISNUMBER(G137)),"Date à saisir",IF(EDATE(G137,N(p_age))&lt;TODAY(),"Ancien","À jour")))</f>
        <v/>
      </c>
      <c r="I137" s="69" t="str">
        <f>IF(AND(A137="",COUNTA(B137:G137)=0),"",IF(A137="","Référence manquante",IF(COUNTIF($A$6:$A$505,A137)&gt;1,"Référence en double",IF(C137="","Unité manquante",IF(D137="","Prix manquant",IF(AND(D137&lt;&gt;"",OR(NOT(ISNUMBER(D137)),N(D137)&lt;0)),"Prix invalide",IF(AND(E137&lt;&gt;"",OR(NOT(ISNUMBER(E137)),N(E137)&lt;0,N(E137)&gt;=1)),"Perte entre 0 et 99 %","OK")))))))</f>
        <v/>
      </c>
    </row>
    <row r="138">
      <c r="A138" s="60" t="n"/>
      <c r="B138" s="60" t="n"/>
      <c r="C138" s="61" t="n"/>
      <c r="D138" s="64" t="n"/>
      <c r="E138" s="65" t="n"/>
      <c r="F138" s="60" t="n"/>
      <c r="G138" s="100" t="n"/>
      <c r="H138" s="69" t="str">
        <f>IF(A138="","",IF(NOT(ISNUMBER(G138)),"Date à saisir",IF(EDATE(G138,N(p_age))&lt;TODAY(),"Ancien","À jour")))</f>
        <v/>
      </c>
      <c r="I138" s="69" t="str">
        <f>IF(AND(A138="",COUNTA(B138:G138)=0),"",IF(A138="","Référence manquante",IF(COUNTIF($A$6:$A$505,A138)&gt;1,"Référence en double",IF(C138="","Unité manquante",IF(D138="","Prix manquant",IF(AND(D138&lt;&gt;"",OR(NOT(ISNUMBER(D138)),N(D138)&lt;0)),"Prix invalide",IF(AND(E138&lt;&gt;"",OR(NOT(ISNUMBER(E138)),N(E138)&lt;0,N(E138)&gt;=1)),"Perte entre 0 et 99 %","OK")))))))</f>
        <v/>
      </c>
    </row>
    <row r="139">
      <c r="A139" s="60" t="n"/>
      <c r="B139" s="60" t="n"/>
      <c r="C139" s="61" t="n"/>
      <c r="D139" s="64" t="n"/>
      <c r="E139" s="65" t="n"/>
      <c r="F139" s="60" t="n"/>
      <c r="G139" s="100" t="n"/>
      <c r="H139" s="69" t="str">
        <f>IF(A139="","",IF(NOT(ISNUMBER(G139)),"Date à saisir",IF(EDATE(G139,N(p_age))&lt;TODAY(),"Ancien","À jour")))</f>
        <v/>
      </c>
      <c r="I139" s="69" t="str">
        <f>IF(AND(A139="",COUNTA(B139:G139)=0),"",IF(A139="","Référence manquante",IF(COUNTIF($A$6:$A$505,A139)&gt;1,"Référence en double",IF(C139="","Unité manquante",IF(D139="","Prix manquant",IF(AND(D139&lt;&gt;"",OR(NOT(ISNUMBER(D139)),N(D139)&lt;0)),"Prix invalide",IF(AND(E139&lt;&gt;"",OR(NOT(ISNUMBER(E139)),N(E139)&lt;0,N(E139)&gt;=1)),"Perte entre 0 et 99 %","OK")))))))</f>
        <v/>
      </c>
    </row>
    <row r="140">
      <c r="A140" s="60" t="n"/>
      <c r="B140" s="60" t="n"/>
      <c r="C140" s="61" t="n"/>
      <c r="D140" s="64" t="n"/>
      <c r="E140" s="65" t="n"/>
      <c r="F140" s="60" t="n"/>
      <c r="G140" s="100" t="n"/>
      <c r="H140" s="69" t="str">
        <f>IF(A140="","",IF(NOT(ISNUMBER(G140)),"Date à saisir",IF(EDATE(G140,N(p_age))&lt;TODAY(),"Ancien","À jour")))</f>
        <v/>
      </c>
      <c r="I140" s="69" t="str">
        <f>IF(AND(A140="",COUNTA(B140:G140)=0),"",IF(A140="","Référence manquante",IF(COUNTIF($A$6:$A$505,A140)&gt;1,"Référence en double",IF(C140="","Unité manquante",IF(D140="","Prix manquant",IF(AND(D140&lt;&gt;"",OR(NOT(ISNUMBER(D140)),N(D140)&lt;0)),"Prix invalide",IF(AND(E140&lt;&gt;"",OR(NOT(ISNUMBER(E140)),N(E140)&lt;0,N(E140)&gt;=1)),"Perte entre 0 et 99 %","OK")))))))</f>
        <v/>
      </c>
    </row>
    <row r="141">
      <c r="A141" s="60" t="n"/>
      <c r="B141" s="60" t="n"/>
      <c r="C141" s="61" t="n"/>
      <c r="D141" s="64" t="n"/>
      <c r="E141" s="65" t="n"/>
      <c r="F141" s="60" t="n"/>
      <c r="G141" s="100" t="n"/>
      <c r="H141" s="69" t="str">
        <f>IF(A141="","",IF(NOT(ISNUMBER(G141)),"Date à saisir",IF(EDATE(G141,N(p_age))&lt;TODAY(),"Ancien","À jour")))</f>
        <v/>
      </c>
      <c r="I141" s="69" t="str">
        <f>IF(AND(A141="",COUNTA(B141:G141)=0),"",IF(A141="","Référence manquante",IF(COUNTIF($A$6:$A$505,A141)&gt;1,"Référence en double",IF(C141="","Unité manquante",IF(D141="","Prix manquant",IF(AND(D141&lt;&gt;"",OR(NOT(ISNUMBER(D141)),N(D141)&lt;0)),"Prix invalide",IF(AND(E141&lt;&gt;"",OR(NOT(ISNUMBER(E141)),N(E141)&lt;0,N(E141)&gt;=1)),"Perte entre 0 et 99 %","OK")))))))</f>
        <v/>
      </c>
    </row>
    <row r="142">
      <c r="A142" s="60" t="n"/>
      <c r="B142" s="60" t="n"/>
      <c r="C142" s="61" t="n"/>
      <c r="D142" s="64" t="n"/>
      <c r="E142" s="65" t="n"/>
      <c r="F142" s="60" t="n"/>
      <c r="G142" s="100" t="n"/>
      <c r="H142" s="69" t="str">
        <f>IF(A142="","",IF(NOT(ISNUMBER(G142)),"Date à saisir",IF(EDATE(G142,N(p_age))&lt;TODAY(),"Ancien","À jour")))</f>
        <v/>
      </c>
      <c r="I142" s="69" t="str">
        <f>IF(AND(A142="",COUNTA(B142:G142)=0),"",IF(A142="","Référence manquante",IF(COUNTIF($A$6:$A$505,A142)&gt;1,"Référence en double",IF(C142="","Unité manquante",IF(D142="","Prix manquant",IF(AND(D142&lt;&gt;"",OR(NOT(ISNUMBER(D142)),N(D142)&lt;0)),"Prix invalide",IF(AND(E142&lt;&gt;"",OR(NOT(ISNUMBER(E142)),N(E142)&lt;0,N(E142)&gt;=1)),"Perte entre 0 et 99 %","OK")))))))</f>
        <v/>
      </c>
    </row>
    <row r="143">
      <c r="A143" s="60" t="n"/>
      <c r="B143" s="60" t="n"/>
      <c r="C143" s="61" t="n"/>
      <c r="D143" s="64" t="n"/>
      <c r="E143" s="65" t="n"/>
      <c r="F143" s="60" t="n"/>
      <c r="G143" s="100" t="n"/>
      <c r="H143" s="69" t="str">
        <f>IF(A143="","",IF(NOT(ISNUMBER(G143)),"Date à saisir",IF(EDATE(G143,N(p_age))&lt;TODAY(),"Ancien","À jour")))</f>
        <v/>
      </c>
      <c r="I143" s="69" t="str">
        <f>IF(AND(A143="",COUNTA(B143:G143)=0),"",IF(A143="","Référence manquante",IF(COUNTIF($A$6:$A$505,A143)&gt;1,"Référence en double",IF(C143="","Unité manquante",IF(D143="","Prix manquant",IF(AND(D143&lt;&gt;"",OR(NOT(ISNUMBER(D143)),N(D143)&lt;0)),"Prix invalide",IF(AND(E143&lt;&gt;"",OR(NOT(ISNUMBER(E143)),N(E143)&lt;0,N(E143)&gt;=1)),"Perte entre 0 et 99 %","OK")))))))</f>
        <v/>
      </c>
    </row>
    <row r="144">
      <c r="A144" s="60" t="n"/>
      <c r="B144" s="60" t="n"/>
      <c r="C144" s="61" t="n"/>
      <c r="D144" s="64" t="n"/>
      <c r="E144" s="65" t="n"/>
      <c r="F144" s="60" t="n"/>
      <c r="G144" s="100" t="n"/>
      <c r="H144" s="69" t="str">
        <f>IF(A144="","",IF(NOT(ISNUMBER(G144)),"Date à saisir",IF(EDATE(G144,N(p_age))&lt;TODAY(),"Ancien","À jour")))</f>
        <v/>
      </c>
      <c r="I144" s="69" t="str">
        <f>IF(AND(A144="",COUNTA(B144:G144)=0),"",IF(A144="","Référence manquante",IF(COUNTIF($A$6:$A$505,A144)&gt;1,"Référence en double",IF(C144="","Unité manquante",IF(D144="","Prix manquant",IF(AND(D144&lt;&gt;"",OR(NOT(ISNUMBER(D144)),N(D144)&lt;0)),"Prix invalide",IF(AND(E144&lt;&gt;"",OR(NOT(ISNUMBER(E144)),N(E144)&lt;0,N(E144)&gt;=1)),"Perte entre 0 et 99 %","OK")))))))</f>
        <v/>
      </c>
    </row>
    <row r="145">
      <c r="A145" s="60" t="n"/>
      <c r="B145" s="60" t="n"/>
      <c r="C145" s="61" t="n"/>
      <c r="D145" s="64" t="n"/>
      <c r="E145" s="65" t="n"/>
      <c r="F145" s="60" t="n"/>
      <c r="G145" s="100" t="n"/>
      <c r="H145" s="69" t="str">
        <f>IF(A145="","",IF(NOT(ISNUMBER(G145)),"Date à saisir",IF(EDATE(G145,N(p_age))&lt;TODAY(),"Ancien","À jour")))</f>
        <v/>
      </c>
      <c r="I145" s="69" t="str">
        <f>IF(AND(A145="",COUNTA(B145:G145)=0),"",IF(A145="","Référence manquante",IF(COUNTIF($A$6:$A$505,A145)&gt;1,"Référence en double",IF(C145="","Unité manquante",IF(D145="","Prix manquant",IF(AND(D145&lt;&gt;"",OR(NOT(ISNUMBER(D145)),N(D145)&lt;0)),"Prix invalide",IF(AND(E145&lt;&gt;"",OR(NOT(ISNUMBER(E145)),N(E145)&lt;0,N(E145)&gt;=1)),"Perte entre 0 et 99 %","OK")))))))</f>
        <v/>
      </c>
    </row>
    <row r="146">
      <c r="A146" s="60" t="n"/>
      <c r="B146" s="60" t="n"/>
      <c r="C146" s="61" t="n"/>
      <c r="D146" s="64" t="n"/>
      <c r="E146" s="65" t="n"/>
      <c r="F146" s="60" t="n"/>
      <c r="G146" s="100" t="n"/>
      <c r="H146" s="69" t="str">
        <f>IF(A146="","",IF(NOT(ISNUMBER(G146)),"Date à saisir",IF(EDATE(G146,N(p_age))&lt;TODAY(),"Ancien","À jour")))</f>
        <v/>
      </c>
      <c r="I146" s="69" t="str">
        <f>IF(AND(A146="",COUNTA(B146:G146)=0),"",IF(A146="","Référence manquante",IF(COUNTIF($A$6:$A$505,A146)&gt;1,"Référence en double",IF(C146="","Unité manquante",IF(D146="","Prix manquant",IF(AND(D146&lt;&gt;"",OR(NOT(ISNUMBER(D146)),N(D146)&lt;0)),"Prix invalide",IF(AND(E146&lt;&gt;"",OR(NOT(ISNUMBER(E146)),N(E146)&lt;0,N(E146)&gt;=1)),"Perte entre 0 et 99 %","OK")))))))</f>
        <v/>
      </c>
    </row>
    <row r="147">
      <c r="A147" s="60" t="n"/>
      <c r="B147" s="60" t="n"/>
      <c r="C147" s="61" t="n"/>
      <c r="D147" s="64" t="n"/>
      <c r="E147" s="65" t="n"/>
      <c r="F147" s="60" t="n"/>
      <c r="G147" s="100" t="n"/>
      <c r="H147" s="69" t="str">
        <f>IF(A147="","",IF(NOT(ISNUMBER(G147)),"Date à saisir",IF(EDATE(G147,N(p_age))&lt;TODAY(),"Ancien","À jour")))</f>
        <v/>
      </c>
      <c r="I147" s="69" t="str">
        <f>IF(AND(A147="",COUNTA(B147:G147)=0),"",IF(A147="","Référence manquante",IF(COUNTIF($A$6:$A$505,A147)&gt;1,"Référence en double",IF(C147="","Unité manquante",IF(D147="","Prix manquant",IF(AND(D147&lt;&gt;"",OR(NOT(ISNUMBER(D147)),N(D147)&lt;0)),"Prix invalide",IF(AND(E147&lt;&gt;"",OR(NOT(ISNUMBER(E147)),N(E147)&lt;0,N(E147)&gt;=1)),"Perte entre 0 et 99 %","OK")))))))</f>
        <v/>
      </c>
    </row>
    <row r="148">
      <c r="A148" s="60" t="n"/>
      <c r="B148" s="60" t="n"/>
      <c r="C148" s="61" t="n"/>
      <c r="D148" s="64" t="n"/>
      <c r="E148" s="65" t="n"/>
      <c r="F148" s="60" t="n"/>
      <c r="G148" s="100" t="n"/>
      <c r="H148" s="69" t="str">
        <f>IF(A148="","",IF(NOT(ISNUMBER(G148)),"Date à saisir",IF(EDATE(G148,N(p_age))&lt;TODAY(),"Ancien","À jour")))</f>
        <v/>
      </c>
      <c r="I148" s="69" t="str">
        <f>IF(AND(A148="",COUNTA(B148:G148)=0),"",IF(A148="","Référence manquante",IF(COUNTIF($A$6:$A$505,A148)&gt;1,"Référence en double",IF(C148="","Unité manquante",IF(D148="","Prix manquant",IF(AND(D148&lt;&gt;"",OR(NOT(ISNUMBER(D148)),N(D148)&lt;0)),"Prix invalide",IF(AND(E148&lt;&gt;"",OR(NOT(ISNUMBER(E148)),N(E148)&lt;0,N(E148)&gt;=1)),"Perte entre 0 et 99 %","OK")))))))</f>
        <v/>
      </c>
    </row>
    <row r="149">
      <c r="A149" s="60" t="n"/>
      <c r="B149" s="60" t="n"/>
      <c r="C149" s="61" t="n"/>
      <c r="D149" s="64" t="n"/>
      <c r="E149" s="65" t="n"/>
      <c r="F149" s="60" t="n"/>
      <c r="G149" s="100" t="n"/>
      <c r="H149" s="69" t="str">
        <f>IF(A149="","",IF(NOT(ISNUMBER(G149)),"Date à saisir",IF(EDATE(G149,N(p_age))&lt;TODAY(),"Ancien","À jour")))</f>
        <v/>
      </c>
      <c r="I149" s="69" t="str">
        <f>IF(AND(A149="",COUNTA(B149:G149)=0),"",IF(A149="","Référence manquante",IF(COUNTIF($A$6:$A$505,A149)&gt;1,"Référence en double",IF(C149="","Unité manquante",IF(D149="","Prix manquant",IF(AND(D149&lt;&gt;"",OR(NOT(ISNUMBER(D149)),N(D149)&lt;0)),"Prix invalide",IF(AND(E149&lt;&gt;"",OR(NOT(ISNUMBER(E149)),N(E149)&lt;0,N(E149)&gt;=1)),"Perte entre 0 et 99 %","OK")))))))</f>
        <v/>
      </c>
    </row>
    <row r="150">
      <c r="A150" s="60" t="n"/>
      <c r="B150" s="60" t="n"/>
      <c r="C150" s="61" t="n"/>
      <c r="D150" s="64" t="n"/>
      <c r="E150" s="65" t="n"/>
      <c r="F150" s="60" t="n"/>
      <c r="G150" s="100" t="n"/>
      <c r="H150" s="69" t="str">
        <f>IF(A150="","",IF(NOT(ISNUMBER(G150)),"Date à saisir",IF(EDATE(G150,N(p_age))&lt;TODAY(),"Ancien","À jour")))</f>
        <v/>
      </c>
      <c r="I150" s="69" t="str">
        <f>IF(AND(A150="",COUNTA(B150:G150)=0),"",IF(A150="","Référence manquante",IF(COUNTIF($A$6:$A$505,A150)&gt;1,"Référence en double",IF(C150="","Unité manquante",IF(D150="","Prix manquant",IF(AND(D150&lt;&gt;"",OR(NOT(ISNUMBER(D150)),N(D150)&lt;0)),"Prix invalide",IF(AND(E150&lt;&gt;"",OR(NOT(ISNUMBER(E150)),N(E150)&lt;0,N(E150)&gt;=1)),"Perte entre 0 et 99 %","OK")))))))</f>
        <v/>
      </c>
    </row>
    <row r="151">
      <c r="A151" s="60" t="n"/>
      <c r="B151" s="60" t="n"/>
      <c r="C151" s="61" t="n"/>
      <c r="D151" s="64" t="n"/>
      <c r="E151" s="65" t="n"/>
      <c r="F151" s="60" t="n"/>
      <c r="G151" s="100" t="n"/>
      <c r="H151" s="69" t="str">
        <f>IF(A151="","",IF(NOT(ISNUMBER(G151)),"Date à saisir",IF(EDATE(G151,N(p_age))&lt;TODAY(),"Ancien","À jour")))</f>
        <v/>
      </c>
      <c r="I151" s="69" t="str">
        <f>IF(AND(A151="",COUNTA(B151:G151)=0),"",IF(A151="","Référence manquante",IF(COUNTIF($A$6:$A$505,A151)&gt;1,"Référence en double",IF(C151="","Unité manquante",IF(D151="","Prix manquant",IF(AND(D151&lt;&gt;"",OR(NOT(ISNUMBER(D151)),N(D151)&lt;0)),"Prix invalide",IF(AND(E151&lt;&gt;"",OR(NOT(ISNUMBER(E151)),N(E151)&lt;0,N(E151)&gt;=1)),"Perte entre 0 et 99 %","OK")))))))</f>
        <v/>
      </c>
    </row>
    <row r="152">
      <c r="A152" s="60" t="n"/>
      <c r="B152" s="60" t="n"/>
      <c r="C152" s="61" t="n"/>
      <c r="D152" s="64" t="n"/>
      <c r="E152" s="65" t="n"/>
      <c r="F152" s="60" t="n"/>
      <c r="G152" s="100" t="n"/>
      <c r="H152" s="69" t="str">
        <f>IF(A152="","",IF(NOT(ISNUMBER(G152)),"Date à saisir",IF(EDATE(G152,N(p_age))&lt;TODAY(),"Ancien","À jour")))</f>
        <v/>
      </c>
      <c r="I152" s="69" t="str">
        <f>IF(AND(A152="",COUNTA(B152:G152)=0),"",IF(A152="","Référence manquante",IF(COUNTIF($A$6:$A$505,A152)&gt;1,"Référence en double",IF(C152="","Unité manquante",IF(D152="","Prix manquant",IF(AND(D152&lt;&gt;"",OR(NOT(ISNUMBER(D152)),N(D152)&lt;0)),"Prix invalide",IF(AND(E152&lt;&gt;"",OR(NOT(ISNUMBER(E152)),N(E152)&lt;0,N(E152)&gt;=1)),"Perte entre 0 et 99 %","OK")))))))</f>
        <v/>
      </c>
    </row>
    <row r="153">
      <c r="A153" s="60" t="n"/>
      <c r="B153" s="60" t="n"/>
      <c r="C153" s="61" t="n"/>
      <c r="D153" s="64" t="n"/>
      <c r="E153" s="65" t="n"/>
      <c r="F153" s="60" t="n"/>
      <c r="G153" s="100" t="n"/>
      <c r="H153" s="69" t="str">
        <f>IF(A153="","",IF(NOT(ISNUMBER(G153)),"Date à saisir",IF(EDATE(G153,N(p_age))&lt;TODAY(),"Ancien","À jour")))</f>
        <v/>
      </c>
      <c r="I153" s="69" t="str">
        <f>IF(AND(A153="",COUNTA(B153:G153)=0),"",IF(A153="","Référence manquante",IF(COUNTIF($A$6:$A$505,A153)&gt;1,"Référence en double",IF(C153="","Unité manquante",IF(D153="","Prix manquant",IF(AND(D153&lt;&gt;"",OR(NOT(ISNUMBER(D153)),N(D153)&lt;0)),"Prix invalide",IF(AND(E153&lt;&gt;"",OR(NOT(ISNUMBER(E153)),N(E153)&lt;0,N(E153)&gt;=1)),"Perte entre 0 et 99 %","OK")))))))</f>
        <v/>
      </c>
    </row>
    <row r="154">
      <c r="A154" s="60" t="n"/>
      <c r="B154" s="60" t="n"/>
      <c r="C154" s="61" t="n"/>
      <c r="D154" s="64" t="n"/>
      <c r="E154" s="65" t="n"/>
      <c r="F154" s="60" t="n"/>
      <c r="G154" s="100" t="n"/>
      <c r="H154" s="69" t="str">
        <f>IF(A154="","",IF(NOT(ISNUMBER(G154)),"Date à saisir",IF(EDATE(G154,N(p_age))&lt;TODAY(),"Ancien","À jour")))</f>
        <v/>
      </c>
      <c r="I154" s="69" t="str">
        <f>IF(AND(A154="",COUNTA(B154:G154)=0),"",IF(A154="","Référence manquante",IF(COUNTIF($A$6:$A$505,A154)&gt;1,"Référence en double",IF(C154="","Unité manquante",IF(D154="","Prix manquant",IF(AND(D154&lt;&gt;"",OR(NOT(ISNUMBER(D154)),N(D154)&lt;0)),"Prix invalide",IF(AND(E154&lt;&gt;"",OR(NOT(ISNUMBER(E154)),N(E154)&lt;0,N(E154)&gt;=1)),"Perte entre 0 et 99 %","OK")))))))</f>
        <v/>
      </c>
    </row>
    <row r="155">
      <c r="A155" s="60" t="n"/>
      <c r="B155" s="60" t="n"/>
      <c r="C155" s="61" t="n"/>
      <c r="D155" s="64" t="n"/>
      <c r="E155" s="65" t="n"/>
      <c r="F155" s="60" t="n"/>
      <c r="G155" s="100" t="n"/>
      <c r="H155" s="69" t="str">
        <f>IF(A155="","",IF(NOT(ISNUMBER(G155)),"Date à saisir",IF(EDATE(G155,N(p_age))&lt;TODAY(),"Ancien","À jour")))</f>
        <v/>
      </c>
      <c r="I155" s="69" t="str">
        <f>IF(AND(A155="",COUNTA(B155:G155)=0),"",IF(A155="","Référence manquante",IF(COUNTIF($A$6:$A$505,A155)&gt;1,"Référence en double",IF(C155="","Unité manquante",IF(D155="","Prix manquant",IF(AND(D155&lt;&gt;"",OR(NOT(ISNUMBER(D155)),N(D155)&lt;0)),"Prix invalide",IF(AND(E155&lt;&gt;"",OR(NOT(ISNUMBER(E155)),N(E155)&lt;0,N(E155)&gt;=1)),"Perte entre 0 et 99 %","OK")))))))</f>
        <v/>
      </c>
    </row>
    <row r="156">
      <c r="A156" s="60" t="n"/>
      <c r="B156" s="60" t="n"/>
      <c r="C156" s="61" t="n"/>
      <c r="D156" s="64" t="n"/>
      <c r="E156" s="65" t="n"/>
      <c r="F156" s="60" t="n"/>
      <c r="G156" s="100" t="n"/>
      <c r="H156" s="69" t="str">
        <f>IF(A156="","",IF(NOT(ISNUMBER(G156)),"Date à saisir",IF(EDATE(G156,N(p_age))&lt;TODAY(),"Ancien","À jour")))</f>
        <v/>
      </c>
      <c r="I156" s="69" t="str">
        <f>IF(AND(A156="",COUNTA(B156:G156)=0),"",IF(A156="","Référence manquante",IF(COUNTIF($A$6:$A$505,A156)&gt;1,"Référence en double",IF(C156="","Unité manquante",IF(D156="","Prix manquant",IF(AND(D156&lt;&gt;"",OR(NOT(ISNUMBER(D156)),N(D156)&lt;0)),"Prix invalide",IF(AND(E156&lt;&gt;"",OR(NOT(ISNUMBER(E156)),N(E156)&lt;0,N(E156)&gt;=1)),"Perte entre 0 et 99 %","OK")))))))</f>
        <v/>
      </c>
    </row>
    <row r="157">
      <c r="A157" s="60" t="n"/>
      <c r="B157" s="60" t="n"/>
      <c r="C157" s="61" t="n"/>
      <c r="D157" s="64" t="n"/>
      <c r="E157" s="65" t="n"/>
      <c r="F157" s="60" t="n"/>
      <c r="G157" s="100" t="n"/>
      <c r="H157" s="69" t="str">
        <f>IF(A157="","",IF(NOT(ISNUMBER(G157)),"Date à saisir",IF(EDATE(G157,N(p_age))&lt;TODAY(),"Ancien","À jour")))</f>
        <v/>
      </c>
      <c r="I157" s="69" t="str">
        <f>IF(AND(A157="",COUNTA(B157:G157)=0),"",IF(A157="","Référence manquante",IF(COUNTIF($A$6:$A$505,A157)&gt;1,"Référence en double",IF(C157="","Unité manquante",IF(D157="","Prix manquant",IF(AND(D157&lt;&gt;"",OR(NOT(ISNUMBER(D157)),N(D157)&lt;0)),"Prix invalide",IF(AND(E157&lt;&gt;"",OR(NOT(ISNUMBER(E157)),N(E157)&lt;0,N(E157)&gt;=1)),"Perte entre 0 et 99 %","OK")))))))</f>
        <v/>
      </c>
    </row>
    <row r="158">
      <c r="A158" s="60" t="n"/>
      <c r="B158" s="60" t="n"/>
      <c r="C158" s="61" t="n"/>
      <c r="D158" s="64" t="n"/>
      <c r="E158" s="65" t="n"/>
      <c r="F158" s="60" t="n"/>
      <c r="G158" s="100" t="n"/>
      <c r="H158" s="69" t="str">
        <f>IF(A158="","",IF(NOT(ISNUMBER(G158)),"Date à saisir",IF(EDATE(G158,N(p_age))&lt;TODAY(),"Ancien","À jour")))</f>
        <v/>
      </c>
      <c r="I158" s="69" t="str">
        <f>IF(AND(A158="",COUNTA(B158:G158)=0),"",IF(A158="","Référence manquante",IF(COUNTIF($A$6:$A$505,A158)&gt;1,"Référence en double",IF(C158="","Unité manquante",IF(D158="","Prix manquant",IF(AND(D158&lt;&gt;"",OR(NOT(ISNUMBER(D158)),N(D158)&lt;0)),"Prix invalide",IF(AND(E158&lt;&gt;"",OR(NOT(ISNUMBER(E158)),N(E158)&lt;0,N(E158)&gt;=1)),"Perte entre 0 et 99 %","OK")))))))</f>
        <v/>
      </c>
    </row>
    <row r="159">
      <c r="A159" s="60" t="n"/>
      <c r="B159" s="60" t="n"/>
      <c r="C159" s="61" t="n"/>
      <c r="D159" s="64" t="n"/>
      <c r="E159" s="65" t="n"/>
      <c r="F159" s="60" t="n"/>
      <c r="G159" s="100" t="n"/>
      <c r="H159" s="69" t="str">
        <f>IF(A159="","",IF(NOT(ISNUMBER(G159)),"Date à saisir",IF(EDATE(G159,N(p_age))&lt;TODAY(),"Ancien","À jour")))</f>
        <v/>
      </c>
      <c r="I159" s="69" t="str">
        <f>IF(AND(A159="",COUNTA(B159:G159)=0),"",IF(A159="","Référence manquante",IF(COUNTIF($A$6:$A$505,A159)&gt;1,"Référence en double",IF(C159="","Unité manquante",IF(D159="","Prix manquant",IF(AND(D159&lt;&gt;"",OR(NOT(ISNUMBER(D159)),N(D159)&lt;0)),"Prix invalide",IF(AND(E159&lt;&gt;"",OR(NOT(ISNUMBER(E159)),N(E159)&lt;0,N(E159)&gt;=1)),"Perte entre 0 et 99 %","OK")))))))</f>
        <v/>
      </c>
    </row>
    <row r="160">
      <c r="A160" s="60" t="n"/>
      <c r="B160" s="60" t="n"/>
      <c r="C160" s="61" t="n"/>
      <c r="D160" s="64" t="n"/>
      <c r="E160" s="65" t="n"/>
      <c r="F160" s="60" t="n"/>
      <c r="G160" s="100" t="n"/>
      <c r="H160" s="69" t="str">
        <f>IF(A160="","",IF(NOT(ISNUMBER(G160)),"Date à saisir",IF(EDATE(G160,N(p_age))&lt;TODAY(),"Ancien","À jour")))</f>
        <v/>
      </c>
      <c r="I160" s="69" t="str">
        <f>IF(AND(A160="",COUNTA(B160:G160)=0),"",IF(A160="","Référence manquante",IF(COUNTIF($A$6:$A$505,A160)&gt;1,"Référence en double",IF(C160="","Unité manquante",IF(D160="","Prix manquant",IF(AND(D160&lt;&gt;"",OR(NOT(ISNUMBER(D160)),N(D160)&lt;0)),"Prix invalide",IF(AND(E160&lt;&gt;"",OR(NOT(ISNUMBER(E160)),N(E160)&lt;0,N(E160)&gt;=1)),"Perte entre 0 et 99 %","OK")))))))</f>
        <v/>
      </c>
    </row>
    <row r="161">
      <c r="A161" s="60" t="n"/>
      <c r="B161" s="60" t="n"/>
      <c r="C161" s="61" t="n"/>
      <c r="D161" s="64" t="n"/>
      <c r="E161" s="65" t="n"/>
      <c r="F161" s="60" t="n"/>
      <c r="G161" s="100" t="n"/>
      <c r="H161" s="69" t="str">
        <f>IF(A161="","",IF(NOT(ISNUMBER(G161)),"Date à saisir",IF(EDATE(G161,N(p_age))&lt;TODAY(),"Ancien","À jour")))</f>
        <v/>
      </c>
      <c r="I161" s="69" t="str">
        <f>IF(AND(A161="",COUNTA(B161:G161)=0),"",IF(A161="","Référence manquante",IF(COUNTIF($A$6:$A$505,A161)&gt;1,"Référence en double",IF(C161="","Unité manquante",IF(D161="","Prix manquant",IF(AND(D161&lt;&gt;"",OR(NOT(ISNUMBER(D161)),N(D161)&lt;0)),"Prix invalide",IF(AND(E161&lt;&gt;"",OR(NOT(ISNUMBER(E161)),N(E161)&lt;0,N(E161)&gt;=1)),"Perte entre 0 et 99 %","OK")))))))</f>
        <v/>
      </c>
    </row>
    <row r="162">
      <c r="A162" s="60" t="n"/>
      <c r="B162" s="60" t="n"/>
      <c r="C162" s="61" t="n"/>
      <c r="D162" s="64" t="n"/>
      <c r="E162" s="65" t="n"/>
      <c r="F162" s="60" t="n"/>
      <c r="G162" s="100" t="n"/>
      <c r="H162" s="69" t="str">
        <f>IF(A162="","",IF(NOT(ISNUMBER(G162)),"Date à saisir",IF(EDATE(G162,N(p_age))&lt;TODAY(),"Ancien","À jour")))</f>
        <v/>
      </c>
      <c r="I162" s="69" t="str">
        <f>IF(AND(A162="",COUNTA(B162:G162)=0),"",IF(A162="","Référence manquante",IF(COUNTIF($A$6:$A$505,A162)&gt;1,"Référence en double",IF(C162="","Unité manquante",IF(D162="","Prix manquant",IF(AND(D162&lt;&gt;"",OR(NOT(ISNUMBER(D162)),N(D162)&lt;0)),"Prix invalide",IF(AND(E162&lt;&gt;"",OR(NOT(ISNUMBER(E162)),N(E162)&lt;0,N(E162)&gt;=1)),"Perte entre 0 et 99 %","OK")))))))</f>
        <v/>
      </c>
    </row>
    <row r="163">
      <c r="A163" s="60" t="n"/>
      <c r="B163" s="60" t="n"/>
      <c r="C163" s="61" t="n"/>
      <c r="D163" s="64" t="n"/>
      <c r="E163" s="65" t="n"/>
      <c r="F163" s="60" t="n"/>
      <c r="G163" s="100" t="n"/>
      <c r="H163" s="69" t="str">
        <f>IF(A163="","",IF(NOT(ISNUMBER(G163)),"Date à saisir",IF(EDATE(G163,N(p_age))&lt;TODAY(),"Ancien","À jour")))</f>
        <v/>
      </c>
      <c r="I163" s="69" t="str">
        <f>IF(AND(A163="",COUNTA(B163:G163)=0),"",IF(A163="","Référence manquante",IF(COUNTIF($A$6:$A$505,A163)&gt;1,"Référence en double",IF(C163="","Unité manquante",IF(D163="","Prix manquant",IF(AND(D163&lt;&gt;"",OR(NOT(ISNUMBER(D163)),N(D163)&lt;0)),"Prix invalide",IF(AND(E163&lt;&gt;"",OR(NOT(ISNUMBER(E163)),N(E163)&lt;0,N(E163)&gt;=1)),"Perte entre 0 et 99 %","OK")))))))</f>
        <v/>
      </c>
    </row>
    <row r="164">
      <c r="A164" s="60" t="n"/>
      <c r="B164" s="60" t="n"/>
      <c r="C164" s="61" t="n"/>
      <c r="D164" s="64" t="n"/>
      <c r="E164" s="65" t="n"/>
      <c r="F164" s="60" t="n"/>
      <c r="G164" s="100" t="n"/>
      <c r="H164" s="69" t="str">
        <f>IF(A164="","",IF(NOT(ISNUMBER(G164)),"Date à saisir",IF(EDATE(G164,N(p_age))&lt;TODAY(),"Ancien","À jour")))</f>
        <v/>
      </c>
      <c r="I164" s="69" t="str">
        <f>IF(AND(A164="",COUNTA(B164:G164)=0),"",IF(A164="","Référence manquante",IF(COUNTIF($A$6:$A$505,A164)&gt;1,"Référence en double",IF(C164="","Unité manquante",IF(D164="","Prix manquant",IF(AND(D164&lt;&gt;"",OR(NOT(ISNUMBER(D164)),N(D164)&lt;0)),"Prix invalide",IF(AND(E164&lt;&gt;"",OR(NOT(ISNUMBER(E164)),N(E164)&lt;0,N(E164)&gt;=1)),"Perte entre 0 et 99 %","OK")))))))</f>
        <v/>
      </c>
    </row>
    <row r="165">
      <c r="A165" s="60" t="n"/>
      <c r="B165" s="60" t="n"/>
      <c r="C165" s="61" t="n"/>
      <c r="D165" s="64" t="n"/>
      <c r="E165" s="65" t="n"/>
      <c r="F165" s="60" t="n"/>
      <c r="G165" s="100" t="n"/>
      <c r="H165" s="69" t="str">
        <f>IF(A165="","",IF(NOT(ISNUMBER(G165)),"Date à saisir",IF(EDATE(G165,N(p_age))&lt;TODAY(),"Ancien","À jour")))</f>
        <v/>
      </c>
      <c r="I165" s="69" t="str">
        <f>IF(AND(A165="",COUNTA(B165:G165)=0),"",IF(A165="","Référence manquante",IF(COUNTIF($A$6:$A$505,A165)&gt;1,"Référence en double",IF(C165="","Unité manquante",IF(D165="","Prix manquant",IF(AND(D165&lt;&gt;"",OR(NOT(ISNUMBER(D165)),N(D165)&lt;0)),"Prix invalide",IF(AND(E165&lt;&gt;"",OR(NOT(ISNUMBER(E165)),N(E165)&lt;0,N(E165)&gt;=1)),"Perte entre 0 et 99 %","OK")))))))</f>
        <v/>
      </c>
    </row>
    <row r="166">
      <c r="A166" s="60" t="n"/>
      <c r="B166" s="60" t="n"/>
      <c r="C166" s="61" t="n"/>
      <c r="D166" s="64" t="n"/>
      <c r="E166" s="65" t="n"/>
      <c r="F166" s="60" t="n"/>
      <c r="G166" s="100" t="n"/>
      <c r="H166" s="69" t="str">
        <f>IF(A166="","",IF(NOT(ISNUMBER(G166)),"Date à saisir",IF(EDATE(G166,N(p_age))&lt;TODAY(),"Ancien","À jour")))</f>
        <v/>
      </c>
      <c r="I166" s="69" t="str">
        <f>IF(AND(A166="",COUNTA(B166:G166)=0),"",IF(A166="","Référence manquante",IF(COUNTIF($A$6:$A$505,A166)&gt;1,"Référence en double",IF(C166="","Unité manquante",IF(D166="","Prix manquant",IF(AND(D166&lt;&gt;"",OR(NOT(ISNUMBER(D166)),N(D166)&lt;0)),"Prix invalide",IF(AND(E166&lt;&gt;"",OR(NOT(ISNUMBER(E166)),N(E166)&lt;0,N(E166)&gt;=1)),"Perte entre 0 et 99 %","OK")))))))</f>
        <v/>
      </c>
    </row>
    <row r="167">
      <c r="A167" s="60" t="n"/>
      <c r="B167" s="60" t="n"/>
      <c r="C167" s="61" t="n"/>
      <c r="D167" s="64" t="n"/>
      <c r="E167" s="65" t="n"/>
      <c r="F167" s="60" t="n"/>
      <c r="G167" s="100" t="n"/>
      <c r="H167" s="69" t="str">
        <f>IF(A167="","",IF(NOT(ISNUMBER(G167)),"Date à saisir",IF(EDATE(G167,N(p_age))&lt;TODAY(),"Ancien","À jour")))</f>
        <v/>
      </c>
      <c r="I167" s="69" t="str">
        <f>IF(AND(A167="",COUNTA(B167:G167)=0),"",IF(A167="","Référence manquante",IF(COUNTIF($A$6:$A$505,A167)&gt;1,"Référence en double",IF(C167="","Unité manquante",IF(D167="","Prix manquant",IF(AND(D167&lt;&gt;"",OR(NOT(ISNUMBER(D167)),N(D167)&lt;0)),"Prix invalide",IF(AND(E167&lt;&gt;"",OR(NOT(ISNUMBER(E167)),N(E167)&lt;0,N(E167)&gt;=1)),"Perte entre 0 et 99 %","OK")))))))</f>
        <v/>
      </c>
    </row>
    <row r="168">
      <c r="A168" s="60" t="n"/>
      <c r="B168" s="60" t="n"/>
      <c r="C168" s="61" t="n"/>
      <c r="D168" s="64" t="n"/>
      <c r="E168" s="65" t="n"/>
      <c r="F168" s="60" t="n"/>
      <c r="G168" s="100" t="n"/>
      <c r="H168" s="69" t="str">
        <f>IF(A168="","",IF(NOT(ISNUMBER(G168)),"Date à saisir",IF(EDATE(G168,N(p_age))&lt;TODAY(),"Ancien","À jour")))</f>
        <v/>
      </c>
      <c r="I168" s="69" t="str">
        <f>IF(AND(A168="",COUNTA(B168:G168)=0),"",IF(A168="","Référence manquante",IF(COUNTIF($A$6:$A$505,A168)&gt;1,"Référence en double",IF(C168="","Unité manquante",IF(D168="","Prix manquant",IF(AND(D168&lt;&gt;"",OR(NOT(ISNUMBER(D168)),N(D168)&lt;0)),"Prix invalide",IF(AND(E168&lt;&gt;"",OR(NOT(ISNUMBER(E168)),N(E168)&lt;0,N(E168)&gt;=1)),"Perte entre 0 et 99 %","OK")))))))</f>
        <v/>
      </c>
    </row>
    <row r="169">
      <c r="A169" s="60" t="n"/>
      <c r="B169" s="60" t="n"/>
      <c r="C169" s="61" t="n"/>
      <c r="D169" s="64" t="n"/>
      <c r="E169" s="65" t="n"/>
      <c r="F169" s="60" t="n"/>
      <c r="G169" s="100" t="n"/>
      <c r="H169" s="69" t="str">
        <f>IF(A169="","",IF(NOT(ISNUMBER(G169)),"Date à saisir",IF(EDATE(G169,N(p_age))&lt;TODAY(),"Ancien","À jour")))</f>
        <v/>
      </c>
      <c r="I169" s="69" t="str">
        <f>IF(AND(A169="",COUNTA(B169:G169)=0),"",IF(A169="","Référence manquante",IF(COUNTIF($A$6:$A$505,A169)&gt;1,"Référence en double",IF(C169="","Unité manquante",IF(D169="","Prix manquant",IF(AND(D169&lt;&gt;"",OR(NOT(ISNUMBER(D169)),N(D169)&lt;0)),"Prix invalide",IF(AND(E169&lt;&gt;"",OR(NOT(ISNUMBER(E169)),N(E169)&lt;0,N(E169)&gt;=1)),"Perte entre 0 et 99 %","OK")))))))</f>
        <v/>
      </c>
    </row>
    <row r="170">
      <c r="A170" s="60" t="n"/>
      <c r="B170" s="60" t="n"/>
      <c r="C170" s="61" t="n"/>
      <c r="D170" s="64" t="n"/>
      <c r="E170" s="65" t="n"/>
      <c r="F170" s="60" t="n"/>
      <c r="G170" s="100" t="n"/>
      <c r="H170" s="69" t="str">
        <f>IF(A170="","",IF(NOT(ISNUMBER(G170)),"Date à saisir",IF(EDATE(G170,N(p_age))&lt;TODAY(),"Ancien","À jour")))</f>
        <v/>
      </c>
      <c r="I170" s="69" t="str">
        <f>IF(AND(A170="",COUNTA(B170:G170)=0),"",IF(A170="","Référence manquante",IF(COUNTIF($A$6:$A$505,A170)&gt;1,"Référence en double",IF(C170="","Unité manquante",IF(D170="","Prix manquant",IF(AND(D170&lt;&gt;"",OR(NOT(ISNUMBER(D170)),N(D170)&lt;0)),"Prix invalide",IF(AND(E170&lt;&gt;"",OR(NOT(ISNUMBER(E170)),N(E170)&lt;0,N(E170)&gt;=1)),"Perte entre 0 et 99 %","OK")))))))</f>
        <v/>
      </c>
    </row>
    <row r="171">
      <c r="A171" s="60" t="n"/>
      <c r="B171" s="60" t="n"/>
      <c r="C171" s="61" t="n"/>
      <c r="D171" s="64" t="n"/>
      <c r="E171" s="65" t="n"/>
      <c r="F171" s="60" t="n"/>
      <c r="G171" s="100" t="n"/>
      <c r="H171" s="69" t="str">
        <f>IF(A171="","",IF(NOT(ISNUMBER(G171)),"Date à saisir",IF(EDATE(G171,N(p_age))&lt;TODAY(),"Ancien","À jour")))</f>
        <v/>
      </c>
      <c r="I171" s="69" t="str">
        <f>IF(AND(A171="",COUNTA(B171:G171)=0),"",IF(A171="","Référence manquante",IF(COUNTIF($A$6:$A$505,A171)&gt;1,"Référence en double",IF(C171="","Unité manquante",IF(D171="","Prix manquant",IF(AND(D171&lt;&gt;"",OR(NOT(ISNUMBER(D171)),N(D171)&lt;0)),"Prix invalide",IF(AND(E171&lt;&gt;"",OR(NOT(ISNUMBER(E171)),N(E171)&lt;0,N(E171)&gt;=1)),"Perte entre 0 et 99 %","OK")))))))</f>
        <v/>
      </c>
    </row>
    <row r="172">
      <c r="A172" s="60" t="n"/>
      <c r="B172" s="60" t="n"/>
      <c r="C172" s="61" t="n"/>
      <c r="D172" s="64" t="n"/>
      <c r="E172" s="65" t="n"/>
      <c r="F172" s="60" t="n"/>
      <c r="G172" s="100" t="n"/>
      <c r="H172" s="69" t="str">
        <f>IF(A172="","",IF(NOT(ISNUMBER(G172)),"Date à saisir",IF(EDATE(G172,N(p_age))&lt;TODAY(),"Ancien","À jour")))</f>
        <v/>
      </c>
      <c r="I172" s="69" t="str">
        <f>IF(AND(A172="",COUNTA(B172:G172)=0),"",IF(A172="","Référence manquante",IF(COUNTIF($A$6:$A$505,A172)&gt;1,"Référence en double",IF(C172="","Unité manquante",IF(D172="","Prix manquant",IF(AND(D172&lt;&gt;"",OR(NOT(ISNUMBER(D172)),N(D172)&lt;0)),"Prix invalide",IF(AND(E172&lt;&gt;"",OR(NOT(ISNUMBER(E172)),N(E172)&lt;0,N(E172)&gt;=1)),"Perte entre 0 et 99 %","OK")))))))</f>
        <v/>
      </c>
    </row>
    <row r="173">
      <c r="A173" s="60" t="n"/>
      <c r="B173" s="60" t="n"/>
      <c r="C173" s="61" t="n"/>
      <c r="D173" s="64" t="n"/>
      <c r="E173" s="65" t="n"/>
      <c r="F173" s="60" t="n"/>
      <c r="G173" s="100" t="n"/>
      <c r="H173" s="69" t="str">
        <f>IF(A173="","",IF(NOT(ISNUMBER(G173)),"Date à saisir",IF(EDATE(G173,N(p_age))&lt;TODAY(),"Ancien","À jour")))</f>
        <v/>
      </c>
      <c r="I173" s="69" t="str">
        <f>IF(AND(A173="",COUNTA(B173:G173)=0),"",IF(A173="","Référence manquante",IF(COUNTIF($A$6:$A$505,A173)&gt;1,"Référence en double",IF(C173="","Unité manquante",IF(D173="","Prix manquant",IF(AND(D173&lt;&gt;"",OR(NOT(ISNUMBER(D173)),N(D173)&lt;0)),"Prix invalide",IF(AND(E173&lt;&gt;"",OR(NOT(ISNUMBER(E173)),N(E173)&lt;0,N(E173)&gt;=1)),"Perte entre 0 et 99 %","OK")))))))</f>
        <v/>
      </c>
    </row>
    <row r="174">
      <c r="A174" s="60" t="n"/>
      <c r="B174" s="60" t="n"/>
      <c r="C174" s="61" t="n"/>
      <c r="D174" s="64" t="n"/>
      <c r="E174" s="65" t="n"/>
      <c r="F174" s="60" t="n"/>
      <c r="G174" s="100" t="n"/>
      <c r="H174" s="69" t="str">
        <f>IF(A174="","",IF(NOT(ISNUMBER(G174)),"Date à saisir",IF(EDATE(G174,N(p_age))&lt;TODAY(),"Ancien","À jour")))</f>
        <v/>
      </c>
      <c r="I174" s="69" t="str">
        <f>IF(AND(A174="",COUNTA(B174:G174)=0),"",IF(A174="","Référence manquante",IF(COUNTIF($A$6:$A$505,A174)&gt;1,"Référence en double",IF(C174="","Unité manquante",IF(D174="","Prix manquant",IF(AND(D174&lt;&gt;"",OR(NOT(ISNUMBER(D174)),N(D174)&lt;0)),"Prix invalide",IF(AND(E174&lt;&gt;"",OR(NOT(ISNUMBER(E174)),N(E174)&lt;0,N(E174)&gt;=1)),"Perte entre 0 et 99 %","OK")))))))</f>
        <v/>
      </c>
    </row>
    <row r="175">
      <c r="A175" s="60" t="n"/>
      <c r="B175" s="60" t="n"/>
      <c r="C175" s="61" t="n"/>
      <c r="D175" s="64" t="n"/>
      <c r="E175" s="65" t="n"/>
      <c r="F175" s="60" t="n"/>
      <c r="G175" s="100" t="n"/>
      <c r="H175" s="69" t="str">
        <f>IF(A175="","",IF(NOT(ISNUMBER(G175)),"Date à saisir",IF(EDATE(G175,N(p_age))&lt;TODAY(),"Ancien","À jour")))</f>
        <v/>
      </c>
      <c r="I175" s="69" t="str">
        <f>IF(AND(A175="",COUNTA(B175:G175)=0),"",IF(A175="","Référence manquante",IF(COUNTIF($A$6:$A$505,A175)&gt;1,"Référence en double",IF(C175="","Unité manquante",IF(D175="","Prix manquant",IF(AND(D175&lt;&gt;"",OR(NOT(ISNUMBER(D175)),N(D175)&lt;0)),"Prix invalide",IF(AND(E175&lt;&gt;"",OR(NOT(ISNUMBER(E175)),N(E175)&lt;0,N(E175)&gt;=1)),"Perte entre 0 et 99 %","OK")))))))</f>
        <v/>
      </c>
    </row>
    <row r="176">
      <c r="A176" s="60" t="n"/>
      <c r="B176" s="60" t="n"/>
      <c r="C176" s="61" t="n"/>
      <c r="D176" s="64" t="n"/>
      <c r="E176" s="65" t="n"/>
      <c r="F176" s="60" t="n"/>
      <c r="G176" s="100" t="n"/>
      <c r="H176" s="69" t="str">
        <f>IF(A176="","",IF(NOT(ISNUMBER(G176)),"Date à saisir",IF(EDATE(G176,N(p_age))&lt;TODAY(),"Ancien","À jour")))</f>
        <v/>
      </c>
      <c r="I176" s="69" t="str">
        <f>IF(AND(A176="",COUNTA(B176:G176)=0),"",IF(A176="","Référence manquante",IF(COUNTIF($A$6:$A$505,A176)&gt;1,"Référence en double",IF(C176="","Unité manquante",IF(D176="","Prix manquant",IF(AND(D176&lt;&gt;"",OR(NOT(ISNUMBER(D176)),N(D176)&lt;0)),"Prix invalide",IF(AND(E176&lt;&gt;"",OR(NOT(ISNUMBER(E176)),N(E176)&lt;0,N(E176)&gt;=1)),"Perte entre 0 et 99 %","OK")))))))</f>
        <v/>
      </c>
    </row>
    <row r="177">
      <c r="A177" s="60" t="n"/>
      <c r="B177" s="60" t="n"/>
      <c r="C177" s="61" t="n"/>
      <c r="D177" s="64" t="n"/>
      <c r="E177" s="65" t="n"/>
      <c r="F177" s="60" t="n"/>
      <c r="G177" s="100" t="n"/>
      <c r="H177" s="69" t="str">
        <f>IF(A177="","",IF(NOT(ISNUMBER(G177)),"Date à saisir",IF(EDATE(G177,N(p_age))&lt;TODAY(),"Ancien","À jour")))</f>
        <v/>
      </c>
      <c r="I177" s="69" t="str">
        <f>IF(AND(A177="",COUNTA(B177:G177)=0),"",IF(A177="","Référence manquante",IF(COUNTIF($A$6:$A$505,A177)&gt;1,"Référence en double",IF(C177="","Unité manquante",IF(D177="","Prix manquant",IF(AND(D177&lt;&gt;"",OR(NOT(ISNUMBER(D177)),N(D177)&lt;0)),"Prix invalide",IF(AND(E177&lt;&gt;"",OR(NOT(ISNUMBER(E177)),N(E177)&lt;0,N(E177)&gt;=1)),"Perte entre 0 et 99 %","OK")))))))</f>
        <v/>
      </c>
    </row>
    <row r="178">
      <c r="A178" s="60" t="n"/>
      <c r="B178" s="60" t="n"/>
      <c r="C178" s="61" t="n"/>
      <c r="D178" s="64" t="n"/>
      <c r="E178" s="65" t="n"/>
      <c r="F178" s="60" t="n"/>
      <c r="G178" s="100" t="n"/>
      <c r="H178" s="69" t="str">
        <f>IF(A178="","",IF(NOT(ISNUMBER(G178)),"Date à saisir",IF(EDATE(G178,N(p_age))&lt;TODAY(),"Ancien","À jour")))</f>
        <v/>
      </c>
      <c r="I178" s="69" t="str">
        <f>IF(AND(A178="",COUNTA(B178:G178)=0),"",IF(A178="","Référence manquante",IF(COUNTIF($A$6:$A$505,A178)&gt;1,"Référence en double",IF(C178="","Unité manquante",IF(D178="","Prix manquant",IF(AND(D178&lt;&gt;"",OR(NOT(ISNUMBER(D178)),N(D178)&lt;0)),"Prix invalide",IF(AND(E178&lt;&gt;"",OR(NOT(ISNUMBER(E178)),N(E178)&lt;0,N(E178)&gt;=1)),"Perte entre 0 et 99 %","OK")))))))</f>
        <v/>
      </c>
    </row>
    <row r="179">
      <c r="A179" s="60" t="n"/>
      <c r="B179" s="60" t="n"/>
      <c r="C179" s="61" t="n"/>
      <c r="D179" s="64" t="n"/>
      <c r="E179" s="65" t="n"/>
      <c r="F179" s="60" t="n"/>
      <c r="G179" s="100" t="n"/>
      <c r="H179" s="69" t="str">
        <f>IF(A179="","",IF(NOT(ISNUMBER(G179)),"Date à saisir",IF(EDATE(G179,N(p_age))&lt;TODAY(),"Ancien","À jour")))</f>
        <v/>
      </c>
      <c r="I179" s="69" t="str">
        <f>IF(AND(A179="",COUNTA(B179:G179)=0),"",IF(A179="","Référence manquante",IF(COUNTIF($A$6:$A$505,A179)&gt;1,"Référence en double",IF(C179="","Unité manquante",IF(D179="","Prix manquant",IF(AND(D179&lt;&gt;"",OR(NOT(ISNUMBER(D179)),N(D179)&lt;0)),"Prix invalide",IF(AND(E179&lt;&gt;"",OR(NOT(ISNUMBER(E179)),N(E179)&lt;0,N(E179)&gt;=1)),"Perte entre 0 et 99 %","OK")))))))</f>
        <v/>
      </c>
    </row>
    <row r="180">
      <c r="A180" s="60" t="n"/>
      <c r="B180" s="60" t="n"/>
      <c r="C180" s="61" t="n"/>
      <c r="D180" s="64" t="n"/>
      <c r="E180" s="65" t="n"/>
      <c r="F180" s="60" t="n"/>
      <c r="G180" s="100" t="n"/>
      <c r="H180" s="69" t="str">
        <f>IF(A180="","",IF(NOT(ISNUMBER(G180)),"Date à saisir",IF(EDATE(G180,N(p_age))&lt;TODAY(),"Ancien","À jour")))</f>
        <v/>
      </c>
      <c r="I180" s="69" t="str">
        <f>IF(AND(A180="",COUNTA(B180:G180)=0),"",IF(A180="","Référence manquante",IF(COUNTIF($A$6:$A$505,A180)&gt;1,"Référence en double",IF(C180="","Unité manquante",IF(D180="","Prix manquant",IF(AND(D180&lt;&gt;"",OR(NOT(ISNUMBER(D180)),N(D180)&lt;0)),"Prix invalide",IF(AND(E180&lt;&gt;"",OR(NOT(ISNUMBER(E180)),N(E180)&lt;0,N(E180)&gt;=1)),"Perte entre 0 et 99 %","OK")))))))</f>
        <v/>
      </c>
    </row>
    <row r="181">
      <c r="A181" s="60" t="n"/>
      <c r="B181" s="60" t="n"/>
      <c r="C181" s="61" t="n"/>
      <c r="D181" s="64" t="n"/>
      <c r="E181" s="65" t="n"/>
      <c r="F181" s="60" t="n"/>
      <c r="G181" s="100" t="n"/>
      <c r="H181" s="69" t="str">
        <f>IF(A181="","",IF(NOT(ISNUMBER(G181)),"Date à saisir",IF(EDATE(G181,N(p_age))&lt;TODAY(),"Ancien","À jour")))</f>
        <v/>
      </c>
      <c r="I181" s="69" t="str">
        <f>IF(AND(A181="",COUNTA(B181:G181)=0),"",IF(A181="","Référence manquante",IF(COUNTIF($A$6:$A$505,A181)&gt;1,"Référence en double",IF(C181="","Unité manquante",IF(D181="","Prix manquant",IF(AND(D181&lt;&gt;"",OR(NOT(ISNUMBER(D181)),N(D181)&lt;0)),"Prix invalide",IF(AND(E181&lt;&gt;"",OR(NOT(ISNUMBER(E181)),N(E181)&lt;0,N(E181)&gt;=1)),"Perte entre 0 et 99 %","OK")))))))</f>
        <v/>
      </c>
    </row>
    <row r="182">
      <c r="A182" s="60" t="n"/>
      <c r="B182" s="60" t="n"/>
      <c r="C182" s="61" t="n"/>
      <c r="D182" s="64" t="n"/>
      <c r="E182" s="65" t="n"/>
      <c r="F182" s="60" t="n"/>
      <c r="G182" s="100" t="n"/>
      <c r="H182" s="69" t="str">
        <f>IF(A182="","",IF(NOT(ISNUMBER(G182)),"Date à saisir",IF(EDATE(G182,N(p_age))&lt;TODAY(),"Ancien","À jour")))</f>
        <v/>
      </c>
      <c r="I182" s="69" t="str">
        <f>IF(AND(A182="",COUNTA(B182:G182)=0),"",IF(A182="","Référence manquante",IF(COUNTIF($A$6:$A$505,A182)&gt;1,"Référence en double",IF(C182="","Unité manquante",IF(D182="","Prix manquant",IF(AND(D182&lt;&gt;"",OR(NOT(ISNUMBER(D182)),N(D182)&lt;0)),"Prix invalide",IF(AND(E182&lt;&gt;"",OR(NOT(ISNUMBER(E182)),N(E182)&lt;0,N(E182)&gt;=1)),"Perte entre 0 et 99 %","OK")))))))</f>
        <v/>
      </c>
    </row>
    <row r="183">
      <c r="A183" s="60" t="n"/>
      <c r="B183" s="60" t="n"/>
      <c r="C183" s="61" t="n"/>
      <c r="D183" s="64" t="n"/>
      <c r="E183" s="65" t="n"/>
      <c r="F183" s="60" t="n"/>
      <c r="G183" s="100" t="n"/>
      <c r="H183" s="69" t="str">
        <f>IF(A183="","",IF(NOT(ISNUMBER(G183)),"Date à saisir",IF(EDATE(G183,N(p_age))&lt;TODAY(),"Ancien","À jour")))</f>
        <v/>
      </c>
      <c r="I183" s="69" t="str">
        <f>IF(AND(A183="",COUNTA(B183:G183)=0),"",IF(A183="","Référence manquante",IF(COUNTIF($A$6:$A$505,A183)&gt;1,"Référence en double",IF(C183="","Unité manquante",IF(D183="","Prix manquant",IF(AND(D183&lt;&gt;"",OR(NOT(ISNUMBER(D183)),N(D183)&lt;0)),"Prix invalide",IF(AND(E183&lt;&gt;"",OR(NOT(ISNUMBER(E183)),N(E183)&lt;0,N(E183)&gt;=1)),"Perte entre 0 et 99 %","OK")))))))</f>
        <v/>
      </c>
    </row>
    <row r="184">
      <c r="A184" s="60" t="n"/>
      <c r="B184" s="60" t="n"/>
      <c r="C184" s="61" t="n"/>
      <c r="D184" s="64" t="n"/>
      <c r="E184" s="65" t="n"/>
      <c r="F184" s="60" t="n"/>
      <c r="G184" s="100" t="n"/>
      <c r="H184" s="69" t="str">
        <f>IF(A184="","",IF(NOT(ISNUMBER(G184)),"Date à saisir",IF(EDATE(G184,N(p_age))&lt;TODAY(),"Ancien","À jour")))</f>
        <v/>
      </c>
      <c r="I184" s="69" t="str">
        <f>IF(AND(A184="",COUNTA(B184:G184)=0),"",IF(A184="","Référence manquante",IF(COUNTIF($A$6:$A$505,A184)&gt;1,"Référence en double",IF(C184="","Unité manquante",IF(D184="","Prix manquant",IF(AND(D184&lt;&gt;"",OR(NOT(ISNUMBER(D184)),N(D184)&lt;0)),"Prix invalide",IF(AND(E184&lt;&gt;"",OR(NOT(ISNUMBER(E184)),N(E184)&lt;0,N(E184)&gt;=1)),"Perte entre 0 et 99 %","OK")))))))</f>
        <v/>
      </c>
    </row>
    <row r="185">
      <c r="A185" s="60" t="n"/>
      <c r="B185" s="60" t="n"/>
      <c r="C185" s="61" t="n"/>
      <c r="D185" s="64" t="n"/>
      <c r="E185" s="65" t="n"/>
      <c r="F185" s="60" t="n"/>
      <c r="G185" s="100" t="n"/>
      <c r="H185" s="69" t="str">
        <f>IF(A185="","",IF(NOT(ISNUMBER(G185)),"Date à saisir",IF(EDATE(G185,N(p_age))&lt;TODAY(),"Ancien","À jour")))</f>
        <v/>
      </c>
      <c r="I185" s="69" t="str">
        <f>IF(AND(A185="",COUNTA(B185:G185)=0),"",IF(A185="","Référence manquante",IF(COUNTIF($A$6:$A$505,A185)&gt;1,"Référence en double",IF(C185="","Unité manquante",IF(D185="","Prix manquant",IF(AND(D185&lt;&gt;"",OR(NOT(ISNUMBER(D185)),N(D185)&lt;0)),"Prix invalide",IF(AND(E185&lt;&gt;"",OR(NOT(ISNUMBER(E185)),N(E185)&lt;0,N(E185)&gt;=1)),"Perte entre 0 et 99 %","OK")))))))</f>
        <v/>
      </c>
    </row>
    <row r="186">
      <c r="A186" s="60" t="n"/>
      <c r="B186" s="60" t="n"/>
      <c r="C186" s="61" t="n"/>
      <c r="D186" s="64" t="n"/>
      <c r="E186" s="65" t="n"/>
      <c r="F186" s="60" t="n"/>
      <c r="G186" s="100" t="n"/>
      <c r="H186" s="69" t="str">
        <f>IF(A186="","",IF(NOT(ISNUMBER(G186)),"Date à saisir",IF(EDATE(G186,N(p_age))&lt;TODAY(),"Ancien","À jour")))</f>
        <v/>
      </c>
      <c r="I186" s="69" t="str">
        <f>IF(AND(A186="",COUNTA(B186:G186)=0),"",IF(A186="","Référence manquante",IF(COUNTIF($A$6:$A$505,A186)&gt;1,"Référence en double",IF(C186="","Unité manquante",IF(D186="","Prix manquant",IF(AND(D186&lt;&gt;"",OR(NOT(ISNUMBER(D186)),N(D186)&lt;0)),"Prix invalide",IF(AND(E186&lt;&gt;"",OR(NOT(ISNUMBER(E186)),N(E186)&lt;0,N(E186)&gt;=1)),"Perte entre 0 et 99 %","OK")))))))</f>
        <v/>
      </c>
    </row>
    <row r="187">
      <c r="A187" s="60" t="n"/>
      <c r="B187" s="60" t="n"/>
      <c r="C187" s="61" t="n"/>
      <c r="D187" s="64" t="n"/>
      <c r="E187" s="65" t="n"/>
      <c r="F187" s="60" t="n"/>
      <c r="G187" s="100" t="n"/>
      <c r="H187" s="69" t="str">
        <f>IF(A187="","",IF(NOT(ISNUMBER(G187)),"Date à saisir",IF(EDATE(G187,N(p_age))&lt;TODAY(),"Ancien","À jour")))</f>
        <v/>
      </c>
      <c r="I187" s="69" t="str">
        <f>IF(AND(A187="",COUNTA(B187:G187)=0),"",IF(A187="","Référence manquante",IF(COUNTIF($A$6:$A$505,A187)&gt;1,"Référence en double",IF(C187="","Unité manquante",IF(D187="","Prix manquant",IF(AND(D187&lt;&gt;"",OR(NOT(ISNUMBER(D187)),N(D187)&lt;0)),"Prix invalide",IF(AND(E187&lt;&gt;"",OR(NOT(ISNUMBER(E187)),N(E187)&lt;0,N(E187)&gt;=1)),"Perte entre 0 et 99 %","OK")))))))</f>
        <v/>
      </c>
    </row>
    <row r="188">
      <c r="A188" s="60" t="n"/>
      <c r="B188" s="60" t="n"/>
      <c r="C188" s="61" t="n"/>
      <c r="D188" s="64" t="n"/>
      <c r="E188" s="65" t="n"/>
      <c r="F188" s="60" t="n"/>
      <c r="G188" s="100" t="n"/>
      <c r="H188" s="69" t="str">
        <f>IF(A188="","",IF(NOT(ISNUMBER(G188)),"Date à saisir",IF(EDATE(G188,N(p_age))&lt;TODAY(),"Ancien","À jour")))</f>
        <v/>
      </c>
      <c r="I188" s="69" t="str">
        <f>IF(AND(A188="",COUNTA(B188:G188)=0),"",IF(A188="","Référence manquante",IF(COUNTIF($A$6:$A$505,A188)&gt;1,"Référence en double",IF(C188="","Unité manquante",IF(D188="","Prix manquant",IF(AND(D188&lt;&gt;"",OR(NOT(ISNUMBER(D188)),N(D188)&lt;0)),"Prix invalide",IF(AND(E188&lt;&gt;"",OR(NOT(ISNUMBER(E188)),N(E188)&lt;0,N(E188)&gt;=1)),"Perte entre 0 et 99 %","OK")))))))</f>
        <v/>
      </c>
    </row>
    <row r="189">
      <c r="A189" s="60" t="n"/>
      <c r="B189" s="60" t="n"/>
      <c r="C189" s="61" t="n"/>
      <c r="D189" s="64" t="n"/>
      <c r="E189" s="65" t="n"/>
      <c r="F189" s="60" t="n"/>
      <c r="G189" s="100" t="n"/>
      <c r="H189" s="69" t="str">
        <f>IF(A189="","",IF(NOT(ISNUMBER(G189)),"Date à saisir",IF(EDATE(G189,N(p_age))&lt;TODAY(),"Ancien","À jour")))</f>
        <v/>
      </c>
      <c r="I189" s="69" t="str">
        <f>IF(AND(A189="",COUNTA(B189:G189)=0),"",IF(A189="","Référence manquante",IF(COUNTIF($A$6:$A$505,A189)&gt;1,"Référence en double",IF(C189="","Unité manquante",IF(D189="","Prix manquant",IF(AND(D189&lt;&gt;"",OR(NOT(ISNUMBER(D189)),N(D189)&lt;0)),"Prix invalide",IF(AND(E189&lt;&gt;"",OR(NOT(ISNUMBER(E189)),N(E189)&lt;0,N(E189)&gt;=1)),"Perte entre 0 et 99 %","OK")))))))</f>
        <v/>
      </c>
    </row>
    <row r="190">
      <c r="A190" s="60" t="n"/>
      <c r="B190" s="60" t="n"/>
      <c r="C190" s="61" t="n"/>
      <c r="D190" s="64" t="n"/>
      <c r="E190" s="65" t="n"/>
      <c r="F190" s="60" t="n"/>
      <c r="G190" s="100" t="n"/>
      <c r="H190" s="69" t="str">
        <f>IF(A190="","",IF(NOT(ISNUMBER(G190)),"Date à saisir",IF(EDATE(G190,N(p_age))&lt;TODAY(),"Ancien","À jour")))</f>
        <v/>
      </c>
      <c r="I190" s="69" t="str">
        <f>IF(AND(A190="",COUNTA(B190:G190)=0),"",IF(A190="","Référence manquante",IF(COUNTIF($A$6:$A$505,A190)&gt;1,"Référence en double",IF(C190="","Unité manquante",IF(D190="","Prix manquant",IF(AND(D190&lt;&gt;"",OR(NOT(ISNUMBER(D190)),N(D190)&lt;0)),"Prix invalide",IF(AND(E190&lt;&gt;"",OR(NOT(ISNUMBER(E190)),N(E190)&lt;0,N(E190)&gt;=1)),"Perte entre 0 et 99 %","OK")))))))</f>
        <v/>
      </c>
    </row>
    <row r="191">
      <c r="A191" s="60" t="n"/>
      <c r="B191" s="60" t="n"/>
      <c r="C191" s="61" t="n"/>
      <c r="D191" s="64" t="n"/>
      <c r="E191" s="65" t="n"/>
      <c r="F191" s="60" t="n"/>
      <c r="G191" s="100" t="n"/>
      <c r="H191" s="69" t="str">
        <f>IF(A191="","",IF(NOT(ISNUMBER(G191)),"Date à saisir",IF(EDATE(G191,N(p_age))&lt;TODAY(),"Ancien","À jour")))</f>
        <v/>
      </c>
      <c r="I191" s="69" t="str">
        <f>IF(AND(A191="",COUNTA(B191:G191)=0),"",IF(A191="","Référence manquante",IF(COUNTIF($A$6:$A$505,A191)&gt;1,"Référence en double",IF(C191="","Unité manquante",IF(D191="","Prix manquant",IF(AND(D191&lt;&gt;"",OR(NOT(ISNUMBER(D191)),N(D191)&lt;0)),"Prix invalide",IF(AND(E191&lt;&gt;"",OR(NOT(ISNUMBER(E191)),N(E191)&lt;0,N(E191)&gt;=1)),"Perte entre 0 et 99 %","OK")))))))</f>
        <v/>
      </c>
    </row>
    <row r="192">
      <c r="A192" s="60" t="n"/>
      <c r="B192" s="60" t="n"/>
      <c r="C192" s="61" t="n"/>
      <c r="D192" s="64" t="n"/>
      <c r="E192" s="65" t="n"/>
      <c r="F192" s="60" t="n"/>
      <c r="G192" s="100" t="n"/>
      <c r="H192" s="69" t="str">
        <f>IF(A192="","",IF(NOT(ISNUMBER(G192)),"Date à saisir",IF(EDATE(G192,N(p_age))&lt;TODAY(),"Ancien","À jour")))</f>
        <v/>
      </c>
      <c r="I192" s="69" t="str">
        <f>IF(AND(A192="",COUNTA(B192:G192)=0),"",IF(A192="","Référence manquante",IF(COUNTIF($A$6:$A$505,A192)&gt;1,"Référence en double",IF(C192="","Unité manquante",IF(D192="","Prix manquant",IF(AND(D192&lt;&gt;"",OR(NOT(ISNUMBER(D192)),N(D192)&lt;0)),"Prix invalide",IF(AND(E192&lt;&gt;"",OR(NOT(ISNUMBER(E192)),N(E192)&lt;0,N(E192)&gt;=1)),"Perte entre 0 et 99 %","OK")))))))</f>
        <v/>
      </c>
    </row>
    <row r="193">
      <c r="A193" s="60" t="n"/>
      <c r="B193" s="60" t="n"/>
      <c r="C193" s="61" t="n"/>
      <c r="D193" s="64" t="n"/>
      <c r="E193" s="65" t="n"/>
      <c r="F193" s="60" t="n"/>
      <c r="G193" s="100" t="n"/>
      <c r="H193" s="69" t="str">
        <f>IF(A193="","",IF(NOT(ISNUMBER(G193)),"Date à saisir",IF(EDATE(G193,N(p_age))&lt;TODAY(),"Ancien","À jour")))</f>
        <v/>
      </c>
      <c r="I193" s="69" t="str">
        <f>IF(AND(A193="",COUNTA(B193:G193)=0),"",IF(A193="","Référence manquante",IF(COUNTIF($A$6:$A$505,A193)&gt;1,"Référence en double",IF(C193="","Unité manquante",IF(D193="","Prix manquant",IF(AND(D193&lt;&gt;"",OR(NOT(ISNUMBER(D193)),N(D193)&lt;0)),"Prix invalide",IF(AND(E193&lt;&gt;"",OR(NOT(ISNUMBER(E193)),N(E193)&lt;0,N(E193)&gt;=1)),"Perte entre 0 et 99 %","OK")))))))</f>
        <v/>
      </c>
    </row>
    <row r="194">
      <c r="A194" s="60" t="n"/>
      <c r="B194" s="60" t="n"/>
      <c r="C194" s="61" t="n"/>
      <c r="D194" s="64" t="n"/>
      <c r="E194" s="65" t="n"/>
      <c r="F194" s="60" t="n"/>
      <c r="G194" s="100" t="n"/>
      <c r="H194" s="69" t="str">
        <f>IF(A194="","",IF(NOT(ISNUMBER(G194)),"Date à saisir",IF(EDATE(G194,N(p_age))&lt;TODAY(),"Ancien","À jour")))</f>
        <v/>
      </c>
      <c r="I194" s="69" t="str">
        <f>IF(AND(A194="",COUNTA(B194:G194)=0),"",IF(A194="","Référence manquante",IF(COUNTIF($A$6:$A$505,A194)&gt;1,"Référence en double",IF(C194="","Unité manquante",IF(D194="","Prix manquant",IF(AND(D194&lt;&gt;"",OR(NOT(ISNUMBER(D194)),N(D194)&lt;0)),"Prix invalide",IF(AND(E194&lt;&gt;"",OR(NOT(ISNUMBER(E194)),N(E194)&lt;0,N(E194)&gt;=1)),"Perte entre 0 et 99 %","OK")))))))</f>
        <v/>
      </c>
    </row>
    <row r="195">
      <c r="A195" s="60" t="n"/>
      <c r="B195" s="60" t="n"/>
      <c r="C195" s="61" t="n"/>
      <c r="D195" s="64" t="n"/>
      <c r="E195" s="65" t="n"/>
      <c r="F195" s="60" t="n"/>
      <c r="G195" s="100" t="n"/>
      <c r="H195" s="69" t="str">
        <f>IF(A195="","",IF(NOT(ISNUMBER(G195)),"Date à saisir",IF(EDATE(G195,N(p_age))&lt;TODAY(),"Ancien","À jour")))</f>
        <v/>
      </c>
      <c r="I195" s="69" t="str">
        <f>IF(AND(A195="",COUNTA(B195:G195)=0),"",IF(A195="","Référence manquante",IF(COUNTIF($A$6:$A$505,A195)&gt;1,"Référence en double",IF(C195="","Unité manquante",IF(D195="","Prix manquant",IF(AND(D195&lt;&gt;"",OR(NOT(ISNUMBER(D195)),N(D195)&lt;0)),"Prix invalide",IF(AND(E195&lt;&gt;"",OR(NOT(ISNUMBER(E195)),N(E195)&lt;0,N(E195)&gt;=1)),"Perte entre 0 et 99 %","OK")))))))</f>
        <v/>
      </c>
    </row>
    <row r="196">
      <c r="A196" s="60" t="n"/>
      <c r="B196" s="60" t="n"/>
      <c r="C196" s="61" t="n"/>
      <c r="D196" s="64" t="n"/>
      <c r="E196" s="65" t="n"/>
      <c r="F196" s="60" t="n"/>
      <c r="G196" s="100" t="n"/>
      <c r="H196" s="69" t="str">
        <f>IF(A196="","",IF(NOT(ISNUMBER(G196)),"Date à saisir",IF(EDATE(G196,N(p_age))&lt;TODAY(),"Ancien","À jour")))</f>
        <v/>
      </c>
      <c r="I196" s="69" t="str">
        <f>IF(AND(A196="",COUNTA(B196:G196)=0),"",IF(A196="","Référence manquante",IF(COUNTIF($A$6:$A$505,A196)&gt;1,"Référence en double",IF(C196="","Unité manquante",IF(D196="","Prix manquant",IF(AND(D196&lt;&gt;"",OR(NOT(ISNUMBER(D196)),N(D196)&lt;0)),"Prix invalide",IF(AND(E196&lt;&gt;"",OR(NOT(ISNUMBER(E196)),N(E196)&lt;0,N(E196)&gt;=1)),"Perte entre 0 et 99 %","OK")))))))</f>
        <v/>
      </c>
    </row>
    <row r="197">
      <c r="A197" s="60" t="n"/>
      <c r="B197" s="60" t="n"/>
      <c r="C197" s="61" t="n"/>
      <c r="D197" s="64" t="n"/>
      <c r="E197" s="65" t="n"/>
      <c r="F197" s="60" t="n"/>
      <c r="G197" s="100" t="n"/>
      <c r="H197" s="69" t="str">
        <f>IF(A197="","",IF(NOT(ISNUMBER(G197)),"Date à saisir",IF(EDATE(G197,N(p_age))&lt;TODAY(),"Ancien","À jour")))</f>
        <v/>
      </c>
      <c r="I197" s="69" t="str">
        <f>IF(AND(A197="",COUNTA(B197:G197)=0),"",IF(A197="","Référence manquante",IF(COUNTIF($A$6:$A$505,A197)&gt;1,"Référence en double",IF(C197="","Unité manquante",IF(D197="","Prix manquant",IF(AND(D197&lt;&gt;"",OR(NOT(ISNUMBER(D197)),N(D197)&lt;0)),"Prix invalide",IF(AND(E197&lt;&gt;"",OR(NOT(ISNUMBER(E197)),N(E197)&lt;0,N(E197)&gt;=1)),"Perte entre 0 et 99 %","OK")))))))</f>
        <v/>
      </c>
    </row>
    <row r="198">
      <c r="A198" s="60" t="n"/>
      <c r="B198" s="60" t="n"/>
      <c r="C198" s="61" t="n"/>
      <c r="D198" s="64" t="n"/>
      <c r="E198" s="65" t="n"/>
      <c r="F198" s="60" t="n"/>
      <c r="G198" s="100" t="n"/>
      <c r="H198" s="69" t="str">
        <f>IF(A198="","",IF(NOT(ISNUMBER(G198)),"Date à saisir",IF(EDATE(G198,N(p_age))&lt;TODAY(),"Ancien","À jour")))</f>
        <v/>
      </c>
      <c r="I198" s="69" t="str">
        <f>IF(AND(A198="",COUNTA(B198:G198)=0),"",IF(A198="","Référence manquante",IF(COUNTIF($A$6:$A$505,A198)&gt;1,"Référence en double",IF(C198="","Unité manquante",IF(D198="","Prix manquant",IF(AND(D198&lt;&gt;"",OR(NOT(ISNUMBER(D198)),N(D198)&lt;0)),"Prix invalide",IF(AND(E198&lt;&gt;"",OR(NOT(ISNUMBER(E198)),N(E198)&lt;0,N(E198)&gt;=1)),"Perte entre 0 et 99 %","OK")))))))</f>
        <v/>
      </c>
    </row>
    <row r="199">
      <c r="A199" s="60" t="n"/>
      <c r="B199" s="60" t="n"/>
      <c r="C199" s="61" t="n"/>
      <c r="D199" s="64" t="n"/>
      <c r="E199" s="65" t="n"/>
      <c r="F199" s="60" t="n"/>
      <c r="G199" s="100" t="n"/>
      <c r="H199" s="69" t="str">
        <f>IF(A199="","",IF(NOT(ISNUMBER(G199)),"Date à saisir",IF(EDATE(G199,N(p_age))&lt;TODAY(),"Ancien","À jour")))</f>
        <v/>
      </c>
      <c r="I199" s="69" t="str">
        <f>IF(AND(A199="",COUNTA(B199:G199)=0),"",IF(A199="","Référence manquante",IF(COUNTIF($A$6:$A$505,A199)&gt;1,"Référence en double",IF(C199="","Unité manquante",IF(D199="","Prix manquant",IF(AND(D199&lt;&gt;"",OR(NOT(ISNUMBER(D199)),N(D199)&lt;0)),"Prix invalide",IF(AND(E199&lt;&gt;"",OR(NOT(ISNUMBER(E199)),N(E199)&lt;0,N(E199)&gt;=1)),"Perte entre 0 et 99 %","OK")))))))</f>
        <v/>
      </c>
    </row>
    <row r="200">
      <c r="A200" s="60" t="n"/>
      <c r="B200" s="60" t="n"/>
      <c r="C200" s="61" t="n"/>
      <c r="D200" s="64" t="n"/>
      <c r="E200" s="65" t="n"/>
      <c r="F200" s="60" t="n"/>
      <c r="G200" s="100" t="n"/>
      <c r="H200" s="69" t="str">
        <f>IF(A200="","",IF(NOT(ISNUMBER(G200)),"Date à saisir",IF(EDATE(G200,N(p_age))&lt;TODAY(),"Ancien","À jour")))</f>
        <v/>
      </c>
      <c r="I200" s="69" t="str">
        <f>IF(AND(A200="",COUNTA(B200:G200)=0),"",IF(A200="","Référence manquante",IF(COUNTIF($A$6:$A$505,A200)&gt;1,"Référence en double",IF(C200="","Unité manquante",IF(D200="","Prix manquant",IF(AND(D200&lt;&gt;"",OR(NOT(ISNUMBER(D200)),N(D200)&lt;0)),"Prix invalide",IF(AND(E200&lt;&gt;"",OR(NOT(ISNUMBER(E200)),N(E200)&lt;0,N(E200)&gt;=1)),"Perte entre 0 et 99 %","OK")))))))</f>
        <v/>
      </c>
    </row>
    <row r="201">
      <c r="A201" s="60" t="n"/>
      <c r="B201" s="60" t="n"/>
      <c r="C201" s="61" t="n"/>
      <c r="D201" s="64" t="n"/>
      <c r="E201" s="65" t="n"/>
      <c r="F201" s="60" t="n"/>
      <c r="G201" s="100" t="n"/>
      <c r="H201" s="69" t="str">
        <f>IF(A201="","",IF(NOT(ISNUMBER(G201)),"Date à saisir",IF(EDATE(G201,N(p_age))&lt;TODAY(),"Ancien","À jour")))</f>
        <v/>
      </c>
      <c r="I201" s="69" t="str">
        <f>IF(AND(A201="",COUNTA(B201:G201)=0),"",IF(A201="","Référence manquante",IF(COUNTIF($A$6:$A$505,A201)&gt;1,"Référence en double",IF(C201="","Unité manquante",IF(D201="","Prix manquant",IF(AND(D201&lt;&gt;"",OR(NOT(ISNUMBER(D201)),N(D201)&lt;0)),"Prix invalide",IF(AND(E201&lt;&gt;"",OR(NOT(ISNUMBER(E201)),N(E201)&lt;0,N(E201)&gt;=1)),"Perte entre 0 et 99 %","OK")))))))</f>
        <v/>
      </c>
    </row>
    <row r="202">
      <c r="A202" s="60" t="n"/>
      <c r="B202" s="60" t="n"/>
      <c r="C202" s="61" t="n"/>
      <c r="D202" s="64" t="n"/>
      <c r="E202" s="65" t="n"/>
      <c r="F202" s="60" t="n"/>
      <c r="G202" s="100" t="n"/>
      <c r="H202" s="69" t="str">
        <f>IF(A202="","",IF(NOT(ISNUMBER(G202)),"Date à saisir",IF(EDATE(G202,N(p_age))&lt;TODAY(),"Ancien","À jour")))</f>
        <v/>
      </c>
      <c r="I202" s="69" t="str">
        <f>IF(AND(A202="",COUNTA(B202:G202)=0),"",IF(A202="","Référence manquante",IF(COUNTIF($A$6:$A$505,A202)&gt;1,"Référence en double",IF(C202="","Unité manquante",IF(D202="","Prix manquant",IF(AND(D202&lt;&gt;"",OR(NOT(ISNUMBER(D202)),N(D202)&lt;0)),"Prix invalide",IF(AND(E202&lt;&gt;"",OR(NOT(ISNUMBER(E202)),N(E202)&lt;0,N(E202)&gt;=1)),"Perte entre 0 et 99 %","OK")))))))</f>
        <v/>
      </c>
    </row>
    <row r="203">
      <c r="A203" s="60" t="n"/>
      <c r="B203" s="60" t="n"/>
      <c r="C203" s="61" t="n"/>
      <c r="D203" s="64" t="n"/>
      <c r="E203" s="65" t="n"/>
      <c r="F203" s="60" t="n"/>
      <c r="G203" s="100" t="n"/>
      <c r="H203" s="69" t="str">
        <f>IF(A203="","",IF(NOT(ISNUMBER(G203)),"Date à saisir",IF(EDATE(G203,N(p_age))&lt;TODAY(),"Ancien","À jour")))</f>
        <v/>
      </c>
      <c r="I203" s="69" t="str">
        <f>IF(AND(A203="",COUNTA(B203:G203)=0),"",IF(A203="","Référence manquante",IF(COUNTIF($A$6:$A$505,A203)&gt;1,"Référence en double",IF(C203="","Unité manquante",IF(D203="","Prix manquant",IF(AND(D203&lt;&gt;"",OR(NOT(ISNUMBER(D203)),N(D203)&lt;0)),"Prix invalide",IF(AND(E203&lt;&gt;"",OR(NOT(ISNUMBER(E203)),N(E203)&lt;0,N(E203)&gt;=1)),"Perte entre 0 et 99 %","OK")))))))</f>
        <v/>
      </c>
    </row>
    <row r="204">
      <c r="A204" s="60" t="n"/>
      <c r="B204" s="60" t="n"/>
      <c r="C204" s="61" t="n"/>
      <c r="D204" s="64" t="n"/>
      <c r="E204" s="65" t="n"/>
      <c r="F204" s="60" t="n"/>
      <c r="G204" s="100" t="n"/>
      <c r="H204" s="69" t="str">
        <f>IF(A204="","",IF(NOT(ISNUMBER(G204)),"Date à saisir",IF(EDATE(G204,N(p_age))&lt;TODAY(),"Ancien","À jour")))</f>
        <v/>
      </c>
      <c r="I204" s="69" t="str">
        <f>IF(AND(A204="",COUNTA(B204:G204)=0),"",IF(A204="","Référence manquante",IF(COUNTIF($A$6:$A$505,A204)&gt;1,"Référence en double",IF(C204="","Unité manquante",IF(D204="","Prix manquant",IF(AND(D204&lt;&gt;"",OR(NOT(ISNUMBER(D204)),N(D204)&lt;0)),"Prix invalide",IF(AND(E204&lt;&gt;"",OR(NOT(ISNUMBER(E204)),N(E204)&lt;0,N(E204)&gt;=1)),"Perte entre 0 et 99 %","OK")))))))</f>
        <v/>
      </c>
    </row>
    <row r="205">
      <c r="A205" s="60" t="n"/>
      <c r="B205" s="60" t="n"/>
      <c r="C205" s="61" t="n"/>
      <c r="D205" s="64" t="n"/>
      <c r="E205" s="65" t="n"/>
      <c r="F205" s="60" t="n"/>
      <c r="G205" s="100" t="n"/>
      <c r="H205" s="69" t="str">
        <f>IF(A205="","",IF(NOT(ISNUMBER(G205)),"Date à saisir",IF(EDATE(G205,N(p_age))&lt;TODAY(),"Ancien","À jour")))</f>
        <v/>
      </c>
      <c r="I205" s="69" t="str">
        <f>IF(AND(A205="",COUNTA(B205:G205)=0),"",IF(A205="","Référence manquante",IF(COUNTIF($A$6:$A$505,A205)&gt;1,"Référence en double",IF(C205="","Unité manquante",IF(D205="","Prix manquant",IF(AND(D205&lt;&gt;"",OR(NOT(ISNUMBER(D205)),N(D205)&lt;0)),"Prix invalide",IF(AND(E205&lt;&gt;"",OR(NOT(ISNUMBER(E205)),N(E205)&lt;0,N(E205)&gt;=1)),"Perte entre 0 et 99 %","OK")))))))</f>
        <v/>
      </c>
    </row>
    <row r="206">
      <c r="A206" s="60" t="n"/>
      <c r="B206" s="60" t="n"/>
      <c r="C206" s="61" t="n"/>
      <c r="D206" s="64" t="n"/>
      <c r="E206" s="65" t="n"/>
      <c r="F206" s="60" t="n"/>
      <c r="G206" s="100" t="n"/>
      <c r="H206" s="69" t="str">
        <f>IF(A206="","",IF(NOT(ISNUMBER(G206)),"Date à saisir",IF(EDATE(G206,N(p_age))&lt;TODAY(),"Ancien","À jour")))</f>
        <v/>
      </c>
      <c r="I206" s="69" t="str">
        <f>IF(AND(A206="",COUNTA(B206:G206)=0),"",IF(A206="","Référence manquante",IF(COUNTIF($A$6:$A$505,A206)&gt;1,"Référence en double",IF(C206="","Unité manquante",IF(D206="","Prix manquant",IF(AND(D206&lt;&gt;"",OR(NOT(ISNUMBER(D206)),N(D206)&lt;0)),"Prix invalide",IF(AND(E206&lt;&gt;"",OR(NOT(ISNUMBER(E206)),N(E206)&lt;0,N(E206)&gt;=1)),"Perte entre 0 et 99 %","OK")))))))</f>
        <v/>
      </c>
    </row>
    <row r="207">
      <c r="A207" s="60" t="n"/>
      <c r="B207" s="60" t="n"/>
      <c r="C207" s="61" t="n"/>
      <c r="D207" s="64" t="n"/>
      <c r="E207" s="65" t="n"/>
      <c r="F207" s="60" t="n"/>
      <c r="G207" s="100" t="n"/>
      <c r="H207" s="69" t="str">
        <f>IF(A207="","",IF(NOT(ISNUMBER(G207)),"Date à saisir",IF(EDATE(G207,N(p_age))&lt;TODAY(),"Ancien","À jour")))</f>
        <v/>
      </c>
      <c r="I207" s="69" t="str">
        <f>IF(AND(A207="",COUNTA(B207:G207)=0),"",IF(A207="","Référence manquante",IF(COUNTIF($A$6:$A$505,A207)&gt;1,"Référence en double",IF(C207="","Unité manquante",IF(D207="","Prix manquant",IF(AND(D207&lt;&gt;"",OR(NOT(ISNUMBER(D207)),N(D207)&lt;0)),"Prix invalide",IF(AND(E207&lt;&gt;"",OR(NOT(ISNUMBER(E207)),N(E207)&lt;0,N(E207)&gt;=1)),"Perte entre 0 et 99 %","OK")))))))</f>
        <v/>
      </c>
    </row>
    <row r="208">
      <c r="A208" s="60" t="n"/>
      <c r="B208" s="60" t="n"/>
      <c r="C208" s="61" t="n"/>
      <c r="D208" s="64" t="n"/>
      <c r="E208" s="65" t="n"/>
      <c r="F208" s="60" t="n"/>
      <c r="G208" s="100" t="n"/>
      <c r="H208" s="69" t="str">
        <f>IF(A208="","",IF(NOT(ISNUMBER(G208)),"Date à saisir",IF(EDATE(G208,N(p_age))&lt;TODAY(),"Ancien","À jour")))</f>
        <v/>
      </c>
      <c r="I208" s="69" t="str">
        <f>IF(AND(A208="",COUNTA(B208:G208)=0),"",IF(A208="","Référence manquante",IF(COUNTIF($A$6:$A$505,A208)&gt;1,"Référence en double",IF(C208="","Unité manquante",IF(D208="","Prix manquant",IF(AND(D208&lt;&gt;"",OR(NOT(ISNUMBER(D208)),N(D208)&lt;0)),"Prix invalide",IF(AND(E208&lt;&gt;"",OR(NOT(ISNUMBER(E208)),N(E208)&lt;0,N(E208)&gt;=1)),"Perte entre 0 et 99 %","OK")))))))</f>
        <v/>
      </c>
    </row>
    <row r="209">
      <c r="A209" s="60" t="n"/>
      <c r="B209" s="60" t="n"/>
      <c r="C209" s="61" t="n"/>
      <c r="D209" s="64" t="n"/>
      <c r="E209" s="65" t="n"/>
      <c r="F209" s="60" t="n"/>
      <c r="G209" s="100" t="n"/>
      <c r="H209" s="69" t="str">
        <f>IF(A209="","",IF(NOT(ISNUMBER(G209)),"Date à saisir",IF(EDATE(G209,N(p_age))&lt;TODAY(),"Ancien","À jour")))</f>
        <v/>
      </c>
      <c r="I209" s="69" t="str">
        <f>IF(AND(A209="",COUNTA(B209:G209)=0),"",IF(A209="","Référence manquante",IF(COUNTIF($A$6:$A$505,A209)&gt;1,"Référence en double",IF(C209="","Unité manquante",IF(D209="","Prix manquant",IF(AND(D209&lt;&gt;"",OR(NOT(ISNUMBER(D209)),N(D209)&lt;0)),"Prix invalide",IF(AND(E209&lt;&gt;"",OR(NOT(ISNUMBER(E209)),N(E209)&lt;0,N(E209)&gt;=1)),"Perte entre 0 et 99 %","OK")))))))</f>
        <v/>
      </c>
    </row>
    <row r="210">
      <c r="A210" s="60" t="n"/>
      <c r="B210" s="60" t="n"/>
      <c r="C210" s="61" t="n"/>
      <c r="D210" s="64" t="n"/>
      <c r="E210" s="65" t="n"/>
      <c r="F210" s="60" t="n"/>
      <c r="G210" s="100" t="n"/>
      <c r="H210" s="69" t="str">
        <f>IF(A210="","",IF(NOT(ISNUMBER(G210)),"Date à saisir",IF(EDATE(G210,N(p_age))&lt;TODAY(),"Ancien","À jour")))</f>
        <v/>
      </c>
      <c r="I210" s="69" t="str">
        <f>IF(AND(A210="",COUNTA(B210:G210)=0),"",IF(A210="","Référence manquante",IF(COUNTIF($A$6:$A$505,A210)&gt;1,"Référence en double",IF(C210="","Unité manquante",IF(D210="","Prix manquant",IF(AND(D210&lt;&gt;"",OR(NOT(ISNUMBER(D210)),N(D210)&lt;0)),"Prix invalide",IF(AND(E210&lt;&gt;"",OR(NOT(ISNUMBER(E210)),N(E210)&lt;0,N(E210)&gt;=1)),"Perte entre 0 et 99 %","OK")))))))</f>
        <v/>
      </c>
    </row>
    <row r="211">
      <c r="A211" s="60" t="n"/>
      <c r="B211" s="60" t="n"/>
      <c r="C211" s="61" t="n"/>
      <c r="D211" s="64" t="n"/>
      <c r="E211" s="65" t="n"/>
      <c r="F211" s="60" t="n"/>
      <c r="G211" s="100" t="n"/>
      <c r="H211" s="69" t="str">
        <f>IF(A211="","",IF(NOT(ISNUMBER(G211)),"Date à saisir",IF(EDATE(G211,N(p_age))&lt;TODAY(),"Ancien","À jour")))</f>
        <v/>
      </c>
      <c r="I211" s="69" t="str">
        <f>IF(AND(A211="",COUNTA(B211:G211)=0),"",IF(A211="","Référence manquante",IF(COUNTIF($A$6:$A$505,A211)&gt;1,"Référence en double",IF(C211="","Unité manquante",IF(D211="","Prix manquant",IF(AND(D211&lt;&gt;"",OR(NOT(ISNUMBER(D211)),N(D211)&lt;0)),"Prix invalide",IF(AND(E211&lt;&gt;"",OR(NOT(ISNUMBER(E211)),N(E211)&lt;0,N(E211)&gt;=1)),"Perte entre 0 et 99 %","OK")))))))</f>
        <v/>
      </c>
    </row>
    <row r="212">
      <c r="A212" s="60" t="n"/>
      <c r="B212" s="60" t="n"/>
      <c r="C212" s="61" t="n"/>
      <c r="D212" s="64" t="n"/>
      <c r="E212" s="65" t="n"/>
      <c r="F212" s="60" t="n"/>
      <c r="G212" s="100" t="n"/>
      <c r="H212" s="69" t="str">
        <f>IF(A212="","",IF(NOT(ISNUMBER(G212)),"Date à saisir",IF(EDATE(G212,N(p_age))&lt;TODAY(),"Ancien","À jour")))</f>
        <v/>
      </c>
      <c r="I212" s="69" t="str">
        <f>IF(AND(A212="",COUNTA(B212:G212)=0),"",IF(A212="","Référence manquante",IF(COUNTIF($A$6:$A$505,A212)&gt;1,"Référence en double",IF(C212="","Unité manquante",IF(D212="","Prix manquant",IF(AND(D212&lt;&gt;"",OR(NOT(ISNUMBER(D212)),N(D212)&lt;0)),"Prix invalide",IF(AND(E212&lt;&gt;"",OR(NOT(ISNUMBER(E212)),N(E212)&lt;0,N(E212)&gt;=1)),"Perte entre 0 et 99 %","OK")))))))</f>
        <v/>
      </c>
    </row>
    <row r="213">
      <c r="A213" s="60" t="n"/>
      <c r="B213" s="60" t="n"/>
      <c r="C213" s="61" t="n"/>
      <c r="D213" s="64" t="n"/>
      <c r="E213" s="65" t="n"/>
      <c r="F213" s="60" t="n"/>
      <c r="G213" s="100" t="n"/>
      <c r="H213" s="69" t="str">
        <f>IF(A213="","",IF(NOT(ISNUMBER(G213)),"Date à saisir",IF(EDATE(G213,N(p_age))&lt;TODAY(),"Ancien","À jour")))</f>
        <v/>
      </c>
      <c r="I213" s="69" t="str">
        <f>IF(AND(A213="",COUNTA(B213:G213)=0),"",IF(A213="","Référence manquante",IF(COUNTIF($A$6:$A$505,A213)&gt;1,"Référence en double",IF(C213="","Unité manquante",IF(D213="","Prix manquant",IF(AND(D213&lt;&gt;"",OR(NOT(ISNUMBER(D213)),N(D213)&lt;0)),"Prix invalide",IF(AND(E213&lt;&gt;"",OR(NOT(ISNUMBER(E213)),N(E213)&lt;0,N(E213)&gt;=1)),"Perte entre 0 et 99 %","OK")))))))</f>
        <v/>
      </c>
    </row>
    <row r="214">
      <c r="A214" s="60" t="n"/>
      <c r="B214" s="60" t="n"/>
      <c r="C214" s="61" t="n"/>
      <c r="D214" s="64" t="n"/>
      <c r="E214" s="65" t="n"/>
      <c r="F214" s="60" t="n"/>
      <c r="G214" s="100" t="n"/>
      <c r="H214" s="69" t="str">
        <f>IF(A214="","",IF(NOT(ISNUMBER(G214)),"Date à saisir",IF(EDATE(G214,N(p_age))&lt;TODAY(),"Ancien","À jour")))</f>
        <v/>
      </c>
      <c r="I214" s="69" t="str">
        <f>IF(AND(A214="",COUNTA(B214:G214)=0),"",IF(A214="","Référence manquante",IF(COUNTIF($A$6:$A$505,A214)&gt;1,"Référence en double",IF(C214="","Unité manquante",IF(D214="","Prix manquant",IF(AND(D214&lt;&gt;"",OR(NOT(ISNUMBER(D214)),N(D214)&lt;0)),"Prix invalide",IF(AND(E214&lt;&gt;"",OR(NOT(ISNUMBER(E214)),N(E214)&lt;0,N(E214)&gt;=1)),"Perte entre 0 et 99 %","OK")))))))</f>
        <v/>
      </c>
    </row>
    <row r="215">
      <c r="A215" s="60" t="n"/>
      <c r="B215" s="60" t="n"/>
      <c r="C215" s="61" t="n"/>
      <c r="D215" s="64" t="n"/>
      <c r="E215" s="65" t="n"/>
      <c r="F215" s="60" t="n"/>
      <c r="G215" s="100" t="n"/>
      <c r="H215" s="69" t="str">
        <f>IF(A215="","",IF(NOT(ISNUMBER(G215)),"Date à saisir",IF(EDATE(G215,N(p_age))&lt;TODAY(),"Ancien","À jour")))</f>
        <v/>
      </c>
      <c r="I215" s="69" t="str">
        <f>IF(AND(A215="",COUNTA(B215:G215)=0),"",IF(A215="","Référence manquante",IF(COUNTIF($A$6:$A$505,A215)&gt;1,"Référence en double",IF(C215="","Unité manquante",IF(D215="","Prix manquant",IF(AND(D215&lt;&gt;"",OR(NOT(ISNUMBER(D215)),N(D215)&lt;0)),"Prix invalide",IF(AND(E215&lt;&gt;"",OR(NOT(ISNUMBER(E215)),N(E215)&lt;0,N(E215)&gt;=1)),"Perte entre 0 et 99 %","OK")))))))</f>
        <v/>
      </c>
    </row>
    <row r="216">
      <c r="A216" s="60" t="n"/>
      <c r="B216" s="60" t="n"/>
      <c r="C216" s="61" t="n"/>
      <c r="D216" s="64" t="n"/>
      <c r="E216" s="65" t="n"/>
      <c r="F216" s="60" t="n"/>
      <c r="G216" s="100" t="n"/>
      <c r="H216" s="69" t="str">
        <f>IF(A216="","",IF(NOT(ISNUMBER(G216)),"Date à saisir",IF(EDATE(G216,N(p_age))&lt;TODAY(),"Ancien","À jour")))</f>
        <v/>
      </c>
      <c r="I216" s="69" t="str">
        <f>IF(AND(A216="",COUNTA(B216:G216)=0),"",IF(A216="","Référence manquante",IF(COUNTIF($A$6:$A$505,A216)&gt;1,"Référence en double",IF(C216="","Unité manquante",IF(D216="","Prix manquant",IF(AND(D216&lt;&gt;"",OR(NOT(ISNUMBER(D216)),N(D216)&lt;0)),"Prix invalide",IF(AND(E216&lt;&gt;"",OR(NOT(ISNUMBER(E216)),N(E216)&lt;0,N(E216)&gt;=1)),"Perte entre 0 et 99 %","OK")))))))</f>
        <v/>
      </c>
    </row>
    <row r="217">
      <c r="A217" s="60" t="n"/>
      <c r="B217" s="60" t="n"/>
      <c r="C217" s="61" t="n"/>
      <c r="D217" s="64" t="n"/>
      <c r="E217" s="65" t="n"/>
      <c r="F217" s="60" t="n"/>
      <c r="G217" s="100" t="n"/>
      <c r="H217" s="69" t="str">
        <f>IF(A217="","",IF(NOT(ISNUMBER(G217)),"Date à saisir",IF(EDATE(G217,N(p_age))&lt;TODAY(),"Ancien","À jour")))</f>
        <v/>
      </c>
      <c r="I217" s="69" t="str">
        <f>IF(AND(A217="",COUNTA(B217:G217)=0),"",IF(A217="","Référence manquante",IF(COUNTIF($A$6:$A$505,A217)&gt;1,"Référence en double",IF(C217="","Unité manquante",IF(D217="","Prix manquant",IF(AND(D217&lt;&gt;"",OR(NOT(ISNUMBER(D217)),N(D217)&lt;0)),"Prix invalide",IF(AND(E217&lt;&gt;"",OR(NOT(ISNUMBER(E217)),N(E217)&lt;0,N(E217)&gt;=1)),"Perte entre 0 et 99 %","OK")))))))</f>
        <v/>
      </c>
    </row>
    <row r="218">
      <c r="A218" s="60" t="n"/>
      <c r="B218" s="60" t="n"/>
      <c r="C218" s="61" t="n"/>
      <c r="D218" s="64" t="n"/>
      <c r="E218" s="65" t="n"/>
      <c r="F218" s="60" t="n"/>
      <c r="G218" s="100" t="n"/>
      <c r="H218" s="69" t="str">
        <f>IF(A218="","",IF(NOT(ISNUMBER(G218)),"Date à saisir",IF(EDATE(G218,N(p_age))&lt;TODAY(),"Ancien","À jour")))</f>
        <v/>
      </c>
      <c r="I218" s="69" t="str">
        <f>IF(AND(A218="",COUNTA(B218:G218)=0),"",IF(A218="","Référence manquante",IF(COUNTIF($A$6:$A$505,A218)&gt;1,"Référence en double",IF(C218="","Unité manquante",IF(D218="","Prix manquant",IF(AND(D218&lt;&gt;"",OR(NOT(ISNUMBER(D218)),N(D218)&lt;0)),"Prix invalide",IF(AND(E218&lt;&gt;"",OR(NOT(ISNUMBER(E218)),N(E218)&lt;0,N(E218)&gt;=1)),"Perte entre 0 et 99 %","OK")))))))</f>
        <v/>
      </c>
    </row>
    <row r="219">
      <c r="A219" s="60" t="n"/>
      <c r="B219" s="60" t="n"/>
      <c r="C219" s="61" t="n"/>
      <c r="D219" s="64" t="n"/>
      <c r="E219" s="65" t="n"/>
      <c r="F219" s="60" t="n"/>
      <c r="G219" s="100" t="n"/>
      <c r="H219" s="69" t="str">
        <f>IF(A219="","",IF(NOT(ISNUMBER(G219)),"Date à saisir",IF(EDATE(G219,N(p_age))&lt;TODAY(),"Ancien","À jour")))</f>
        <v/>
      </c>
      <c r="I219" s="69" t="str">
        <f>IF(AND(A219="",COUNTA(B219:G219)=0),"",IF(A219="","Référence manquante",IF(COUNTIF($A$6:$A$505,A219)&gt;1,"Référence en double",IF(C219="","Unité manquante",IF(D219="","Prix manquant",IF(AND(D219&lt;&gt;"",OR(NOT(ISNUMBER(D219)),N(D219)&lt;0)),"Prix invalide",IF(AND(E219&lt;&gt;"",OR(NOT(ISNUMBER(E219)),N(E219)&lt;0,N(E219)&gt;=1)),"Perte entre 0 et 99 %","OK")))))))</f>
        <v/>
      </c>
    </row>
    <row r="220">
      <c r="A220" s="60" t="n"/>
      <c r="B220" s="60" t="n"/>
      <c r="C220" s="61" t="n"/>
      <c r="D220" s="64" t="n"/>
      <c r="E220" s="65" t="n"/>
      <c r="F220" s="60" t="n"/>
      <c r="G220" s="100" t="n"/>
      <c r="H220" s="69" t="str">
        <f>IF(A220="","",IF(NOT(ISNUMBER(G220)),"Date à saisir",IF(EDATE(G220,N(p_age))&lt;TODAY(),"Ancien","À jour")))</f>
        <v/>
      </c>
      <c r="I220" s="69" t="str">
        <f>IF(AND(A220="",COUNTA(B220:G220)=0),"",IF(A220="","Référence manquante",IF(COUNTIF($A$6:$A$505,A220)&gt;1,"Référence en double",IF(C220="","Unité manquante",IF(D220="","Prix manquant",IF(AND(D220&lt;&gt;"",OR(NOT(ISNUMBER(D220)),N(D220)&lt;0)),"Prix invalide",IF(AND(E220&lt;&gt;"",OR(NOT(ISNUMBER(E220)),N(E220)&lt;0,N(E220)&gt;=1)),"Perte entre 0 et 99 %","OK")))))))</f>
        <v/>
      </c>
    </row>
    <row r="221">
      <c r="A221" s="60" t="n"/>
      <c r="B221" s="60" t="n"/>
      <c r="C221" s="61" t="n"/>
      <c r="D221" s="64" t="n"/>
      <c r="E221" s="65" t="n"/>
      <c r="F221" s="60" t="n"/>
      <c r="G221" s="100" t="n"/>
      <c r="H221" s="69" t="str">
        <f>IF(A221="","",IF(NOT(ISNUMBER(G221)),"Date à saisir",IF(EDATE(G221,N(p_age))&lt;TODAY(),"Ancien","À jour")))</f>
        <v/>
      </c>
      <c r="I221" s="69" t="str">
        <f>IF(AND(A221="",COUNTA(B221:G221)=0),"",IF(A221="","Référence manquante",IF(COUNTIF($A$6:$A$505,A221)&gt;1,"Référence en double",IF(C221="","Unité manquante",IF(D221="","Prix manquant",IF(AND(D221&lt;&gt;"",OR(NOT(ISNUMBER(D221)),N(D221)&lt;0)),"Prix invalide",IF(AND(E221&lt;&gt;"",OR(NOT(ISNUMBER(E221)),N(E221)&lt;0,N(E221)&gt;=1)),"Perte entre 0 et 99 %","OK")))))))</f>
        <v/>
      </c>
    </row>
    <row r="222">
      <c r="A222" s="60" t="n"/>
      <c r="B222" s="60" t="n"/>
      <c r="C222" s="61" t="n"/>
      <c r="D222" s="64" t="n"/>
      <c r="E222" s="65" t="n"/>
      <c r="F222" s="60" t="n"/>
      <c r="G222" s="100" t="n"/>
      <c r="H222" s="69" t="str">
        <f>IF(A222="","",IF(NOT(ISNUMBER(G222)),"Date à saisir",IF(EDATE(G222,N(p_age))&lt;TODAY(),"Ancien","À jour")))</f>
        <v/>
      </c>
      <c r="I222" s="69" t="str">
        <f>IF(AND(A222="",COUNTA(B222:G222)=0),"",IF(A222="","Référence manquante",IF(COUNTIF($A$6:$A$505,A222)&gt;1,"Référence en double",IF(C222="","Unité manquante",IF(D222="","Prix manquant",IF(AND(D222&lt;&gt;"",OR(NOT(ISNUMBER(D222)),N(D222)&lt;0)),"Prix invalide",IF(AND(E222&lt;&gt;"",OR(NOT(ISNUMBER(E222)),N(E222)&lt;0,N(E222)&gt;=1)),"Perte entre 0 et 99 %","OK")))))))</f>
        <v/>
      </c>
    </row>
    <row r="223">
      <c r="A223" s="60" t="n"/>
      <c r="B223" s="60" t="n"/>
      <c r="C223" s="61" t="n"/>
      <c r="D223" s="64" t="n"/>
      <c r="E223" s="65" t="n"/>
      <c r="F223" s="60" t="n"/>
      <c r="G223" s="100" t="n"/>
      <c r="H223" s="69" t="str">
        <f>IF(A223="","",IF(NOT(ISNUMBER(G223)),"Date à saisir",IF(EDATE(G223,N(p_age))&lt;TODAY(),"Ancien","À jour")))</f>
        <v/>
      </c>
      <c r="I223" s="69" t="str">
        <f>IF(AND(A223="",COUNTA(B223:G223)=0),"",IF(A223="","Référence manquante",IF(COUNTIF($A$6:$A$505,A223)&gt;1,"Référence en double",IF(C223="","Unité manquante",IF(D223="","Prix manquant",IF(AND(D223&lt;&gt;"",OR(NOT(ISNUMBER(D223)),N(D223)&lt;0)),"Prix invalide",IF(AND(E223&lt;&gt;"",OR(NOT(ISNUMBER(E223)),N(E223)&lt;0,N(E223)&gt;=1)),"Perte entre 0 et 99 %","OK")))))))</f>
        <v/>
      </c>
    </row>
    <row r="224">
      <c r="A224" s="60" t="n"/>
      <c r="B224" s="60" t="n"/>
      <c r="C224" s="61" t="n"/>
      <c r="D224" s="64" t="n"/>
      <c r="E224" s="65" t="n"/>
      <c r="F224" s="60" t="n"/>
      <c r="G224" s="100" t="n"/>
      <c r="H224" s="69" t="str">
        <f>IF(A224="","",IF(NOT(ISNUMBER(G224)),"Date à saisir",IF(EDATE(G224,N(p_age))&lt;TODAY(),"Ancien","À jour")))</f>
        <v/>
      </c>
      <c r="I224" s="69" t="str">
        <f>IF(AND(A224="",COUNTA(B224:G224)=0),"",IF(A224="","Référence manquante",IF(COUNTIF($A$6:$A$505,A224)&gt;1,"Référence en double",IF(C224="","Unité manquante",IF(D224="","Prix manquant",IF(AND(D224&lt;&gt;"",OR(NOT(ISNUMBER(D224)),N(D224)&lt;0)),"Prix invalide",IF(AND(E224&lt;&gt;"",OR(NOT(ISNUMBER(E224)),N(E224)&lt;0,N(E224)&gt;=1)),"Perte entre 0 et 99 %","OK")))))))</f>
        <v/>
      </c>
    </row>
    <row r="225">
      <c r="A225" s="60" t="n"/>
      <c r="B225" s="60" t="n"/>
      <c r="C225" s="61" t="n"/>
      <c r="D225" s="64" t="n"/>
      <c r="E225" s="65" t="n"/>
      <c r="F225" s="60" t="n"/>
      <c r="G225" s="100" t="n"/>
      <c r="H225" s="69" t="str">
        <f>IF(A225="","",IF(NOT(ISNUMBER(G225)),"Date à saisir",IF(EDATE(G225,N(p_age))&lt;TODAY(),"Ancien","À jour")))</f>
        <v/>
      </c>
      <c r="I225" s="69" t="str">
        <f>IF(AND(A225="",COUNTA(B225:G225)=0),"",IF(A225="","Référence manquante",IF(COUNTIF($A$6:$A$505,A225)&gt;1,"Référence en double",IF(C225="","Unité manquante",IF(D225="","Prix manquant",IF(AND(D225&lt;&gt;"",OR(NOT(ISNUMBER(D225)),N(D225)&lt;0)),"Prix invalide",IF(AND(E225&lt;&gt;"",OR(NOT(ISNUMBER(E225)),N(E225)&lt;0,N(E225)&gt;=1)),"Perte entre 0 et 99 %","OK")))))))</f>
        <v/>
      </c>
    </row>
    <row r="226">
      <c r="A226" s="60" t="n"/>
      <c r="B226" s="60" t="n"/>
      <c r="C226" s="61" t="n"/>
      <c r="D226" s="64" t="n"/>
      <c r="E226" s="65" t="n"/>
      <c r="F226" s="60" t="n"/>
      <c r="G226" s="100" t="n"/>
      <c r="H226" s="69" t="str">
        <f>IF(A226="","",IF(NOT(ISNUMBER(G226)),"Date à saisir",IF(EDATE(G226,N(p_age))&lt;TODAY(),"Ancien","À jour")))</f>
        <v/>
      </c>
      <c r="I226" s="69" t="str">
        <f>IF(AND(A226="",COUNTA(B226:G226)=0),"",IF(A226="","Référence manquante",IF(COUNTIF($A$6:$A$505,A226)&gt;1,"Référence en double",IF(C226="","Unité manquante",IF(D226="","Prix manquant",IF(AND(D226&lt;&gt;"",OR(NOT(ISNUMBER(D226)),N(D226)&lt;0)),"Prix invalide",IF(AND(E226&lt;&gt;"",OR(NOT(ISNUMBER(E226)),N(E226)&lt;0,N(E226)&gt;=1)),"Perte entre 0 et 99 %","OK")))))))</f>
        <v/>
      </c>
    </row>
    <row r="227">
      <c r="A227" s="60" t="n"/>
      <c r="B227" s="60" t="n"/>
      <c r="C227" s="61" t="n"/>
      <c r="D227" s="64" t="n"/>
      <c r="E227" s="65" t="n"/>
      <c r="F227" s="60" t="n"/>
      <c r="G227" s="100" t="n"/>
      <c r="H227" s="69" t="str">
        <f>IF(A227="","",IF(NOT(ISNUMBER(G227)),"Date à saisir",IF(EDATE(G227,N(p_age))&lt;TODAY(),"Ancien","À jour")))</f>
        <v/>
      </c>
      <c r="I227" s="69" t="str">
        <f>IF(AND(A227="",COUNTA(B227:G227)=0),"",IF(A227="","Référence manquante",IF(COUNTIF($A$6:$A$505,A227)&gt;1,"Référence en double",IF(C227="","Unité manquante",IF(D227="","Prix manquant",IF(AND(D227&lt;&gt;"",OR(NOT(ISNUMBER(D227)),N(D227)&lt;0)),"Prix invalide",IF(AND(E227&lt;&gt;"",OR(NOT(ISNUMBER(E227)),N(E227)&lt;0,N(E227)&gt;=1)),"Perte entre 0 et 99 %","OK")))))))</f>
        <v/>
      </c>
    </row>
    <row r="228">
      <c r="A228" s="60" t="n"/>
      <c r="B228" s="60" t="n"/>
      <c r="C228" s="61" t="n"/>
      <c r="D228" s="64" t="n"/>
      <c r="E228" s="65" t="n"/>
      <c r="F228" s="60" t="n"/>
      <c r="G228" s="100" t="n"/>
      <c r="H228" s="69" t="str">
        <f>IF(A228="","",IF(NOT(ISNUMBER(G228)),"Date à saisir",IF(EDATE(G228,N(p_age))&lt;TODAY(),"Ancien","À jour")))</f>
        <v/>
      </c>
      <c r="I228" s="69" t="str">
        <f>IF(AND(A228="",COUNTA(B228:G228)=0),"",IF(A228="","Référence manquante",IF(COUNTIF($A$6:$A$505,A228)&gt;1,"Référence en double",IF(C228="","Unité manquante",IF(D228="","Prix manquant",IF(AND(D228&lt;&gt;"",OR(NOT(ISNUMBER(D228)),N(D228)&lt;0)),"Prix invalide",IF(AND(E228&lt;&gt;"",OR(NOT(ISNUMBER(E228)),N(E228)&lt;0,N(E228)&gt;=1)),"Perte entre 0 et 99 %","OK")))))))</f>
        <v/>
      </c>
    </row>
    <row r="229">
      <c r="A229" s="60" t="n"/>
      <c r="B229" s="60" t="n"/>
      <c r="C229" s="61" t="n"/>
      <c r="D229" s="64" t="n"/>
      <c r="E229" s="65" t="n"/>
      <c r="F229" s="60" t="n"/>
      <c r="G229" s="100" t="n"/>
      <c r="H229" s="69" t="str">
        <f>IF(A229="","",IF(NOT(ISNUMBER(G229)),"Date à saisir",IF(EDATE(G229,N(p_age))&lt;TODAY(),"Ancien","À jour")))</f>
        <v/>
      </c>
      <c r="I229" s="69" t="str">
        <f>IF(AND(A229="",COUNTA(B229:G229)=0),"",IF(A229="","Référence manquante",IF(COUNTIF($A$6:$A$505,A229)&gt;1,"Référence en double",IF(C229="","Unité manquante",IF(D229="","Prix manquant",IF(AND(D229&lt;&gt;"",OR(NOT(ISNUMBER(D229)),N(D229)&lt;0)),"Prix invalide",IF(AND(E229&lt;&gt;"",OR(NOT(ISNUMBER(E229)),N(E229)&lt;0,N(E229)&gt;=1)),"Perte entre 0 et 99 %","OK")))))))</f>
        <v/>
      </c>
    </row>
    <row r="230">
      <c r="A230" s="60" t="n"/>
      <c r="B230" s="60" t="n"/>
      <c r="C230" s="61" t="n"/>
      <c r="D230" s="64" t="n"/>
      <c r="E230" s="65" t="n"/>
      <c r="F230" s="60" t="n"/>
      <c r="G230" s="100" t="n"/>
      <c r="H230" s="69" t="str">
        <f>IF(A230="","",IF(NOT(ISNUMBER(G230)),"Date à saisir",IF(EDATE(G230,N(p_age))&lt;TODAY(),"Ancien","À jour")))</f>
        <v/>
      </c>
      <c r="I230" s="69" t="str">
        <f>IF(AND(A230="",COUNTA(B230:G230)=0),"",IF(A230="","Référence manquante",IF(COUNTIF($A$6:$A$505,A230)&gt;1,"Référence en double",IF(C230="","Unité manquante",IF(D230="","Prix manquant",IF(AND(D230&lt;&gt;"",OR(NOT(ISNUMBER(D230)),N(D230)&lt;0)),"Prix invalide",IF(AND(E230&lt;&gt;"",OR(NOT(ISNUMBER(E230)),N(E230)&lt;0,N(E230)&gt;=1)),"Perte entre 0 et 99 %","OK")))))))</f>
        <v/>
      </c>
    </row>
    <row r="231">
      <c r="A231" s="60" t="n"/>
      <c r="B231" s="60" t="n"/>
      <c r="C231" s="61" t="n"/>
      <c r="D231" s="64" t="n"/>
      <c r="E231" s="65" t="n"/>
      <c r="F231" s="60" t="n"/>
      <c r="G231" s="100" t="n"/>
      <c r="H231" s="69" t="str">
        <f>IF(A231="","",IF(NOT(ISNUMBER(G231)),"Date à saisir",IF(EDATE(G231,N(p_age))&lt;TODAY(),"Ancien","À jour")))</f>
        <v/>
      </c>
      <c r="I231" s="69" t="str">
        <f>IF(AND(A231="",COUNTA(B231:G231)=0),"",IF(A231="","Référence manquante",IF(COUNTIF($A$6:$A$505,A231)&gt;1,"Référence en double",IF(C231="","Unité manquante",IF(D231="","Prix manquant",IF(AND(D231&lt;&gt;"",OR(NOT(ISNUMBER(D231)),N(D231)&lt;0)),"Prix invalide",IF(AND(E231&lt;&gt;"",OR(NOT(ISNUMBER(E231)),N(E231)&lt;0,N(E231)&gt;=1)),"Perte entre 0 et 99 %","OK")))))))</f>
        <v/>
      </c>
    </row>
    <row r="232">
      <c r="A232" s="60" t="n"/>
      <c r="B232" s="60" t="n"/>
      <c r="C232" s="61" t="n"/>
      <c r="D232" s="64" t="n"/>
      <c r="E232" s="65" t="n"/>
      <c r="F232" s="60" t="n"/>
      <c r="G232" s="100" t="n"/>
      <c r="H232" s="69" t="str">
        <f>IF(A232="","",IF(NOT(ISNUMBER(G232)),"Date à saisir",IF(EDATE(G232,N(p_age))&lt;TODAY(),"Ancien","À jour")))</f>
        <v/>
      </c>
      <c r="I232" s="69" t="str">
        <f>IF(AND(A232="",COUNTA(B232:G232)=0),"",IF(A232="","Référence manquante",IF(COUNTIF($A$6:$A$505,A232)&gt;1,"Référence en double",IF(C232="","Unité manquante",IF(D232="","Prix manquant",IF(AND(D232&lt;&gt;"",OR(NOT(ISNUMBER(D232)),N(D232)&lt;0)),"Prix invalide",IF(AND(E232&lt;&gt;"",OR(NOT(ISNUMBER(E232)),N(E232)&lt;0,N(E232)&gt;=1)),"Perte entre 0 et 99 %","OK")))))))</f>
        <v/>
      </c>
    </row>
    <row r="233">
      <c r="A233" s="60" t="n"/>
      <c r="B233" s="60" t="n"/>
      <c r="C233" s="61" t="n"/>
      <c r="D233" s="64" t="n"/>
      <c r="E233" s="65" t="n"/>
      <c r="F233" s="60" t="n"/>
      <c r="G233" s="100" t="n"/>
      <c r="H233" s="69" t="str">
        <f>IF(A233="","",IF(NOT(ISNUMBER(G233)),"Date à saisir",IF(EDATE(G233,N(p_age))&lt;TODAY(),"Ancien","À jour")))</f>
        <v/>
      </c>
      <c r="I233" s="69" t="str">
        <f>IF(AND(A233="",COUNTA(B233:G233)=0),"",IF(A233="","Référence manquante",IF(COUNTIF($A$6:$A$505,A233)&gt;1,"Référence en double",IF(C233="","Unité manquante",IF(D233="","Prix manquant",IF(AND(D233&lt;&gt;"",OR(NOT(ISNUMBER(D233)),N(D233)&lt;0)),"Prix invalide",IF(AND(E233&lt;&gt;"",OR(NOT(ISNUMBER(E233)),N(E233)&lt;0,N(E233)&gt;=1)),"Perte entre 0 et 99 %","OK")))))))</f>
        <v/>
      </c>
    </row>
    <row r="234">
      <c r="A234" s="60" t="n"/>
      <c r="B234" s="60" t="n"/>
      <c r="C234" s="61" t="n"/>
      <c r="D234" s="64" t="n"/>
      <c r="E234" s="65" t="n"/>
      <c r="F234" s="60" t="n"/>
      <c r="G234" s="100" t="n"/>
      <c r="H234" s="69" t="str">
        <f>IF(A234="","",IF(NOT(ISNUMBER(G234)),"Date à saisir",IF(EDATE(G234,N(p_age))&lt;TODAY(),"Ancien","À jour")))</f>
        <v/>
      </c>
      <c r="I234" s="69" t="str">
        <f>IF(AND(A234="",COUNTA(B234:G234)=0),"",IF(A234="","Référence manquante",IF(COUNTIF($A$6:$A$505,A234)&gt;1,"Référence en double",IF(C234="","Unité manquante",IF(D234="","Prix manquant",IF(AND(D234&lt;&gt;"",OR(NOT(ISNUMBER(D234)),N(D234)&lt;0)),"Prix invalide",IF(AND(E234&lt;&gt;"",OR(NOT(ISNUMBER(E234)),N(E234)&lt;0,N(E234)&gt;=1)),"Perte entre 0 et 99 %","OK")))))))</f>
        <v/>
      </c>
    </row>
    <row r="235">
      <c r="A235" s="60" t="n"/>
      <c r="B235" s="60" t="n"/>
      <c r="C235" s="61" t="n"/>
      <c r="D235" s="64" t="n"/>
      <c r="E235" s="65" t="n"/>
      <c r="F235" s="60" t="n"/>
      <c r="G235" s="100" t="n"/>
      <c r="H235" s="69" t="str">
        <f>IF(A235="","",IF(NOT(ISNUMBER(G235)),"Date à saisir",IF(EDATE(G235,N(p_age))&lt;TODAY(),"Ancien","À jour")))</f>
        <v/>
      </c>
      <c r="I235" s="69" t="str">
        <f>IF(AND(A235="",COUNTA(B235:G235)=0),"",IF(A235="","Référence manquante",IF(COUNTIF($A$6:$A$505,A235)&gt;1,"Référence en double",IF(C235="","Unité manquante",IF(D235="","Prix manquant",IF(AND(D235&lt;&gt;"",OR(NOT(ISNUMBER(D235)),N(D235)&lt;0)),"Prix invalide",IF(AND(E235&lt;&gt;"",OR(NOT(ISNUMBER(E235)),N(E235)&lt;0,N(E235)&gt;=1)),"Perte entre 0 et 99 %","OK")))))))</f>
        <v/>
      </c>
    </row>
    <row r="236">
      <c r="A236" s="60" t="n"/>
      <c r="B236" s="60" t="n"/>
      <c r="C236" s="61" t="n"/>
      <c r="D236" s="64" t="n"/>
      <c r="E236" s="65" t="n"/>
      <c r="F236" s="60" t="n"/>
      <c r="G236" s="100" t="n"/>
      <c r="H236" s="69" t="str">
        <f>IF(A236="","",IF(NOT(ISNUMBER(G236)),"Date à saisir",IF(EDATE(G236,N(p_age))&lt;TODAY(),"Ancien","À jour")))</f>
        <v/>
      </c>
      <c r="I236" s="69" t="str">
        <f>IF(AND(A236="",COUNTA(B236:G236)=0),"",IF(A236="","Référence manquante",IF(COUNTIF($A$6:$A$505,A236)&gt;1,"Référence en double",IF(C236="","Unité manquante",IF(D236="","Prix manquant",IF(AND(D236&lt;&gt;"",OR(NOT(ISNUMBER(D236)),N(D236)&lt;0)),"Prix invalide",IF(AND(E236&lt;&gt;"",OR(NOT(ISNUMBER(E236)),N(E236)&lt;0,N(E236)&gt;=1)),"Perte entre 0 et 99 %","OK")))))))</f>
        <v/>
      </c>
    </row>
    <row r="237">
      <c r="A237" s="60" t="n"/>
      <c r="B237" s="60" t="n"/>
      <c r="C237" s="61" t="n"/>
      <c r="D237" s="64" t="n"/>
      <c r="E237" s="65" t="n"/>
      <c r="F237" s="60" t="n"/>
      <c r="G237" s="100" t="n"/>
      <c r="H237" s="69" t="str">
        <f>IF(A237="","",IF(NOT(ISNUMBER(G237)),"Date à saisir",IF(EDATE(G237,N(p_age))&lt;TODAY(),"Ancien","À jour")))</f>
        <v/>
      </c>
      <c r="I237" s="69" t="str">
        <f>IF(AND(A237="",COUNTA(B237:G237)=0),"",IF(A237="","Référence manquante",IF(COUNTIF($A$6:$A$505,A237)&gt;1,"Référence en double",IF(C237="","Unité manquante",IF(D237="","Prix manquant",IF(AND(D237&lt;&gt;"",OR(NOT(ISNUMBER(D237)),N(D237)&lt;0)),"Prix invalide",IF(AND(E237&lt;&gt;"",OR(NOT(ISNUMBER(E237)),N(E237)&lt;0,N(E237)&gt;=1)),"Perte entre 0 et 99 %","OK")))))))</f>
        <v/>
      </c>
    </row>
    <row r="238">
      <c r="A238" s="60" t="n"/>
      <c r="B238" s="60" t="n"/>
      <c r="C238" s="61" t="n"/>
      <c r="D238" s="64" t="n"/>
      <c r="E238" s="65" t="n"/>
      <c r="F238" s="60" t="n"/>
      <c r="G238" s="100" t="n"/>
      <c r="H238" s="69" t="str">
        <f>IF(A238="","",IF(NOT(ISNUMBER(G238)),"Date à saisir",IF(EDATE(G238,N(p_age))&lt;TODAY(),"Ancien","À jour")))</f>
        <v/>
      </c>
      <c r="I238" s="69" t="str">
        <f>IF(AND(A238="",COUNTA(B238:G238)=0),"",IF(A238="","Référence manquante",IF(COUNTIF($A$6:$A$505,A238)&gt;1,"Référence en double",IF(C238="","Unité manquante",IF(D238="","Prix manquant",IF(AND(D238&lt;&gt;"",OR(NOT(ISNUMBER(D238)),N(D238)&lt;0)),"Prix invalide",IF(AND(E238&lt;&gt;"",OR(NOT(ISNUMBER(E238)),N(E238)&lt;0,N(E238)&gt;=1)),"Perte entre 0 et 99 %","OK")))))))</f>
        <v/>
      </c>
    </row>
    <row r="239">
      <c r="A239" s="60" t="n"/>
      <c r="B239" s="60" t="n"/>
      <c r="C239" s="61" t="n"/>
      <c r="D239" s="64" t="n"/>
      <c r="E239" s="65" t="n"/>
      <c r="F239" s="60" t="n"/>
      <c r="G239" s="100" t="n"/>
      <c r="H239" s="69" t="str">
        <f>IF(A239="","",IF(NOT(ISNUMBER(G239)),"Date à saisir",IF(EDATE(G239,N(p_age))&lt;TODAY(),"Ancien","À jour")))</f>
        <v/>
      </c>
      <c r="I239" s="69" t="str">
        <f>IF(AND(A239="",COUNTA(B239:G239)=0),"",IF(A239="","Référence manquante",IF(COUNTIF($A$6:$A$505,A239)&gt;1,"Référence en double",IF(C239="","Unité manquante",IF(D239="","Prix manquant",IF(AND(D239&lt;&gt;"",OR(NOT(ISNUMBER(D239)),N(D239)&lt;0)),"Prix invalide",IF(AND(E239&lt;&gt;"",OR(NOT(ISNUMBER(E239)),N(E239)&lt;0,N(E239)&gt;=1)),"Perte entre 0 et 99 %","OK")))))))</f>
        <v/>
      </c>
    </row>
    <row r="240">
      <c r="A240" s="60" t="n"/>
      <c r="B240" s="60" t="n"/>
      <c r="C240" s="61" t="n"/>
      <c r="D240" s="64" t="n"/>
      <c r="E240" s="65" t="n"/>
      <c r="F240" s="60" t="n"/>
      <c r="G240" s="100" t="n"/>
      <c r="H240" s="69" t="str">
        <f>IF(A240="","",IF(NOT(ISNUMBER(G240)),"Date à saisir",IF(EDATE(G240,N(p_age))&lt;TODAY(),"Ancien","À jour")))</f>
        <v/>
      </c>
      <c r="I240" s="69" t="str">
        <f>IF(AND(A240="",COUNTA(B240:G240)=0),"",IF(A240="","Référence manquante",IF(COUNTIF($A$6:$A$505,A240)&gt;1,"Référence en double",IF(C240="","Unité manquante",IF(D240="","Prix manquant",IF(AND(D240&lt;&gt;"",OR(NOT(ISNUMBER(D240)),N(D240)&lt;0)),"Prix invalide",IF(AND(E240&lt;&gt;"",OR(NOT(ISNUMBER(E240)),N(E240)&lt;0,N(E240)&gt;=1)),"Perte entre 0 et 99 %","OK")))))))</f>
        <v/>
      </c>
    </row>
    <row r="241">
      <c r="A241" s="60" t="n"/>
      <c r="B241" s="60" t="n"/>
      <c r="C241" s="61" t="n"/>
      <c r="D241" s="64" t="n"/>
      <c r="E241" s="65" t="n"/>
      <c r="F241" s="60" t="n"/>
      <c r="G241" s="100" t="n"/>
      <c r="H241" s="69" t="str">
        <f>IF(A241="","",IF(NOT(ISNUMBER(G241)),"Date à saisir",IF(EDATE(G241,N(p_age))&lt;TODAY(),"Ancien","À jour")))</f>
        <v/>
      </c>
      <c r="I241" s="69" t="str">
        <f>IF(AND(A241="",COUNTA(B241:G241)=0),"",IF(A241="","Référence manquante",IF(COUNTIF($A$6:$A$505,A241)&gt;1,"Référence en double",IF(C241="","Unité manquante",IF(D241="","Prix manquant",IF(AND(D241&lt;&gt;"",OR(NOT(ISNUMBER(D241)),N(D241)&lt;0)),"Prix invalide",IF(AND(E241&lt;&gt;"",OR(NOT(ISNUMBER(E241)),N(E241)&lt;0,N(E241)&gt;=1)),"Perte entre 0 et 99 %","OK")))))))</f>
        <v/>
      </c>
    </row>
    <row r="242">
      <c r="A242" s="60" t="n"/>
      <c r="B242" s="60" t="n"/>
      <c r="C242" s="61" t="n"/>
      <c r="D242" s="64" t="n"/>
      <c r="E242" s="65" t="n"/>
      <c r="F242" s="60" t="n"/>
      <c r="G242" s="100" t="n"/>
      <c r="H242" s="69" t="str">
        <f>IF(A242="","",IF(NOT(ISNUMBER(G242)),"Date à saisir",IF(EDATE(G242,N(p_age))&lt;TODAY(),"Ancien","À jour")))</f>
        <v/>
      </c>
      <c r="I242" s="69" t="str">
        <f>IF(AND(A242="",COUNTA(B242:G242)=0),"",IF(A242="","Référence manquante",IF(COUNTIF($A$6:$A$505,A242)&gt;1,"Référence en double",IF(C242="","Unité manquante",IF(D242="","Prix manquant",IF(AND(D242&lt;&gt;"",OR(NOT(ISNUMBER(D242)),N(D242)&lt;0)),"Prix invalide",IF(AND(E242&lt;&gt;"",OR(NOT(ISNUMBER(E242)),N(E242)&lt;0,N(E242)&gt;=1)),"Perte entre 0 et 99 %","OK")))))))</f>
        <v/>
      </c>
    </row>
    <row r="243">
      <c r="A243" s="60" t="n"/>
      <c r="B243" s="60" t="n"/>
      <c r="C243" s="61" t="n"/>
      <c r="D243" s="64" t="n"/>
      <c r="E243" s="65" t="n"/>
      <c r="F243" s="60" t="n"/>
      <c r="G243" s="100" t="n"/>
      <c r="H243" s="69" t="str">
        <f>IF(A243="","",IF(NOT(ISNUMBER(G243)),"Date à saisir",IF(EDATE(G243,N(p_age))&lt;TODAY(),"Ancien","À jour")))</f>
        <v/>
      </c>
      <c r="I243" s="69" t="str">
        <f>IF(AND(A243="",COUNTA(B243:G243)=0),"",IF(A243="","Référence manquante",IF(COUNTIF($A$6:$A$505,A243)&gt;1,"Référence en double",IF(C243="","Unité manquante",IF(D243="","Prix manquant",IF(AND(D243&lt;&gt;"",OR(NOT(ISNUMBER(D243)),N(D243)&lt;0)),"Prix invalide",IF(AND(E243&lt;&gt;"",OR(NOT(ISNUMBER(E243)),N(E243)&lt;0,N(E243)&gt;=1)),"Perte entre 0 et 99 %","OK")))))))</f>
        <v/>
      </c>
    </row>
    <row r="244">
      <c r="A244" s="60" t="n"/>
      <c r="B244" s="60" t="n"/>
      <c r="C244" s="61" t="n"/>
      <c r="D244" s="64" t="n"/>
      <c r="E244" s="65" t="n"/>
      <c r="F244" s="60" t="n"/>
      <c r="G244" s="100" t="n"/>
      <c r="H244" s="69" t="str">
        <f>IF(A244="","",IF(NOT(ISNUMBER(G244)),"Date à saisir",IF(EDATE(G244,N(p_age))&lt;TODAY(),"Ancien","À jour")))</f>
        <v/>
      </c>
      <c r="I244" s="69" t="str">
        <f>IF(AND(A244="",COUNTA(B244:G244)=0),"",IF(A244="","Référence manquante",IF(COUNTIF($A$6:$A$505,A244)&gt;1,"Référence en double",IF(C244="","Unité manquante",IF(D244="","Prix manquant",IF(AND(D244&lt;&gt;"",OR(NOT(ISNUMBER(D244)),N(D244)&lt;0)),"Prix invalide",IF(AND(E244&lt;&gt;"",OR(NOT(ISNUMBER(E244)),N(E244)&lt;0,N(E244)&gt;=1)),"Perte entre 0 et 99 %","OK")))))))</f>
        <v/>
      </c>
    </row>
    <row r="245">
      <c r="A245" s="60" t="n"/>
      <c r="B245" s="60" t="n"/>
      <c r="C245" s="61" t="n"/>
      <c r="D245" s="64" t="n"/>
      <c r="E245" s="65" t="n"/>
      <c r="F245" s="60" t="n"/>
      <c r="G245" s="100" t="n"/>
      <c r="H245" s="69" t="str">
        <f>IF(A245="","",IF(NOT(ISNUMBER(G245)),"Date à saisir",IF(EDATE(G245,N(p_age))&lt;TODAY(),"Ancien","À jour")))</f>
        <v/>
      </c>
      <c r="I245" s="69" t="str">
        <f>IF(AND(A245="",COUNTA(B245:G245)=0),"",IF(A245="","Référence manquante",IF(COUNTIF($A$6:$A$505,A245)&gt;1,"Référence en double",IF(C245="","Unité manquante",IF(D245="","Prix manquant",IF(AND(D245&lt;&gt;"",OR(NOT(ISNUMBER(D245)),N(D245)&lt;0)),"Prix invalide",IF(AND(E245&lt;&gt;"",OR(NOT(ISNUMBER(E245)),N(E245)&lt;0,N(E245)&gt;=1)),"Perte entre 0 et 99 %","OK")))))))</f>
        <v/>
      </c>
    </row>
    <row r="246">
      <c r="A246" s="60" t="n"/>
      <c r="B246" s="60" t="n"/>
      <c r="C246" s="61" t="n"/>
      <c r="D246" s="64" t="n"/>
      <c r="E246" s="65" t="n"/>
      <c r="F246" s="60" t="n"/>
      <c r="G246" s="100" t="n"/>
      <c r="H246" s="69" t="str">
        <f>IF(A246="","",IF(NOT(ISNUMBER(G246)),"Date à saisir",IF(EDATE(G246,N(p_age))&lt;TODAY(),"Ancien","À jour")))</f>
        <v/>
      </c>
      <c r="I246" s="69" t="str">
        <f>IF(AND(A246="",COUNTA(B246:G246)=0),"",IF(A246="","Référence manquante",IF(COUNTIF($A$6:$A$505,A246)&gt;1,"Référence en double",IF(C246="","Unité manquante",IF(D246="","Prix manquant",IF(AND(D246&lt;&gt;"",OR(NOT(ISNUMBER(D246)),N(D246)&lt;0)),"Prix invalide",IF(AND(E246&lt;&gt;"",OR(NOT(ISNUMBER(E246)),N(E246)&lt;0,N(E246)&gt;=1)),"Perte entre 0 et 99 %","OK")))))))</f>
        <v/>
      </c>
    </row>
    <row r="247">
      <c r="A247" s="60" t="n"/>
      <c r="B247" s="60" t="n"/>
      <c r="C247" s="61" t="n"/>
      <c r="D247" s="64" t="n"/>
      <c r="E247" s="65" t="n"/>
      <c r="F247" s="60" t="n"/>
      <c r="G247" s="100" t="n"/>
      <c r="H247" s="69" t="str">
        <f>IF(A247="","",IF(NOT(ISNUMBER(G247)),"Date à saisir",IF(EDATE(G247,N(p_age))&lt;TODAY(),"Ancien","À jour")))</f>
        <v/>
      </c>
      <c r="I247" s="69" t="str">
        <f>IF(AND(A247="",COUNTA(B247:G247)=0),"",IF(A247="","Référence manquante",IF(COUNTIF($A$6:$A$505,A247)&gt;1,"Référence en double",IF(C247="","Unité manquante",IF(D247="","Prix manquant",IF(AND(D247&lt;&gt;"",OR(NOT(ISNUMBER(D247)),N(D247)&lt;0)),"Prix invalide",IF(AND(E247&lt;&gt;"",OR(NOT(ISNUMBER(E247)),N(E247)&lt;0,N(E247)&gt;=1)),"Perte entre 0 et 99 %","OK")))))))</f>
        <v/>
      </c>
    </row>
    <row r="248">
      <c r="A248" s="60" t="n"/>
      <c r="B248" s="60" t="n"/>
      <c r="C248" s="61" t="n"/>
      <c r="D248" s="64" t="n"/>
      <c r="E248" s="65" t="n"/>
      <c r="F248" s="60" t="n"/>
      <c r="G248" s="100" t="n"/>
      <c r="H248" s="69" t="str">
        <f>IF(A248="","",IF(NOT(ISNUMBER(G248)),"Date à saisir",IF(EDATE(G248,N(p_age))&lt;TODAY(),"Ancien","À jour")))</f>
        <v/>
      </c>
      <c r="I248" s="69" t="str">
        <f>IF(AND(A248="",COUNTA(B248:G248)=0),"",IF(A248="","Référence manquante",IF(COUNTIF($A$6:$A$505,A248)&gt;1,"Référence en double",IF(C248="","Unité manquante",IF(D248="","Prix manquant",IF(AND(D248&lt;&gt;"",OR(NOT(ISNUMBER(D248)),N(D248)&lt;0)),"Prix invalide",IF(AND(E248&lt;&gt;"",OR(NOT(ISNUMBER(E248)),N(E248)&lt;0,N(E248)&gt;=1)),"Perte entre 0 et 99 %","OK")))))))</f>
        <v/>
      </c>
    </row>
    <row r="249">
      <c r="A249" s="60" t="n"/>
      <c r="B249" s="60" t="n"/>
      <c r="C249" s="61" t="n"/>
      <c r="D249" s="64" t="n"/>
      <c r="E249" s="65" t="n"/>
      <c r="F249" s="60" t="n"/>
      <c r="G249" s="100" t="n"/>
      <c r="H249" s="69" t="str">
        <f>IF(A249="","",IF(NOT(ISNUMBER(G249)),"Date à saisir",IF(EDATE(G249,N(p_age))&lt;TODAY(),"Ancien","À jour")))</f>
        <v/>
      </c>
      <c r="I249" s="69" t="str">
        <f>IF(AND(A249="",COUNTA(B249:G249)=0),"",IF(A249="","Référence manquante",IF(COUNTIF($A$6:$A$505,A249)&gt;1,"Référence en double",IF(C249="","Unité manquante",IF(D249="","Prix manquant",IF(AND(D249&lt;&gt;"",OR(NOT(ISNUMBER(D249)),N(D249)&lt;0)),"Prix invalide",IF(AND(E249&lt;&gt;"",OR(NOT(ISNUMBER(E249)),N(E249)&lt;0,N(E249)&gt;=1)),"Perte entre 0 et 99 %","OK")))))))</f>
        <v/>
      </c>
    </row>
    <row r="250">
      <c r="A250" s="60" t="n"/>
      <c r="B250" s="60" t="n"/>
      <c r="C250" s="61" t="n"/>
      <c r="D250" s="64" t="n"/>
      <c r="E250" s="65" t="n"/>
      <c r="F250" s="60" t="n"/>
      <c r="G250" s="100" t="n"/>
      <c r="H250" s="69" t="str">
        <f>IF(A250="","",IF(NOT(ISNUMBER(G250)),"Date à saisir",IF(EDATE(G250,N(p_age))&lt;TODAY(),"Ancien","À jour")))</f>
        <v/>
      </c>
      <c r="I250" s="69" t="str">
        <f>IF(AND(A250="",COUNTA(B250:G250)=0),"",IF(A250="","Référence manquante",IF(COUNTIF($A$6:$A$505,A250)&gt;1,"Référence en double",IF(C250="","Unité manquante",IF(D250="","Prix manquant",IF(AND(D250&lt;&gt;"",OR(NOT(ISNUMBER(D250)),N(D250)&lt;0)),"Prix invalide",IF(AND(E250&lt;&gt;"",OR(NOT(ISNUMBER(E250)),N(E250)&lt;0,N(E250)&gt;=1)),"Perte entre 0 et 99 %","OK")))))))</f>
        <v/>
      </c>
    </row>
    <row r="251">
      <c r="A251" s="60" t="n"/>
      <c r="B251" s="60" t="n"/>
      <c r="C251" s="61" t="n"/>
      <c r="D251" s="64" t="n"/>
      <c r="E251" s="65" t="n"/>
      <c r="F251" s="60" t="n"/>
      <c r="G251" s="100" t="n"/>
      <c r="H251" s="69" t="str">
        <f>IF(A251="","",IF(NOT(ISNUMBER(G251)),"Date à saisir",IF(EDATE(G251,N(p_age))&lt;TODAY(),"Ancien","À jour")))</f>
        <v/>
      </c>
      <c r="I251" s="69" t="str">
        <f>IF(AND(A251="",COUNTA(B251:G251)=0),"",IF(A251="","Référence manquante",IF(COUNTIF($A$6:$A$505,A251)&gt;1,"Référence en double",IF(C251="","Unité manquante",IF(D251="","Prix manquant",IF(AND(D251&lt;&gt;"",OR(NOT(ISNUMBER(D251)),N(D251)&lt;0)),"Prix invalide",IF(AND(E251&lt;&gt;"",OR(NOT(ISNUMBER(E251)),N(E251)&lt;0,N(E251)&gt;=1)),"Perte entre 0 et 99 %","OK")))))))</f>
        <v/>
      </c>
    </row>
    <row r="252">
      <c r="A252" s="60" t="n"/>
      <c r="B252" s="60" t="n"/>
      <c r="C252" s="61" t="n"/>
      <c r="D252" s="64" t="n"/>
      <c r="E252" s="65" t="n"/>
      <c r="F252" s="60" t="n"/>
      <c r="G252" s="100" t="n"/>
      <c r="H252" s="69" t="str">
        <f>IF(A252="","",IF(NOT(ISNUMBER(G252)),"Date à saisir",IF(EDATE(G252,N(p_age))&lt;TODAY(),"Ancien","À jour")))</f>
        <v/>
      </c>
      <c r="I252" s="69" t="str">
        <f>IF(AND(A252="",COUNTA(B252:G252)=0),"",IF(A252="","Référence manquante",IF(COUNTIF($A$6:$A$505,A252)&gt;1,"Référence en double",IF(C252="","Unité manquante",IF(D252="","Prix manquant",IF(AND(D252&lt;&gt;"",OR(NOT(ISNUMBER(D252)),N(D252)&lt;0)),"Prix invalide",IF(AND(E252&lt;&gt;"",OR(NOT(ISNUMBER(E252)),N(E252)&lt;0,N(E252)&gt;=1)),"Perte entre 0 et 99 %","OK")))))))</f>
        <v/>
      </c>
    </row>
    <row r="253">
      <c r="A253" s="60" t="n"/>
      <c r="B253" s="60" t="n"/>
      <c r="C253" s="61" t="n"/>
      <c r="D253" s="64" t="n"/>
      <c r="E253" s="65" t="n"/>
      <c r="F253" s="60" t="n"/>
      <c r="G253" s="100" t="n"/>
      <c r="H253" s="69" t="str">
        <f>IF(A253="","",IF(NOT(ISNUMBER(G253)),"Date à saisir",IF(EDATE(G253,N(p_age))&lt;TODAY(),"Ancien","À jour")))</f>
        <v/>
      </c>
      <c r="I253" s="69" t="str">
        <f>IF(AND(A253="",COUNTA(B253:G253)=0),"",IF(A253="","Référence manquante",IF(COUNTIF($A$6:$A$505,A253)&gt;1,"Référence en double",IF(C253="","Unité manquante",IF(D253="","Prix manquant",IF(AND(D253&lt;&gt;"",OR(NOT(ISNUMBER(D253)),N(D253)&lt;0)),"Prix invalide",IF(AND(E253&lt;&gt;"",OR(NOT(ISNUMBER(E253)),N(E253)&lt;0,N(E253)&gt;=1)),"Perte entre 0 et 99 %","OK")))))))</f>
        <v/>
      </c>
    </row>
    <row r="254">
      <c r="A254" s="60" t="n"/>
      <c r="B254" s="60" t="n"/>
      <c r="C254" s="61" t="n"/>
      <c r="D254" s="64" t="n"/>
      <c r="E254" s="65" t="n"/>
      <c r="F254" s="60" t="n"/>
      <c r="G254" s="100" t="n"/>
      <c r="H254" s="69" t="str">
        <f>IF(A254="","",IF(NOT(ISNUMBER(G254)),"Date à saisir",IF(EDATE(G254,N(p_age))&lt;TODAY(),"Ancien","À jour")))</f>
        <v/>
      </c>
      <c r="I254" s="69" t="str">
        <f>IF(AND(A254="",COUNTA(B254:G254)=0),"",IF(A254="","Référence manquante",IF(COUNTIF($A$6:$A$505,A254)&gt;1,"Référence en double",IF(C254="","Unité manquante",IF(D254="","Prix manquant",IF(AND(D254&lt;&gt;"",OR(NOT(ISNUMBER(D254)),N(D254)&lt;0)),"Prix invalide",IF(AND(E254&lt;&gt;"",OR(NOT(ISNUMBER(E254)),N(E254)&lt;0,N(E254)&gt;=1)),"Perte entre 0 et 99 %","OK")))))))</f>
        <v/>
      </c>
    </row>
    <row r="255">
      <c r="A255" s="60" t="n"/>
      <c r="B255" s="60" t="n"/>
      <c r="C255" s="61" t="n"/>
      <c r="D255" s="64" t="n"/>
      <c r="E255" s="65" t="n"/>
      <c r="F255" s="60" t="n"/>
      <c r="G255" s="100" t="n"/>
      <c r="H255" s="69" t="str">
        <f>IF(A255="","",IF(NOT(ISNUMBER(G255)),"Date à saisir",IF(EDATE(G255,N(p_age))&lt;TODAY(),"Ancien","À jour")))</f>
        <v/>
      </c>
      <c r="I255" s="69" t="str">
        <f>IF(AND(A255="",COUNTA(B255:G255)=0),"",IF(A255="","Référence manquante",IF(COUNTIF($A$6:$A$505,A255)&gt;1,"Référence en double",IF(C255="","Unité manquante",IF(D255="","Prix manquant",IF(AND(D255&lt;&gt;"",OR(NOT(ISNUMBER(D255)),N(D255)&lt;0)),"Prix invalide",IF(AND(E255&lt;&gt;"",OR(NOT(ISNUMBER(E255)),N(E255)&lt;0,N(E255)&gt;=1)),"Perte entre 0 et 99 %","OK")))))))</f>
        <v/>
      </c>
    </row>
    <row r="256">
      <c r="A256" s="60" t="n"/>
      <c r="B256" s="60" t="n"/>
      <c r="C256" s="61" t="n"/>
      <c r="D256" s="64" t="n"/>
      <c r="E256" s="65" t="n"/>
      <c r="F256" s="60" t="n"/>
      <c r="G256" s="100" t="n"/>
      <c r="H256" s="69" t="str">
        <f>IF(A256="","",IF(NOT(ISNUMBER(G256)),"Date à saisir",IF(EDATE(G256,N(p_age))&lt;TODAY(),"Ancien","À jour")))</f>
        <v/>
      </c>
      <c r="I256" s="69" t="str">
        <f>IF(AND(A256="",COUNTA(B256:G256)=0),"",IF(A256="","Référence manquante",IF(COUNTIF($A$6:$A$505,A256)&gt;1,"Référence en double",IF(C256="","Unité manquante",IF(D256="","Prix manquant",IF(AND(D256&lt;&gt;"",OR(NOT(ISNUMBER(D256)),N(D256)&lt;0)),"Prix invalide",IF(AND(E256&lt;&gt;"",OR(NOT(ISNUMBER(E256)),N(E256)&lt;0,N(E256)&gt;=1)),"Perte entre 0 et 99 %","OK")))))))</f>
        <v/>
      </c>
    </row>
    <row r="257">
      <c r="A257" s="60" t="n"/>
      <c r="B257" s="60" t="n"/>
      <c r="C257" s="61" t="n"/>
      <c r="D257" s="64" t="n"/>
      <c r="E257" s="65" t="n"/>
      <c r="F257" s="60" t="n"/>
      <c r="G257" s="100" t="n"/>
      <c r="H257" s="69" t="str">
        <f>IF(A257="","",IF(NOT(ISNUMBER(G257)),"Date à saisir",IF(EDATE(G257,N(p_age))&lt;TODAY(),"Ancien","À jour")))</f>
        <v/>
      </c>
      <c r="I257" s="69" t="str">
        <f>IF(AND(A257="",COUNTA(B257:G257)=0),"",IF(A257="","Référence manquante",IF(COUNTIF($A$6:$A$505,A257)&gt;1,"Référence en double",IF(C257="","Unité manquante",IF(D257="","Prix manquant",IF(AND(D257&lt;&gt;"",OR(NOT(ISNUMBER(D257)),N(D257)&lt;0)),"Prix invalide",IF(AND(E257&lt;&gt;"",OR(NOT(ISNUMBER(E257)),N(E257)&lt;0,N(E257)&gt;=1)),"Perte entre 0 et 99 %","OK")))))))</f>
        <v/>
      </c>
    </row>
    <row r="258">
      <c r="A258" s="60" t="n"/>
      <c r="B258" s="60" t="n"/>
      <c r="C258" s="61" t="n"/>
      <c r="D258" s="64" t="n"/>
      <c r="E258" s="65" t="n"/>
      <c r="F258" s="60" t="n"/>
      <c r="G258" s="100" t="n"/>
      <c r="H258" s="69" t="str">
        <f>IF(A258="","",IF(NOT(ISNUMBER(G258)),"Date à saisir",IF(EDATE(G258,N(p_age))&lt;TODAY(),"Ancien","À jour")))</f>
        <v/>
      </c>
      <c r="I258" s="69" t="str">
        <f>IF(AND(A258="",COUNTA(B258:G258)=0),"",IF(A258="","Référence manquante",IF(COUNTIF($A$6:$A$505,A258)&gt;1,"Référence en double",IF(C258="","Unité manquante",IF(D258="","Prix manquant",IF(AND(D258&lt;&gt;"",OR(NOT(ISNUMBER(D258)),N(D258)&lt;0)),"Prix invalide",IF(AND(E258&lt;&gt;"",OR(NOT(ISNUMBER(E258)),N(E258)&lt;0,N(E258)&gt;=1)),"Perte entre 0 et 99 %","OK")))))))</f>
        <v/>
      </c>
    </row>
    <row r="259">
      <c r="A259" s="60" t="n"/>
      <c r="B259" s="60" t="n"/>
      <c r="C259" s="61" t="n"/>
      <c r="D259" s="64" t="n"/>
      <c r="E259" s="65" t="n"/>
      <c r="F259" s="60" t="n"/>
      <c r="G259" s="100" t="n"/>
      <c r="H259" s="69" t="str">
        <f>IF(A259="","",IF(NOT(ISNUMBER(G259)),"Date à saisir",IF(EDATE(G259,N(p_age))&lt;TODAY(),"Ancien","À jour")))</f>
        <v/>
      </c>
      <c r="I259" s="69" t="str">
        <f>IF(AND(A259="",COUNTA(B259:G259)=0),"",IF(A259="","Référence manquante",IF(COUNTIF($A$6:$A$505,A259)&gt;1,"Référence en double",IF(C259="","Unité manquante",IF(D259="","Prix manquant",IF(AND(D259&lt;&gt;"",OR(NOT(ISNUMBER(D259)),N(D259)&lt;0)),"Prix invalide",IF(AND(E259&lt;&gt;"",OR(NOT(ISNUMBER(E259)),N(E259)&lt;0,N(E259)&gt;=1)),"Perte entre 0 et 99 %","OK")))))))</f>
        <v/>
      </c>
    </row>
    <row r="260">
      <c r="A260" s="60" t="n"/>
      <c r="B260" s="60" t="n"/>
      <c r="C260" s="61" t="n"/>
      <c r="D260" s="64" t="n"/>
      <c r="E260" s="65" t="n"/>
      <c r="F260" s="60" t="n"/>
      <c r="G260" s="100" t="n"/>
      <c r="H260" s="69" t="str">
        <f>IF(A260="","",IF(NOT(ISNUMBER(G260)),"Date à saisir",IF(EDATE(G260,N(p_age))&lt;TODAY(),"Ancien","À jour")))</f>
        <v/>
      </c>
      <c r="I260" s="69" t="str">
        <f>IF(AND(A260="",COUNTA(B260:G260)=0),"",IF(A260="","Référence manquante",IF(COUNTIF($A$6:$A$505,A260)&gt;1,"Référence en double",IF(C260="","Unité manquante",IF(D260="","Prix manquant",IF(AND(D260&lt;&gt;"",OR(NOT(ISNUMBER(D260)),N(D260)&lt;0)),"Prix invalide",IF(AND(E260&lt;&gt;"",OR(NOT(ISNUMBER(E260)),N(E260)&lt;0,N(E260)&gt;=1)),"Perte entre 0 et 99 %","OK")))))))</f>
        <v/>
      </c>
    </row>
    <row r="261">
      <c r="A261" s="60" t="n"/>
      <c r="B261" s="60" t="n"/>
      <c r="C261" s="61" t="n"/>
      <c r="D261" s="64" t="n"/>
      <c r="E261" s="65" t="n"/>
      <c r="F261" s="60" t="n"/>
      <c r="G261" s="100" t="n"/>
      <c r="H261" s="69" t="str">
        <f>IF(A261="","",IF(NOT(ISNUMBER(G261)),"Date à saisir",IF(EDATE(G261,N(p_age))&lt;TODAY(),"Ancien","À jour")))</f>
        <v/>
      </c>
      <c r="I261" s="69" t="str">
        <f>IF(AND(A261="",COUNTA(B261:G261)=0),"",IF(A261="","Référence manquante",IF(COUNTIF($A$6:$A$505,A261)&gt;1,"Référence en double",IF(C261="","Unité manquante",IF(D261="","Prix manquant",IF(AND(D261&lt;&gt;"",OR(NOT(ISNUMBER(D261)),N(D261)&lt;0)),"Prix invalide",IF(AND(E261&lt;&gt;"",OR(NOT(ISNUMBER(E261)),N(E261)&lt;0,N(E261)&gt;=1)),"Perte entre 0 et 99 %","OK")))))))</f>
        <v/>
      </c>
    </row>
    <row r="262">
      <c r="A262" s="60" t="n"/>
      <c r="B262" s="60" t="n"/>
      <c r="C262" s="61" t="n"/>
      <c r="D262" s="64" t="n"/>
      <c r="E262" s="65" t="n"/>
      <c r="F262" s="60" t="n"/>
      <c r="G262" s="100" t="n"/>
      <c r="H262" s="69" t="str">
        <f>IF(A262="","",IF(NOT(ISNUMBER(G262)),"Date à saisir",IF(EDATE(G262,N(p_age))&lt;TODAY(),"Ancien","À jour")))</f>
        <v/>
      </c>
      <c r="I262" s="69" t="str">
        <f>IF(AND(A262="",COUNTA(B262:G262)=0),"",IF(A262="","Référence manquante",IF(COUNTIF($A$6:$A$505,A262)&gt;1,"Référence en double",IF(C262="","Unité manquante",IF(D262="","Prix manquant",IF(AND(D262&lt;&gt;"",OR(NOT(ISNUMBER(D262)),N(D262)&lt;0)),"Prix invalide",IF(AND(E262&lt;&gt;"",OR(NOT(ISNUMBER(E262)),N(E262)&lt;0,N(E262)&gt;=1)),"Perte entre 0 et 99 %","OK")))))))</f>
        <v/>
      </c>
    </row>
    <row r="263">
      <c r="A263" s="60" t="n"/>
      <c r="B263" s="60" t="n"/>
      <c r="C263" s="61" t="n"/>
      <c r="D263" s="64" t="n"/>
      <c r="E263" s="65" t="n"/>
      <c r="F263" s="60" t="n"/>
      <c r="G263" s="100" t="n"/>
      <c r="H263" s="69" t="str">
        <f>IF(A263="","",IF(NOT(ISNUMBER(G263)),"Date à saisir",IF(EDATE(G263,N(p_age))&lt;TODAY(),"Ancien","À jour")))</f>
        <v/>
      </c>
      <c r="I263" s="69" t="str">
        <f>IF(AND(A263="",COUNTA(B263:G263)=0),"",IF(A263="","Référence manquante",IF(COUNTIF($A$6:$A$505,A263)&gt;1,"Référence en double",IF(C263="","Unité manquante",IF(D263="","Prix manquant",IF(AND(D263&lt;&gt;"",OR(NOT(ISNUMBER(D263)),N(D263)&lt;0)),"Prix invalide",IF(AND(E263&lt;&gt;"",OR(NOT(ISNUMBER(E263)),N(E263)&lt;0,N(E263)&gt;=1)),"Perte entre 0 et 99 %","OK")))))))</f>
        <v/>
      </c>
    </row>
    <row r="264">
      <c r="A264" s="60" t="n"/>
      <c r="B264" s="60" t="n"/>
      <c r="C264" s="61" t="n"/>
      <c r="D264" s="64" t="n"/>
      <c r="E264" s="65" t="n"/>
      <c r="F264" s="60" t="n"/>
      <c r="G264" s="100" t="n"/>
      <c r="H264" s="69" t="str">
        <f>IF(A264="","",IF(NOT(ISNUMBER(G264)),"Date à saisir",IF(EDATE(G264,N(p_age))&lt;TODAY(),"Ancien","À jour")))</f>
        <v/>
      </c>
      <c r="I264" s="69" t="str">
        <f>IF(AND(A264="",COUNTA(B264:G264)=0),"",IF(A264="","Référence manquante",IF(COUNTIF($A$6:$A$505,A264)&gt;1,"Référence en double",IF(C264="","Unité manquante",IF(D264="","Prix manquant",IF(AND(D264&lt;&gt;"",OR(NOT(ISNUMBER(D264)),N(D264)&lt;0)),"Prix invalide",IF(AND(E264&lt;&gt;"",OR(NOT(ISNUMBER(E264)),N(E264)&lt;0,N(E264)&gt;=1)),"Perte entre 0 et 99 %","OK")))))))</f>
        <v/>
      </c>
    </row>
    <row r="265">
      <c r="A265" s="60" t="n"/>
      <c r="B265" s="60" t="n"/>
      <c r="C265" s="61" t="n"/>
      <c r="D265" s="64" t="n"/>
      <c r="E265" s="65" t="n"/>
      <c r="F265" s="60" t="n"/>
      <c r="G265" s="100" t="n"/>
      <c r="H265" s="69" t="str">
        <f>IF(A265="","",IF(NOT(ISNUMBER(G265)),"Date à saisir",IF(EDATE(G265,N(p_age))&lt;TODAY(),"Ancien","À jour")))</f>
        <v/>
      </c>
      <c r="I265" s="69" t="str">
        <f>IF(AND(A265="",COUNTA(B265:G265)=0),"",IF(A265="","Référence manquante",IF(COUNTIF($A$6:$A$505,A265)&gt;1,"Référence en double",IF(C265="","Unité manquante",IF(D265="","Prix manquant",IF(AND(D265&lt;&gt;"",OR(NOT(ISNUMBER(D265)),N(D265)&lt;0)),"Prix invalide",IF(AND(E265&lt;&gt;"",OR(NOT(ISNUMBER(E265)),N(E265)&lt;0,N(E265)&gt;=1)),"Perte entre 0 et 99 %","OK")))))))</f>
        <v/>
      </c>
    </row>
    <row r="266">
      <c r="A266" s="60" t="n"/>
      <c r="B266" s="60" t="n"/>
      <c r="C266" s="61" t="n"/>
      <c r="D266" s="64" t="n"/>
      <c r="E266" s="65" t="n"/>
      <c r="F266" s="60" t="n"/>
      <c r="G266" s="100" t="n"/>
      <c r="H266" s="69" t="str">
        <f>IF(A266="","",IF(NOT(ISNUMBER(G266)),"Date à saisir",IF(EDATE(G266,N(p_age))&lt;TODAY(),"Ancien","À jour")))</f>
        <v/>
      </c>
      <c r="I266" s="69" t="str">
        <f>IF(AND(A266="",COUNTA(B266:G266)=0),"",IF(A266="","Référence manquante",IF(COUNTIF($A$6:$A$505,A266)&gt;1,"Référence en double",IF(C266="","Unité manquante",IF(D266="","Prix manquant",IF(AND(D266&lt;&gt;"",OR(NOT(ISNUMBER(D266)),N(D266)&lt;0)),"Prix invalide",IF(AND(E266&lt;&gt;"",OR(NOT(ISNUMBER(E266)),N(E266)&lt;0,N(E266)&gt;=1)),"Perte entre 0 et 99 %","OK")))))))</f>
        <v/>
      </c>
    </row>
    <row r="267">
      <c r="A267" s="60" t="n"/>
      <c r="B267" s="60" t="n"/>
      <c r="C267" s="61" t="n"/>
      <c r="D267" s="64" t="n"/>
      <c r="E267" s="65" t="n"/>
      <c r="F267" s="60" t="n"/>
      <c r="G267" s="100" t="n"/>
      <c r="H267" s="69" t="str">
        <f>IF(A267="","",IF(NOT(ISNUMBER(G267)),"Date à saisir",IF(EDATE(G267,N(p_age))&lt;TODAY(),"Ancien","À jour")))</f>
        <v/>
      </c>
      <c r="I267" s="69" t="str">
        <f>IF(AND(A267="",COUNTA(B267:G267)=0),"",IF(A267="","Référence manquante",IF(COUNTIF($A$6:$A$505,A267)&gt;1,"Référence en double",IF(C267="","Unité manquante",IF(D267="","Prix manquant",IF(AND(D267&lt;&gt;"",OR(NOT(ISNUMBER(D267)),N(D267)&lt;0)),"Prix invalide",IF(AND(E267&lt;&gt;"",OR(NOT(ISNUMBER(E267)),N(E267)&lt;0,N(E267)&gt;=1)),"Perte entre 0 et 99 %","OK")))))))</f>
        <v/>
      </c>
    </row>
    <row r="268">
      <c r="A268" s="60" t="n"/>
      <c r="B268" s="60" t="n"/>
      <c r="C268" s="61" t="n"/>
      <c r="D268" s="64" t="n"/>
      <c r="E268" s="65" t="n"/>
      <c r="F268" s="60" t="n"/>
      <c r="G268" s="100" t="n"/>
      <c r="H268" s="69" t="str">
        <f>IF(A268="","",IF(NOT(ISNUMBER(G268)),"Date à saisir",IF(EDATE(G268,N(p_age))&lt;TODAY(),"Ancien","À jour")))</f>
        <v/>
      </c>
      <c r="I268" s="69" t="str">
        <f>IF(AND(A268="",COUNTA(B268:G268)=0),"",IF(A268="","Référence manquante",IF(COUNTIF($A$6:$A$505,A268)&gt;1,"Référence en double",IF(C268="","Unité manquante",IF(D268="","Prix manquant",IF(AND(D268&lt;&gt;"",OR(NOT(ISNUMBER(D268)),N(D268)&lt;0)),"Prix invalide",IF(AND(E268&lt;&gt;"",OR(NOT(ISNUMBER(E268)),N(E268)&lt;0,N(E268)&gt;=1)),"Perte entre 0 et 99 %","OK")))))))</f>
        <v/>
      </c>
    </row>
    <row r="269">
      <c r="A269" s="60" t="n"/>
      <c r="B269" s="60" t="n"/>
      <c r="C269" s="61" t="n"/>
      <c r="D269" s="64" t="n"/>
      <c r="E269" s="65" t="n"/>
      <c r="F269" s="60" t="n"/>
      <c r="G269" s="100" t="n"/>
      <c r="H269" s="69" t="str">
        <f>IF(A269="","",IF(NOT(ISNUMBER(G269)),"Date à saisir",IF(EDATE(G269,N(p_age))&lt;TODAY(),"Ancien","À jour")))</f>
        <v/>
      </c>
      <c r="I269" s="69" t="str">
        <f>IF(AND(A269="",COUNTA(B269:G269)=0),"",IF(A269="","Référence manquante",IF(COUNTIF($A$6:$A$505,A269)&gt;1,"Référence en double",IF(C269="","Unité manquante",IF(D269="","Prix manquant",IF(AND(D269&lt;&gt;"",OR(NOT(ISNUMBER(D269)),N(D269)&lt;0)),"Prix invalide",IF(AND(E269&lt;&gt;"",OR(NOT(ISNUMBER(E269)),N(E269)&lt;0,N(E269)&gt;=1)),"Perte entre 0 et 99 %","OK")))))))</f>
        <v/>
      </c>
    </row>
    <row r="270">
      <c r="A270" s="60" t="n"/>
      <c r="B270" s="60" t="n"/>
      <c r="C270" s="61" t="n"/>
      <c r="D270" s="64" t="n"/>
      <c r="E270" s="65" t="n"/>
      <c r="F270" s="60" t="n"/>
      <c r="G270" s="100" t="n"/>
      <c r="H270" s="69" t="str">
        <f>IF(A270="","",IF(NOT(ISNUMBER(G270)),"Date à saisir",IF(EDATE(G270,N(p_age))&lt;TODAY(),"Ancien","À jour")))</f>
        <v/>
      </c>
      <c r="I270" s="69" t="str">
        <f>IF(AND(A270="",COUNTA(B270:G270)=0),"",IF(A270="","Référence manquante",IF(COUNTIF($A$6:$A$505,A270)&gt;1,"Référence en double",IF(C270="","Unité manquante",IF(D270="","Prix manquant",IF(AND(D270&lt;&gt;"",OR(NOT(ISNUMBER(D270)),N(D270)&lt;0)),"Prix invalide",IF(AND(E270&lt;&gt;"",OR(NOT(ISNUMBER(E270)),N(E270)&lt;0,N(E270)&gt;=1)),"Perte entre 0 et 99 %","OK")))))))</f>
        <v/>
      </c>
    </row>
    <row r="271">
      <c r="A271" s="60" t="n"/>
      <c r="B271" s="60" t="n"/>
      <c r="C271" s="61" t="n"/>
      <c r="D271" s="64" t="n"/>
      <c r="E271" s="65" t="n"/>
      <c r="F271" s="60" t="n"/>
      <c r="G271" s="100" t="n"/>
      <c r="H271" s="69" t="str">
        <f>IF(A271="","",IF(NOT(ISNUMBER(G271)),"Date à saisir",IF(EDATE(G271,N(p_age))&lt;TODAY(),"Ancien","À jour")))</f>
        <v/>
      </c>
      <c r="I271" s="69" t="str">
        <f>IF(AND(A271="",COUNTA(B271:G271)=0),"",IF(A271="","Référence manquante",IF(COUNTIF($A$6:$A$505,A271)&gt;1,"Référence en double",IF(C271="","Unité manquante",IF(D271="","Prix manquant",IF(AND(D271&lt;&gt;"",OR(NOT(ISNUMBER(D271)),N(D271)&lt;0)),"Prix invalide",IF(AND(E271&lt;&gt;"",OR(NOT(ISNUMBER(E271)),N(E271)&lt;0,N(E271)&gt;=1)),"Perte entre 0 et 99 %","OK")))))))</f>
        <v/>
      </c>
    </row>
    <row r="272">
      <c r="A272" s="60" t="n"/>
      <c r="B272" s="60" t="n"/>
      <c r="C272" s="61" t="n"/>
      <c r="D272" s="64" t="n"/>
      <c r="E272" s="65" t="n"/>
      <c r="F272" s="60" t="n"/>
      <c r="G272" s="100" t="n"/>
      <c r="H272" s="69" t="str">
        <f>IF(A272="","",IF(NOT(ISNUMBER(G272)),"Date à saisir",IF(EDATE(G272,N(p_age))&lt;TODAY(),"Ancien","À jour")))</f>
        <v/>
      </c>
      <c r="I272" s="69" t="str">
        <f>IF(AND(A272="",COUNTA(B272:G272)=0),"",IF(A272="","Référence manquante",IF(COUNTIF($A$6:$A$505,A272)&gt;1,"Référence en double",IF(C272="","Unité manquante",IF(D272="","Prix manquant",IF(AND(D272&lt;&gt;"",OR(NOT(ISNUMBER(D272)),N(D272)&lt;0)),"Prix invalide",IF(AND(E272&lt;&gt;"",OR(NOT(ISNUMBER(E272)),N(E272)&lt;0,N(E272)&gt;=1)),"Perte entre 0 et 99 %","OK")))))))</f>
        <v/>
      </c>
    </row>
    <row r="273">
      <c r="A273" s="60" t="n"/>
      <c r="B273" s="60" t="n"/>
      <c r="C273" s="61" t="n"/>
      <c r="D273" s="64" t="n"/>
      <c r="E273" s="65" t="n"/>
      <c r="F273" s="60" t="n"/>
      <c r="G273" s="100" t="n"/>
      <c r="H273" s="69" t="str">
        <f>IF(A273="","",IF(NOT(ISNUMBER(G273)),"Date à saisir",IF(EDATE(G273,N(p_age))&lt;TODAY(),"Ancien","À jour")))</f>
        <v/>
      </c>
      <c r="I273" s="69" t="str">
        <f>IF(AND(A273="",COUNTA(B273:G273)=0),"",IF(A273="","Référence manquante",IF(COUNTIF($A$6:$A$505,A273)&gt;1,"Référence en double",IF(C273="","Unité manquante",IF(D273="","Prix manquant",IF(AND(D273&lt;&gt;"",OR(NOT(ISNUMBER(D273)),N(D273)&lt;0)),"Prix invalide",IF(AND(E273&lt;&gt;"",OR(NOT(ISNUMBER(E273)),N(E273)&lt;0,N(E273)&gt;=1)),"Perte entre 0 et 99 %","OK")))))))</f>
        <v/>
      </c>
    </row>
    <row r="274">
      <c r="A274" s="60" t="n"/>
      <c r="B274" s="60" t="n"/>
      <c r="C274" s="61" t="n"/>
      <c r="D274" s="64" t="n"/>
      <c r="E274" s="65" t="n"/>
      <c r="F274" s="60" t="n"/>
      <c r="G274" s="100" t="n"/>
      <c r="H274" s="69" t="str">
        <f>IF(A274="","",IF(NOT(ISNUMBER(G274)),"Date à saisir",IF(EDATE(G274,N(p_age))&lt;TODAY(),"Ancien","À jour")))</f>
        <v/>
      </c>
      <c r="I274" s="69" t="str">
        <f>IF(AND(A274="",COUNTA(B274:G274)=0),"",IF(A274="","Référence manquante",IF(COUNTIF($A$6:$A$505,A274)&gt;1,"Référence en double",IF(C274="","Unité manquante",IF(D274="","Prix manquant",IF(AND(D274&lt;&gt;"",OR(NOT(ISNUMBER(D274)),N(D274)&lt;0)),"Prix invalide",IF(AND(E274&lt;&gt;"",OR(NOT(ISNUMBER(E274)),N(E274)&lt;0,N(E274)&gt;=1)),"Perte entre 0 et 99 %","OK")))))))</f>
        <v/>
      </c>
    </row>
    <row r="275">
      <c r="A275" s="60" t="n"/>
      <c r="B275" s="60" t="n"/>
      <c r="C275" s="61" t="n"/>
      <c r="D275" s="64" t="n"/>
      <c r="E275" s="65" t="n"/>
      <c r="F275" s="60" t="n"/>
      <c r="G275" s="100" t="n"/>
      <c r="H275" s="69" t="str">
        <f>IF(A275="","",IF(NOT(ISNUMBER(G275)),"Date à saisir",IF(EDATE(G275,N(p_age))&lt;TODAY(),"Ancien","À jour")))</f>
        <v/>
      </c>
      <c r="I275" s="69" t="str">
        <f>IF(AND(A275="",COUNTA(B275:G275)=0),"",IF(A275="","Référence manquante",IF(COUNTIF($A$6:$A$505,A275)&gt;1,"Référence en double",IF(C275="","Unité manquante",IF(D275="","Prix manquant",IF(AND(D275&lt;&gt;"",OR(NOT(ISNUMBER(D275)),N(D275)&lt;0)),"Prix invalide",IF(AND(E275&lt;&gt;"",OR(NOT(ISNUMBER(E275)),N(E275)&lt;0,N(E275)&gt;=1)),"Perte entre 0 et 99 %","OK")))))))</f>
        <v/>
      </c>
    </row>
    <row r="276">
      <c r="A276" s="60" t="n"/>
      <c r="B276" s="60" t="n"/>
      <c r="C276" s="61" t="n"/>
      <c r="D276" s="64" t="n"/>
      <c r="E276" s="65" t="n"/>
      <c r="F276" s="60" t="n"/>
      <c r="G276" s="100" t="n"/>
      <c r="H276" s="69" t="str">
        <f>IF(A276="","",IF(NOT(ISNUMBER(G276)),"Date à saisir",IF(EDATE(G276,N(p_age))&lt;TODAY(),"Ancien","À jour")))</f>
        <v/>
      </c>
      <c r="I276" s="69" t="str">
        <f>IF(AND(A276="",COUNTA(B276:G276)=0),"",IF(A276="","Référence manquante",IF(COUNTIF($A$6:$A$505,A276)&gt;1,"Référence en double",IF(C276="","Unité manquante",IF(D276="","Prix manquant",IF(AND(D276&lt;&gt;"",OR(NOT(ISNUMBER(D276)),N(D276)&lt;0)),"Prix invalide",IF(AND(E276&lt;&gt;"",OR(NOT(ISNUMBER(E276)),N(E276)&lt;0,N(E276)&gt;=1)),"Perte entre 0 et 99 %","OK")))))))</f>
        <v/>
      </c>
    </row>
    <row r="277">
      <c r="A277" s="60" t="n"/>
      <c r="B277" s="60" t="n"/>
      <c r="C277" s="61" t="n"/>
      <c r="D277" s="64" t="n"/>
      <c r="E277" s="65" t="n"/>
      <c r="F277" s="60" t="n"/>
      <c r="G277" s="100" t="n"/>
      <c r="H277" s="69" t="str">
        <f>IF(A277="","",IF(NOT(ISNUMBER(G277)),"Date à saisir",IF(EDATE(G277,N(p_age))&lt;TODAY(),"Ancien","À jour")))</f>
        <v/>
      </c>
      <c r="I277" s="69" t="str">
        <f>IF(AND(A277="",COUNTA(B277:G277)=0),"",IF(A277="","Référence manquante",IF(COUNTIF($A$6:$A$505,A277)&gt;1,"Référence en double",IF(C277="","Unité manquante",IF(D277="","Prix manquant",IF(AND(D277&lt;&gt;"",OR(NOT(ISNUMBER(D277)),N(D277)&lt;0)),"Prix invalide",IF(AND(E277&lt;&gt;"",OR(NOT(ISNUMBER(E277)),N(E277)&lt;0,N(E277)&gt;=1)),"Perte entre 0 et 99 %","OK")))))))</f>
        <v/>
      </c>
    </row>
    <row r="278">
      <c r="A278" s="60" t="n"/>
      <c r="B278" s="60" t="n"/>
      <c r="C278" s="61" t="n"/>
      <c r="D278" s="64" t="n"/>
      <c r="E278" s="65" t="n"/>
      <c r="F278" s="60" t="n"/>
      <c r="G278" s="100" t="n"/>
      <c r="H278" s="69" t="str">
        <f>IF(A278="","",IF(NOT(ISNUMBER(G278)),"Date à saisir",IF(EDATE(G278,N(p_age))&lt;TODAY(),"Ancien","À jour")))</f>
        <v/>
      </c>
      <c r="I278" s="69" t="str">
        <f>IF(AND(A278="",COUNTA(B278:G278)=0),"",IF(A278="","Référence manquante",IF(COUNTIF($A$6:$A$505,A278)&gt;1,"Référence en double",IF(C278="","Unité manquante",IF(D278="","Prix manquant",IF(AND(D278&lt;&gt;"",OR(NOT(ISNUMBER(D278)),N(D278)&lt;0)),"Prix invalide",IF(AND(E278&lt;&gt;"",OR(NOT(ISNUMBER(E278)),N(E278)&lt;0,N(E278)&gt;=1)),"Perte entre 0 et 99 %","OK")))))))</f>
        <v/>
      </c>
    </row>
    <row r="279">
      <c r="A279" s="60" t="n"/>
      <c r="B279" s="60" t="n"/>
      <c r="C279" s="61" t="n"/>
      <c r="D279" s="64" t="n"/>
      <c r="E279" s="65" t="n"/>
      <c r="F279" s="60" t="n"/>
      <c r="G279" s="100" t="n"/>
      <c r="H279" s="69" t="str">
        <f>IF(A279="","",IF(NOT(ISNUMBER(G279)),"Date à saisir",IF(EDATE(G279,N(p_age))&lt;TODAY(),"Ancien","À jour")))</f>
        <v/>
      </c>
      <c r="I279" s="69" t="str">
        <f>IF(AND(A279="",COUNTA(B279:G279)=0),"",IF(A279="","Référence manquante",IF(COUNTIF($A$6:$A$505,A279)&gt;1,"Référence en double",IF(C279="","Unité manquante",IF(D279="","Prix manquant",IF(AND(D279&lt;&gt;"",OR(NOT(ISNUMBER(D279)),N(D279)&lt;0)),"Prix invalide",IF(AND(E279&lt;&gt;"",OR(NOT(ISNUMBER(E279)),N(E279)&lt;0,N(E279)&gt;=1)),"Perte entre 0 et 99 %","OK")))))))</f>
        <v/>
      </c>
    </row>
    <row r="280">
      <c r="A280" s="60" t="n"/>
      <c r="B280" s="60" t="n"/>
      <c r="C280" s="61" t="n"/>
      <c r="D280" s="64" t="n"/>
      <c r="E280" s="65" t="n"/>
      <c r="F280" s="60" t="n"/>
      <c r="G280" s="100" t="n"/>
      <c r="H280" s="69" t="str">
        <f>IF(A280="","",IF(NOT(ISNUMBER(G280)),"Date à saisir",IF(EDATE(G280,N(p_age))&lt;TODAY(),"Ancien","À jour")))</f>
        <v/>
      </c>
      <c r="I280" s="69" t="str">
        <f>IF(AND(A280="",COUNTA(B280:G280)=0),"",IF(A280="","Référence manquante",IF(COUNTIF($A$6:$A$505,A280)&gt;1,"Référence en double",IF(C280="","Unité manquante",IF(D280="","Prix manquant",IF(AND(D280&lt;&gt;"",OR(NOT(ISNUMBER(D280)),N(D280)&lt;0)),"Prix invalide",IF(AND(E280&lt;&gt;"",OR(NOT(ISNUMBER(E280)),N(E280)&lt;0,N(E280)&gt;=1)),"Perte entre 0 et 99 %","OK")))))))</f>
        <v/>
      </c>
    </row>
    <row r="281">
      <c r="A281" s="60" t="n"/>
      <c r="B281" s="60" t="n"/>
      <c r="C281" s="61" t="n"/>
      <c r="D281" s="64" t="n"/>
      <c r="E281" s="65" t="n"/>
      <c r="F281" s="60" t="n"/>
      <c r="G281" s="100" t="n"/>
      <c r="H281" s="69" t="str">
        <f>IF(A281="","",IF(NOT(ISNUMBER(G281)),"Date à saisir",IF(EDATE(G281,N(p_age))&lt;TODAY(),"Ancien","À jour")))</f>
        <v/>
      </c>
      <c r="I281" s="69" t="str">
        <f>IF(AND(A281="",COUNTA(B281:G281)=0),"",IF(A281="","Référence manquante",IF(COUNTIF($A$6:$A$505,A281)&gt;1,"Référence en double",IF(C281="","Unité manquante",IF(D281="","Prix manquant",IF(AND(D281&lt;&gt;"",OR(NOT(ISNUMBER(D281)),N(D281)&lt;0)),"Prix invalide",IF(AND(E281&lt;&gt;"",OR(NOT(ISNUMBER(E281)),N(E281)&lt;0,N(E281)&gt;=1)),"Perte entre 0 et 99 %","OK")))))))</f>
        <v/>
      </c>
    </row>
    <row r="282">
      <c r="A282" s="60" t="n"/>
      <c r="B282" s="60" t="n"/>
      <c r="C282" s="61" t="n"/>
      <c r="D282" s="64" t="n"/>
      <c r="E282" s="65" t="n"/>
      <c r="F282" s="60" t="n"/>
      <c r="G282" s="100" t="n"/>
      <c r="H282" s="69" t="str">
        <f>IF(A282="","",IF(NOT(ISNUMBER(G282)),"Date à saisir",IF(EDATE(G282,N(p_age))&lt;TODAY(),"Ancien","À jour")))</f>
        <v/>
      </c>
      <c r="I282" s="69" t="str">
        <f>IF(AND(A282="",COUNTA(B282:G282)=0),"",IF(A282="","Référence manquante",IF(COUNTIF($A$6:$A$505,A282)&gt;1,"Référence en double",IF(C282="","Unité manquante",IF(D282="","Prix manquant",IF(AND(D282&lt;&gt;"",OR(NOT(ISNUMBER(D282)),N(D282)&lt;0)),"Prix invalide",IF(AND(E282&lt;&gt;"",OR(NOT(ISNUMBER(E282)),N(E282)&lt;0,N(E282)&gt;=1)),"Perte entre 0 et 99 %","OK")))))))</f>
        <v/>
      </c>
    </row>
    <row r="283">
      <c r="A283" s="60" t="n"/>
      <c r="B283" s="60" t="n"/>
      <c r="C283" s="61" t="n"/>
      <c r="D283" s="64" t="n"/>
      <c r="E283" s="65" t="n"/>
      <c r="F283" s="60" t="n"/>
      <c r="G283" s="100" t="n"/>
      <c r="H283" s="69" t="str">
        <f>IF(A283="","",IF(NOT(ISNUMBER(G283)),"Date à saisir",IF(EDATE(G283,N(p_age))&lt;TODAY(),"Ancien","À jour")))</f>
        <v/>
      </c>
      <c r="I283" s="69" t="str">
        <f>IF(AND(A283="",COUNTA(B283:G283)=0),"",IF(A283="","Référence manquante",IF(COUNTIF($A$6:$A$505,A283)&gt;1,"Référence en double",IF(C283="","Unité manquante",IF(D283="","Prix manquant",IF(AND(D283&lt;&gt;"",OR(NOT(ISNUMBER(D283)),N(D283)&lt;0)),"Prix invalide",IF(AND(E283&lt;&gt;"",OR(NOT(ISNUMBER(E283)),N(E283)&lt;0,N(E283)&gt;=1)),"Perte entre 0 et 99 %","OK")))))))</f>
        <v/>
      </c>
    </row>
    <row r="284">
      <c r="A284" s="60" t="n"/>
      <c r="B284" s="60" t="n"/>
      <c r="C284" s="61" t="n"/>
      <c r="D284" s="64" t="n"/>
      <c r="E284" s="65" t="n"/>
      <c r="F284" s="60" t="n"/>
      <c r="G284" s="100" t="n"/>
      <c r="H284" s="69" t="str">
        <f>IF(A284="","",IF(NOT(ISNUMBER(G284)),"Date à saisir",IF(EDATE(G284,N(p_age))&lt;TODAY(),"Ancien","À jour")))</f>
        <v/>
      </c>
      <c r="I284" s="69" t="str">
        <f>IF(AND(A284="",COUNTA(B284:G284)=0),"",IF(A284="","Référence manquante",IF(COUNTIF($A$6:$A$505,A284)&gt;1,"Référence en double",IF(C284="","Unité manquante",IF(D284="","Prix manquant",IF(AND(D284&lt;&gt;"",OR(NOT(ISNUMBER(D284)),N(D284)&lt;0)),"Prix invalide",IF(AND(E284&lt;&gt;"",OR(NOT(ISNUMBER(E284)),N(E284)&lt;0,N(E284)&gt;=1)),"Perte entre 0 et 99 %","OK")))))))</f>
        <v/>
      </c>
    </row>
    <row r="285">
      <c r="A285" s="60" t="n"/>
      <c r="B285" s="60" t="n"/>
      <c r="C285" s="61" t="n"/>
      <c r="D285" s="64" t="n"/>
      <c r="E285" s="65" t="n"/>
      <c r="F285" s="60" t="n"/>
      <c r="G285" s="100" t="n"/>
      <c r="H285" s="69" t="str">
        <f>IF(A285="","",IF(NOT(ISNUMBER(G285)),"Date à saisir",IF(EDATE(G285,N(p_age))&lt;TODAY(),"Ancien","À jour")))</f>
        <v/>
      </c>
      <c r="I285" s="69" t="str">
        <f>IF(AND(A285="",COUNTA(B285:G285)=0),"",IF(A285="","Référence manquante",IF(COUNTIF($A$6:$A$505,A285)&gt;1,"Référence en double",IF(C285="","Unité manquante",IF(D285="","Prix manquant",IF(AND(D285&lt;&gt;"",OR(NOT(ISNUMBER(D285)),N(D285)&lt;0)),"Prix invalide",IF(AND(E285&lt;&gt;"",OR(NOT(ISNUMBER(E285)),N(E285)&lt;0,N(E285)&gt;=1)),"Perte entre 0 et 99 %","OK")))))))</f>
        <v/>
      </c>
    </row>
    <row r="286">
      <c r="A286" s="60" t="n"/>
      <c r="B286" s="60" t="n"/>
      <c r="C286" s="61" t="n"/>
      <c r="D286" s="64" t="n"/>
      <c r="E286" s="65" t="n"/>
      <c r="F286" s="60" t="n"/>
      <c r="G286" s="100" t="n"/>
      <c r="H286" s="69" t="str">
        <f>IF(A286="","",IF(NOT(ISNUMBER(G286)),"Date à saisir",IF(EDATE(G286,N(p_age))&lt;TODAY(),"Ancien","À jour")))</f>
        <v/>
      </c>
      <c r="I286" s="69" t="str">
        <f>IF(AND(A286="",COUNTA(B286:G286)=0),"",IF(A286="","Référence manquante",IF(COUNTIF($A$6:$A$505,A286)&gt;1,"Référence en double",IF(C286="","Unité manquante",IF(D286="","Prix manquant",IF(AND(D286&lt;&gt;"",OR(NOT(ISNUMBER(D286)),N(D286)&lt;0)),"Prix invalide",IF(AND(E286&lt;&gt;"",OR(NOT(ISNUMBER(E286)),N(E286)&lt;0,N(E286)&gt;=1)),"Perte entre 0 et 99 %","OK")))))))</f>
        <v/>
      </c>
    </row>
    <row r="287">
      <c r="A287" s="60" t="n"/>
      <c r="B287" s="60" t="n"/>
      <c r="C287" s="61" t="n"/>
      <c r="D287" s="64" t="n"/>
      <c r="E287" s="65" t="n"/>
      <c r="F287" s="60" t="n"/>
      <c r="G287" s="100" t="n"/>
      <c r="H287" s="69" t="str">
        <f>IF(A287="","",IF(NOT(ISNUMBER(G287)),"Date à saisir",IF(EDATE(G287,N(p_age))&lt;TODAY(),"Ancien","À jour")))</f>
        <v/>
      </c>
      <c r="I287" s="69" t="str">
        <f>IF(AND(A287="",COUNTA(B287:G287)=0),"",IF(A287="","Référence manquante",IF(COUNTIF($A$6:$A$505,A287)&gt;1,"Référence en double",IF(C287="","Unité manquante",IF(D287="","Prix manquant",IF(AND(D287&lt;&gt;"",OR(NOT(ISNUMBER(D287)),N(D287)&lt;0)),"Prix invalide",IF(AND(E287&lt;&gt;"",OR(NOT(ISNUMBER(E287)),N(E287)&lt;0,N(E287)&gt;=1)),"Perte entre 0 et 99 %","OK")))))))</f>
        <v/>
      </c>
    </row>
    <row r="288">
      <c r="A288" s="60" t="n"/>
      <c r="B288" s="60" t="n"/>
      <c r="C288" s="61" t="n"/>
      <c r="D288" s="64" t="n"/>
      <c r="E288" s="65" t="n"/>
      <c r="F288" s="60" t="n"/>
      <c r="G288" s="100" t="n"/>
      <c r="H288" s="69" t="str">
        <f>IF(A288="","",IF(NOT(ISNUMBER(G288)),"Date à saisir",IF(EDATE(G288,N(p_age))&lt;TODAY(),"Ancien","À jour")))</f>
        <v/>
      </c>
      <c r="I288" s="69" t="str">
        <f>IF(AND(A288="",COUNTA(B288:G288)=0),"",IF(A288="","Référence manquante",IF(COUNTIF($A$6:$A$505,A288)&gt;1,"Référence en double",IF(C288="","Unité manquante",IF(D288="","Prix manquant",IF(AND(D288&lt;&gt;"",OR(NOT(ISNUMBER(D288)),N(D288)&lt;0)),"Prix invalide",IF(AND(E288&lt;&gt;"",OR(NOT(ISNUMBER(E288)),N(E288)&lt;0,N(E288)&gt;=1)),"Perte entre 0 et 99 %","OK")))))))</f>
        <v/>
      </c>
    </row>
    <row r="289">
      <c r="A289" s="60" t="n"/>
      <c r="B289" s="60" t="n"/>
      <c r="C289" s="61" t="n"/>
      <c r="D289" s="64" t="n"/>
      <c r="E289" s="65" t="n"/>
      <c r="F289" s="60" t="n"/>
      <c r="G289" s="100" t="n"/>
      <c r="H289" s="69" t="str">
        <f>IF(A289="","",IF(NOT(ISNUMBER(G289)),"Date à saisir",IF(EDATE(G289,N(p_age))&lt;TODAY(),"Ancien","À jour")))</f>
        <v/>
      </c>
      <c r="I289" s="69" t="str">
        <f>IF(AND(A289="",COUNTA(B289:G289)=0),"",IF(A289="","Référence manquante",IF(COUNTIF($A$6:$A$505,A289)&gt;1,"Référence en double",IF(C289="","Unité manquante",IF(D289="","Prix manquant",IF(AND(D289&lt;&gt;"",OR(NOT(ISNUMBER(D289)),N(D289)&lt;0)),"Prix invalide",IF(AND(E289&lt;&gt;"",OR(NOT(ISNUMBER(E289)),N(E289)&lt;0,N(E289)&gt;=1)),"Perte entre 0 et 99 %","OK")))))))</f>
        <v/>
      </c>
    </row>
    <row r="290">
      <c r="A290" s="60" t="n"/>
      <c r="B290" s="60" t="n"/>
      <c r="C290" s="61" t="n"/>
      <c r="D290" s="64" t="n"/>
      <c r="E290" s="65" t="n"/>
      <c r="F290" s="60" t="n"/>
      <c r="G290" s="100" t="n"/>
      <c r="H290" s="69" t="str">
        <f>IF(A290="","",IF(NOT(ISNUMBER(G290)),"Date à saisir",IF(EDATE(G290,N(p_age))&lt;TODAY(),"Ancien","À jour")))</f>
        <v/>
      </c>
      <c r="I290" s="69" t="str">
        <f>IF(AND(A290="",COUNTA(B290:G290)=0),"",IF(A290="","Référence manquante",IF(COUNTIF($A$6:$A$505,A290)&gt;1,"Référence en double",IF(C290="","Unité manquante",IF(D290="","Prix manquant",IF(AND(D290&lt;&gt;"",OR(NOT(ISNUMBER(D290)),N(D290)&lt;0)),"Prix invalide",IF(AND(E290&lt;&gt;"",OR(NOT(ISNUMBER(E290)),N(E290)&lt;0,N(E290)&gt;=1)),"Perte entre 0 et 99 %","OK")))))))</f>
        <v/>
      </c>
    </row>
    <row r="291">
      <c r="A291" s="60" t="n"/>
      <c r="B291" s="60" t="n"/>
      <c r="C291" s="61" t="n"/>
      <c r="D291" s="64" t="n"/>
      <c r="E291" s="65" t="n"/>
      <c r="F291" s="60" t="n"/>
      <c r="G291" s="100" t="n"/>
      <c r="H291" s="69" t="str">
        <f>IF(A291="","",IF(NOT(ISNUMBER(G291)),"Date à saisir",IF(EDATE(G291,N(p_age))&lt;TODAY(),"Ancien","À jour")))</f>
        <v/>
      </c>
      <c r="I291" s="69" t="str">
        <f>IF(AND(A291="",COUNTA(B291:G291)=0),"",IF(A291="","Référence manquante",IF(COUNTIF($A$6:$A$505,A291)&gt;1,"Référence en double",IF(C291="","Unité manquante",IF(D291="","Prix manquant",IF(AND(D291&lt;&gt;"",OR(NOT(ISNUMBER(D291)),N(D291)&lt;0)),"Prix invalide",IF(AND(E291&lt;&gt;"",OR(NOT(ISNUMBER(E291)),N(E291)&lt;0,N(E291)&gt;=1)),"Perte entre 0 et 99 %","OK")))))))</f>
        <v/>
      </c>
    </row>
    <row r="292">
      <c r="A292" s="60" t="n"/>
      <c r="B292" s="60" t="n"/>
      <c r="C292" s="61" t="n"/>
      <c r="D292" s="64" t="n"/>
      <c r="E292" s="65" t="n"/>
      <c r="F292" s="60" t="n"/>
      <c r="G292" s="100" t="n"/>
      <c r="H292" s="69" t="str">
        <f>IF(A292="","",IF(NOT(ISNUMBER(G292)),"Date à saisir",IF(EDATE(G292,N(p_age))&lt;TODAY(),"Ancien","À jour")))</f>
        <v/>
      </c>
      <c r="I292" s="69" t="str">
        <f>IF(AND(A292="",COUNTA(B292:G292)=0),"",IF(A292="","Référence manquante",IF(COUNTIF($A$6:$A$505,A292)&gt;1,"Référence en double",IF(C292="","Unité manquante",IF(D292="","Prix manquant",IF(AND(D292&lt;&gt;"",OR(NOT(ISNUMBER(D292)),N(D292)&lt;0)),"Prix invalide",IF(AND(E292&lt;&gt;"",OR(NOT(ISNUMBER(E292)),N(E292)&lt;0,N(E292)&gt;=1)),"Perte entre 0 et 99 %","OK")))))))</f>
        <v/>
      </c>
    </row>
    <row r="293">
      <c r="A293" s="60" t="n"/>
      <c r="B293" s="60" t="n"/>
      <c r="C293" s="61" t="n"/>
      <c r="D293" s="64" t="n"/>
      <c r="E293" s="65" t="n"/>
      <c r="F293" s="60" t="n"/>
      <c r="G293" s="100" t="n"/>
      <c r="H293" s="69" t="str">
        <f>IF(A293="","",IF(NOT(ISNUMBER(G293)),"Date à saisir",IF(EDATE(G293,N(p_age))&lt;TODAY(),"Ancien","À jour")))</f>
        <v/>
      </c>
      <c r="I293" s="69" t="str">
        <f>IF(AND(A293="",COUNTA(B293:G293)=0),"",IF(A293="","Référence manquante",IF(COUNTIF($A$6:$A$505,A293)&gt;1,"Référence en double",IF(C293="","Unité manquante",IF(D293="","Prix manquant",IF(AND(D293&lt;&gt;"",OR(NOT(ISNUMBER(D293)),N(D293)&lt;0)),"Prix invalide",IF(AND(E293&lt;&gt;"",OR(NOT(ISNUMBER(E293)),N(E293)&lt;0,N(E293)&gt;=1)),"Perte entre 0 et 99 %","OK")))))))</f>
        <v/>
      </c>
    </row>
    <row r="294">
      <c r="A294" s="60" t="n"/>
      <c r="B294" s="60" t="n"/>
      <c r="C294" s="61" t="n"/>
      <c r="D294" s="64" t="n"/>
      <c r="E294" s="65" t="n"/>
      <c r="F294" s="60" t="n"/>
      <c r="G294" s="100" t="n"/>
      <c r="H294" s="69" t="str">
        <f>IF(A294="","",IF(NOT(ISNUMBER(G294)),"Date à saisir",IF(EDATE(G294,N(p_age))&lt;TODAY(),"Ancien","À jour")))</f>
        <v/>
      </c>
      <c r="I294" s="69" t="str">
        <f>IF(AND(A294="",COUNTA(B294:G294)=0),"",IF(A294="","Référence manquante",IF(COUNTIF($A$6:$A$505,A294)&gt;1,"Référence en double",IF(C294="","Unité manquante",IF(D294="","Prix manquant",IF(AND(D294&lt;&gt;"",OR(NOT(ISNUMBER(D294)),N(D294)&lt;0)),"Prix invalide",IF(AND(E294&lt;&gt;"",OR(NOT(ISNUMBER(E294)),N(E294)&lt;0,N(E294)&gt;=1)),"Perte entre 0 et 99 %","OK")))))))</f>
        <v/>
      </c>
    </row>
    <row r="295">
      <c r="A295" s="60" t="n"/>
      <c r="B295" s="60" t="n"/>
      <c r="C295" s="61" t="n"/>
      <c r="D295" s="64" t="n"/>
      <c r="E295" s="65" t="n"/>
      <c r="F295" s="60" t="n"/>
      <c r="G295" s="100" t="n"/>
      <c r="H295" s="69" t="str">
        <f>IF(A295="","",IF(NOT(ISNUMBER(G295)),"Date à saisir",IF(EDATE(G295,N(p_age))&lt;TODAY(),"Ancien","À jour")))</f>
        <v/>
      </c>
      <c r="I295" s="69" t="str">
        <f>IF(AND(A295="",COUNTA(B295:G295)=0),"",IF(A295="","Référence manquante",IF(COUNTIF($A$6:$A$505,A295)&gt;1,"Référence en double",IF(C295="","Unité manquante",IF(D295="","Prix manquant",IF(AND(D295&lt;&gt;"",OR(NOT(ISNUMBER(D295)),N(D295)&lt;0)),"Prix invalide",IF(AND(E295&lt;&gt;"",OR(NOT(ISNUMBER(E295)),N(E295)&lt;0,N(E295)&gt;=1)),"Perte entre 0 et 99 %","OK")))))))</f>
        <v/>
      </c>
    </row>
    <row r="296">
      <c r="A296" s="60" t="n"/>
      <c r="B296" s="60" t="n"/>
      <c r="C296" s="61" t="n"/>
      <c r="D296" s="64" t="n"/>
      <c r="E296" s="65" t="n"/>
      <c r="F296" s="60" t="n"/>
      <c r="G296" s="100" t="n"/>
      <c r="H296" s="69" t="str">
        <f>IF(A296="","",IF(NOT(ISNUMBER(G296)),"Date à saisir",IF(EDATE(G296,N(p_age))&lt;TODAY(),"Ancien","À jour")))</f>
        <v/>
      </c>
      <c r="I296" s="69" t="str">
        <f>IF(AND(A296="",COUNTA(B296:G296)=0),"",IF(A296="","Référence manquante",IF(COUNTIF($A$6:$A$505,A296)&gt;1,"Référence en double",IF(C296="","Unité manquante",IF(D296="","Prix manquant",IF(AND(D296&lt;&gt;"",OR(NOT(ISNUMBER(D296)),N(D296)&lt;0)),"Prix invalide",IF(AND(E296&lt;&gt;"",OR(NOT(ISNUMBER(E296)),N(E296)&lt;0,N(E296)&gt;=1)),"Perte entre 0 et 99 %","OK")))))))</f>
        <v/>
      </c>
    </row>
    <row r="297">
      <c r="A297" s="60" t="n"/>
      <c r="B297" s="60" t="n"/>
      <c r="C297" s="61" t="n"/>
      <c r="D297" s="64" t="n"/>
      <c r="E297" s="65" t="n"/>
      <c r="F297" s="60" t="n"/>
      <c r="G297" s="100" t="n"/>
      <c r="H297" s="69" t="str">
        <f>IF(A297="","",IF(NOT(ISNUMBER(G297)),"Date à saisir",IF(EDATE(G297,N(p_age))&lt;TODAY(),"Ancien","À jour")))</f>
        <v/>
      </c>
      <c r="I297" s="69" t="str">
        <f>IF(AND(A297="",COUNTA(B297:G297)=0),"",IF(A297="","Référence manquante",IF(COUNTIF($A$6:$A$505,A297)&gt;1,"Référence en double",IF(C297="","Unité manquante",IF(D297="","Prix manquant",IF(AND(D297&lt;&gt;"",OR(NOT(ISNUMBER(D297)),N(D297)&lt;0)),"Prix invalide",IF(AND(E297&lt;&gt;"",OR(NOT(ISNUMBER(E297)),N(E297)&lt;0,N(E297)&gt;=1)),"Perte entre 0 et 99 %","OK")))))))</f>
        <v/>
      </c>
    </row>
    <row r="298">
      <c r="A298" s="60" t="n"/>
      <c r="B298" s="60" t="n"/>
      <c r="C298" s="61" t="n"/>
      <c r="D298" s="64" t="n"/>
      <c r="E298" s="65" t="n"/>
      <c r="F298" s="60" t="n"/>
      <c r="G298" s="100" t="n"/>
      <c r="H298" s="69" t="str">
        <f>IF(A298="","",IF(NOT(ISNUMBER(G298)),"Date à saisir",IF(EDATE(G298,N(p_age))&lt;TODAY(),"Ancien","À jour")))</f>
        <v/>
      </c>
      <c r="I298" s="69" t="str">
        <f>IF(AND(A298="",COUNTA(B298:G298)=0),"",IF(A298="","Référence manquante",IF(COUNTIF($A$6:$A$505,A298)&gt;1,"Référence en double",IF(C298="","Unité manquante",IF(D298="","Prix manquant",IF(AND(D298&lt;&gt;"",OR(NOT(ISNUMBER(D298)),N(D298)&lt;0)),"Prix invalide",IF(AND(E298&lt;&gt;"",OR(NOT(ISNUMBER(E298)),N(E298)&lt;0,N(E298)&gt;=1)),"Perte entre 0 et 99 %","OK")))))))</f>
        <v/>
      </c>
    </row>
    <row r="299">
      <c r="A299" s="60" t="n"/>
      <c r="B299" s="60" t="n"/>
      <c r="C299" s="61" t="n"/>
      <c r="D299" s="64" t="n"/>
      <c r="E299" s="65" t="n"/>
      <c r="F299" s="60" t="n"/>
      <c r="G299" s="100" t="n"/>
      <c r="H299" s="69" t="str">
        <f>IF(A299="","",IF(NOT(ISNUMBER(G299)),"Date à saisir",IF(EDATE(G299,N(p_age))&lt;TODAY(),"Ancien","À jour")))</f>
        <v/>
      </c>
      <c r="I299" s="69" t="str">
        <f>IF(AND(A299="",COUNTA(B299:G299)=0),"",IF(A299="","Référence manquante",IF(COUNTIF($A$6:$A$505,A299)&gt;1,"Référence en double",IF(C299="","Unité manquante",IF(D299="","Prix manquant",IF(AND(D299&lt;&gt;"",OR(NOT(ISNUMBER(D299)),N(D299)&lt;0)),"Prix invalide",IF(AND(E299&lt;&gt;"",OR(NOT(ISNUMBER(E299)),N(E299)&lt;0,N(E299)&gt;=1)),"Perte entre 0 et 99 %","OK")))))))</f>
        <v/>
      </c>
    </row>
    <row r="300">
      <c r="A300" s="60" t="n"/>
      <c r="B300" s="60" t="n"/>
      <c r="C300" s="61" t="n"/>
      <c r="D300" s="64" t="n"/>
      <c r="E300" s="65" t="n"/>
      <c r="F300" s="60" t="n"/>
      <c r="G300" s="100" t="n"/>
      <c r="H300" s="69" t="str">
        <f>IF(A300="","",IF(NOT(ISNUMBER(G300)),"Date à saisir",IF(EDATE(G300,N(p_age))&lt;TODAY(),"Ancien","À jour")))</f>
        <v/>
      </c>
      <c r="I300" s="69" t="str">
        <f>IF(AND(A300="",COUNTA(B300:G300)=0),"",IF(A300="","Référence manquante",IF(COUNTIF($A$6:$A$505,A300)&gt;1,"Référence en double",IF(C300="","Unité manquante",IF(D300="","Prix manquant",IF(AND(D300&lt;&gt;"",OR(NOT(ISNUMBER(D300)),N(D300)&lt;0)),"Prix invalide",IF(AND(E300&lt;&gt;"",OR(NOT(ISNUMBER(E300)),N(E300)&lt;0,N(E300)&gt;=1)),"Perte entre 0 et 99 %","OK")))))))</f>
        <v/>
      </c>
    </row>
    <row r="301">
      <c r="A301" s="60" t="n"/>
      <c r="B301" s="60" t="n"/>
      <c r="C301" s="61" t="n"/>
      <c r="D301" s="64" t="n"/>
      <c r="E301" s="65" t="n"/>
      <c r="F301" s="60" t="n"/>
      <c r="G301" s="100" t="n"/>
      <c r="H301" s="69" t="str">
        <f>IF(A301="","",IF(NOT(ISNUMBER(G301)),"Date à saisir",IF(EDATE(G301,N(p_age))&lt;TODAY(),"Ancien","À jour")))</f>
        <v/>
      </c>
      <c r="I301" s="69" t="str">
        <f>IF(AND(A301="",COUNTA(B301:G301)=0),"",IF(A301="","Référence manquante",IF(COUNTIF($A$6:$A$505,A301)&gt;1,"Référence en double",IF(C301="","Unité manquante",IF(D301="","Prix manquant",IF(AND(D301&lt;&gt;"",OR(NOT(ISNUMBER(D301)),N(D301)&lt;0)),"Prix invalide",IF(AND(E301&lt;&gt;"",OR(NOT(ISNUMBER(E301)),N(E301)&lt;0,N(E301)&gt;=1)),"Perte entre 0 et 99 %","OK")))))))</f>
        <v/>
      </c>
    </row>
    <row r="302">
      <c r="A302" s="60" t="n"/>
      <c r="B302" s="60" t="n"/>
      <c r="C302" s="61" t="n"/>
      <c r="D302" s="64" t="n"/>
      <c r="E302" s="65" t="n"/>
      <c r="F302" s="60" t="n"/>
      <c r="G302" s="100" t="n"/>
      <c r="H302" s="69" t="str">
        <f>IF(A302="","",IF(NOT(ISNUMBER(G302)),"Date à saisir",IF(EDATE(G302,N(p_age))&lt;TODAY(),"Ancien","À jour")))</f>
        <v/>
      </c>
      <c r="I302" s="69" t="str">
        <f>IF(AND(A302="",COUNTA(B302:G302)=0),"",IF(A302="","Référence manquante",IF(COUNTIF($A$6:$A$505,A302)&gt;1,"Référence en double",IF(C302="","Unité manquante",IF(D302="","Prix manquant",IF(AND(D302&lt;&gt;"",OR(NOT(ISNUMBER(D302)),N(D302)&lt;0)),"Prix invalide",IF(AND(E302&lt;&gt;"",OR(NOT(ISNUMBER(E302)),N(E302)&lt;0,N(E302)&gt;=1)),"Perte entre 0 et 99 %","OK")))))))</f>
        <v/>
      </c>
    </row>
    <row r="303">
      <c r="A303" s="60" t="n"/>
      <c r="B303" s="60" t="n"/>
      <c r="C303" s="61" t="n"/>
      <c r="D303" s="64" t="n"/>
      <c r="E303" s="65" t="n"/>
      <c r="F303" s="60" t="n"/>
      <c r="G303" s="100" t="n"/>
      <c r="H303" s="69" t="str">
        <f>IF(A303="","",IF(NOT(ISNUMBER(G303)),"Date à saisir",IF(EDATE(G303,N(p_age))&lt;TODAY(),"Ancien","À jour")))</f>
        <v/>
      </c>
      <c r="I303" s="69" t="str">
        <f>IF(AND(A303="",COUNTA(B303:G303)=0),"",IF(A303="","Référence manquante",IF(COUNTIF($A$6:$A$505,A303)&gt;1,"Référence en double",IF(C303="","Unité manquante",IF(D303="","Prix manquant",IF(AND(D303&lt;&gt;"",OR(NOT(ISNUMBER(D303)),N(D303)&lt;0)),"Prix invalide",IF(AND(E303&lt;&gt;"",OR(NOT(ISNUMBER(E303)),N(E303)&lt;0,N(E303)&gt;=1)),"Perte entre 0 et 99 %","OK")))))))</f>
        <v/>
      </c>
    </row>
    <row r="304">
      <c r="A304" s="60" t="n"/>
      <c r="B304" s="60" t="n"/>
      <c r="C304" s="61" t="n"/>
      <c r="D304" s="64" t="n"/>
      <c r="E304" s="65" t="n"/>
      <c r="F304" s="60" t="n"/>
      <c r="G304" s="100" t="n"/>
      <c r="H304" s="69" t="str">
        <f>IF(A304="","",IF(NOT(ISNUMBER(G304)),"Date à saisir",IF(EDATE(G304,N(p_age))&lt;TODAY(),"Ancien","À jour")))</f>
        <v/>
      </c>
      <c r="I304" s="69" t="str">
        <f>IF(AND(A304="",COUNTA(B304:G304)=0),"",IF(A304="","Référence manquante",IF(COUNTIF($A$6:$A$505,A304)&gt;1,"Référence en double",IF(C304="","Unité manquante",IF(D304="","Prix manquant",IF(AND(D304&lt;&gt;"",OR(NOT(ISNUMBER(D304)),N(D304)&lt;0)),"Prix invalide",IF(AND(E304&lt;&gt;"",OR(NOT(ISNUMBER(E304)),N(E304)&lt;0,N(E304)&gt;=1)),"Perte entre 0 et 99 %","OK")))))))</f>
        <v/>
      </c>
    </row>
    <row r="305">
      <c r="A305" s="60" t="n"/>
      <c r="B305" s="60" t="n"/>
      <c r="C305" s="61" t="n"/>
      <c r="D305" s="64" t="n"/>
      <c r="E305" s="65" t="n"/>
      <c r="F305" s="60" t="n"/>
      <c r="G305" s="100" t="n"/>
      <c r="H305" s="69" t="str">
        <f>IF(A305="","",IF(NOT(ISNUMBER(G305)),"Date à saisir",IF(EDATE(G305,N(p_age))&lt;TODAY(),"Ancien","À jour")))</f>
        <v/>
      </c>
      <c r="I305" s="69" t="str">
        <f>IF(AND(A305="",COUNTA(B305:G305)=0),"",IF(A305="","Référence manquante",IF(COUNTIF($A$6:$A$505,A305)&gt;1,"Référence en double",IF(C305="","Unité manquante",IF(D305="","Prix manquant",IF(AND(D305&lt;&gt;"",OR(NOT(ISNUMBER(D305)),N(D305)&lt;0)),"Prix invalide",IF(AND(E305&lt;&gt;"",OR(NOT(ISNUMBER(E305)),N(E305)&lt;0,N(E305)&gt;=1)),"Perte entre 0 et 99 %","OK")))))))</f>
        <v/>
      </c>
    </row>
    <row r="306">
      <c r="A306" s="60" t="n"/>
      <c r="B306" s="60" t="n"/>
      <c r="C306" s="61" t="n"/>
      <c r="D306" s="64" t="n"/>
      <c r="E306" s="65" t="n"/>
      <c r="F306" s="60" t="n"/>
      <c r="G306" s="100" t="n"/>
      <c r="H306" s="69" t="str">
        <f>IF(A306="","",IF(NOT(ISNUMBER(G306)),"Date à saisir",IF(EDATE(G306,N(p_age))&lt;TODAY(),"Ancien","À jour")))</f>
        <v/>
      </c>
      <c r="I306" s="69" t="str">
        <f>IF(AND(A306="",COUNTA(B306:G306)=0),"",IF(A306="","Référence manquante",IF(COUNTIF($A$6:$A$505,A306)&gt;1,"Référence en double",IF(C306="","Unité manquante",IF(D306="","Prix manquant",IF(AND(D306&lt;&gt;"",OR(NOT(ISNUMBER(D306)),N(D306)&lt;0)),"Prix invalide",IF(AND(E306&lt;&gt;"",OR(NOT(ISNUMBER(E306)),N(E306)&lt;0,N(E306)&gt;=1)),"Perte entre 0 et 99 %","OK")))))))</f>
        <v/>
      </c>
    </row>
    <row r="307">
      <c r="A307" s="60" t="n"/>
      <c r="B307" s="60" t="n"/>
      <c r="C307" s="61" t="n"/>
      <c r="D307" s="64" t="n"/>
      <c r="E307" s="65" t="n"/>
      <c r="F307" s="60" t="n"/>
      <c r="G307" s="100" t="n"/>
      <c r="H307" s="69" t="str">
        <f>IF(A307="","",IF(NOT(ISNUMBER(G307)),"Date à saisir",IF(EDATE(G307,N(p_age))&lt;TODAY(),"Ancien","À jour")))</f>
        <v/>
      </c>
      <c r="I307" s="69" t="str">
        <f>IF(AND(A307="",COUNTA(B307:G307)=0),"",IF(A307="","Référence manquante",IF(COUNTIF($A$6:$A$505,A307)&gt;1,"Référence en double",IF(C307="","Unité manquante",IF(D307="","Prix manquant",IF(AND(D307&lt;&gt;"",OR(NOT(ISNUMBER(D307)),N(D307)&lt;0)),"Prix invalide",IF(AND(E307&lt;&gt;"",OR(NOT(ISNUMBER(E307)),N(E307)&lt;0,N(E307)&gt;=1)),"Perte entre 0 et 99 %","OK")))))))</f>
        <v/>
      </c>
    </row>
    <row r="308">
      <c r="A308" s="60" t="n"/>
      <c r="B308" s="60" t="n"/>
      <c r="C308" s="61" t="n"/>
      <c r="D308" s="64" t="n"/>
      <c r="E308" s="65" t="n"/>
      <c r="F308" s="60" t="n"/>
      <c r="G308" s="100" t="n"/>
      <c r="H308" s="69" t="str">
        <f>IF(A308="","",IF(NOT(ISNUMBER(G308)),"Date à saisir",IF(EDATE(G308,N(p_age))&lt;TODAY(),"Ancien","À jour")))</f>
        <v/>
      </c>
      <c r="I308" s="69" t="str">
        <f>IF(AND(A308="",COUNTA(B308:G308)=0),"",IF(A308="","Référence manquante",IF(COUNTIF($A$6:$A$505,A308)&gt;1,"Référence en double",IF(C308="","Unité manquante",IF(D308="","Prix manquant",IF(AND(D308&lt;&gt;"",OR(NOT(ISNUMBER(D308)),N(D308)&lt;0)),"Prix invalide",IF(AND(E308&lt;&gt;"",OR(NOT(ISNUMBER(E308)),N(E308)&lt;0,N(E308)&gt;=1)),"Perte entre 0 et 99 %","OK")))))))</f>
        <v/>
      </c>
    </row>
    <row r="309">
      <c r="A309" s="60" t="n"/>
      <c r="B309" s="60" t="n"/>
      <c r="C309" s="61" t="n"/>
      <c r="D309" s="64" t="n"/>
      <c r="E309" s="65" t="n"/>
      <c r="F309" s="60" t="n"/>
      <c r="G309" s="100" t="n"/>
      <c r="H309" s="69" t="str">
        <f>IF(A309="","",IF(NOT(ISNUMBER(G309)),"Date à saisir",IF(EDATE(G309,N(p_age))&lt;TODAY(),"Ancien","À jour")))</f>
        <v/>
      </c>
      <c r="I309" s="69" t="str">
        <f>IF(AND(A309="",COUNTA(B309:G309)=0),"",IF(A309="","Référence manquante",IF(COUNTIF($A$6:$A$505,A309)&gt;1,"Référence en double",IF(C309="","Unité manquante",IF(D309="","Prix manquant",IF(AND(D309&lt;&gt;"",OR(NOT(ISNUMBER(D309)),N(D309)&lt;0)),"Prix invalide",IF(AND(E309&lt;&gt;"",OR(NOT(ISNUMBER(E309)),N(E309)&lt;0,N(E309)&gt;=1)),"Perte entre 0 et 99 %","OK")))))))</f>
        <v/>
      </c>
    </row>
    <row r="310">
      <c r="A310" s="60" t="n"/>
      <c r="B310" s="60" t="n"/>
      <c r="C310" s="61" t="n"/>
      <c r="D310" s="64" t="n"/>
      <c r="E310" s="65" t="n"/>
      <c r="F310" s="60" t="n"/>
      <c r="G310" s="100" t="n"/>
      <c r="H310" s="69" t="str">
        <f>IF(A310="","",IF(NOT(ISNUMBER(G310)),"Date à saisir",IF(EDATE(G310,N(p_age))&lt;TODAY(),"Ancien","À jour")))</f>
        <v/>
      </c>
      <c r="I310" s="69" t="str">
        <f>IF(AND(A310="",COUNTA(B310:G310)=0),"",IF(A310="","Référence manquante",IF(COUNTIF($A$6:$A$505,A310)&gt;1,"Référence en double",IF(C310="","Unité manquante",IF(D310="","Prix manquant",IF(AND(D310&lt;&gt;"",OR(NOT(ISNUMBER(D310)),N(D310)&lt;0)),"Prix invalide",IF(AND(E310&lt;&gt;"",OR(NOT(ISNUMBER(E310)),N(E310)&lt;0,N(E310)&gt;=1)),"Perte entre 0 et 99 %","OK")))))))</f>
        <v/>
      </c>
    </row>
    <row r="311">
      <c r="A311" s="60" t="n"/>
      <c r="B311" s="60" t="n"/>
      <c r="C311" s="61" t="n"/>
      <c r="D311" s="64" t="n"/>
      <c r="E311" s="65" t="n"/>
      <c r="F311" s="60" t="n"/>
      <c r="G311" s="100" t="n"/>
      <c r="H311" s="69" t="str">
        <f>IF(A311="","",IF(NOT(ISNUMBER(G311)),"Date à saisir",IF(EDATE(G311,N(p_age))&lt;TODAY(),"Ancien","À jour")))</f>
        <v/>
      </c>
      <c r="I311" s="69" t="str">
        <f>IF(AND(A311="",COUNTA(B311:G311)=0),"",IF(A311="","Référence manquante",IF(COUNTIF($A$6:$A$505,A311)&gt;1,"Référence en double",IF(C311="","Unité manquante",IF(D311="","Prix manquant",IF(AND(D311&lt;&gt;"",OR(NOT(ISNUMBER(D311)),N(D311)&lt;0)),"Prix invalide",IF(AND(E311&lt;&gt;"",OR(NOT(ISNUMBER(E311)),N(E311)&lt;0,N(E311)&gt;=1)),"Perte entre 0 et 99 %","OK")))))))</f>
        <v/>
      </c>
    </row>
    <row r="312">
      <c r="A312" s="60" t="n"/>
      <c r="B312" s="60" t="n"/>
      <c r="C312" s="61" t="n"/>
      <c r="D312" s="64" t="n"/>
      <c r="E312" s="65" t="n"/>
      <c r="F312" s="60" t="n"/>
      <c r="G312" s="100" t="n"/>
      <c r="H312" s="69" t="str">
        <f>IF(A312="","",IF(NOT(ISNUMBER(G312)),"Date à saisir",IF(EDATE(G312,N(p_age))&lt;TODAY(),"Ancien","À jour")))</f>
        <v/>
      </c>
      <c r="I312" s="69" t="str">
        <f>IF(AND(A312="",COUNTA(B312:G312)=0),"",IF(A312="","Référence manquante",IF(COUNTIF($A$6:$A$505,A312)&gt;1,"Référence en double",IF(C312="","Unité manquante",IF(D312="","Prix manquant",IF(AND(D312&lt;&gt;"",OR(NOT(ISNUMBER(D312)),N(D312)&lt;0)),"Prix invalide",IF(AND(E312&lt;&gt;"",OR(NOT(ISNUMBER(E312)),N(E312)&lt;0,N(E312)&gt;=1)),"Perte entre 0 et 99 %","OK")))))))</f>
        <v/>
      </c>
    </row>
    <row r="313">
      <c r="A313" s="60" t="n"/>
      <c r="B313" s="60" t="n"/>
      <c r="C313" s="61" t="n"/>
      <c r="D313" s="64" t="n"/>
      <c r="E313" s="65" t="n"/>
      <c r="F313" s="60" t="n"/>
      <c r="G313" s="100" t="n"/>
      <c r="H313" s="69" t="str">
        <f>IF(A313="","",IF(NOT(ISNUMBER(G313)),"Date à saisir",IF(EDATE(G313,N(p_age))&lt;TODAY(),"Ancien","À jour")))</f>
        <v/>
      </c>
      <c r="I313" s="69" t="str">
        <f>IF(AND(A313="",COUNTA(B313:G313)=0),"",IF(A313="","Référence manquante",IF(COUNTIF($A$6:$A$505,A313)&gt;1,"Référence en double",IF(C313="","Unité manquante",IF(D313="","Prix manquant",IF(AND(D313&lt;&gt;"",OR(NOT(ISNUMBER(D313)),N(D313)&lt;0)),"Prix invalide",IF(AND(E313&lt;&gt;"",OR(NOT(ISNUMBER(E313)),N(E313)&lt;0,N(E313)&gt;=1)),"Perte entre 0 et 99 %","OK")))))))</f>
        <v/>
      </c>
    </row>
    <row r="314">
      <c r="A314" s="60" t="n"/>
      <c r="B314" s="60" t="n"/>
      <c r="C314" s="61" t="n"/>
      <c r="D314" s="64" t="n"/>
      <c r="E314" s="65" t="n"/>
      <c r="F314" s="60" t="n"/>
      <c r="G314" s="100" t="n"/>
      <c r="H314" s="69" t="str">
        <f>IF(A314="","",IF(NOT(ISNUMBER(G314)),"Date à saisir",IF(EDATE(G314,N(p_age))&lt;TODAY(),"Ancien","À jour")))</f>
        <v/>
      </c>
      <c r="I314" s="69" t="str">
        <f>IF(AND(A314="",COUNTA(B314:G314)=0),"",IF(A314="","Référence manquante",IF(COUNTIF($A$6:$A$505,A314)&gt;1,"Référence en double",IF(C314="","Unité manquante",IF(D314="","Prix manquant",IF(AND(D314&lt;&gt;"",OR(NOT(ISNUMBER(D314)),N(D314)&lt;0)),"Prix invalide",IF(AND(E314&lt;&gt;"",OR(NOT(ISNUMBER(E314)),N(E314)&lt;0,N(E314)&gt;=1)),"Perte entre 0 et 99 %","OK")))))))</f>
        <v/>
      </c>
    </row>
    <row r="315">
      <c r="A315" s="60" t="n"/>
      <c r="B315" s="60" t="n"/>
      <c r="C315" s="61" t="n"/>
      <c r="D315" s="64" t="n"/>
      <c r="E315" s="65" t="n"/>
      <c r="F315" s="60" t="n"/>
      <c r="G315" s="100" t="n"/>
      <c r="H315" s="69" t="str">
        <f>IF(A315="","",IF(NOT(ISNUMBER(G315)),"Date à saisir",IF(EDATE(G315,N(p_age))&lt;TODAY(),"Ancien","À jour")))</f>
        <v/>
      </c>
      <c r="I315" s="69" t="str">
        <f>IF(AND(A315="",COUNTA(B315:G315)=0),"",IF(A315="","Référence manquante",IF(COUNTIF($A$6:$A$505,A315)&gt;1,"Référence en double",IF(C315="","Unité manquante",IF(D315="","Prix manquant",IF(AND(D315&lt;&gt;"",OR(NOT(ISNUMBER(D315)),N(D315)&lt;0)),"Prix invalide",IF(AND(E315&lt;&gt;"",OR(NOT(ISNUMBER(E315)),N(E315)&lt;0,N(E315)&gt;=1)),"Perte entre 0 et 99 %","OK")))))))</f>
        <v/>
      </c>
    </row>
    <row r="316">
      <c r="A316" s="60" t="n"/>
      <c r="B316" s="60" t="n"/>
      <c r="C316" s="61" t="n"/>
      <c r="D316" s="64" t="n"/>
      <c r="E316" s="65" t="n"/>
      <c r="F316" s="60" t="n"/>
      <c r="G316" s="100" t="n"/>
      <c r="H316" s="69" t="str">
        <f>IF(A316="","",IF(NOT(ISNUMBER(G316)),"Date à saisir",IF(EDATE(G316,N(p_age))&lt;TODAY(),"Ancien","À jour")))</f>
        <v/>
      </c>
      <c r="I316" s="69" t="str">
        <f>IF(AND(A316="",COUNTA(B316:G316)=0),"",IF(A316="","Référence manquante",IF(COUNTIF($A$6:$A$505,A316)&gt;1,"Référence en double",IF(C316="","Unité manquante",IF(D316="","Prix manquant",IF(AND(D316&lt;&gt;"",OR(NOT(ISNUMBER(D316)),N(D316)&lt;0)),"Prix invalide",IF(AND(E316&lt;&gt;"",OR(NOT(ISNUMBER(E316)),N(E316)&lt;0,N(E316)&gt;=1)),"Perte entre 0 et 99 %","OK")))))))</f>
        <v/>
      </c>
    </row>
    <row r="317">
      <c r="A317" s="60" t="n"/>
      <c r="B317" s="60" t="n"/>
      <c r="C317" s="61" t="n"/>
      <c r="D317" s="64" t="n"/>
      <c r="E317" s="65" t="n"/>
      <c r="F317" s="60" t="n"/>
      <c r="G317" s="100" t="n"/>
      <c r="H317" s="69" t="str">
        <f>IF(A317="","",IF(NOT(ISNUMBER(G317)),"Date à saisir",IF(EDATE(G317,N(p_age))&lt;TODAY(),"Ancien","À jour")))</f>
        <v/>
      </c>
      <c r="I317" s="69" t="str">
        <f>IF(AND(A317="",COUNTA(B317:G317)=0),"",IF(A317="","Référence manquante",IF(COUNTIF($A$6:$A$505,A317)&gt;1,"Référence en double",IF(C317="","Unité manquante",IF(D317="","Prix manquant",IF(AND(D317&lt;&gt;"",OR(NOT(ISNUMBER(D317)),N(D317)&lt;0)),"Prix invalide",IF(AND(E317&lt;&gt;"",OR(NOT(ISNUMBER(E317)),N(E317)&lt;0,N(E317)&gt;=1)),"Perte entre 0 et 99 %","OK")))))))</f>
        <v/>
      </c>
    </row>
    <row r="318">
      <c r="A318" s="60" t="n"/>
      <c r="B318" s="60" t="n"/>
      <c r="C318" s="61" t="n"/>
      <c r="D318" s="64" t="n"/>
      <c r="E318" s="65" t="n"/>
      <c r="F318" s="60" t="n"/>
      <c r="G318" s="100" t="n"/>
      <c r="H318" s="69" t="str">
        <f>IF(A318="","",IF(NOT(ISNUMBER(G318)),"Date à saisir",IF(EDATE(G318,N(p_age))&lt;TODAY(),"Ancien","À jour")))</f>
        <v/>
      </c>
      <c r="I318" s="69" t="str">
        <f>IF(AND(A318="",COUNTA(B318:G318)=0),"",IF(A318="","Référence manquante",IF(COUNTIF($A$6:$A$505,A318)&gt;1,"Référence en double",IF(C318="","Unité manquante",IF(D318="","Prix manquant",IF(AND(D318&lt;&gt;"",OR(NOT(ISNUMBER(D318)),N(D318)&lt;0)),"Prix invalide",IF(AND(E318&lt;&gt;"",OR(NOT(ISNUMBER(E318)),N(E318)&lt;0,N(E318)&gt;=1)),"Perte entre 0 et 99 %","OK")))))))</f>
        <v/>
      </c>
    </row>
    <row r="319">
      <c r="A319" s="60" t="n"/>
      <c r="B319" s="60" t="n"/>
      <c r="C319" s="61" t="n"/>
      <c r="D319" s="64" t="n"/>
      <c r="E319" s="65" t="n"/>
      <c r="F319" s="60" t="n"/>
      <c r="G319" s="100" t="n"/>
      <c r="H319" s="69" t="str">
        <f>IF(A319="","",IF(NOT(ISNUMBER(G319)),"Date à saisir",IF(EDATE(G319,N(p_age))&lt;TODAY(),"Ancien","À jour")))</f>
        <v/>
      </c>
      <c r="I319" s="69" t="str">
        <f>IF(AND(A319="",COUNTA(B319:G319)=0),"",IF(A319="","Référence manquante",IF(COUNTIF($A$6:$A$505,A319)&gt;1,"Référence en double",IF(C319="","Unité manquante",IF(D319="","Prix manquant",IF(AND(D319&lt;&gt;"",OR(NOT(ISNUMBER(D319)),N(D319)&lt;0)),"Prix invalide",IF(AND(E319&lt;&gt;"",OR(NOT(ISNUMBER(E319)),N(E319)&lt;0,N(E319)&gt;=1)),"Perte entre 0 et 99 %","OK")))))))</f>
        <v/>
      </c>
    </row>
    <row r="320">
      <c r="A320" s="60" t="n"/>
      <c r="B320" s="60" t="n"/>
      <c r="C320" s="61" t="n"/>
      <c r="D320" s="64" t="n"/>
      <c r="E320" s="65" t="n"/>
      <c r="F320" s="60" t="n"/>
      <c r="G320" s="100" t="n"/>
      <c r="H320" s="69" t="str">
        <f>IF(A320="","",IF(NOT(ISNUMBER(G320)),"Date à saisir",IF(EDATE(G320,N(p_age))&lt;TODAY(),"Ancien","À jour")))</f>
        <v/>
      </c>
      <c r="I320" s="69" t="str">
        <f>IF(AND(A320="",COUNTA(B320:G320)=0),"",IF(A320="","Référence manquante",IF(COUNTIF($A$6:$A$505,A320)&gt;1,"Référence en double",IF(C320="","Unité manquante",IF(D320="","Prix manquant",IF(AND(D320&lt;&gt;"",OR(NOT(ISNUMBER(D320)),N(D320)&lt;0)),"Prix invalide",IF(AND(E320&lt;&gt;"",OR(NOT(ISNUMBER(E320)),N(E320)&lt;0,N(E320)&gt;=1)),"Perte entre 0 et 99 %","OK")))))))</f>
        <v/>
      </c>
    </row>
    <row r="321">
      <c r="A321" s="60" t="n"/>
      <c r="B321" s="60" t="n"/>
      <c r="C321" s="61" t="n"/>
      <c r="D321" s="64" t="n"/>
      <c r="E321" s="65" t="n"/>
      <c r="F321" s="60" t="n"/>
      <c r="G321" s="100" t="n"/>
      <c r="H321" s="69" t="str">
        <f>IF(A321="","",IF(NOT(ISNUMBER(G321)),"Date à saisir",IF(EDATE(G321,N(p_age))&lt;TODAY(),"Ancien","À jour")))</f>
        <v/>
      </c>
      <c r="I321" s="69" t="str">
        <f>IF(AND(A321="",COUNTA(B321:G321)=0),"",IF(A321="","Référence manquante",IF(COUNTIF($A$6:$A$505,A321)&gt;1,"Référence en double",IF(C321="","Unité manquante",IF(D321="","Prix manquant",IF(AND(D321&lt;&gt;"",OR(NOT(ISNUMBER(D321)),N(D321)&lt;0)),"Prix invalide",IF(AND(E321&lt;&gt;"",OR(NOT(ISNUMBER(E321)),N(E321)&lt;0,N(E321)&gt;=1)),"Perte entre 0 et 99 %","OK")))))))</f>
        <v/>
      </c>
    </row>
    <row r="322">
      <c r="A322" s="60" t="n"/>
      <c r="B322" s="60" t="n"/>
      <c r="C322" s="61" t="n"/>
      <c r="D322" s="64" t="n"/>
      <c r="E322" s="65" t="n"/>
      <c r="F322" s="60" t="n"/>
      <c r="G322" s="100" t="n"/>
      <c r="H322" s="69" t="str">
        <f>IF(A322="","",IF(NOT(ISNUMBER(G322)),"Date à saisir",IF(EDATE(G322,N(p_age))&lt;TODAY(),"Ancien","À jour")))</f>
        <v/>
      </c>
      <c r="I322" s="69" t="str">
        <f>IF(AND(A322="",COUNTA(B322:G322)=0),"",IF(A322="","Référence manquante",IF(COUNTIF($A$6:$A$505,A322)&gt;1,"Référence en double",IF(C322="","Unité manquante",IF(D322="","Prix manquant",IF(AND(D322&lt;&gt;"",OR(NOT(ISNUMBER(D322)),N(D322)&lt;0)),"Prix invalide",IF(AND(E322&lt;&gt;"",OR(NOT(ISNUMBER(E322)),N(E322)&lt;0,N(E322)&gt;=1)),"Perte entre 0 et 99 %","OK")))))))</f>
        <v/>
      </c>
    </row>
    <row r="323">
      <c r="A323" s="60" t="n"/>
      <c r="B323" s="60" t="n"/>
      <c r="C323" s="61" t="n"/>
      <c r="D323" s="64" t="n"/>
      <c r="E323" s="65" t="n"/>
      <c r="F323" s="60" t="n"/>
      <c r="G323" s="100" t="n"/>
      <c r="H323" s="69" t="str">
        <f>IF(A323="","",IF(NOT(ISNUMBER(G323)),"Date à saisir",IF(EDATE(G323,N(p_age))&lt;TODAY(),"Ancien","À jour")))</f>
        <v/>
      </c>
      <c r="I323" s="69" t="str">
        <f>IF(AND(A323="",COUNTA(B323:G323)=0),"",IF(A323="","Référence manquante",IF(COUNTIF($A$6:$A$505,A323)&gt;1,"Référence en double",IF(C323="","Unité manquante",IF(D323="","Prix manquant",IF(AND(D323&lt;&gt;"",OR(NOT(ISNUMBER(D323)),N(D323)&lt;0)),"Prix invalide",IF(AND(E323&lt;&gt;"",OR(NOT(ISNUMBER(E323)),N(E323)&lt;0,N(E323)&gt;=1)),"Perte entre 0 et 99 %","OK")))))))</f>
        <v/>
      </c>
    </row>
    <row r="324">
      <c r="A324" s="60" t="n"/>
      <c r="B324" s="60" t="n"/>
      <c r="C324" s="61" t="n"/>
      <c r="D324" s="64" t="n"/>
      <c r="E324" s="65" t="n"/>
      <c r="F324" s="60" t="n"/>
      <c r="G324" s="100" t="n"/>
      <c r="H324" s="69" t="str">
        <f>IF(A324="","",IF(NOT(ISNUMBER(G324)),"Date à saisir",IF(EDATE(G324,N(p_age))&lt;TODAY(),"Ancien","À jour")))</f>
        <v/>
      </c>
      <c r="I324" s="69" t="str">
        <f>IF(AND(A324="",COUNTA(B324:G324)=0),"",IF(A324="","Référence manquante",IF(COUNTIF($A$6:$A$505,A324)&gt;1,"Référence en double",IF(C324="","Unité manquante",IF(D324="","Prix manquant",IF(AND(D324&lt;&gt;"",OR(NOT(ISNUMBER(D324)),N(D324)&lt;0)),"Prix invalide",IF(AND(E324&lt;&gt;"",OR(NOT(ISNUMBER(E324)),N(E324)&lt;0,N(E324)&gt;=1)),"Perte entre 0 et 99 %","OK")))))))</f>
        <v/>
      </c>
    </row>
    <row r="325">
      <c r="A325" s="60" t="n"/>
      <c r="B325" s="60" t="n"/>
      <c r="C325" s="61" t="n"/>
      <c r="D325" s="64" t="n"/>
      <c r="E325" s="65" t="n"/>
      <c r="F325" s="60" t="n"/>
      <c r="G325" s="100" t="n"/>
      <c r="H325" s="69" t="str">
        <f>IF(A325="","",IF(NOT(ISNUMBER(G325)),"Date à saisir",IF(EDATE(G325,N(p_age))&lt;TODAY(),"Ancien","À jour")))</f>
        <v/>
      </c>
      <c r="I325" s="69" t="str">
        <f>IF(AND(A325="",COUNTA(B325:G325)=0),"",IF(A325="","Référence manquante",IF(COUNTIF($A$6:$A$505,A325)&gt;1,"Référence en double",IF(C325="","Unité manquante",IF(D325="","Prix manquant",IF(AND(D325&lt;&gt;"",OR(NOT(ISNUMBER(D325)),N(D325)&lt;0)),"Prix invalide",IF(AND(E325&lt;&gt;"",OR(NOT(ISNUMBER(E325)),N(E325)&lt;0,N(E325)&gt;=1)),"Perte entre 0 et 99 %","OK")))))))</f>
        <v/>
      </c>
    </row>
    <row r="326">
      <c r="A326" s="60" t="n"/>
      <c r="B326" s="60" t="n"/>
      <c r="C326" s="61" t="n"/>
      <c r="D326" s="64" t="n"/>
      <c r="E326" s="65" t="n"/>
      <c r="F326" s="60" t="n"/>
      <c r="G326" s="100" t="n"/>
      <c r="H326" s="69" t="str">
        <f>IF(A326="","",IF(NOT(ISNUMBER(G326)),"Date à saisir",IF(EDATE(G326,N(p_age))&lt;TODAY(),"Ancien","À jour")))</f>
        <v/>
      </c>
      <c r="I326" s="69" t="str">
        <f>IF(AND(A326="",COUNTA(B326:G326)=0),"",IF(A326="","Référence manquante",IF(COUNTIF($A$6:$A$505,A326)&gt;1,"Référence en double",IF(C326="","Unité manquante",IF(D326="","Prix manquant",IF(AND(D326&lt;&gt;"",OR(NOT(ISNUMBER(D326)),N(D326)&lt;0)),"Prix invalide",IF(AND(E326&lt;&gt;"",OR(NOT(ISNUMBER(E326)),N(E326)&lt;0,N(E326)&gt;=1)),"Perte entre 0 et 99 %","OK")))))))</f>
        <v/>
      </c>
    </row>
    <row r="327">
      <c r="A327" s="60" t="n"/>
      <c r="B327" s="60" t="n"/>
      <c r="C327" s="61" t="n"/>
      <c r="D327" s="64" t="n"/>
      <c r="E327" s="65" t="n"/>
      <c r="F327" s="60" t="n"/>
      <c r="G327" s="100" t="n"/>
      <c r="H327" s="69" t="str">
        <f>IF(A327="","",IF(NOT(ISNUMBER(G327)),"Date à saisir",IF(EDATE(G327,N(p_age))&lt;TODAY(),"Ancien","À jour")))</f>
        <v/>
      </c>
      <c r="I327" s="69" t="str">
        <f>IF(AND(A327="",COUNTA(B327:G327)=0),"",IF(A327="","Référence manquante",IF(COUNTIF($A$6:$A$505,A327)&gt;1,"Référence en double",IF(C327="","Unité manquante",IF(D327="","Prix manquant",IF(AND(D327&lt;&gt;"",OR(NOT(ISNUMBER(D327)),N(D327)&lt;0)),"Prix invalide",IF(AND(E327&lt;&gt;"",OR(NOT(ISNUMBER(E327)),N(E327)&lt;0,N(E327)&gt;=1)),"Perte entre 0 et 99 %","OK")))))))</f>
        <v/>
      </c>
    </row>
    <row r="328">
      <c r="A328" s="60" t="n"/>
      <c r="B328" s="60" t="n"/>
      <c r="C328" s="61" t="n"/>
      <c r="D328" s="64" t="n"/>
      <c r="E328" s="65" t="n"/>
      <c r="F328" s="60" t="n"/>
      <c r="G328" s="100" t="n"/>
      <c r="H328" s="69" t="str">
        <f>IF(A328="","",IF(NOT(ISNUMBER(G328)),"Date à saisir",IF(EDATE(G328,N(p_age))&lt;TODAY(),"Ancien","À jour")))</f>
        <v/>
      </c>
      <c r="I328" s="69" t="str">
        <f>IF(AND(A328="",COUNTA(B328:G328)=0),"",IF(A328="","Référence manquante",IF(COUNTIF($A$6:$A$505,A328)&gt;1,"Référence en double",IF(C328="","Unité manquante",IF(D328="","Prix manquant",IF(AND(D328&lt;&gt;"",OR(NOT(ISNUMBER(D328)),N(D328)&lt;0)),"Prix invalide",IF(AND(E328&lt;&gt;"",OR(NOT(ISNUMBER(E328)),N(E328)&lt;0,N(E328)&gt;=1)),"Perte entre 0 et 99 %","OK")))))))</f>
        <v/>
      </c>
    </row>
    <row r="329">
      <c r="A329" s="60" t="n"/>
      <c r="B329" s="60" t="n"/>
      <c r="C329" s="61" t="n"/>
      <c r="D329" s="64" t="n"/>
      <c r="E329" s="65" t="n"/>
      <c r="F329" s="60" t="n"/>
      <c r="G329" s="100" t="n"/>
      <c r="H329" s="69" t="str">
        <f>IF(A329="","",IF(NOT(ISNUMBER(G329)),"Date à saisir",IF(EDATE(G329,N(p_age))&lt;TODAY(),"Ancien","À jour")))</f>
        <v/>
      </c>
      <c r="I329" s="69" t="str">
        <f>IF(AND(A329="",COUNTA(B329:G329)=0),"",IF(A329="","Référence manquante",IF(COUNTIF($A$6:$A$505,A329)&gt;1,"Référence en double",IF(C329="","Unité manquante",IF(D329="","Prix manquant",IF(AND(D329&lt;&gt;"",OR(NOT(ISNUMBER(D329)),N(D329)&lt;0)),"Prix invalide",IF(AND(E329&lt;&gt;"",OR(NOT(ISNUMBER(E329)),N(E329)&lt;0,N(E329)&gt;=1)),"Perte entre 0 et 99 %","OK")))))))</f>
        <v/>
      </c>
    </row>
    <row r="330">
      <c r="A330" s="60" t="n"/>
      <c r="B330" s="60" t="n"/>
      <c r="C330" s="61" t="n"/>
      <c r="D330" s="64" t="n"/>
      <c r="E330" s="65" t="n"/>
      <c r="F330" s="60" t="n"/>
      <c r="G330" s="100" t="n"/>
      <c r="H330" s="69" t="str">
        <f>IF(A330="","",IF(NOT(ISNUMBER(G330)),"Date à saisir",IF(EDATE(G330,N(p_age))&lt;TODAY(),"Ancien","À jour")))</f>
        <v/>
      </c>
      <c r="I330" s="69" t="str">
        <f>IF(AND(A330="",COUNTA(B330:G330)=0),"",IF(A330="","Référence manquante",IF(COUNTIF($A$6:$A$505,A330)&gt;1,"Référence en double",IF(C330="","Unité manquante",IF(D330="","Prix manquant",IF(AND(D330&lt;&gt;"",OR(NOT(ISNUMBER(D330)),N(D330)&lt;0)),"Prix invalide",IF(AND(E330&lt;&gt;"",OR(NOT(ISNUMBER(E330)),N(E330)&lt;0,N(E330)&gt;=1)),"Perte entre 0 et 99 %","OK")))))))</f>
        <v/>
      </c>
    </row>
    <row r="331">
      <c r="A331" s="60" t="n"/>
      <c r="B331" s="60" t="n"/>
      <c r="C331" s="61" t="n"/>
      <c r="D331" s="64" t="n"/>
      <c r="E331" s="65" t="n"/>
      <c r="F331" s="60" t="n"/>
      <c r="G331" s="100" t="n"/>
      <c r="H331" s="69" t="str">
        <f>IF(A331="","",IF(NOT(ISNUMBER(G331)),"Date à saisir",IF(EDATE(G331,N(p_age))&lt;TODAY(),"Ancien","À jour")))</f>
        <v/>
      </c>
      <c r="I331" s="69" t="str">
        <f>IF(AND(A331="",COUNTA(B331:G331)=0),"",IF(A331="","Référence manquante",IF(COUNTIF($A$6:$A$505,A331)&gt;1,"Référence en double",IF(C331="","Unité manquante",IF(D331="","Prix manquant",IF(AND(D331&lt;&gt;"",OR(NOT(ISNUMBER(D331)),N(D331)&lt;0)),"Prix invalide",IF(AND(E331&lt;&gt;"",OR(NOT(ISNUMBER(E331)),N(E331)&lt;0,N(E331)&gt;=1)),"Perte entre 0 et 99 %","OK")))))))</f>
        <v/>
      </c>
    </row>
    <row r="332">
      <c r="A332" s="60" t="n"/>
      <c r="B332" s="60" t="n"/>
      <c r="C332" s="61" t="n"/>
      <c r="D332" s="64" t="n"/>
      <c r="E332" s="65" t="n"/>
      <c r="F332" s="60" t="n"/>
      <c r="G332" s="100" t="n"/>
      <c r="H332" s="69" t="str">
        <f>IF(A332="","",IF(NOT(ISNUMBER(G332)),"Date à saisir",IF(EDATE(G332,N(p_age))&lt;TODAY(),"Ancien","À jour")))</f>
        <v/>
      </c>
      <c r="I332" s="69" t="str">
        <f>IF(AND(A332="",COUNTA(B332:G332)=0),"",IF(A332="","Référence manquante",IF(COUNTIF($A$6:$A$505,A332)&gt;1,"Référence en double",IF(C332="","Unité manquante",IF(D332="","Prix manquant",IF(AND(D332&lt;&gt;"",OR(NOT(ISNUMBER(D332)),N(D332)&lt;0)),"Prix invalide",IF(AND(E332&lt;&gt;"",OR(NOT(ISNUMBER(E332)),N(E332)&lt;0,N(E332)&gt;=1)),"Perte entre 0 et 99 %","OK")))))))</f>
        <v/>
      </c>
    </row>
    <row r="333">
      <c r="A333" s="60" t="n"/>
      <c r="B333" s="60" t="n"/>
      <c r="C333" s="61" t="n"/>
      <c r="D333" s="64" t="n"/>
      <c r="E333" s="65" t="n"/>
      <c r="F333" s="60" t="n"/>
      <c r="G333" s="100" t="n"/>
      <c r="H333" s="69" t="str">
        <f>IF(A333="","",IF(NOT(ISNUMBER(G333)),"Date à saisir",IF(EDATE(G333,N(p_age))&lt;TODAY(),"Ancien","À jour")))</f>
        <v/>
      </c>
      <c r="I333" s="69" t="str">
        <f>IF(AND(A333="",COUNTA(B333:G333)=0),"",IF(A333="","Référence manquante",IF(COUNTIF($A$6:$A$505,A333)&gt;1,"Référence en double",IF(C333="","Unité manquante",IF(D333="","Prix manquant",IF(AND(D333&lt;&gt;"",OR(NOT(ISNUMBER(D333)),N(D333)&lt;0)),"Prix invalide",IF(AND(E333&lt;&gt;"",OR(NOT(ISNUMBER(E333)),N(E333)&lt;0,N(E333)&gt;=1)),"Perte entre 0 et 99 %","OK")))))))</f>
        <v/>
      </c>
    </row>
    <row r="334">
      <c r="A334" s="60" t="n"/>
      <c r="B334" s="60" t="n"/>
      <c r="C334" s="61" t="n"/>
      <c r="D334" s="64" t="n"/>
      <c r="E334" s="65" t="n"/>
      <c r="F334" s="60" t="n"/>
      <c r="G334" s="100" t="n"/>
      <c r="H334" s="69" t="str">
        <f>IF(A334="","",IF(NOT(ISNUMBER(G334)),"Date à saisir",IF(EDATE(G334,N(p_age))&lt;TODAY(),"Ancien","À jour")))</f>
        <v/>
      </c>
      <c r="I334" s="69" t="str">
        <f>IF(AND(A334="",COUNTA(B334:G334)=0),"",IF(A334="","Référence manquante",IF(COUNTIF($A$6:$A$505,A334)&gt;1,"Référence en double",IF(C334="","Unité manquante",IF(D334="","Prix manquant",IF(AND(D334&lt;&gt;"",OR(NOT(ISNUMBER(D334)),N(D334)&lt;0)),"Prix invalide",IF(AND(E334&lt;&gt;"",OR(NOT(ISNUMBER(E334)),N(E334)&lt;0,N(E334)&gt;=1)),"Perte entre 0 et 99 %","OK")))))))</f>
        <v/>
      </c>
    </row>
    <row r="335">
      <c r="A335" s="60" t="n"/>
      <c r="B335" s="60" t="n"/>
      <c r="C335" s="61" t="n"/>
      <c r="D335" s="64" t="n"/>
      <c r="E335" s="65" t="n"/>
      <c r="F335" s="60" t="n"/>
      <c r="G335" s="100" t="n"/>
      <c r="H335" s="69" t="str">
        <f>IF(A335="","",IF(NOT(ISNUMBER(G335)),"Date à saisir",IF(EDATE(G335,N(p_age))&lt;TODAY(),"Ancien","À jour")))</f>
        <v/>
      </c>
      <c r="I335" s="69" t="str">
        <f>IF(AND(A335="",COUNTA(B335:G335)=0),"",IF(A335="","Référence manquante",IF(COUNTIF($A$6:$A$505,A335)&gt;1,"Référence en double",IF(C335="","Unité manquante",IF(D335="","Prix manquant",IF(AND(D335&lt;&gt;"",OR(NOT(ISNUMBER(D335)),N(D335)&lt;0)),"Prix invalide",IF(AND(E335&lt;&gt;"",OR(NOT(ISNUMBER(E335)),N(E335)&lt;0,N(E335)&gt;=1)),"Perte entre 0 et 99 %","OK")))))))</f>
        <v/>
      </c>
    </row>
    <row r="336">
      <c r="A336" s="60" t="n"/>
      <c r="B336" s="60" t="n"/>
      <c r="C336" s="61" t="n"/>
      <c r="D336" s="64" t="n"/>
      <c r="E336" s="65" t="n"/>
      <c r="F336" s="60" t="n"/>
      <c r="G336" s="100" t="n"/>
      <c r="H336" s="69" t="str">
        <f>IF(A336="","",IF(NOT(ISNUMBER(G336)),"Date à saisir",IF(EDATE(G336,N(p_age))&lt;TODAY(),"Ancien","À jour")))</f>
        <v/>
      </c>
      <c r="I336" s="69" t="str">
        <f>IF(AND(A336="",COUNTA(B336:G336)=0),"",IF(A336="","Référence manquante",IF(COUNTIF($A$6:$A$505,A336)&gt;1,"Référence en double",IF(C336="","Unité manquante",IF(D336="","Prix manquant",IF(AND(D336&lt;&gt;"",OR(NOT(ISNUMBER(D336)),N(D336)&lt;0)),"Prix invalide",IF(AND(E336&lt;&gt;"",OR(NOT(ISNUMBER(E336)),N(E336)&lt;0,N(E336)&gt;=1)),"Perte entre 0 et 99 %","OK")))))))</f>
        <v/>
      </c>
    </row>
    <row r="337">
      <c r="A337" s="60" t="n"/>
      <c r="B337" s="60" t="n"/>
      <c r="C337" s="61" t="n"/>
      <c r="D337" s="64" t="n"/>
      <c r="E337" s="65" t="n"/>
      <c r="F337" s="60" t="n"/>
      <c r="G337" s="100" t="n"/>
      <c r="H337" s="69" t="str">
        <f>IF(A337="","",IF(NOT(ISNUMBER(G337)),"Date à saisir",IF(EDATE(G337,N(p_age))&lt;TODAY(),"Ancien","À jour")))</f>
        <v/>
      </c>
      <c r="I337" s="69" t="str">
        <f>IF(AND(A337="",COUNTA(B337:G337)=0),"",IF(A337="","Référence manquante",IF(COUNTIF($A$6:$A$505,A337)&gt;1,"Référence en double",IF(C337="","Unité manquante",IF(D337="","Prix manquant",IF(AND(D337&lt;&gt;"",OR(NOT(ISNUMBER(D337)),N(D337)&lt;0)),"Prix invalide",IF(AND(E337&lt;&gt;"",OR(NOT(ISNUMBER(E337)),N(E337)&lt;0,N(E337)&gt;=1)),"Perte entre 0 et 99 %","OK")))))))</f>
        <v/>
      </c>
    </row>
    <row r="338">
      <c r="A338" s="60" t="n"/>
      <c r="B338" s="60" t="n"/>
      <c r="C338" s="61" t="n"/>
      <c r="D338" s="64" t="n"/>
      <c r="E338" s="65" t="n"/>
      <c r="F338" s="60" t="n"/>
      <c r="G338" s="100" t="n"/>
      <c r="H338" s="69" t="str">
        <f>IF(A338="","",IF(NOT(ISNUMBER(G338)),"Date à saisir",IF(EDATE(G338,N(p_age))&lt;TODAY(),"Ancien","À jour")))</f>
        <v/>
      </c>
      <c r="I338" s="69" t="str">
        <f>IF(AND(A338="",COUNTA(B338:G338)=0),"",IF(A338="","Référence manquante",IF(COUNTIF($A$6:$A$505,A338)&gt;1,"Référence en double",IF(C338="","Unité manquante",IF(D338="","Prix manquant",IF(AND(D338&lt;&gt;"",OR(NOT(ISNUMBER(D338)),N(D338)&lt;0)),"Prix invalide",IF(AND(E338&lt;&gt;"",OR(NOT(ISNUMBER(E338)),N(E338)&lt;0,N(E338)&gt;=1)),"Perte entre 0 et 99 %","OK")))))))</f>
        <v/>
      </c>
    </row>
    <row r="339">
      <c r="A339" s="60" t="n"/>
      <c r="B339" s="60" t="n"/>
      <c r="C339" s="61" t="n"/>
      <c r="D339" s="64" t="n"/>
      <c r="E339" s="65" t="n"/>
      <c r="F339" s="60" t="n"/>
      <c r="G339" s="100" t="n"/>
      <c r="H339" s="69" t="str">
        <f>IF(A339="","",IF(NOT(ISNUMBER(G339)),"Date à saisir",IF(EDATE(G339,N(p_age))&lt;TODAY(),"Ancien","À jour")))</f>
        <v/>
      </c>
      <c r="I339" s="69" t="str">
        <f>IF(AND(A339="",COUNTA(B339:G339)=0),"",IF(A339="","Référence manquante",IF(COUNTIF($A$6:$A$505,A339)&gt;1,"Référence en double",IF(C339="","Unité manquante",IF(D339="","Prix manquant",IF(AND(D339&lt;&gt;"",OR(NOT(ISNUMBER(D339)),N(D339)&lt;0)),"Prix invalide",IF(AND(E339&lt;&gt;"",OR(NOT(ISNUMBER(E339)),N(E339)&lt;0,N(E339)&gt;=1)),"Perte entre 0 et 99 %","OK")))))))</f>
        <v/>
      </c>
    </row>
    <row r="340">
      <c r="A340" s="60" t="n"/>
      <c r="B340" s="60" t="n"/>
      <c r="C340" s="61" t="n"/>
      <c r="D340" s="64" t="n"/>
      <c r="E340" s="65" t="n"/>
      <c r="F340" s="60" t="n"/>
      <c r="G340" s="100" t="n"/>
      <c r="H340" s="69" t="str">
        <f>IF(A340="","",IF(NOT(ISNUMBER(G340)),"Date à saisir",IF(EDATE(G340,N(p_age))&lt;TODAY(),"Ancien","À jour")))</f>
        <v/>
      </c>
      <c r="I340" s="69" t="str">
        <f>IF(AND(A340="",COUNTA(B340:G340)=0),"",IF(A340="","Référence manquante",IF(COUNTIF($A$6:$A$505,A340)&gt;1,"Référence en double",IF(C340="","Unité manquante",IF(D340="","Prix manquant",IF(AND(D340&lt;&gt;"",OR(NOT(ISNUMBER(D340)),N(D340)&lt;0)),"Prix invalide",IF(AND(E340&lt;&gt;"",OR(NOT(ISNUMBER(E340)),N(E340)&lt;0,N(E340)&gt;=1)),"Perte entre 0 et 99 %","OK")))))))</f>
        <v/>
      </c>
    </row>
    <row r="341">
      <c r="A341" s="60" t="n"/>
      <c r="B341" s="60" t="n"/>
      <c r="C341" s="61" t="n"/>
      <c r="D341" s="64" t="n"/>
      <c r="E341" s="65" t="n"/>
      <c r="F341" s="60" t="n"/>
      <c r="G341" s="100" t="n"/>
      <c r="H341" s="69" t="str">
        <f>IF(A341="","",IF(NOT(ISNUMBER(G341)),"Date à saisir",IF(EDATE(G341,N(p_age))&lt;TODAY(),"Ancien","À jour")))</f>
        <v/>
      </c>
      <c r="I341" s="69" t="str">
        <f>IF(AND(A341="",COUNTA(B341:G341)=0),"",IF(A341="","Référence manquante",IF(COUNTIF($A$6:$A$505,A341)&gt;1,"Référence en double",IF(C341="","Unité manquante",IF(D341="","Prix manquant",IF(AND(D341&lt;&gt;"",OR(NOT(ISNUMBER(D341)),N(D341)&lt;0)),"Prix invalide",IF(AND(E341&lt;&gt;"",OR(NOT(ISNUMBER(E341)),N(E341)&lt;0,N(E341)&gt;=1)),"Perte entre 0 et 99 %","OK")))))))</f>
        <v/>
      </c>
    </row>
    <row r="342">
      <c r="A342" s="60" t="n"/>
      <c r="B342" s="60" t="n"/>
      <c r="C342" s="61" t="n"/>
      <c r="D342" s="64" t="n"/>
      <c r="E342" s="65" t="n"/>
      <c r="F342" s="60" t="n"/>
      <c r="G342" s="100" t="n"/>
      <c r="H342" s="69" t="str">
        <f>IF(A342="","",IF(NOT(ISNUMBER(G342)),"Date à saisir",IF(EDATE(G342,N(p_age))&lt;TODAY(),"Ancien","À jour")))</f>
        <v/>
      </c>
      <c r="I342" s="69" t="str">
        <f>IF(AND(A342="",COUNTA(B342:G342)=0),"",IF(A342="","Référence manquante",IF(COUNTIF($A$6:$A$505,A342)&gt;1,"Référence en double",IF(C342="","Unité manquante",IF(D342="","Prix manquant",IF(AND(D342&lt;&gt;"",OR(NOT(ISNUMBER(D342)),N(D342)&lt;0)),"Prix invalide",IF(AND(E342&lt;&gt;"",OR(NOT(ISNUMBER(E342)),N(E342)&lt;0,N(E342)&gt;=1)),"Perte entre 0 et 99 %","OK")))))))</f>
        <v/>
      </c>
    </row>
    <row r="343">
      <c r="A343" s="60" t="n"/>
      <c r="B343" s="60" t="n"/>
      <c r="C343" s="61" t="n"/>
      <c r="D343" s="64" t="n"/>
      <c r="E343" s="65" t="n"/>
      <c r="F343" s="60" t="n"/>
      <c r="G343" s="100" t="n"/>
      <c r="H343" s="69" t="str">
        <f>IF(A343="","",IF(NOT(ISNUMBER(G343)),"Date à saisir",IF(EDATE(G343,N(p_age))&lt;TODAY(),"Ancien","À jour")))</f>
        <v/>
      </c>
      <c r="I343" s="69" t="str">
        <f>IF(AND(A343="",COUNTA(B343:G343)=0),"",IF(A343="","Référence manquante",IF(COUNTIF($A$6:$A$505,A343)&gt;1,"Référence en double",IF(C343="","Unité manquante",IF(D343="","Prix manquant",IF(AND(D343&lt;&gt;"",OR(NOT(ISNUMBER(D343)),N(D343)&lt;0)),"Prix invalide",IF(AND(E343&lt;&gt;"",OR(NOT(ISNUMBER(E343)),N(E343)&lt;0,N(E343)&gt;=1)),"Perte entre 0 et 99 %","OK")))))))</f>
        <v/>
      </c>
    </row>
    <row r="344">
      <c r="A344" s="60" t="n"/>
      <c r="B344" s="60" t="n"/>
      <c r="C344" s="61" t="n"/>
      <c r="D344" s="64" t="n"/>
      <c r="E344" s="65" t="n"/>
      <c r="F344" s="60" t="n"/>
      <c r="G344" s="100" t="n"/>
      <c r="H344" s="69" t="str">
        <f>IF(A344="","",IF(NOT(ISNUMBER(G344)),"Date à saisir",IF(EDATE(G344,N(p_age))&lt;TODAY(),"Ancien","À jour")))</f>
        <v/>
      </c>
      <c r="I344" s="69" t="str">
        <f>IF(AND(A344="",COUNTA(B344:G344)=0),"",IF(A344="","Référence manquante",IF(COUNTIF($A$6:$A$505,A344)&gt;1,"Référence en double",IF(C344="","Unité manquante",IF(D344="","Prix manquant",IF(AND(D344&lt;&gt;"",OR(NOT(ISNUMBER(D344)),N(D344)&lt;0)),"Prix invalide",IF(AND(E344&lt;&gt;"",OR(NOT(ISNUMBER(E344)),N(E344)&lt;0,N(E344)&gt;=1)),"Perte entre 0 et 99 %","OK")))))))</f>
        <v/>
      </c>
    </row>
    <row r="345">
      <c r="A345" s="60" t="n"/>
      <c r="B345" s="60" t="n"/>
      <c r="C345" s="61" t="n"/>
      <c r="D345" s="64" t="n"/>
      <c r="E345" s="65" t="n"/>
      <c r="F345" s="60" t="n"/>
      <c r="G345" s="100" t="n"/>
      <c r="H345" s="69" t="str">
        <f>IF(A345="","",IF(NOT(ISNUMBER(G345)),"Date à saisir",IF(EDATE(G345,N(p_age))&lt;TODAY(),"Ancien","À jour")))</f>
        <v/>
      </c>
      <c r="I345" s="69" t="str">
        <f>IF(AND(A345="",COUNTA(B345:G345)=0),"",IF(A345="","Référence manquante",IF(COUNTIF($A$6:$A$505,A345)&gt;1,"Référence en double",IF(C345="","Unité manquante",IF(D345="","Prix manquant",IF(AND(D345&lt;&gt;"",OR(NOT(ISNUMBER(D345)),N(D345)&lt;0)),"Prix invalide",IF(AND(E345&lt;&gt;"",OR(NOT(ISNUMBER(E345)),N(E345)&lt;0,N(E345)&gt;=1)),"Perte entre 0 et 99 %","OK")))))))</f>
        <v/>
      </c>
    </row>
    <row r="346">
      <c r="A346" s="60" t="n"/>
      <c r="B346" s="60" t="n"/>
      <c r="C346" s="61" t="n"/>
      <c r="D346" s="64" t="n"/>
      <c r="E346" s="65" t="n"/>
      <c r="F346" s="60" t="n"/>
      <c r="G346" s="100" t="n"/>
      <c r="H346" s="69" t="str">
        <f>IF(A346="","",IF(NOT(ISNUMBER(G346)),"Date à saisir",IF(EDATE(G346,N(p_age))&lt;TODAY(),"Ancien","À jour")))</f>
        <v/>
      </c>
      <c r="I346" s="69" t="str">
        <f>IF(AND(A346="",COUNTA(B346:G346)=0),"",IF(A346="","Référence manquante",IF(COUNTIF($A$6:$A$505,A346)&gt;1,"Référence en double",IF(C346="","Unité manquante",IF(D346="","Prix manquant",IF(AND(D346&lt;&gt;"",OR(NOT(ISNUMBER(D346)),N(D346)&lt;0)),"Prix invalide",IF(AND(E346&lt;&gt;"",OR(NOT(ISNUMBER(E346)),N(E346)&lt;0,N(E346)&gt;=1)),"Perte entre 0 et 99 %","OK")))))))</f>
        <v/>
      </c>
    </row>
    <row r="347">
      <c r="A347" s="60" t="n"/>
      <c r="B347" s="60" t="n"/>
      <c r="C347" s="61" t="n"/>
      <c r="D347" s="64" t="n"/>
      <c r="E347" s="65" t="n"/>
      <c r="F347" s="60" t="n"/>
      <c r="G347" s="100" t="n"/>
      <c r="H347" s="69" t="str">
        <f>IF(A347="","",IF(NOT(ISNUMBER(G347)),"Date à saisir",IF(EDATE(G347,N(p_age))&lt;TODAY(),"Ancien","À jour")))</f>
        <v/>
      </c>
      <c r="I347" s="69" t="str">
        <f>IF(AND(A347="",COUNTA(B347:G347)=0),"",IF(A347="","Référence manquante",IF(COUNTIF($A$6:$A$505,A347)&gt;1,"Référence en double",IF(C347="","Unité manquante",IF(D347="","Prix manquant",IF(AND(D347&lt;&gt;"",OR(NOT(ISNUMBER(D347)),N(D347)&lt;0)),"Prix invalide",IF(AND(E347&lt;&gt;"",OR(NOT(ISNUMBER(E347)),N(E347)&lt;0,N(E347)&gt;=1)),"Perte entre 0 et 99 %","OK")))))))</f>
        <v/>
      </c>
    </row>
    <row r="348">
      <c r="A348" s="60" t="n"/>
      <c r="B348" s="60" t="n"/>
      <c r="C348" s="61" t="n"/>
      <c r="D348" s="64" t="n"/>
      <c r="E348" s="65" t="n"/>
      <c r="F348" s="60" t="n"/>
      <c r="G348" s="100" t="n"/>
      <c r="H348" s="69" t="str">
        <f>IF(A348="","",IF(NOT(ISNUMBER(G348)),"Date à saisir",IF(EDATE(G348,N(p_age))&lt;TODAY(),"Ancien","À jour")))</f>
        <v/>
      </c>
      <c r="I348" s="69" t="str">
        <f>IF(AND(A348="",COUNTA(B348:G348)=0),"",IF(A348="","Référence manquante",IF(COUNTIF($A$6:$A$505,A348)&gt;1,"Référence en double",IF(C348="","Unité manquante",IF(D348="","Prix manquant",IF(AND(D348&lt;&gt;"",OR(NOT(ISNUMBER(D348)),N(D348)&lt;0)),"Prix invalide",IF(AND(E348&lt;&gt;"",OR(NOT(ISNUMBER(E348)),N(E348)&lt;0,N(E348)&gt;=1)),"Perte entre 0 et 99 %","OK")))))))</f>
        <v/>
      </c>
    </row>
    <row r="349">
      <c r="A349" s="60" t="n"/>
      <c r="B349" s="60" t="n"/>
      <c r="C349" s="61" t="n"/>
      <c r="D349" s="64" t="n"/>
      <c r="E349" s="65" t="n"/>
      <c r="F349" s="60" t="n"/>
      <c r="G349" s="100" t="n"/>
      <c r="H349" s="69" t="str">
        <f>IF(A349="","",IF(NOT(ISNUMBER(G349)),"Date à saisir",IF(EDATE(G349,N(p_age))&lt;TODAY(),"Ancien","À jour")))</f>
        <v/>
      </c>
      <c r="I349" s="69" t="str">
        <f>IF(AND(A349="",COUNTA(B349:G349)=0),"",IF(A349="","Référence manquante",IF(COUNTIF($A$6:$A$505,A349)&gt;1,"Référence en double",IF(C349="","Unité manquante",IF(D349="","Prix manquant",IF(AND(D349&lt;&gt;"",OR(NOT(ISNUMBER(D349)),N(D349)&lt;0)),"Prix invalide",IF(AND(E349&lt;&gt;"",OR(NOT(ISNUMBER(E349)),N(E349)&lt;0,N(E349)&gt;=1)),"Perte entre 0 et 99 %","OK")))))))</f>
        <v/>
      </c>
    </row>
    <row r="350">
      <c r="A350" s="60" t="n"/>
      <c r="B350" s="60" t="n"/>
      <c r="C350" s="61" t="n"/>
      <c r="D350" s="64" t="n"/>
      <c r="E350" s="65" t="n"/>
      <c r="F350" s="60" t="n"/>
      <c r="G350" s="100" t="n"/>
      <c r="H350" s="69" t="str">
        <f>IF(A350="","",IF(NOT(ISNUMBER(G350)),"Date à saisir",IF(EDATE(G350,N(p_age))&lt;TODAY(),"Ancien","À jour")))</f>
        <v/>
      </c>
      <c r="I350" s="69" t="str">
        <f>IF(AND(A350="",COUNTA(B350:G350)=0),"",IF(A350="","Référence manquante",IF(COUNTIF($A$6:$A$505,A350)&gt;1,"Référence en double",IF(C350="","Unité manquante",IF(D350="","Prix manquant",IF(AND(D350&lt;&gt;"",OR(NOT(ISNUMBER(D350)),N(D350)&lt;0)),"Prix invalide",IF(AND(E350&lt;&gt;"",OR(NOT(ISNUMBER(E350)),N(E350)&lt;0,N(E350)&gt;=1)),"Perte entre 0 et 99 %","OK")))))))</f>
        <v/>
      </c>
    </row>
    <row r="351">
      <c r="A351" s="60" t="n"/>
      <c r="B351" s="60" t="n"/>
      <c r="C351" s="61" t="n"/>
      <c r="D351" s="64" t="n"/>
      <c r="E351" s="65" t="n"/>
      <c r="F351" s="60" t="n"/>
      <c r="G351" s="100" t="n"/>
      <c r="H351" s="69" t="str">
        <f>IF(A351="","",IF(NOT(ISNUMBER(G351)),"Date à saisir",IF(EDATE(G351,N(p_age))&lt;TODAY(),"Ancien","À jour")))</f>
        <v/>
      </c>
      <c r="I351" s="69" t="str">
        <f>IF(AND(A351="",COUNTA(B351:G351)=0),"",IF(A351="","Référence manquante",IF(COUNTIF($A$6:$A$505,A351)&gt;1,"Référence en double",IF(C351="","Unité manquante",IF(D351="","Prix manquant",IF(AND(D351&lt;&gt;"",OR(NOT(ISNUMBER(D351)),N(D351)&lt;0)),"Prix invalide",IF(AND(E351&lt;&gt;"",OR(NOT(ISNUMBER(E351)),N(E351)&lt;0,N(E351)&gt;=1)),"Perte entre 0 et 99 %","OK")))))))</f>
        <v/>
      </c>
    </row>
    <row r="352">
      <c r="A352" s="60" t="n"/>
      <c r="B352" s="60" t="n"/>
      <c r="C352" s="61" t="n"/>
      <c r="D352" s="64" t="n"/>
      <c r="E352" s="65" t="n"/>
      <c r="F352" s="60" t="n"/>
      <c r="G352" s="100" t="n"/>
      <c r="H352" s="69" t="str">
        <f>IF(A352="","",IF(NOT(ISNUMBER(G352)),"Date à saisir",IF(EDATE(G352,N(p_age))&lt;TODAY(),"Ancien","À jour")))</f>
        <v/>
      </c>
      <c r="I352" s="69" t="str">
        <f>IF(AND(A352="",COUNTA(B352:G352)=0),"",IF(A352="","Référence manquante",IF(COUNTIF($A$6:$A$505,A352)&gt;1,"Référence en double",IF(C352="","Unité manquante",IF(D352="","Prix manquant",IF(AND(D352&lt;&gt;"",OR(NOT(ISNUMBER(D352)),N(D352)&lt;0)),"Prix invalide",IF(AND(E352&lt;&gt;"",OR(NOT(ISNUMBER(E352)),N(E352)&lt;0,N(E352)&gt;=1)),"Perte entre 0 et 99 %","OK")))))))</f>
        <v/>
      </c>
    </row>
    <row r="353">
      <c r="A353" s="60" t="n"/>
      <c r="B353" s="60" t="n"/>
      <c r="C353" s="61" t="n"/>
      <c r="D353" s="64" t="n"/>
      <c r="E353" s="65" t="n"/>
      <c r="F353" s="60" t="n"/>
      <c r="G353" s="100" t="n"/>
      <c r="H353" s="69" t="str">
        <f>IF(A353="","",IF(NOT(ISNUMBER(G353)),"Date à saisir",IF(EDATE(G353,N(p_age))&lt;TODAY(),"Ancien","À jour")))</f>
        <v/>
      </c>
      <c r="I353" s="69" t="str">
        <f>IF(AND(A353="",COUNTA(B353:G353)=0),"",IF(A353="","Référence manquante",IF(COUNTIF($A$6:$A$505,A353)&gt;1,"Référence en double",IF(C353="","Unité manquante",IF(D353="","Prix manquant",IF(AND(D353&lt;&gt;"",OR(NOT(ISNUMBER(D353)),N(D353)&lt;0)),"Prix invalide",IF(AND(E353&lt;&gt;"",OR(NOT(ISNUMBER(E353)),N(E353)&lt;0,N(E353)&gt;=1)),"Perte entre 0 et 99 %","OK")))))))</f>
        <v/>
      </c>
    </row>
    <row r="354">
      <c r="A354" s="60" t="n"/>
      <c r="B354" s="60" t="n"/>
      <c r="C354" s="61" t="n"/>
      <c r="D354" s="64" t="n"/>
      <c r="E354" s="65" t="n"/>
      <c r="F354" s="60" t="n"/>
      <c r="G354" s="100" t="n"/>
      <c r="H354" s="69" t="str">
        <f>IF(A354="","",IF(NOT(ISNUMBER(G354)),"Date à saisir",IF(EDATE(G354,N(p_age))&lt;TODAY(),"Ancien","À jour")))</f>
        <v/>
      </c>
      <c r="I354" s="69" t="str">
        <f>IF(AND(A354="",COUNTA(B354:G354)=0),"",IF(A354="","Référence manquante",IF(COUNTIF($A$6:$A$505,A354)&gt;1,"Référence en double",IF(C354="","Unité manquante",IF(D354="","Prix manquant",IF(AND(D354&lt;&gt;"",OR(NOT(ISNUMBER(D354)),N(D354)&lt;0)),"Prix invalide",IF(AND(E354&lt;&gt;"",OR(NOT(ISNUMBER(E354)),N(E354)&lt;0,N(E354)&gt;=1)),"Perte entre 0 et 99 %","OK")))))))</f>
        <v/>
      </c>
    </row>
    <row r="355">
      <c r="A355" s="60" t="n"/>
      <c r="B355" s="60" t="n"/>
      <c r="C355" s="61" t="n"/>
      <c r="D355" s="64" t="n"/>
      <c r="E355" s="65" t="n"/>
      <c r="F355" s="60" t="n"/>
      <c r="G355" s="100" t="n"/>
      <c r="H355" s="69" t="str">
        <f>IF(A355="","",IF(NOT(ISNUMBER(G355)),"Date à saisir",IF(EDATE(G355,N(p_age))&lt;TODAY(),"Ancien","À jour")))</f>
        <v/>
      </c>
      <c r="I355" s="69" t="str">
        <f>IF(AND(A355="",COUNTA(B355:G355)=0),"",IF(A355="","Référence manquante",IF(COUNTIF($A$6:$A$505,A355)&gt;1,"Référence en double",IF(C355="","Unité manquante",IF(D355="","Prix manquant",IF(AND(D355&lt;&gt;"",OR(NOT(ISNUMBER(D355)),N(D355)&lt;0)),"Prix invalide",IF(AND(E355&lt;&gt;"",OR(NOT(ISNUMBER(E355)),N(E355)&lt;0,N(E355)&gt;=1)),"Perte entre 0 et 99 %","OK")))))))</f>
        <v/>
      </c>
    </row>
    <row r="356">
      <c r="A356" s="60" t="n"/>
      <c r="B356" s="60" t="n"/>
      <c r="C356" s="61" t="n"/>
      <c r="D356" s="64" t="n"/>
      <c r="E356" s="65" t="n"/>
      <c r="F356" s="60" t="n"/>
      <c r="G356" s="100" t="n"/>
      <c r="H356" s="69" t="str">
        <f>IF(A356="","",IF(NOT(ISNUMBER(G356)),"Date à saisir",IF(EDATE(G356,N(p_age))&lt;TODAY(),"Ancien","À jour")))</f>
        <v/>
      </c>
      <c r="I356" s="69" t="str">
        <f>IF(AND(A356="",COUNTA(B356:G356)=0),"",IF(A356="","Référence manquante",IF(COUNTIF($A$6:$A$505,A356)&gt;1,"Référence en double",IF(C356="","Unité manquante",IF(D356="","Prix manquant",IF(AND(D356&lt;&gt;"",OR(NOT(ISNUMBER(D356)),N(D356)&lt;0)),"Prix invalide",IF(AND(E356&lt;&gt;"",OR(NOT(ISNUMBER(E356)),N(E356)&lt;0,N(E356)&gt;=1)),"Perte entre 0 et 99 %","OK")))))))</f>
        <v/>
      </c>
    </row>
    <row r="357">
      <c r="A357" s="60" t="n"/>
      <c r="B357" s="60" t="n"/>
      <c r="C357" s="61" t="n"/>
      <c r="D357" s="64" t="n"/>
      <c r="E357" s="65" t="n"/>
      <c r="F357" s="60" t="n"/>
      <c r="G357" s="100" t="n"/>
      <c r="H357" s="69" t="str">
        <f>IF(A357="","",IF(NOT(ISNUMBER(G357)),"Date à saisir",IF(EDATE(G357,N(p_age))&lt;TODAY(),"Ancien","À jour")))</f>
        <v/>
      </c>
      <c r="I357" s="69" t="str">
        <f>IF(AND(A357="",COUNTA(B357:G357)=0),"",IF(A357="","Référence manquante",IF(COUNTIF($A$6:$A$505,A357)&gt;1,"Référence en double",IF(C357="","Unité manquante",IF(D357="","Prix manquant",IF(AND(D357&lt;&gt;"",OR(NOT(ISNUMBER(D357)),N(D357)&lt;0)),"Prix invalide",IF(AND(E357&lt;&gt;"",OR(NOT(ISNUMBER(E357)),N(E357)&lt;0,N(E357)&gt;=1)),"Perte entre 0 et 99 %","OK")))))))</f>
        <v/>
      </c>
    </row>
    <row r="358">
      <c r="A358" s="60" t="n"/>
      <c r="B358" s="60" t="n"/>
      <c r="C358" s="61" t="n"/>
      <c r="D358" s="64" t="n"/>
      <c r="E358" s="65" t="n"/>
      <c r="F358" s="60" t="n"/>
      <c r="G358" s="100" t="n"/>
      <c r="H358" s="69" t="str">
        <f>IF(A358="","",IF(NOT(ISNUMBER(G358)),"Date à saisir",IF(EDATE(G358,N(p_age))&lt;TODAY(),"Ancien","À jour")))</f>
        <v/>
      </c>
      <c r="I358" s="69" t="str">
        <f>IF(AND(A358="",COUNTA(B358:G358)=0),"",IF(A358="","Référence manquante",IF(COUNTIF($A$6:$A$505,A358)&gt;1,"Référence en double",IF(C358="","Unité manquante",IF(D358="","Prix manquant",IF(AND(D358&lt;&gt;"",OR(NOT(ISNUMBER(D358)),N(D358)&lt;0)),"Prix invalide",IF(AND(E358&lt;&gt;"",OR(NOT(ISNUMBER(E358)),N(E358)&lt;0,N(E358)&gt;=1)),"Perte entre 0 et 99 %","OK")))))))</f>
        <v/>
      </c>
    </row>
    <row r="359">
      <c r="A359" s="60" t="n"/>
      <c r="B359" s="60" t="n"/>
      <c r="C359" s="61" t="n"/>
      <c r="D359" s="64" t="n"/>
      <c r="E359" s="65" t="n"/>
      <c r="F359" s="60" t="n"/>
      <c r="G359" s="100" t="n"/>
      <c r="H359" s="69" t="str">
        <f>IF(A359="","",IF(NOT(ISNUMBER(G359)),"Date à saisir",IF(EDATE(G359,N(p_age))&lt;TODAY(),"Ancien","À jour")))</f>
        <v/>
      </c>
      <c r="I359" s="69" t="str">
        <f>IF(AND(A359="",COUNTA(B359:G359)=0),"",IF(A359="","Référence manquante",IF(COUNTIF($A$6:$A$505,A359)&gt;1,"Référence en double",IF(C359="","Unité manquante",IF(D359="","Prix manquant",IF(AND(D359&lt;&gt;"",OR(NOT(ISNUMBER(D359)),N(D359)&lt;0)),"Prix invalide",IF(AND(E359&lt;&gt;"",OR(NOT(ISNUMBER(E359)),N(E359)&lt;0,N(E359)&gt;=1)),"Perte entre 0 et 99 %","OK")))))))</f>
        <v/>
      </c>
    </row>
    <row r="360">
      <c r="A360" s="60" t="n"/>
      <c r="B360" s="60" t="n"/>
      <c r="C360" s="61" t="n"/>
      <c r="D360" s="64" t="n"/>
      <c r="E360" s="65" t="n"/>
      <c r="F360" s="60" t="n"/>
      <c r="G360" s="100" t="n"/>
      <c r="H360" s="69" t="str">
        <f>IF(A360="","",IF(NOT(ISNUMBER(G360)),"Date à saisir",IF(EDATE(G360,N(p_age))&lt;TODAY(),"Ancien","À jour")))</f>
        <v/>
      </c>
      <c r="I360" s="69" t="str">
        <f>IF(AND(A360="",COUNTA(B360:G360)=0),"",IF(A360="","Référence manquante",IF(COUNTIF($A$6:$A$505,A360)&gt;1,"Référence en double",IF(C360="","Unité manquante",IF(D360="","Prix manquant",IF(AND(D360&lt;&gt;"",OR(NOT(ISNUMBER(D360)),N(D360)&lt;0)),"Prix invalide",IF(AND(E360&lt;&gt;"",OR(NOT(ISNUMBER(E360)),N(E360)&lt;0,N(E360)&gt;=1)),"Perte entre 0 et 99 %","OK")))))))</f>
        <v/>
      </c>
    </row>
    <row r="361">
      <c r="A361" s="60" t="n"/>
      <c r="B361" s="60" t="n"/>
      <c r="C361" s="61" t="n"/>
      <c r="D361" s="64" t="n"/>
      <c r="E361" s="65" t="n"/>
      <c r="F361" s="60" t="n"/>
      <c r="G361" s="100" t="n"/>
      <c r="H361" s="69" t="str">
        <f>IF(A361="","",IF(NOT(ISNUMBER(G361)),"Date à saisir",IF(EDATE(G361,N(p_age))&lt;TODAY(),"Ancien","À jour")))</f>
        <v/>
      </c>
      <c r="I361" s="69" t="str">
        <f>IF(AND(A361="",COUNTA(B361:G361)=0),"",IF(A361="","Référence manquante",IF(COUNTIF($A$6:$A$505,A361)&gt;1,"Référence en double",IF(C361="","Unité manquante",IF(D361="","Prix manquant",IF(AND(D361&lt;&gt;"",OR(NOT(ISNUMBER(D361)),N(D361)&lt;0)),"Prix invalide",IF(AND(E361&lt;&gt;"",OR(NOT(ISNUMBER(E361)),N(E361)&lt;0,N(E361)&gt;=1)),"Perte entre 0 et 99 %","OK")))))))</f>
        <v/>
      </c>
    </row>
    <row r="362">
      <c r="A362" s="60" t="n"/>
      <c r="B362" s="60" t="n"/>
      <c r="C362" s="61" t="n"/>
      <c r="D362" s="64" t="n"/>
      <c r="E362" s="65" t="n"/>
      <c r="F362" s="60" t="n"/>
      <c r="G362" s="100" t="n"/>
      <c r="H362" s="69" t="str">
        <f>IF(A362="","",IF(NOT(ISNUMBER(G362)),"Date à saisir",IF(EDATE(G362,N(p_age))&lt;TODAY(),"Ancien","À jour")))</f>
        <v/>
      </c>
      <c r="I362" s="69" t="str">
        <f>IF(AND(A362="",COUNTA(B362:G362)=0),"",IF(A362="","Référence manquante",IF(COUNTIF($A$6:$A$505,A362)&gt;1,"Référence en double",IF(C362="","Unité manquante",IF(D362="","Prix manquant",IF(AND(D362&lt;&gt;"",OR(NOT(ISNUMBER(D362)),N(D362)&lt;0)),"Prix invalide",IF(AND(E362&lt;&gt;"",OR(NOT(ISNUMBER(E362)),N(E362)&lt;0,N(E362)&gt;=1)),"Perte entre 0 et 99 %","OK")))))))</f>
        <v/>
      </c>
    </row>
    <row r="363">
      <c r="A363" s="60" t="n"/>
      <c r="B363" s="60" t="n"/>
      <c r="C363" s="61" t="n"/>
      <c r="D363" s="64" t="n"/>
      <c r="E363" s="65" t="n"/>
      <c r="F363" s="60" t="n"/>
      <c r="G363" s="100" t="n"/>
      <c r="H363" s="69" t="str">
        <f>IF(A363="","",IF(NOT(ISNUMBER(G363)),"Date à saisir",IF(EDATE(G363,N(p_age))&lt;TODAY(),"Ancien","À jour")))</f>
        <v/>
      </c>
      <c r="I363" s="69" t="str">
        <f>IF(AND(A363="",COUNTA(B363:G363)=0),"",IF(A363="","Référence manquante",IF(COUNTIF($A$6:$A$505,A363)&gt;1,"Référence en double",IF(C363="","Unité manquante",IF(D363="","Prix manquant",IF(AND(D363&lt;&gt;"",OR(NOT(ISNUMBER(D363)),N(D363)&lt;0)),"Prix invalide",IF(AND(E363&lt;&gt;"",OR(NOT(ISNUMBER(E363)),N(E363)&lt;0,N(E363)&gt;=1)),"Perte entre 0 et 99 %","OK")))))))</f>
        <v/>
      </c>
    </row>
    <row r="364">
      <c r="A364" s="60" t="n"/>
      <c r="B364" s="60" t="n"/>
      <c r="C364" s="61" t="n"/>
      <c r="D364" s="64" t="n"/>
      <c r="E364" s="65" t="n"/>
      <c r="F364" s="60" t="n"/>
      <c r="G364" s="100" t="n"/>
      <c r="H364" s="69" t="str">
        <f>IF(A364="","",IF(NOT(ISNUMBER(G364)),"Date à saisir",IF(EDATE(G364,N(p_age))&lt;TODAY(),"Ancien","À jour")))</f>
        <v/>
      </c>
      <c r="I364" s="69" t="str">
        <f>IF(AND(A364="",COUNTA(B364:G364)=0),"",IF(A364="","Référence manquante",IF(COUNTIF($A$6:$A$505,A364)&gt;1,"Référence en double",IF(C364="","Unité manquante",IF(D364="","Prix manquant",IF(AND(D364&lt;&gt;"",OR(NOT(ISNUMBER(D364)),N(D364)&lt;0)),"Prix invalide",IF(AND(E364&lt;&gt;"",OR(NOT(ISNUMBER(E364)),N(E364)&lt;0,N(E364)&gt;=1)),"Perte entre 0 et 99 %","OK")))))))</f>
        <v/>
      </c>
    </row>
    <row r="365">
      <c r="A365" s="60" t="n"/>
      <c r="B365" s="60" t="n"/>
      <c r="C365" s="61" t="n"/>
      <c r="D365" s="64" t="n"/>
      <c r="E365" s="65" t="n"/>
      <c r="F365" s="60" t="n"/>
      <c r="G365" s="100" t="n"/>
      <c r="H365" s="69" t="str">
        <f>IF(A365="","",IF(NOT(ISNUMBER(G365)),"Date à saisir",IF(EDATE(G365,N(p_age))&lt;TODAY(),"Ancien","À jour")))</f>
        <v/>
      </c>
      <c r="I365" s="69" t="str">
        <f>IF(AND(A365="",COUNTA(B365:G365)=0),"",IF(A365="","Référence manquante",IF(COUNTIF($A$6:$A$505,A365)&gt;1,"Référence en double",IF(C365="","Unité manquante",IF(D365="","Prix manquant",IF(AND(D365&lt;&gt;"",OR(NOT(ISNUMBER(D365)),N(D365)&lt;0)),"Prix invalide",IF(AND(E365&lt;&gt;"",OR(NOT(ISNUMBER(E365)),N(E365)&lt;0,N(E365)&gt;=1)),"Perte entre 0 et 99 %","OK")))))))</f>
        <v/>
      </c>
    </row>
    <row r="366">
      <c r="A366" s="60" t="n"/>
      <c r="B366" s="60" t="n"/>
      <c r="C366" s="61" t="n"/>
      <c r="D366" s="64" t="n"/>
      <c r="E366" s="65" t="n"/>
      <c r="F366" s="60" t="n"/>
      <c r="G366" s="100" t="n"/>
      <c r="H366" s="69" t="str">
        <f>IF(A366="","",IF(NOT(ISNUMBER(G366)),"Date à saisir",IF(EDATE(G366,N(p_age))&lt;TODAY(),"Ancien","À jour")))</f>
        <v/>
      </c>
      <c r="I366" s="69" t="str">
        <f>IF(AND(A366="",COUNTA(B366:G366)=0),"",IF(A366="","Référence manquante",IF(COUNTIF($A$6:$A$505,A366)&gt;1,"Référence en double",IF(C366="","Unité manquante",IF(D366="","Prix manquant",IF(AND(D366&lt;&gt;"",OR(NOT(ISNUMBER(D366)),N(D366)&lt;0)),"Prix invalide",IF(AND(E366&lt;&gt;"",OR(NOT(ISNUMBER(E366)),N(E366)&lt;0,N(E366)&gt;=1)),"Perte entre 0 et 99 %","OK")))))))</f>
        <v/>
      </c>
    </row>
    <row r="367">
      <c r="A367" s="60" t="n"/>
      <c r="B367" s="60" t="n"/>
      <c r="C367" s="61" t="n"/>
      <c r="D367" s="64" t="n"/>
      <c r="E367" s="65" t="n"/>
      <c r="F367" s="60" t="n"/>
      <c r="G367" s="100" t="n"/>
      <c r="H367" s="69" t="str">
        <f>IF(A367="","",IF(NOT(ISNUMBER(G367)),"Date à saisir",IF(EDATE(G367,N(p_age))&lt;TODAY(),"Ancien","À jour")))</f>
        <v/>
      </c>
      <c r="I367" s="69" t="str">
        <f>IF(AND(A367="",COUNTA(B367:G367)=0),"",IF(A367="","Référence manquante",IF(COUNTIF($A$6:$A$505,A367)&gt;1,"Référence en double",IF(C367="","Unité manquante",IF(D367="","Prix manquant",IF(AND(D367&lt;&gt;"",OR(NOT(ISNUMBER(D367)),N(D367)&lt;0)),"Prix invalide",IF(AND(E367&lt;&gt;"",OR(NOT(ISNUMBER(E367)),N(E367)&lt;0,N(E367)&gt;=1)),"Perte entre 0 et 99 %","OK")))))))</f>
        <v/>
      </c>
    </row>
    <row r="368">
      <c r="A368" s="60" t="n"/>
      <c r="B368" s="60" t="n"/>
      <c r="C368" s="61" t="n"/>
      <c r="D368" s="64" t="n"/>
      <c r="E368" s="65" t="n"/>
      <c r="F368" s="60" t="n"/>
      <c r="G368" s="100" t="n"/>
      <c r="H368" s="69" t="str">
        <f>IF(A368="","",IF(NOT(ISNUMBER(G368)),"Date à saisir",IF(EDATE(G368,N(p_age))&lt;TODAY(),"Ancien","À jour")))</f>
        <v/>
      </c>
      <c r="I368" s="69" t="str">
        <f>IF(AND(A368="",COUNTA(B368:G368)=0),"",IF(A368="","Référence manquante",IF(COUNTIF($A$6:$A$505,A368)&gt;1,"Référence en double",IF(C368="","Unité manquante",IF(D368="","Prix manquant",IF(AND(D368&lt;&gt;"",OR(NOT(ISNUMBER(D368)),N(D368)&lt;0)),"Prix invalide",IF(AND(E368&lt;&gt;"",OR(NOT(ISNUMBER(E368)),N(E368)&lt;0,N(E368)&gt;=1)),"Perte entre 0 et 99 %","OK")))))))</f>
        <v/>
      </c>
    </row>
    <row r="369">
      <c r="A369" s="60" t="n"/>
      <c r="B369" s="60" t="n"/>
      <c r="C369" s="61" t="n"/>
      <c r="D369" s="64" t="n"/>
      <c r="E369" s="65" t="n"/>
      <c r="F369" s="60" t="n"/>
      <c r="G369" s="100" t="n"/>
      <c r="H369" s="69" t="str">
        <f>IF(A369="","",IF(NOT(ISNUMBER(G369)),"Date à saisir",IF(EDATE(G369,N(p_age))&lt;TODAY(),"Ancien","À jour")))</f>
        <v/>
      </c>
      <c r="I369" s="69" t="str">
        <f>IF(AND(A369="",COUNTA(B369:G369)=0),"",IF(A369="","Référence manquante",IF(COUNTIF($A$6:$A$505,A369)&gt;1,"Référence en double",IF(C369="","Unité manquante",IF(D369="","Prix manquant",IF(AND(D369&lt;&gt;"",OR(NOT(ISNUMBER(D369)),N(D369)&lt;0)),"Prix invalide",IF(AND(E369&lt;&gt;"",OR(NOT(ISNUMBER(E369)),N(E369)&lt;0,N(E369)&gt;=1)),"Perte entre 0 et 99 %","OK")))))))</f>
        <v/>
      </c>
    </row>
    <row r="370">
      <c r="A370" s="60" t="n"/>
      <c r="B370" s="60" t="n"/>
      <c r="C370" s="61" t="n"/>
      <c r="D370" s="64" t="n"/>
      <c r="E370" s="65" t="n"/>
      <c r="F370" s="60" t="n"/>
      <c r="G370" s="100" t="n"/>
      <c r="H370" s="69" t="str">
        <f>IF(A370="","",IF(NOT(ISNUMBER(G370)),"Date à saisir",IF(EDATE(G370,N(p_age))&lt;TODAY(),"Ancien","À jour")))</f>
        <v/>
      </c>
      <c r="I370" s="69" t="str">
        <f>IF(AND(A370="",COUNTA(B370:G370)=0),"",IF(A370="","Référence manquante",IF(COUNTIF($A$6:$A$505,A370)&gt;1,"Référence en double",IF(C370="","Unité manquante",IF(D370="","Prix manquant",IF(AND(D370&lt;&gt;"",OR(NOT(ISNUMBER(D370)),N(D370)&lt;0)),"Prix invalide",IF(AND(E370&lt;&gt;"",OR(NOT(ISNUMBER(E370)),N(E370)&lt;0,N(E370)&gt;=1)),"Perte entre 0 et 99 %","OK")))))))</f>
        <v/>
      </c>
    </row>
    <row r="371">
      <c r="A371" s="60" t="n"/>
      <c r="B371" s="60" t="n"/>
      <c r="C371" s="61" t="n"/>
      <c r="D371" s="64" t="n"/>
      <c r="E371" s="65" t="n"/>
      <c r="F371" s="60" t="n"/>
      <c r="G371" s="100" t="n"/>
      <c r="H371" s="69" t="str">
        <f>IF(A371="","",IF(NOT(ISNUMBER(G371)),"Date à saisir",IF(EDATE(G371,N(p_age))&lt;TODAY(),"Ancien","À jour")))</f>
        <v/>
      </c>
      <c r="I371" s="69" t="str">
        <f>IF(AND(A371="",COUNTA(B371:G371)=0),"",IF(A371="","Référence manquante",IF(COUNTIF($A$6:$A$505,A371)&gt;1,"Référence en double",IF(C371="","Unité manquante",IF(D371="","Prix manquant",IF(AND(D371&lt;&gt;"",OR(NOT(ISNUMBER(D371)),N(D371)&lt;0)),"Prix invalide",IF(AND(E371&lt;&gt;"",OR(NOT(ISNUMBER(E371)),N(E371)&lt;0,N(E371)&gt;=1)),"Perte entre 0 et 99 %","OK")))))))</f>
        <v/>
      </c>
    </row>
    <row r="372">
      <c r="A372" s="60" t="n"/>
      <c r="B372" s="60" t="n"/>
      <c r="C372" s="61" t="n"/>
      <c r="D372" s="64" t="n"/>
      <c r="E372" s="65" t="n"/>
      <c r="F372" s="60" t="n"/>
      <c r="G372" s="100" t="n"/>
      <c r="H372" s="69" t="str">
        <f>IF(A372="","",IF(NOT(ISNUMBER(G372)),"Date à saisir",IF(EDATE(G372,N(p_age))&lt;TODAY(),"Ancien","À jour")))</f>
        <v/>
      </c>
      <c r="I372" s="69" t="str">
        <f>IF(AND(A372="",COUNTA(B372:G372)=0),"",IF(A372="","Référence manquante",IF(COUNTIF($A$6:$A$505,A372)&gt;1,"Référence en double",IF(C372="","Unité manquante",IF(D372="","Prix manquant",IF(AND(D372&lt;&gt;"",OR(NOT(ISNUMBER(D372)),N(D372)&lt;0)),"Prix invalide",IF(AND(E372&lt;&gt;"",OR(NOT(ISNUMBER(E372)),N(E372)&lt;0,N(E372)&gt;=1)),"Perte entre 0 et 99 %","OK")))))))</f>
        <v/>
      </c>
    </row>
    <row r="373">
      <c r="A373" s="60" t="n"/>
      <c r="B373" s="60" t="n"/>
      <c r="C373" s="61" t="n"/>
      <c r="D373" s="64" t="n"/>
      <c r="E373" s="65" t="n"/>
      <c r="F373" s="60" t="n"/>
      <c r="G373" s="100" t="n"/>
      <c r="H373" s="69" t="str">
        <f>IF(A373="","",IF(NOT(ISNUMBER(G373)),"Date à saisir",IF(EDATE(G373,N(p_age))&lt;TODAY(),"Ancien","À jour")))</f>
        <v/>
      </c>
      <c r="I373" s="69" t="str">
        <f>IF(AND(A373="",COUNTA(B373:G373)=0),"",IF(A373="","Référence manquante",IF(COUNTIF($A$6:$A$505,A373)&gt;1,"Référence en double",IF(C373="","Unité manquante",IF(D373="","Prix manquant",IF(AND(D373&lt;&gt;"",OR(NOT(ISNUMBER(D373)),N(D373)&lt;0)),"Prix invalide",IF(AND(E373&lt;&gt;"",OR(NOT(ISNUMBER(E373)),N(E373)&lt;0,N(E373)&gt;=1)),"Perte entre 0 et 99 %","OK")))))))</f>
        <v/>
      </c>
    </row>
    <row r="374">
      <c r="A374" s="60" t="n"/>
      <c r="B374" s="60" t="n"/>
      <c r="C374" s="61" t="n"/>
      <c r="D374" s="64" t="n"/>
      <c r="E374" s="65" t="n"/>
      <c r="F374" s="60" t="n"/>
      <c r="G374" s="100" t="n"/>
      <c r="H374" s="69" t="str">
        <f>IF(A374="","",IF(NOT(ISNUMBER(G374)),"Date à saisir",IF(EDATE(G374,N(p_age))&lt;TODAY(),"Ancien","À jour")))</f>
        <v/>
      </c>
      <c r="I374" s="69" t="str">
        <f>IF(AND(A374="",COUNTA(B374:G374)=0),"",IF(A374="","Référence manquante",IF(COUNTIF($A$6:$A$505,A374)&gt;1,"Référence en double",IF(C374="","Unité manquante",IF(D374="","Prix manquant",IF(AND(D374&lt;&gt;"",OR(NOT(ISNUMBER(D374)),N(D374)&lt;0)),"Prix invalide",IF(AND(E374&lt;&gt;"",OR(NOT(ISNUMBER(E374)),N(E374)&lt;0,N(E374)&gt;=1)),"Perte entre 0 et 99 %","OK")))))))</f>
        <v/>
      </c>
    </row>
    <row r="375">
      <c r="A375" s="60" t="n"/>
      <c r="B375" s="60" t="n"/>
      <c r="C375" s="61" t="n"/>
      <c r="D375" s="64" t="n"/>
      <c r="E375" s="65" t="n"/>
      <c r="F375" s="60" t="n"/>
      <c r="G375" s="100" t="n"/>
      <c r="H375" s="69" t="str">
        <f>IF(A375="","",IF(NOT(ISNUMBER(G375)),"Date à saisir",IF(EDATE(G375,N(p_age))&lt;TODAY(),"Ancien","À jour")))</f>
        <v/>
      </c>
      <c r="I375" s="69" t="str">
        <f>IF(AND(A375="",COUNTA(B375:G375)=0),"",IF(A375="","Référence manquante",IF(COUNTIF($A$6:$A$505,A375)&gt;1,"Référence en double",IF(C375="","Unité manquante",IF(D375="","Prix manquant",IF(AND(D375&lt;&gt;"",OR(NOT(ISNUMBER(D375)),N(D375)&lt;0)),"Prix invalide",IF(AND(E375&lt;&gt;"",OR(NOT(ISNUMBER(E375)),N(E375)&lt;0,N(E375)&gt;=1)),"Perte entre 0 et 99 %","OK")))))))</f>
        <v/>
      </c>
    </row>
    <row r="376">
      <c r="A376" s="60" t="n"/>
      <c r="B376" s="60" t="n"/>
      <c r="C376" s="61" t="n"/>
      <c r="D376" s="64" t="n"/>
      <c r="E376" s="65" t="n"/>
      <c r="F376" s="60" t="n"/>
      <c r="G376" s="100" t="n"/>
      <c r="H376" s="69" t="str">
        <f>IF(A376="","",IF(NOT(ISNUMBER(G376)),"Date à saisir",IF(EDATE(G376,N(p_age))&lt;TODAY(),"Ancien","À jour")))</f>
        <v/>
      </c>
      <c r="I376" s="69" t="str">
        <f>IF(AND(A376="",COUNTA(B376:G376)=0),"",IF(A376="","Référence manquante",IF(COUNTIF($A$6:$A$505,A376)&gt;1,"Référence en double",IF(C376="","Unité manquante",IF(D376="","Prix manquant",IF(AND(D376&lt;&gt;"",OR(NOT(ISNUMBER(D376)),N(D376)&lt;0)),"Prix invalide",IF(AND(E376&lt;&gt;"",OR(NOT(ISNUMBER(E376)),N(E376)&lt;0,N(E376)&gt;=1)),"Perte entre 0 et 99 %","OK")))))))</f>
        <v/>
      </c>
    </row>
    <row r="377">
      <c r="A377" s="60" t="n"/>
      <c r="B377" s="60" t="n"/>
      <c r="C377" s="61" t="n"/>
      <c r="D377" s="64" t="n"/>
      <c r="E377" s="65" t="n"/>
      <c r="F377" s="60" t="n"/>
      <c r="G377" s="100" t="n"/>
      <c r="H377" s="69" t="str">
        <f>IF(A377="","",IF(NOT(ISNUMBER(G377)),"Date à saisir",IF(EDATE(G377,N(p_age))&lt;TODAY(),"Ancien","À jour")))</f>
        <v/>
      </c>
      <c r="I377" s="69" t="str">
        <f>IF(AND(A377="",COUNTA(B377:G377)=0),"",IF(A377="","Référence manquante",IF(COUNTIF($A$6:$A$505,A377)&gt;1,"Référence en double",IF(C377="","Unité manquante",IF(D377="","Prix manquant",IF(AND(D377&lt;&gt;"",OR(NOT(ISNUMBER(D377)),N(D377)&lt;0)),"Prix invalide",IF(AND(E377&lt;&gt;"",OR(NOT(ISNUMBER(E377)),N(E377)&lt;0,N(E377)&gt;=1)),"Perte entre 0 et 99 %","OK")))))))</f>
        <v/>
      </c>
    </row>
    <row r="378">
      <c r="A378" s="60" t="n"/>
      <c r="B378" s="60" t="n"/>
      <c r="C378" s="61" t="n"/>
      <c r="D378" s="64" t="n"/>
      <c r="E378" s="65" t="n"/>
      <c r="F378" s="60" t="n"/>
      <c r="G378" s="100" t="n"/>
      <c r="H378" s="69" t="str">
        <f>IF(A378="","",IF(NOT(ISNUMBER(G378)),"Date à saisir",IF(EDATE(G378,N(p_age))&lt;TODAY(),"Ancien","À jour")))</f>
        <v/>
      </c>
      <c r="I378" s="69" t="str">
        <f>IF(AND(A378="",COUNTA(B378:G378)=0),"",IF(A378="","Référence manquante",IF(COUNTIF($A$6:$A$505,A378)&gt;1,"Référence en double",IF(C378="","Unité manquante",IF(D378="","Prix manquant",IF(AND(D378&lt;&gt;"",OR(NOT(ISNUMBER(D378)),N(D378)&lt;0)),"Prix invalide",IF(AND(E378&lt;&gt;"",OR(NOT(ISNUMBER(E378)),N(E378)&lt;0,N(E378)&gt;=1)),"Perte entre 0 et 99 %","OK")))))))</f>
        <v/>
      </c>
    </row>
    <row r="379">
      <c r="A379" s="60" t="n"/>
      <c r="B379" s="60" t="n"/>
      <c r="C379" s="61" t="n"/>
      <c r="D379" s="64" t="n"/>
      <c r="E379" s="65" t="n"/>
      <c r="F379" s="60" t="n"/>
      <c r="G379" s="100" t="n"/>
      <c r="H379" s="69" t="str">
        <f>IF(A379="","",IF(NOT(ISNUMBER(G379)),"Date à saisir",IF(EDATE(G379,N(p_age))&lt;TODAY(),"Ancien","À jour")))</f>
        <v/>
      </c>
      <c r="I379" s="69" t="str">
        <f>IF(AND(A379="",COUNTA(B379:G379)=0),"",IF(A379="","Référence manquante",IF(COUNTIF($A$6:$A$505,A379)&gt;1,"Référence en double",IF(C379="","Unité manquante",IF(D379="","Prix manquant",IF(AND(D379&lt;&gt;"",OR(NOT(ISNUMBER(D379)),N(D379)&lt;0)),"Prix invalide",IF(AND(E379&lt;&gt;"",OR(NOT(ISNUMBER(E379)),N(E379)&lt;0,N(E379)&gt;=1)),"Perte entre 0 et 99 %","OK")))))))</f>
        <v/>
      </c>
    </row>
    <row r="380">
      <c r="A380" s="60" t="n"/>
      <c r="B380" s="60" t="n"/>
      <c r="C380" s="61" t="n"/>
      <c r="D380" s="64" t="n"/>
      <c r="E380" s="65" t="n"/>
      <c r="F380" s="60" t="n"/>
      <c r="G380" s="100" t="n"/>
      <c r="H380" s="69" t="str">
        <f>IF(A380="","",IF(NOT(ISNUMBER(G380)),"Date à saisir",IF(EDATE(G380,N(p_age))&lt;TODAY(),"Ancien","À jour")))</f>
        <v/>
      </c>
      <c r="I380" s="69" t="str">
        <f>IF(AND(A380="",COUNTA(B380:G380)=0),"",IF(A380="","Référence manquante",IF(COUNTIF($A$6:$A$505,A380)&gt;1,"Référence en double",IF(C380="","Unité manquante",IF(D380="","Prix manquant",IF(AND(D380&lt;&gt;"",OR(NOT(ISNUMBER(D380)),N(D380)&lt;0)),"Prix invalide",IF(AND(E380&lt;&gt;"",OR(NOT(ISNUMBER(E380)),N(E380)&lt;0,N(E380)&gt;=1)),"Perte entre 0 et 99 %","OK")))))))</f>
        <v/>
      </c>
    </row>
    <row r="381">
      <c r="A381" s="60" t="n"/>
      <c r="B381" s="60" t="n"/>
      <c r="C381" s="61" t="n"/>
      <c r="D381" s="64" t="n"/>
      <c r="E381" s="65" t="n"/>
      <c r="F381" s="60" t="n"/>
      <c r="G381" s="100" t="n"/>
      <c r="H381" s="69" t="str">
        <f>IF(A381="","",IF(NOT(ISNUMBER(G381)),"Date à saisir",IF(EDATE(G381,N(p_age))&lt;TODAY(),"Ancien","À jour")))</f>
        <v/>
      </c>
      <c r="I381" s="69" t="str">
        <f>IF(AND(A381="",COUNTA(B381:G381)=0),"",IF(A381="","Référence manquante",IF(COUNTIF($A$6:$A$505,A381)&gt;1,"Référence en double",IF(C381="","Unité manquante",IF(D381="","Prix manquant",IF(AND(D381&lt;&gt;"",OR(NOT(ISNUMBER(D381)),N(D381)&lt;0)),"Prix invalide",IF(AND(E381&lt;&gt;"",OR(NOT(ISNUMBER(E381)),N(E381)&lt;0,N(E381)&gt;=1)),"Perte entre 0 et 99 %","OK")))))))</f>
        <v/>
      </c>
    </row>
    <row r="382">
      <c r="A382" s="60" t="n"/>
      <c r="B382" s="60" t="n"/>
      <c r="C382" s="61" t="n"/>
      <c r="D382" s="64" t="n"/>
      <c r="E382" s="65" t="n"/>
      <c r="F382" s="60" t="n"/>
      <c r="G382" s="100" t="n"/>
      <c r="H382" s="69" t="str">
        <f>IF(A382="","",IF(NOT(ISNUMBER(G382)),"Date à saisir",IF(EDATE(G382,N(p_age))&lt;TODAY(),"Ancien","À jour")))</f>
        <v/>
      </c>
      <c r="I382" s="69" t="str">
        <f>IF(AND(A382="",COUNTA(B382:G382)=0),"",IF(A382="","Référence manquante",IF(COUNTIF($A$6:$A$505,A382)&gt;1,"Référence en double",IF(C382="","Unité manquante",IF(D382="","Prix manquant",IF(AND(D382&lt;&gt;"",OR(NOT(ISNUMBER(D382)),N(D382)&lt;0)),"Prix invalide",IF(AND(E382&lt;&gt;"",OR(NOT(ISNUMBER(E382)),N(E382)&lt;0,N(E382)&gt;=1)),"Perte entre 0 et 99 %","OK")))))))</f>
        <v/>
      </c>
    </row>
    <row r="383">
      <c r="A383" s="60" t="n"/>
      <c r="B383" s="60" t="n"/>
      <c r="C383" s="61" t="n"/>
      <c r="D383" s="64" t="n"/>
      <c r="E383" s="65" t="n"/>
      <c r="F383" s="60" t="n"/>
      <c r="G383" s="100" t="n"/>
      <c r="H383" s="69" t="str">
        <f>IF(A383="","",IF(NOT(ISNUMBER(G383)),"Date à saisir",IF(EDATE(G383,N(p_age))&lt;TODAY(),"Ancien","À jour")))</f>
        <v/>
      </c>
      <c r="I383" s="69" t="str">
        <f>IF(AND(A383="",COUNTA(B383:G383)=0),"",IF(A383="","Référence manquante",IF(COUNTIF($A$6:$A$505,A383)&gt;1,"Référence en double",IF(C383="","Unité manquante",IF(D383="","Prix manquant",IF(AND(D383&lt;&gt;"",OR(NOT(ISNUMBER(D383)),N(D383)&lt;0)),"Prix invalide",IF(AND(E383&lt;&gt;"",OR(NOT(ISNUMBER(E383)),N(E383)&lt;0,N(E383)&gt;=1)),"Perte entre 0 et 99 %","OK")))))))</f>
        <v/>
      </c>
    </row>
    <row r="384">
      <c r="A384" s="60" t="n"/>
      <c r="B384" s="60" t="n"/>
      <c r="C384" s="61" t="n"/>
      <c r="D384" s="64" t="n"/>
      <c r="E384" s="65" t="n"/>
      <c r="F384" s="60" t="n"/>
      <c r="G384" s="100" t="n"/>
      <c r="H384" s="69" t="str">
        <f>IF(A384="","",IF(NOT(ISNUMBER(G384)),"Date à saisir",IF(EDATE(G384,N(p_age))&lt;TODAY(),"Ancien","À jour")))</f>
        <v/>
      </c>
      <c r="I384" s="69" t="str">
        <f>IF(AND(A384="",COUNTA(B384:G384)=0),"",IF(A384="","Référence manquante",IF(COUNTIF($A$6:$A$505,A384)&gt;1,"Référence en double",IF(C384="","Unité manquante",IF(D384="","Prix manquant",IF(AND(D384&lt;&gt;"",OR(NOT(ISNUMBER(D384)),N(D384)&lt;0)),"Prix invalide",IF(AND(E384&lt;&gt;"",OR(NOT(ISNUMBER(E384)),N(E384)&lt;0,N(E384)&gt;=1)),"Perte entre 0 et 99 %","OK")))))))</f>
        <v/>
      </c>
    </row>
    <row r="385">
      <c r="A385" s="60" t="n"/>
      <c r="B385" s="60" t="n"/>
      <c r="C385" s="61" t="n"/>
      <c r="D385" s="64" t="n"/>
      <c r="E385" s="65" t="n"/>
      <c r="F385" s="60" t="n"/>
      <c r="G385" s="100" t="n"/>
      <c r="H385" s="69" t="str">
        <f>IF(A385="","",IF(NOT(ISNUMBER(G385)),"Date à saisir",IF(EDATE(G385,N(p_age))&lt;TODAY(),"Ancien","À jour")))</f>
        <v/>
      </c>
      <c r="I385" s="69" t="str">
        <f>IF(AND(A385="",COUNTA(B385:G385)=0),"",IF(A385="","Référence manquante",IF(COUNTIF($A$6:$A$505,A385)&gt;1,"Référence en double",IF(C385="","Unité manquante",IF(D385="","Prix manquant",IF(AND(D385&lt;&gt;"",OR(NOT(ISNUMBER(D385)),N(D385)&lt;0)),"Prix invalide",IF(AND(E385&lt;&gt;"",OR(NOT(ISNUMBER(E385)),N(E385)&lt;0,N(E385)&gt;=1)),"Perte entre 0 et 99 %","OK")))))))</f>
        <v/>
      </c>
    </row>
    <row r="386">
      <c r="A386" s="60" t="n"/>
      <c r="B386" s="60" t="n"/>
      <c r="C386" s="61" t="n"/>
      <c r="D386" s="64" t="n"/>
      <c r="E386" s="65" t="n"/>
      <c r="F386" s="60" t="n"/>
      <c r="G386" s="100" t="n"/>
      <c r="H386" s="69" t="str">
        <f>IF(A386="","",IF(NOT(ISNUMBER(G386)),"Date à saisir",IF(EDATE(G386,N(p_age))&lt;TODAY(),"Ancien","À jour")))</f>
        <v/>
      </c>
      <c r="I386" s="69" t="str">
        <f>IF(AND(A386="",COUNTA(B386:G386)=0),"",IF(A386="","Référence manquante",IF(COUNTIF($A$6:$A$505,A386)&gt;1,"Référence en double",IF(C386="","Unité manquante",IF(D386="","Prix manquant",IF(AND(D386&lt;&gt;"",OR(NOT(ISNUMBER(D386)),N(D386)&lt;0)),"Prix invalide",IF(AND(E386&lt;&gt;"",OR(NOT(ISNUMBER(E386)),N(E386)&lt;0,N(E386)&gt;=1)),"Perte entre 0 et 99 %","OK")))))))</f>
        <v/>
      </c>
    </row>
    <row r="387">
      <c r="A387" s="60" t="n"/>
      <c r="B387" s="60" t="n"/>
      <c r="C387" s="61" t="n"/>
      <c r="D387" s="64" t="n"/>
      <c r="E387" s="65" t="n"/>
      <c r="F387" s="60" t="n"/>
      <c r="G387" s="100" t="n"/>
      <c r="H387" s="69" t="str">
        <f>IF(A387="","",IF(NOT(ISNUMBER(G387)),"Date à saisir",IF(EDATE(G387,N(p_age))&lt;TODAY(),"Ancien","À jour")))</f>
        <v/>
      </c>
      <c r="I387" s="69" t="str">
        <f>IF(AND(A387="",COUNTA(B387:G387)=0),"",IF(A387="","Référence manquante",IF(COUNTIF($A$6:$A$505,A387)&gt;1,"Référence en double",IF(C387="","Unité manquante",IF(D387="","Prix manquant",IF(AND(D387&lt;&gt;"",OR(NOT(ISNUMBER(D387)),N(D387)&lt;0)),"Prix invalide",IF(AND(E387&lt;&gt;"",OR(NOT(ISNUMBER(E387)),N(E387)&lt;0,N(E387)&gt;=1)),"Perte entre 0 et 99 %","OK")))))))</f>
        <v/>
      </c>
    </row>
    <row r="388">
      <c r="A388" s="60" t="n"/>
      <c r="B388" s="60" t="n"/>
      <c r="C388" s="61" t="n"/>
      <c r="D388" s="64" t="n"/>
      <c r="E388" s="65" t="n"/>
      <c r="F388" s="60" t="n"/>
      <c r="G388" s="100" t="n"/>
      <c r="H388" s="69" t="str">
        <f>IF(A388="","",IF(NOT(ISNUMBER(G388)),"Date à saisir",IF(EDATE(G388,N(p_age))&lt;TODAY(),"Ancien","À jour")))</f>
        <v/>
      </c>
      <c r="I388" s="69" t="str">
        <f>IF(AND(A388="",COUNTA(B388:G388)=0),"",IF(A388="","Référence manquante",IF(COUNTIF($A$6:$A$505,A388)&gt;1,"Référence en double",IF(C388="","Unité manquante",IF(D388="","Prix manquant",IF(AND(D388&lt;&gt;"",OR(NOT(ISNUMBER(D388)),N(D388)&lt;0)),"Prix invalide",IF(AND(E388&lt;&gt;"",OR(NOT(ISNUMBER(E388)),N(E388)&lt;0,N(E388)&gt;=1)),"Perte entre 0 et 99 %","OK")))))))</f>
        <v/>
      </c>
    </row>
    <row r="389">
      <c r="A389" s="60" t="n"/>
      <c r="B389" s="60" t="n"/>
      <c r="C389" s="61" t="n"/>
      <c r="D389" s="64" t="n"/>
      <c r="E389" s="65" t="n"/>
      <c r="F389" s="60" t="n"/>
      <c r="G389" s="100" t="n"/>
      <c r="H389" s="69" t="str">
        <f>IF(A389="","",IF(NOT(ISNUMBER(G389)),"Date à saisir",IF(EDATE(G389,N(p_age))&lt;TODAY(),"Ancien","À jour")))</f>
        <v/>
      </c>
      <c r="I389" s="69" t="str">
        <f>IF(AND(A389="",COUNTA(B389:G389)=0),"",IF(A389="","Référence manquante",IF(COUNTIF($A$6:$A$505,A389)&gt;1,"Référence en double",IF(C389="","Unité manquante",IF(D389="","Prix manquant",IF(AND(D389&lt;&gt;"",OR(NOT(ISNUMBER(D389)),N(D389)&lt;0)),"Prix invalide",IF(AND(E389&lt;&gt;"",OR(NOT(ISNUMBER(E389)),N(E389)&lt;0,N(E389)&gt;=1)),"Perte entre 0 et 99 %","OK")))))))</f>
        <v/>
      </c>
    </row>
    <row r="390">
      <c r="A390" s="60" t="n"/>
      <c r="B390" s="60" t="n"/>
      <c r="C390" s="61" t="n"/>
      <c r="D390" s="64" t="n"/>
      <c r="E390" s="65" t="n"/>
      <c r="F390" s="60" t="n"/>
      <c r="G390" s="100" t="n"/>
      <c r="H390" s="69" t="str">
        <f>IF(A390="","",IF(NOT(ISNUMBER(G390)),"Date à saisir",IF(EDATE(G390,N(p_age))&lt;TODAY(),"Ancien","À jour")))</f>
        <v/>
      </c>
      <c r="I390" s="69" t="str">
        <f>IF(AND(A390="",COUNTA(B390:G390)=0),"",IF(A390="","Référence manquante",IF(COUNTIF($A$6:$A$505,A390)&gt;1,"Référence en double",IF(C390="","Unité manquante",IF(D390="","Prix manquant",IF(AND(D390&lt;&gt;"",OR(NOT(ISNUMBER(D390)),N(D390)&lt;0)),"Prix invalide",IF(AND(E390&lt;&gt;"",OR(NOT(ISNUMBER(E390)),N(E390)&lt;0,N(E390)&gt;=1)),"Perte entre 0 et 99 %","OK")))))))</f>
        <v/>
      </c>
    </row>
    <row r="391">
      <c r="A391" s="60" t="n"/>
      <c r="B391" s="60" t="n"/>
      <c r="C391" s="61" t="n"/>
      <c r="D391" s="64" t="n"/>
      <c r="E391" s="65" t="n"/>
      <c r="F391" s="60" t="n"/>
      <c r="G391" s="100" t="n"/>
      <c r="H391" s="69" t="str">
        <f>IF(A391="","",IF(NOT(ISNUMBER(G391)),"Date à saisir",IF(EDATE(G391,N(p_age))&lt;TODAY(),"Ancien","À jour")))</f>
        <v/>
      </c>
      <c r="I391" s="69" t="str">
        <f>IF(AND(A391="",COUNTA(B391:G391)=0),"",IF(A391="","Référence manquante",IF(COUNTIF($A$6:$A$505,A391)&gt;1,"Référence en double",IF(C391="","Unité manquante",IF(D391="","Prix manquant",IF(AND(D391&lt;&gt;"",OR(NOT(ISNUMBER(D391)),N(D391)&lt;0)),"Prix invalide",IF(AND(E391&lt;&gt;"",OR(NOT(ISNUMBER(E391)),N(E391)&lt;0,N(E391)&gt;=1)),"Perte entre 0 et 99 %","OK")))))))</f>
        <v/>
      </c>
    </row>
    <row r="392">
      <c r="A392" s="60" t="n"/>
      <c r="B392" s="60" t="n"/>
      <c r="C392" s="61" t="n"/>
      <c r="D392" s="64" t="n"/>
      <c r="E392" s="65" t="n"/>
      <c r="F392" s="60" t="n"/>
      <c r="G392" s="100" t="n"/>
      <c r="H392" s="69" t="str">
        <f>IF(A392="","",IF(NOT(ISNUMBER(G392)),"Date à saisir",IF(EDATE(G392,N(p_age))&lt;TODAY(),"Ancien","À jour")))</f>
        <v/>
      </c>
      <c r="I392" s="69" t="str">
        <f>IF(AND(A392="",COUNTA(B392:G392)=0),"",IF(A392="","Référence manquante",IF(COUNTIF($A$6:$A$505,A392)&gt;1,"Référence en double",IF(C392="","Unité manquante",IF(D392="","Prix manquant",IF(AND(D392&lt;&gt;"",OR(NOT(ISNUMBER(D392)),N(D392)&lt;0)),"Prix invalide",IF(AND(E392&lt;&gt;"",OR(NOT(ISNUMBER(E392)),N(E392)&lt;0,N(E392)&gt;=1)),"Perte entre 0 et 99 %","OK")))))))</f>
        <v/>
      </c>
    </row>
    <row r="393">
      <c r="A393" s="60" t="n"/>
      <c r="B393" s="60" t="n"/>
      <c r="C393" s="61" t="n"/>
      <c r="D393" s="64" t="n"/>
      <c r="E393" s="65" t="n"/>
      <c r="F393" s="60" t="n"/>
      <c r="G393" s="100" t="n"/>
      <c r="H393" s="69" t="str">
        <f>IF(A393="","",IF(NOT(ISNUMBER(G393)),"Date à saisir",IF(EDATE(G393,N(p_age))&lt;TODAY(),"Ancien","À jour")))</f>
        <v/>
      </c>
      <c r="I393" s="69" t="str">
        <f>IF(AND(A393="",COUNTA(B393:G393)=0),"",IF(A393="","Référence manquante",IF(COUNTIF($A$6:$A$505,A393)&gt;1,"Référence en double",IF(C393="","Unité manquante",IF(D393="","Prix manquant",IF(AND(D393&lt;&gt;"",OR(NOT(ISNUMBER(D393)),N(D393)&lt;0)),"Prix invalide",IF(AND(E393&lt;&gt;"",OR(NOT(ISNUMBER(E393)),N(E393)&lt;0,N(E393)&gt;=1)),"Perte entre 0 et 99 %","OK")))))))</f>
        <v/>
      </c>
    </row>
    <row r="394">
      <c r="A394" s="60" t="n"/>
      <c r="B394" s="60" t="n"/>
      <c r="C394" s="61" t="n"/>
      <c r="D394" s="64" t="n"/>
      <c r="E394" s="65" t="n"/>
      <c r="F394" s="60" t="n"/>
      <c r="G394" s="100" t="n"/>
      <c r="H394" s="69" t="str">
        <f>IF(A394="","",IF(NOT(ISNUMBER(G394)),"Date à saisir",IF(EDATE(G394,N(p_age))&lt;TODAY(),"Ancien","À jour")))</f>
        <v/>
      </c>
      <c r="I394" s="69" t="str">
        <f>IF(AND(A394="",COUNTA(B394:G394)=0),"",IF(A394="","Référence manquante",IF(COUNTIF($A$6:$A$505,A394)&gt;1,"Référence en double",IF(C394="","Unité manquante",IF(D394="","Prix manquant",IF(AND(D394&lt;&gt;"",OR(NOT(ISNUMBER(D394)),N(D394)&lt;0)),"Prix invalide",IF(AND(E394&lt;&gt;"",OR(NOT(ISNUMBER(E394)),N(E394)&lt;0,N(E394)&gt;=1)),"Perte entre 0 et 99 %","OK")))))))</f>
        <v/>
      </c>
    </row>
    <row r="395">
      <c r="A395" s="60" t="n"/>
      <c r="B395" s="60" t="n"/>
      <c r="C395" s="61" t="n"/>
      <c r="D395" s="64" t="n"/>
      <c r="E395" s="65" t="n"/>
      <c r="F395" s="60" t="n"/>
      <c r="G395" s="100" t="n"/>
      <c r="H395" s="69" t="str">
        <f>IF(A395="","",IF(NOT(ISNUMBER(G395)),"Date à saisir",IF(EDATE(G395,N(p_age))&lt;TODAY(),"Ancien","À jour")))</f>
        <v/>
      </c>
      <c r="I395" s="69" t="str">
        <f>IF(AND(A395="",COUNTA(B395:G395)=0),"",IF(A395="","Référence manquante",IF(COUNTIF($A$6:$A$505,A395)&gt;1,"Référence en double",IF(C395="","Unité manquante",IF(D395="","Prix manquant",IF(AND(D395&lt;&gt;"",OR(NOT(ISNUMBER(D395)),N(D395)&lt;0)),"Prix invalide",IF(AND(E395&lt;&gt;"",OR(NOT(ISNUMBER(E395)),N(E395)&lt;0,N(E395)&gt;=1)),"Perte entre 0 et 99 %","OK")))))))</f>
        <v/>
      </c>
    </row>
    <row r="396">
      <c r="A396" s="60" t="n"/>
      <c r="B396" s="60" t="n"/>
      <c r="C396" s="61" t="n"/>
      <c r="D396" s="64" t="n"/>
      <c r="E396" s="65" t="n"/>
      <c r="F396" s="60" t="n"/>
      <c r="G396" s="100" t="n"/>
      <c r="H396" s="69" t="str">
        <f>IF(A396="","",IF(NOT(ISNUMBER(G396)),"Date à saisir",IF(EDATE(G396,N(p_age))&lt;TODAY(),"Ancien","À jour")))</f>
        <v/>
      </c>
      <c r="I396" s="69" t="str">
        <f>IF(AND(A396="",COUNTA(B396:G396)=0),"",IF(A396="","Référence manquante",IF(COUNTIF($A$6:$A$505,A396)&gt;1,"Référence en double",IF(C396="","Unité manquante",IF(D396="","Prix manquant",IF(AND(D396&lt;&gt;"",OR(NOT(ISNUMBER(D396)),N(D396)&lt;0)),"Prix invalide",IF(AND(E396&lt;&gt;"",OR(NOT(ISNUMBER(E396)),N(E396)&lt;0,N(E396)&gt;=1)),"Perte entre 0 et 99 %","OK")))))))</f>
        <v/>
      </c>
    </row>
    <row r="397">
      <c r="A397" s="60" t="n"/>
      <c r="B397" s="60" t="n"/>
      <c r="C397" s="61" t="n"/>
      <c r="D397" s="64" t="n"/>
      <c r="E397" s="65" t="n"/>
      <c r="F397" s="60" t="n"/>
      <c r="G397" s="100" t="n"/>
      <c r="H397" s="69" t="str">
        <f>IF(A397="","",IF(NOT(ISNUMBER(G397)),"Date à saisir",IF(EDATE(G397,N(p_age))&lt;TODAY(),"Ancien","À jour")))</f>
        <v/>
      </c>
      <c r="I397" s="69" t="str">
        <f>IF(AND(A397="",COUNTA(B397:G397)=0),"",IF(A397="","Référence manquante",IF(COUNTIF($A$6:$A$505,A397)&gt;1,"Référence en double",IF(C397="","Unité manquante",IF(D397="","Prix manquant",IF(AND(D397&lt;&gt;"",OR(NOT(ISNUMBER(D397)),N(D397)&lt;0)),"Prix invalide",IF(AND(E397&lt;&gt;"",OR(NOT(ISNUMBER(E397)),N(E397)&lt;0,N(E397)&gt;=1)),"Perte entre 0 et 99 %","OK")))))))</f>
        <v/>
      </c>
    </row>
    <row r="398">
      <c r="A398" s="60" t="n"/>
      <c r="B398" s="60" t="n"/>
      <c r="C398" s="61" t="n"/>
      <c r="D398" s="64" t="n"/>
      <c r="E398" s="65" t="n"/>
      <c r="F398" s="60" t="n"/>
      <c r="G398" s="100" t="n"/>
      <c r="H398" s="69" t="str">
        <f>IF(A398="","",IF(NOT(ISNUMBER(G398)),"Date à saisir",IF(EDATE(G398,N(p_age))&lt;TODAY(),"Ancien","À jour")))</f>
        <v/>
      </c>
      <c r="I398" s="69" t="str">
        <f>IF(AND(A398="",COUNTA(B398:G398)=0),"",IF(A398="","Référence manquante",IF(COUNTIF($A$6:$A$505,A398)&gt;1,"Référence en double",IF(C398="","Unité manquante",IF(D398="","Prix manquant",IF(AND(D398&lt;&gt;"",OR(NOT(ISNUMBER(D398)),N(D398)&lt;0)),"Prix invalide",IF(AND(E398&lt;&gt;"",OR(NOT(ISNUMBER(E398)),N(E398)&lt;0,N(E398)&gt;=1)),"Perte entre 0 et 99 %","OK")))))))</f>
        <v/>
      </c>
    </row>
    <row r="399">
      <c r="A399" s="60" t="n"/>
      <c r="B399" s="60" t="n"/>
      <c r="C399" s="61" t="n"/>
      <c r="D399" s="64" t="n"/>
      <c r="E399" s="65" t="n"/>
      <c r="F399" s="60" t="n"/>
      <c r="G399" s="100" t="n"/>
      <c r="H399" s="69" t="str">
        <f>IF(A399="","",IF(NOT(ISNUMBER(G399)),"Date à saisir",IF(EDATE(G399,N(p_age))&lt;TODAY(),"Ancien","À jour")))</f>
        <v/>
      </c>
      <c r="I399" s="69" t="str">
        <f>IF(AND(A399="",COUNTA(B399:G399)=0),"",IF(A399="","Référence manquante",IF(COUNTIF($A$6:$A$505,A399)&gt;1,"Référence en double",IF(C399="","Unité manquante",IF(D399="","Prix manquant",IF(AND(D399&lt;&gt;"",OR(NOT(ISNUMBER(D399)),N(D399)&lt;0)),"Prix invalide",IF(AND(E399&lt;&gt;"",OR(NOT(ISNUMBER(E399)),N(E399)&lt;0,N(E399)&gt;=1)),"Perte entre 0 et 99 %","OK")))))))</f>
        <v/>
      </c>
    </row>
    <row r="400">
      <c r="A400" s="60" t="n"/>
      <c r="B400" s="60" t="n"/>
      <c r="C400" s="61" t="n"/>
      <c r="D400" s="64" t="n"/>
      <c r="E400" s="65" t="n"/>
      <c r="F400" s="60" t="n"/>
      <c r="G400" s="100" t="n"/>
      <c r="H400" s="69" t="str">
        <f>IF(A400="","",IF(NOT(ISNUMBER(G400)),"Date à saisir",IF(EDATE(G400,N(p_age))&lt;TODAY(),"Ancien","À jour")))</f>
        <v/>
      </c>
      <c r="I400" s="69" t="str">
        <f>IF(AND(A400="",COUNTA(B400:G400)=0),"",IF(A400="","Référence manquante",IF(COUNTIF($A$6:$A$505,A400)&gt;1,"Référence en double",IF(C400="","Unité manquante",IF(D400="","Prix manquant",IF(AND(D400&lt;&gt;"",OR(NOT(ISNUMBER(D400)),N(D400)&lt;0)),"Prix invalide",IF(AND(E400&lt;&gt;"",OR(NOT(ISNUMBER(E400)),N(E400)&lt;0,N(E400)&gt;=1)),"Perte entre 0 et 99 %","OK")))))))</f>
        <v/>
      </c>
    </row>
    <row r="401">
      <c r="A401" s="60" t="n"/>
      <c r="B401" s="60" t="n"/>
      <c r="C401" s="61" t="n"/>
      <c r="D401" s="64" t="n"/>
      <c r="E401" s="65" t="n"/>
      <c r="F401" s="60" t="n"/>
      <c r="G401" s="100" t="n"/>
      <c r="H401" s="69" t="str">
        <f>IF(A401="","",IF(NOT(ISNUMBER(G401)),"Date à saisir",IF(EDATE(G401,N(p_age))&lt;TODAY(),"Ancien","À jour")))</f>
        <v/>
      </c>
      <c r="I401" s="69" t="str">
        <f>IF(AND(A401="",COUNTA(B401:G401)=0),"",IF(A401="","Référence manquante",IF(COUNTIF($A$6:$A$505,A401)&gt;1,"Référence en double",IF(C401="","Unité manquante",IF(D401="","Prix manquant",IF(AND(D401&lt;&gt;"",OR(NOT(ISNUMBER(D401)),N(D401)&lt;0)),"Prix invalide",IF(AND(E401&lt;&gt;"",OR(NOT(ISNUMBER(E401)),N(E401)&lt;0,N(E401)&gt;=1)),"Perte entre 0 et 99 %","OK")))))))</f>
        <v/>
      </c>
    </row>
    <row r="402">
      <c r="A402" s="60" t="n"/>
      <c r="B402" s="60" t="n"/>
      <c r="C402" s="61" t="n"/>
      <c r="D402" s="64" t="n"/>
      <c r="E402" s="65" t="n"/>
      <c r="F402" s="60" t="n"/>
      <c r="G402" s="100" t="n"/>
      <c r="H402" s="69" t="str">
        <f>IF(A402="","",IF(NOT(ISNUMBER(G402)),"Date à saisir",IF(EDATE(G402,N(p_age))&lt;TODAY(),"Ancien","À jour")))</f>
        <v/>
      </c>
      <c r="I402" s="69" t="str">
        <f>IF(AND(A402="",COUNTA(B402:G402)=0),"",IF(A402="","Référence manquante",IF(COUNTIF($A$6:$A$505,A402)&gt;1,"Référence en double",IF(C402="","Unité manquante",IF(D402="","Prix manquant",IF(AND(D402&lt;&gt;"",OR(NOT(ISNUMBER(D402)),N(D402)&lt;0)),"Prix invalide",IF(AND(E402&lt;&gt;"",OR(NOT(ISNUMBER(E402)),N(E402)&lt;0,N(E402)&gt;=1)),"Perte entre 0 et 99 %","OK")))))))</f>
        <v/>
      </c>
    </row>
    <row r="403">
      <c r="A403" s="60" t="n"/>
      <c r="B403" s="60" t="n"/>
      <c r="C403" s="61" t="n"/>
      <c r="D403" s="64" t="n"/>
      <c r="E403" s="65" t="n"/>
      <c r="F403" s="60" t="n"/>
      <c r="G403" s="100" t="n"/>
      <c r="H403" s="69" t="str">
        <f>IF(A403="","",IF(NOT(ISNUMBER(G403)),"Date à saisir",IF(EDATE(G403,N(p_age))&lt;TODAY(),"Ancien","À jour")))</f>
        <v/>
      </c>
      <c r="I403" s="69" t="str">
        <f>IF(AND(A403="",COUNTA(B403:G403)=0),"",IF(A403="","Référence manquante",IF(COUNTIF($A$6:$A$505,A403)&gt;1,"Référence en double",IF(C403="","Unité manquante",IF(D403="","Prix manquant",IF(AND(D403&lt;&gt;"",OR(NOT(ISNUMBER(D403)),N(D403)&lt;0)),"Prix invalide",IF(AND(E403&lt;&gt;"",OR(NOT(ISNUMBER(E403)),N(E403)&lt;0,N(E403)&gt;=1)),"Perte entre 0 et 99 %","OK")))))))</f>
        <v/>
      </c>
    </row>
    <row r="404">
      <c r="A404" s="60" t="n"/>
      <c r="B404" s="60" t="n"/>
      <c r="C404" s="61" t="n"/>
      <c r="D404" s="64" t="n"/>
      <c r="E404" s="65" t="n"/>
      <c r="F404" s="60" t="n"/>
      <c r="G404" s="100" t="n"/>
      <c r="H404" s="69" t="str">
        <f>IF(A404="","",IF(NOT(ISNUMBER(G404)),"Date à saisir",IF(EDATE(G404,N(p_age))&lt;TODAY(),"Ancien","À jour")))</f>
        <v/>
      </c>
      <c r="I404" s="69" t="str">
        <f>IF(AND(A404="",COUNTA(B404:G404)=0),"",IF(A404="","Référence manquante",IF(COUNTIF($A$6:$A$505,A404)&gt;1,"Référence en double",IF(C404="","Unité manquante",IF(D404="","Prix manquant",IF(AND(D404&lt;&gt;"",OR(NOT(ISNUMBER(D404)),N(D404)&lt;0)),"Prix invalide",IF(AND(E404&lt;&gt;"",OR(NOT(ISNUMBER(E404)),N(E404)&lt;0,N(E404)&gt;=1)),"Perte entre 0 et 99 %","OK")))))))</f>
        <v/>
      </c>
    </row>
    <row r="405">
      <c r="A405" s="60" t="n"/>
      <c r="B405" s="60" t="n"/>
      <c r="C405" s="61" t="n"/>
      <c r="D405" s="64" t="n"/>
      <c r="E405" s="65" t="n"/>
      <c r="F405" s="60" t="n"/>
      <c r="G405" s="100" t="n"/>
      <c r="H405" s="69" t="str">
        <f>IF(A405="","",IF(NOT(ISNUMBER(G405)),"Date à saisir",IF(EDATE(G405,N(p_age))&lt;TODAY(),"Ancien","À jour")))</f>
        <v/>
      </c>
      <c r="I405" s="69" t="str">
        <f>IF(AND(A405="",COUNTA(B405:G405)=0),"",IF(A405="","Référence manquante",IF(COUNTIF($A$6:$A$505,A405)&gt;1,"Référence en double",IF(C405="","Unité manquante",IF(D405="","Prix manquant",IF(AND(D405&lt;&gt;"",OR(NOT(ISNUMBER(D405)),N(D405)&lt;0)),"Prix invalide",IF(AND(E405&lt;&gt;"",OR(NOT(ISNUMBER(E405)),N(E405)&lt;0,N(E405)&gt;=1)),"Perte entre 0 et 99 %","OK")))))))</f>
        <v/>
      </c>
    </row>
    <row r="406">
      <c r="A406" s="60" t="n"/>
      <c r="B406" s="60" t="n"/>
      <c r="C406" s="61" t="n"/>
      <c r="D406" s="64" t="n"/>
      <c r="E406" s="65" t="n"/>
      <c r="F406" s="60" t="n"/>
      <c r="G406" s="100" t="n"/>
      <c r="H406" s="69" t="str">
        <f>IF(A406="","",IF(NOT(ISNUMBER(G406)),"Date à saisir",IF(EDATE(G406,N(p_age))&lt;TODAY(),"Ancien","À jour")))</f>
        <v/>
      </c>
      <c r="I406" s="69" t="str">
        <f>IF(AND(A406="",COUNTA(B406:G406)=0),"",IF(A406="","Référence manquante",IF(COUNTIF($A$6:$A$505,A406)&gt;1,"Référence en double",IF(C406="","Unité manquante",IF(D406="","Prix manquant",IF(AND(D406&lt;&gt;"",OR(NOT(ISNUMBER(D406)),N(D406)&lt;0)),"Prix invalide",IF(AND(E406&lt;&gt;"",OR(NOT(ISNUMBER(E406)),N(E406)&lt;0,N(E406)&gt;=1)),"Perte entre 0 et 99 %","OK")))))))</f>
        <v/>
      </c>
    </row>
    <row r="407">
      <c r="A407" s="60" t="n"/>
      <c r="B407" s="60" t="n"/>
      <c r="C407" s="61" t="n"/>
      <c r="D407" s="64" t="n"/>
      <c r="E407" s="65" t="n"/>
      <c r="F407" s="60" t="n"/>
      <c r="G407" s="100" t="n"/>
      <c r="H407" s="69" t="str">
        <f>IF(A407="","",IF(NOT(ISNUMBER(G407)),"Date à saisir",IF(EDATE(G407,N(p_age))&lt;TODAY(),"Ancien","À jour")))</f>
        <v/>
      </c>
      <c r="I407" s="69" t="str">
        <f>IF(AND(A407="",COUNTA(B407:G407)=0),"",IF(A407="","Référence manquante",IF(COUNTIF($A$6:$A$505,A407)&gt;1,"Référence en double",IF(C407="","Unité manquante",IF(D407="","Prix manquant",IF(AND(D407&lt;&gt;"",OR(NOT(ISNUMBER(D407)),N(D407)&lt;0)),"Prix invalide",IF(AND(E407&lt;&gt;"",OR(NOT(ISNUMBER(E407)),N(E407)&lt;0,N(E407)&gt;=1)),"Perte entre 0 et 99 %","OK")))))))</f>
        <v/>
      </c>
    </row>
    <row r="408">
      <c r="A408" s="60" t="n"/>
      <c r="B408" s="60" t="n"/>
      <c r="C408" s="61" t="n"/>
      <c r="D408" s="64" t="n"/>
      <c r="E408" s="65" t="n"/>
      <c r="F408" s="60" t="n"/>
      <c r="G408" s="100" t="n"/>
      <c r="H408" s="69" t="str">
        <f>IF(A408="","",IF(NOT(ISNUMBER(G408)),"Date à saisir",IF(EDATE(G408,N(p_age))&lt;TODAY(),"Ancien","À jour")))</f>
        <v/>
      </c>
      <c r="I408" s="69" t="str">
        <f>IF(AND(A408="",COUNTA(B408:G408)=0),"",IF(A408="","Référence manquante",IF(COUNTIF($A$6:$A$505,A408)&gt;1,"Référence en double",IF(C408="","Unité manquante",IF(D408="","Prix manquant",IF(AND(D408&lt;&gt;"",OR(NOT(ISNUMBER(D408)),N(D408)&lt;0)),"Prix invalide",IF(AND(E408&lt;&gt;"",OR(NOT(ISNUMBER(E408)),N(E408)&lt;0,N(E408)&gt;=1)),"Perte entre 0 et 99 %","OK")))))))</f>
        <v/>
      </c>
    </row>
    <row r="409">
      <c r="A409" s="60" t="n"/>
      <c r="B409" s="60" t="n"/>
      <c r="C409" s="61" t="n"/>
      <c r="D409" s="64" t="n"/>
      <c r="E409" s="65" t="n"/>
      <c r="F409" s="60" t="n"/>
      <c r="G409" s="100" t="n"/>
      <c r="H409" s="69" t="str">
        <f>IF(A409="","",IF(NOT(ISNUMBER(G409)),"Date à saisir",IF(EDATE(G409,N(p_age))&lt;TODAY(),"Ancien","À jour")))</f>
        <v/>
      </c>
      <c r="I409" s="69" t="str">
        <f>IF(AND(A409="",COUNTA(B409:G409)=0),"",IF(A409="","Référence manquante",IF(COUNTIF($A$6:$A$505,A409)&gt;1,"Référence en double",IF(C409="","Unité manquante",IF(D409="","Prix manquant",IF(AND(D409&lt;&gt;"",OR(NOT(ISNUMBER(D409)),N(D409)&lt;0)),"Prix invalide",IF(AND(E409&lt;&gt;"",OR(NOT(ISNUMBER(E409)),N(E409)&lt;0,N(E409)&gt;=1)),"Perte entre 0 et 99 %","OK")))))))</f>
        <v/>
      </c>
    </row>
    <row r="410">
      <c r="A410" s="60" t="n"/>
      <c r="B410" s="60" t="n"/>
      <c r="C410" s="61" t="n"/>
      <c r="D410" s="64" t="n"/>
      <c r="E410" s="65" t="n"/>
      <c r="F410" s="60" t="n"/>
      <c r="G410" s="100" t="n"/>
      <c r="H410" s="69" t="str">
        <f>IF(A410="","",IF(NOT(ISNUMBER(G410)),"Date à saisir",IF(EDATE(G410,N(p_age))&lt;TODAY(),"Ancien","À jour")))</f>
        <v/>
      </c>
      <c r="I410" s="69" t="str">
        <f>IF(AND(A410="",COUNTA(B410:G410)=0),"",IF(A410="","Référence manquante",IF(COUNTIF($A$6:$A$505,A410)&gt;1,"Référence en double",IF(C410="","Unité manquante",IF(D410="","Prix manquant",IF(AND(D410&lt;&gt;"",OR(NOT(ISNUMBER(D410)),N(D410)&lt;0)),"Prix invalide",IF(AND(E410&lt;&gt;"",OR(NOT(ISNUMBER(E410)),N(E410)&lt;0,N(E410)&gt;=1)),"Perte entre 0 et 99 %","OK")))))))</f>
        <v/>
      </c>
    </row>
    <row r="411">
      <c r="A411" s="60" t="n"/>
      <c r="B411" s="60" t="n"/>
      <c r="C411" s="61" t="n"/>
      <c r="D411" s="64" t="n"/>
      <c r="E411" s="65" t="n"/>
      <c r="F411" s="60" t="n"/>
      <c r="G411" s="100" t="n"/>
      <c r="H411" s="69" t="str">
        <f>IF(A411="","",IF(NOT(ISNUMBER(G411)),"Date à saisir",IF(EDATE(G411,N(p_age))&lt;TODAY(),"Ancien","À jour")))</f>
        <v/>
      </c>
      <c r="I411" s="69" t="str">
        <f>IF(AND(A411="",COUNTA(B411:G411)=0),"",IF(A411="","Référence manquante",IF(COUNTIF($A$6:$A$505,A411)&gt;1,"Référence en double",IF(C411="","Unité manquante",IF(D411="","Prix manquant",IF(AND(D411&lt;&gt;"",OR(NOT(ISNUMBER(D411)),N(D411)&lt;0)),"Prix invalide",IF(AND(E411&lt;&gt;"",OR(NOT(ISNUMBER(E411)),N(E411)&lt;0,N(E411)&gt;=1)),"Perte entre 0 et 99 %","OK")))))))</f>
        <v/>
      </c>
    </row>
    <row r="412">
      <c r="A412" s="60" t="n"/>
      <c r="B412" s="60" t="n"/>
      <c r="C412" s="61" t="n"/>
      <c r="D412" s="64" t="n"/>
      <c r="E412" s="65" t="n"/>
      <c r="F412" s="60" t="n"/>
      <c r="G412" s="100" t="n"/>
      <c r="H412" s="69" t="str">
        <f>IF(A412="","",IF(NOT(ISNUMBER(G412)),"Date à saisir",IF(EDATE(G412,N(p_age))&lt;TODAY(),"Ancien","À jour")))</f>
        <v/>
      </c>
      <c r="I412" s="69" t="str">
        <f>IF(AND(A412="",COUNTA(B412:G412)=0),"",IF(A412="","Référence manquante",IF(COUNTIF($A$6:$A$505,A412)&gt;1,"Référence en double",IF(C412="","Unité manquante",IF(D412="","Prix manquant",IF(AND(D412&lt;&gt;"",OR(NOT(ISNUMBER(D412)),N(D412)&lt;0)),"Prix invalide",IF(AND(E412&lt;&gt;"",OR(NOT(ISNUMBER(E412)),N(E412)&lt;0,N(E412)&gt;=1)),"Perte entre 0 et 99 %","OK")))))))</f>
        <v/>
      </c>
    </row>
    <row r="413">
      <c r="A413" s="60" t="n"/>
      <c r="B413" s="60" t="n"/>
      <c r="C413" s="61" t="n"/>
      <c r="D413" s="64" t="n"/>
      <c r="E413" s="65" t="n"/>
      <c r="F413" s="60" t="n"/>
      <c r="G413" s="100" t="n"/>
      <c r="H413" s="69" t="str">
        <f>IF(A413="","",IF(NOT(ISNUMBER(G413)),"Date à saisir",IF(EDATE(G413,N(p_age))&lt;TODAY(),"Ancien","À jour")))</f>
        <v/>
      </c>
      <c r="I413" s="69" t="str">
        <f>IF(AND(A413="",COUNTA(B413:G413)=0),"",IF(A413="","Référence manquante",IF(COUNTIF($A$6:$A$505,A413)&gt;1,"Référence en double",IF(C413="","Unité manquante",IF(D413="","Prix manquant",IF(AND(D413&lt;&gt;"",OR(NOT(ISNUMBER(D413)),N(D413)&lt;0)),"Prix invalide",IF(AND(E413&lt;&gt;"",OR(NOT(ISNUMBER(E413)),N(E413)&lt;0,N(E413)&gt;=1)),"Perte entre 0 et 99 %","OK")))))))</f>
        <v/>
      </c>
    </row>
    <row r="414">
      <c r="A414" s="60" t="n"/>
      <c r="B414" s="60" t="n"/>
      <c r="C414" s="61" t="n"/>
      <c r="D414" s="64" t="n"/>
      <c r="E414" s="65" t="n"/>
      <c r="F414" s="60" t="n"/>
      <c r="G414" s="100" t="n"/>
      <c r="H414" s="69" t="str">
        <f>IF(A414="","",IF(NOT(ISNUMBER(G414)),"Date à saisir",IF(EDATE(G414,N(p_age))&lt;TODAY(),"Ancien","À jour")))</f>
        <v/>
      </c>
      <c r="I414" s="69" t="str">
        <f>IF(AND(A414="",COUNTA(B414:G414)=0),"",IF(A414="","Référence manquante",IF(COUNTIF($A$6:$A$505,A414)&gt;1,"Référence en double",IF(C414="","Unité manquante",IF(D414="","Prix manquant",IF(AND(D414&lt;&gt;"",OR(NOT(ISNUMBER(D414)),N(D414)&lt;0)),"Prix invalide",IF(AND(E414&lt;&gt;"",OR(NOT(ISNUMBER(E414)),N(E414)&lt;0,N(E414)&gt;=1)),"Perte entre 0 et 99 %","OK")))))))</f>
        <v/>
      </c>
    </row>
    <row r="415">
      <c r="A415" s="60" t="n"/>
      <c r="B415" s="60" t="n"/>
      <c r="C415" s="61" t="n"/>
      <c r="D415" s="64" t="n"/>
      <c r="E415" s="65" t="n"/>
      <c r="F415" s="60" t="n"/>
      <c r="G415" s="100" t="n"/>
      <c r="H415" s="69" t="str">
        <f>IF(A415="","",IF(NOT(ISNUMBER(G415)),"Date à saisir",IF(EDATE(G415,N(p_age))&lt;TODAY(),"Ancien","À jour")))</f>
        <v/>
      </c>
      <c r="I415" s="69" t="str">
        <f>IF(AND(A415="",COUNTA(B415:G415)=0),"",IF(A415="","Référence manquante",IF(COUNTIF($A$6:$A$505,A415)&gt;1,"Référence en double",IF(C415="","Unité manquante",IF(D415="","Prix manquant",IF(AND(D415&lt;&gt;"",OR(NOT(ISNUMBER(D415)),N(D415)&lt;0)),"Prix invalide",IF(AND(E415&lt;&gt;"",OR(NOT(ISNUMBER(E415)),N(E415)&lt;0,N(E415)&gt;=1)),"Perte entre 0 et 99 %","OK")))))))</f>
        <v/>
      </c>
    </row>
    <row r="416">
      <c r="A416" s="60" t="n"/>
      <c r="B416" s="60" t="n"/>
      <c r="C416" s="61" t="n"/>
      <c r="D416" s="64" t="n"/>
      <c r="E416" s="65" t="n"/>
      <c r="F416" s="60" t="n"/>
      <c r="G416" s="100" t="n"/>
      <c r="H416" s="69" t="str">
        <f>IF(A416="","",IF(NOT(ISNUMBER(G416)),"Date à saisir",IF(EDATE(G416,N(p_age))&lt;TODAY(),"Ancien","À jour")))</f>
        <v/>
      </c>
      <c r="I416" s="69" t="str">
        <f>IF(AND(A416="",COUNTA(B416:G416)=0),"",IF(A416="","Référence manquante",IF(COUNTIF($A$6:$A$505,A416)&gt;1,"Référence en double",IF(C416="","Unité manquante",IF(D416="","Prix manquant",IF(AND(D416&lt;&gt;"",OR(NOT(ISNUMBER(D416)),N(D416)&lt;0)),"Prix invalide",IF(AND(E416&lt;&gt;"",OR(NOT(ISNUMBER(E416)),N(E416)&lt;0,N(E416)&gt;=1)),"Perte entre 0 et 99 %","OK")))))))</f>
        <v/>
      </c>
    </row>
    <row r="417">
      <c r="A417" s="60" t="n"/>
      <c r="B417" s="60" t="n"/>
      <c r="C417" s="61" t="n"/>
      <c r="D417" s="64" t="n"/>
      <c r="E417" s="65" t="n"/>
      <c r="F417" s="60" t="n"/>
      <c r="G417" s="100" t="n"/>
      <c r="H417" s="69" t="str">
        <f>IF(A417="","",IF(NOT(ISNUMBER(G417)),"Date à saisir",IF(EDATE(G417,N(p_age))&lt;TODAY(),"Ancien","À jour")))</f>
        <v/>
      </c>
      <c r="I417" s="69" t="str">
        <f>IF(AND(A417="",COUNTA(B417:G417)=0),"",IF(A417="","Référence manquante",IF(COUNTIF($A$6:$A$505,A417)&gt;1,"Référence en double",IF(C417="","Unité manquante",IF(D417="","Prix manquant",IF(AND(D417&lt;&gt;"",OR(NOT(ISNUMBER(D417)),N(D417)&lt;0)),"Prix invalide",IF(AND(E417&lt;&gt;"",OR(NOT(ISNUMBER(E417)),N(E417)&lt;0,N(E417)&gt;=1)),"Perte entre 0 et 99 %","OK")))))))</f>
        <v/>
      </c>
    </row>
    <row r="418">
      <c r="A418" s="60" t="n"/>
      <c r="B418" s="60" t="n"/>
      <c r="C418" s="61" t="n"/>
      <c r="D418" s="64" t="n"/>
      <c r="E418" s="65" t="n"/>
      <c r="F418" s="60" t="n"/>
      <c r="G418" s="100" t="n"/>
      <c r="H418" s="69" t="str">
        <f>IF(A418="","",IF(NOT(ISNUMBER(G418)),"Date à saisir",IF(EDATE(G418,N(p_age))&lt;TODAY(),"Ancien","À jour")))</f>
        <v/>
      </c>
      <c r="I418" s="69" t="str">
        <f>IF(AND(A418="",COUNTA(B418:G418)=0),"",IF(A418="","Référence manquante",IF(COUNTIF($A$6:$A$505,A418)&gt;1,"Référence en double",IF(C418="","Unité manquante",IF(D418="","Prix manquant",IF(AND(D418&lt;&gt;"",OR(NOT(ISNUMBER(D418)),N(D418)&lt;0)),"Prix invalide",IF(AND(E418&lt;&gt;"",OR(NOT(ISNUMBER(E418)),N(E418)&lt;0,N(E418)&gt;=1)),"Perte entre 0 et 99 %","OK")))))))</f>
        <v/>
      </c>
    </row>
    <row r="419">
      <c r="A419" s="60" t="n"/>
      <c r="B419" s="60" t="n"/>
      <c r="C419" s="61" t="n"/>
      <c r="D419" s="64" t="n"/>
      <c r="E419" s="65" t="n"/>
      <c r="F419" s="60" t="n"/>
      <c r="G419" s="100" t="n"/>
      <c r="H419" s="69" t="str">
        <f>IF(A419="","",IF(NOT(ISNUMBER(G419)),"Date à saisir",IF(EDATE(G419,N(p_age))&lt;TODAY(),"Ancien","À jour")))</f>
        <v/>
      </c>
      <c r="I419" s="69" t="str">
        <f>IF(AND(A419="",COUNTA(B419:G419)=0),"",IF(A419="","Référence manquante",IF(COUNTIF($A$6:$A$505,A419)&gt;1,"Référence en double",IF(C419="","Unité manquante",IF(D419="","Prix manquant",IF(AND(D419&lt;&gt;"",OR(NOT(ISNUMBER(D419)),N(D419)&lt;0)),"Prix invalide",IF(AND(E419&lt;&gt;"",OR(NOT(ISNUMBER(E419)),N(E419)&lt;0,N(E419)&gt;=1)),"Perte entre 0 et 99 %","OK")))))))</f>
        <v/>
      </c>
    </row>
    <row r="420">
      <c r="A420" s="60" t="n"/>
      <c r="B420" s="60" t="n"/>
      <c r="C420" s="61" t="n"/>
      <c r="D420" s="64" t="n"/>
      <c r="E420" s="65" t="n"/>
      <c r="F420" s="60" t="n"/>
      <c r="G420" s="100" t="n"/>
      <c r="H420" s="69" t="str">
        <f>IF(A420="","",IF(NOT(ISNUMBER(G420)),"Date à saisir",IF(EDATE(G420,N(p_age))&lt;TODAY(),"Ancien","À jour")))</f>
        <v/>
      </c>
      <c r="I420" s="69" t="str">
        <f>IF(AND(A420="",COUNTA(B420:G420)=0),"",IF(A420="","Référence manquante",IF(COUNTIF($A$6:$A$505,A420)&gt;1,"Référence en double",IF(C420="","Unité manquante",IF(D420="","Prix manquant",IF(AND(D420&lt;&gt;"",OR(NOT(ISNUMBER(D420)),N(D420)&lt;0)),"Prix invalide",IF(AND(E420&lt;&gt;"",OR(NOT(ISNUMBER(E420)),N(E420)&lt;0,N(E420)&gt;=1)),"Perte entre 0 et 99 %","OK")))))))</f>
        <v/>
      </c>
    </row>
    <row r="421">
      <c r="A421" s="60" t="n"/>
      <c r="B421" s="60" t="n"/>
      <c r="C421" s="61" t="n"/>
      <c r="D421" s="64" t="n"/>
      <c r="E421" s="65" t="n"/>
      <c r="F421" s="60" t="n"/>
      <c r="G421" s="100" t="n"/>
      <c r="H421" s="69" t="str">
        <f>IF(A421="","",IF(NOT(ISNUMBER(G421)),"Date à saisir",IF(EDATE(G421,N(p_age))&lt;TODAY(),"Ancien","À jour")))</f>
        <v/>
      </c>
      <c r="I421" s="69" t="str">
        <f>IF(AND(A421="",COUNTA(B421:G421)=0),"",IF(A421="","Référence manquante",IF(COUNTIF($A$6:$A$505,A421)&gt;1,"Référence en double",IF(C421="","Unité manquante",IF(D421="","Prix manquant",IF(AND(D421&lt;&gt;"",OR(NOT(ISNUMBER(D421)),N(D421)&lt;0)),"Prix invalide",IF(AND(E421&lt;&gt;"",OR(NOT(ISNUMBER(E421)),N(E421)&lt;0,N(E421)&gt;=1)),"Perte entre 0 et 99 %","OK")))))))</f>
        <v/>
      </c>
    </row>
    <row r="422">
      <c r="A422" s="60" t="n"/>
      <c r="B422" s="60" t="n"/>
      <c r="C422" s="61" t="n"/>
      <c r="D422" s="64" t="n"/>
      <c r="E422" s="65" t="n"/>
      <c r="F422" s="60" t="n"/>
      <c r="G422" s="100" t="n"/>
      <c r="H422" s="69" t="str">
        <f>IF(A422="","",IF(NOT(ISNUMBER(G422)),"Date à saisir",IF(EDATE(G422,N(p_age))&lt;TODAY(),"Ancien","À jour")))</f>
        <v/>
      </c>
      <c r="I422" s="69" t="str">
        <f>IF(AND(A422="",COUNTA(B422:G422)=0),"",IF(A422="","Référence manquante",IF(COUNTIF($A$6:$A$505,A422)&gt;1,"Référence en double",IF(C422="","Unité manquante",IF(D422="","Prix manquant",IF(AND(D422&lt;&gt;"",OR(NOT(ISNUMBER(D422)),N(D422)&lt;0)),"Prix invalide",IF(AND(E422&lt;&gt;"",OR(NOT(ISNUMBER(E422)),N(E422)&lt;0,N(E422)&gt;=1)),"Perte entre 0 et 99 %","OK")))))))</f>
        <v/>
      </c>
    </row>
    <row r="423">
      <c r="A423" s="60" t="n"/>
      <c r="B423" s="60" t="n"/>
      <c r="C423" s="61" t="n"/>
      <c r="D423" s="64" t="n"/>
      <c r="E423" s="65" t="n"/>
      <c r="F423" s="60" t="n"/>
      <c r="G423" s="100" t="n"/>
      <c r="H423" s="69" t="str">
        <f>IF(A423="","",IF(NOT(ISNUMBER(G423)),"Date à saisir",IF(EDATE(G423,N(p_age))&lt;TODAY(),"Ancien","À jour")))</f>
        <v/>
      </c>
      <c r="I423" s="69" t="str">
        <f>IF(AND(A423="",COUNTA(B423:G423)=0),"",IF(A423="","Référence manquante",IF(COUNTIF($A$6:$A$505,A423)&gt;1,"Référence en double",IF(C423="","Unité manquante",IF(D423="","Prix manquant",IF(AND(D423&lt;&gt;"",OR(NOT(ISNUMBER(D423)),N(D423)&lt;0)),"Prix invalide",IF(AND(E423&lt;&gt;"",OR(NOT(ISNUMBER(E423)),N(E423)&lt;0,N(E423)&gt;=1)),"Perte entre 0 et 99 %","OK")))))))</f>
        <v/>
      </c>
    </row>
    <row r="424">
      <c r="A424" s="60" t="n"/>
      <c r="B424" s="60" t="n"/>
      <c r="C424" s="61" t="n"/>
      <c r="D424" s="64" t="n"/>
      <c r="E424" s="65" t="n"/>
      <c r="F424" s="60" t="n"/>
      <c r="G424" s="100" t="n"/>
      <c r="H424" s="69" t="str">
        <f>IF(A424="","",IF(NOT(ISNUMBER(G424)),"Date à saisir",IF(EDATE(G424,N(p_age))&lt;TODAY(),"Ancien","À jour")))</f>
        <v/>
      </c>
      <c r="I424" s="69" t="str">
        <f>IF(AND(A424="",COUNTA(B424:G424)=0),"",IF(A424="","Référence manquante",IF(COUNTIF($A$6:$A$505,A424)&gt;1,"Référence en double",IF(C424="","Unité manquante",IF(D424="","Prix manquant",IF(AND(D424&lt;&gt;"",OR(NOT(ISNUMBER(D424)),N(D424)&lt;0)),"Prix invalide",IF(AND(E424&lt;&gt;"",OR(NOT(ISNUMBER(E424)),N(E424)&lt;0,N(E424)&gt;=1)),"Perte entre 0 et 99 %","OK")))))))</f>
        <v/>
      </c>
    </row>
    <row r="425">
      <c r="A425" s="60" t="n"/>
      <c r="B425" s="60" t="n"/>
      <c r="C425" s="61" t="n"/>
      <c r="D425" s="64" t="n"/>
      <c r="E425" s="65" t="n"/>
      <c r="F425" s="60" t="n"/>
      <c r="G425" s="100" t="n"/>
      <c r="H425" s="69" t="str">
        <f>IF(A425="","",IF(NOT(ISNUMBER(G425)),"Date à saisir",IF(EDATE(G425,N(p_age))&lt;TODAY(),"Ancien","À jour")))</f>
        <v/>
      </c>
      <c r="I425" s="69" t="str">
        <f>IF(AND(A425="",COUNTA(B425:G425)=0),"",IF(A425="","Référence manquante",IF(COUNTIF($A$6:$A$505,A425)&gt;1,"Référence en double",IF(C425="","Unité manquante",IF(D425="","Prix manquant",IF(AND(D425&lt;&gt;"",OR(NOT(ISNUMBER(D425)),N(D425)&lt;0)),"Prix invalide",IF(AND(E425&lt;&gt;"",OR(NOT(ISNUMBER(E425)),N(E425)&lt;0,N(E425)&gt;=1)),"Perte entre 0 et 99 %","OK")))))))</f>
        <v/>
      </c>
    </row>
    <row r="426">
      <c r="A426" s="60" t="n"/>
      <c r="B426" s="60" t="n"/>
      <c r="C426" s="61" t="n"/>
      <c r="D426" s="64" t="n"/>
      <c r="E426" s="65" t="n"/>
      <c r="F426" s="60" t="n"/>
      <c r="G426" s="100" t="n"/>
      <c r="H426" s="69" t="str">
        <f>IF(A426="","",IF(NOT(ISNUMBER(G426)),"Date à saisir",IF(EDATE(G426,N(p_age))&lt;TODAY(),"Ancien","À jour")))</f>
        <v/>
      </c>
      <c r="I426" s="69" t="str">
        <f>IF(AND(A426="",COUNTA(B426:G426)=0),"",IF(A426="","Référence manquante",IF(COUNTIF($A$6:$A$505,A426)&gt;1,"Référence en double",IF(C426="","Unité manquante",IF(D426="","Prix manquant",IF(AND(D426&lt;&gt;"",OR(NOT(ISNUMBER(D426)),N(D426)&lt;0)),"Prix invalide",IF(AND(E426&lt;&gt;"",OR(NOT(ISNUMBER(E426)),N(E426)&lt;0,N(E426)&gt;=1)),"Perte entre 0 et 99 %","OK")))))))</f>
        <v/>
      </c>
    </row>
    <row r="427">
      <c r="A427" s="60" t="n"/>
      <c r="B427" s="60" t="n"/>
      <c r="C427" s="61" t="n"/>
      <c r="D427" s="64" t="n"/>
      <c r="E427" s="65" t="n"/>
      <c r="F427" s="60" t="n"/>
      <c r="G427" s="100" t="n"/>
      <c r="H427" s="69" t="str">
        <f>IF(A427="","",IF(NOT(ISNUMBER(G427)),"Date à saisir",IF(EDATE(G427,N(p_age))&lt;TODAY(),"Ancien","À jour")))</f>
        <v/>
      </c>
      <c r="I427" s="69" t="str">
        <f>IF(AND(A427="",COUNTA(B427:G427)=0),"",IF(A427="","Référence manquante",IF(COUNTIF($A$6:$A$505,A427)&gt;1,"Référence en double",IF(C427="","Unité manquante",IF(D427="","Prix manquant",IF(AND(D427&lt;&gt;"",OR(NOT(ISNUMBER(D427)),N(D427)&lt;0)),"Prix invalide",IF(AND(E427&lt;&gt;"",OR(NOT(ISNUMBER(E427)),N(E427)&lt;0,N(E427)&gt;=1)),"Perte entre 0 et 99 %","OK")))))))</f>
        <v/>
      </c>
    </row>
    <row r="428">
      <c r="A428" s="60" t="n"/>
      <c r="B428" s="60" t="n"/>
      <c r="C428" s="61" t="n"/>
      <c r="D428" s="64" t="n"/>
      <c r="E428" s="65" t="n"/>
      <c r="F428" s="60" t="n"/>
      <c r="G428" s="100" t="n"/>
      <c r="H428" s="69" t="str">
        <f>IF(A428="","",IF(NOT(ISNUMBER(G428)),"Date à saisir",IF(EDATE(G428,N(p_age))&lt;TODAY(),"Ancien","À jour")))</f>
        <v/>
      </c>
      <c r="I428" s="69" t="str">
        <f>IF(AND(A428="",COUNTA(B428:G428)=0),"",IF(A428="","Référence manquante",IF(COUNTIF($A$6:$A$505,A428)&gt;1,"Référence en double",IF(C428="","Unité manquante",IF(D428="","Prix manquant",IF(AND(D428&lt;&gt;"",OR(NOT(ISNUMBER(D428)),N(D428)&lt;0)),"Prix invalide",IF(AND(E428&lt;&gt;"",OR(NOT(ISNUMBER(E428)),N(E428)&lt;0,N(E428)&gt;=1)),"Perte entre 0 et 99 %","OK")))))))</f>
        <v/>
      </c>
    </row>
    <row r="429">
      <c r="A429" s="60" t="n"/>
      <c r="B429" s="60" t="n"/>
      <c r="C429" s="61" t="n"/>
      <c r="D429" s="64" t="n"/>
      <c r="E429" s="65" t="n"/>
      <c r="F429" s="60" t="n"/>
      <c r="G429" s="100" t="n"/>
      <c r="H429" s="69" t="str">
        <f>IF(A429="","",IF(NOT(ISNUMBER(G429)),"Date à saisir",IF(EDATE(G429,N(p_age))&lt;TODAY(),"Ancien","À jour")))</f>
        <v/>
      </c>
      <c r="I429" s="69" t="str">
        <f>IF(AND(A429="",COUNTA(B429:G429)=0),"",IF(A429="","Référence manquante",IF(COUNTIF($A$6:$A$505,A429)&gt;1,"Référence en double",IF(C429="","Unité manquante",IF(D429="","Prix manquant",IF(AND(D429&lt;&gt;"",OR(NOT(ISNUMBER(D429)),N(D429)&lt;0)),"Prix invalide",IF(AND(E429&lt;&gt;"",OR(NOT(ISNUMBER(E429)),N(E429)&lt;0,N(E429)&gt;=1)),"Perte entre 0 et 99 %","OK")))))))</f>
        <v/>
      </c>
    </row>
    <row r="430">
      <c r="A430" s="60" t="n"/>
      <c r="B430" s="60" t="n"/>
      <c r="C430" s="61" t="n"/>
      <c r="D430" s="64" t="n"/>
      <c r="E430" s="65" t="n"/>
      <c r="F430" s="60" t="n"/>
      <c r="G430" s="100" t="n"/>
      <c r="H430" s="69" t="str">
        <f>IF(A430="","",IF(NOT(ISNUMBER(G430)),"Date à saisir",IF(EDATE(G430,N(p_age))&lt;TODAY(),"Ancien","À jour")))</f>
        <v/>
      </c>
      <c r="I430" s="69" t="str">
        <f>IF(AND(A430="",COUNTA(B430:G430)=0),"",IF(A430="","Référence manquante",IF(COUNTIF($A$6:$A$505,A430)&gt;1,"Référence en double",IF(C430="","Unité manquante",IF(D430="","Prix manquant",IF(AND(D430&lt;&gt;"",OR(NOT(ISNUMBER(D430)),N(D430)&lt;0)),"Prix invalide",IF(AND(E430&lt;&gt;"",OR(NOT(ISNUMBER(E430)),N(E430)&lt;0,N(E430)&gt;=1)),"Perte entre 0 et 99 %","OK")))))))</f>
        <v/>
      </c>
    </row>
    <row r="431">
      <c r="A431" s="60" t="n"/>
      <c r="B431" s="60" t="n"/>
      <c r="C431" s="61" t="n"/>
      <c r="D431" s="64" t="n"/>
      <c r="E431" s="65" t="n"/>
      <c r="F431" s="60" t="n"/>
      <c r="G431" s="100" t="n"/>
      <c r="H431" s="69" t="str">
        <f>IF(A431="","",IF(NOT(ISNUMBER(G431)),"Date à saisir",IF(EDATE(G431,N(p_age))&lt;TODAY(),"Ancien","À jour")))</f>
        <v/>
      </c>
      <c r="I431" s="69" t="str">
        <f>IF(AND(A431="",COUNTA(B431:G431)=0),"",IF(A431="","Référence manquante",IF(COUNTIF($A$6:$A$505,A431)&gt;1,"Référence en double",IF(C431="","Unité manquante",IF(D431="","Prix manquant",IF(AND(D431&lt;&gt;"",OR(NOT(ISNUMBER(D431)),N(D431)&lt;0)),"Prix invalide",IF(AND(E431&lt;&gt;"",OR(NOT(ISNUMBER(E431)),N(E431)&lt;0,N(E431)&gt;=1)),"Perte entre 0 et 99 %","OK")))))))</f>
        <v/>
      </c>
    </row>
    <row r="432">
      <c r="A432" s="60" t="n"/>
      <c r="B432" s="60" t="n"/>
      <c r="C432" s="61" t="n"/>
      <c r="D432" s="64" t="n"/>
      <c r="E432" s="65" t="n"/>
      <c r="F432" s="60" t="n"/>
      <c r="G432" s="100" t="n"/>
      <c r="H432" s="69" t="str">
        <f>IF(A432="","",IF(NOT(ISNUMBER(G432)),"Date à saisir",IF(EDATE(G432,N(p_age))&lt;TODAY(),"Ancien","À jour")))</f>
        <v/>
      </c>
      <c r="I432" s="69" t="str">
        <f>IF(AND(A432="",COUNTA(B432:G432)=0),"",IF(A432="","Référence manquante",IF(COUNTIF($A$6:$A$505,A432)&gt;1,"Référence en double",IF(C432="","Unité manquante",IF(D432="","Prix manquant",IF(AND(D432&lt;&gt;"",OR(NOT(ISNUMBER(D432)),N(D432)&lt;0)),"Prix invalide",IF(AND(E432&lt;&gt;"",OR(NOT(ISNUMBER(E432)),N(E432)&lt;0,N(E432)&gt;=1)),"Perte entre 0 et 99 %","OK")))))))</f>
        <v/>
      </c>
    </row>
    <row r="433">
      <c r="A433" s="60" t="n"/>
      <c r="B433" s="60" t="n"/>
      <c r="C433" s="61" t="n"/>
      <c r="D433" s="64" t="n"/>
      <c r="E433" s="65" t="n"/>
      <c r="F433" s="60" t="n"/>
      <c r="G433" s="100" t="n"/>
      <c r="H433" s="69" t="str">
        <f>IF(A433="","",IF(NOT(ISNUMBER(G433)),"Date à saisir",IF(EDATE(G433,N(p_age))&lt;TODAY(),"Ancien","À jour")))</f>
        <v/>
      </c>
      <c r="I433" s="69" t="str">
        <f>IF(AND(A433="",COUNTA(B433:G433)=0),"",IF(A433="","Référence manquante",IF(COUNTIF($A$6:$A$505,A433)&gt;1,"Référence en double",IF(C433="","Unité manquante",IF(D433="","Prix manquant",IF(AND(D433&lt;&gt;"",OR(NOT(ISNUMBER(D433)),N(D433)&lt;0)),"Prix invalide",IF(AND(E433&lt;&gt;"",OR(NOT(ISNUMBER(E433)),N(E433)&lt;0,N(E433)&gt;=1)),"Perte entre 0 et 99 %","OK")))))))</f>
        <v/>
      </c>
    </row>
    <row r="434">
      <c r="A434" s="60" t="n"/>
      <c r="B434" s="60" t="n"/>
      <c r="C434" s="61" t="n"/>
      <c r="D434" s="64" t="n"/>
      <c r="E434" s="65" t="n"/>
      <c r="F434" s="60" t="n"/>
      <c r="G434" s="100" t="n"/>
      <c r="H434" s="69" t="str">
        <f>IF(A434="","",IF(NOT(ISNUMBER(G434)),"Date à saisir",IF(EDATE(G434,N(p_age))&lt;TODAY(),"Ancien","À jour")))</f>
        <v/>
      </c>
      <c r="I434" s="69" t="str">
        <f>IF(AND(A434="",COUNTA(B434:G434)=0),"",IF(A434="","Référence manquante",IF(COUNTIF($A$6:$A$505,A434)&gt;1,"Référence en double",IF(C434="","Unité manquante",IF(D434="","Prix manquant",IF(AND(D434&lt;&gt;"",OR(NOT(ISNUMBER(D434)),N(D434)&lt;0)),"Prix invalide",IF(AND(E434&lt;&gt;"",OR(NOT(ISNUMBER(E434)),N(E434)&lt;0,N(E434)&gt;=1)),"Perte entre 0 et 99 %","OK")))))))</f>
        <v/>
      </c>
    </row>
    <row r="435">
      <c r="A435" s="60" t="n"/>
      <c r="B435" s="60" t="n"/>
      <c r="C435" s="61" t="n"/>
      <c r="D435" s="64" t="n"/>
      <c r="E435" s="65" t="n"/>
      <c r="F435" s="60" t="n"/>
      <c r="G435" s="100" t="n"/>
      <c r="H435" s="69" t="str">
        <f>IF(A435="","",IF(NOT(ISNUMBER(G435)),"Date à saisir",IF(EDATE(G435,N(p_age))&lt;TODAY(),"Ancien","À jour")))</f>
        <v/>
      </c>
      <c r="I435" s="69" t="str">
        <f>IF(AND(A435="",COUNTA(B435:G435)=0),"",IF(A435="","Référence manquante",IF(COUNTIF($A$6:$A$505,A435)&gt;1,"Référence en double",IF(C435="","Unité manquante",IF(D435="","Prix manquant",IF(AND(D435&lt;&gt;"",OR(NOT(ISNUMBER(D435)),N(D435)&lt;0)),"Prix invalide",IF(AND(E435&lt;&gt;"",OR(NOT(ISNUMBER(E435)),N(E435)&lt;0,N(E435)&gt;=1)),"Perte entre 0 et 99 %","OK")))))))</f>
        <v/>
      </c>
    </row>
    <row r="436">
      <c r="A436" s="60" t="n"/>
      <c r="B436" s="60" t="n"/>
      <c r="C436" s="61" t="n"/>
      <c r="D436" s="64" t="n"/>
      <c r="E436" s="65" t="n"/>
      <c r="F436" s="60" t="n"/>
      <c r="G436" s="100" t="n"/>
      <c r="H436" s="69" t="str">
        <f>IF(A436="","",IF(NOT(ISNUMBER(G436)),"Date à saisir",IF(EDATE(G436,N(p_age))&lt;TODAY(),"Ancien","À jour")))</f>
        <v/>
      </c>
      <c r="I436" s="69" t="str">
        <f>IF(AND(A436="",COUNTA(B436:G436)=0),"",IF(A436="","Référence manquante",IF(COUNTIF($A$6:$A$505,A436)&gt;1,"Référence en double",IF(C436="","Unité manquante",IF(D436="","Prix manquant",IF(AND(D436&lt;&gt;"",OR(NOT(ISNUMBER(D436)),N(D436)&lt;0)),"Prix invalide",IF(AND(E436&lt;&gt;"",OR(NOT(ISNUMBER(E436)),N(E436)&lt;0,N(E436)&gt;=1)),"Perte entre 0 et 99 %","OK")))))))</f>
        <v/>
      </c>
    </row>
    <row r="437">
      <c r="A437" s="60" t="n"/>
      <c r="B437" s="60" t="n"/>
      <c r="C437" s="61" t="n"/>
      <c r="D437" s="64" t="n"/>
      <c r="E437" s="65" t="n"/>
      <c r="F437" s="60" t="n"/>
      <c r="G437" s="100" t="n"/>
      <c r="H437" s="69" t="str">
        <f>IF(A437="","",IF(NOT(ISNUMBER(G437)),"Date à saisir",IF(EDATE(G437,N(p_age))&lt;TODAY(),"Ancien","À jour")))</f>
        <v/>
      </c>
      <c r="I437" s="69" t="str">
        <f>IF(AND(A437="",COUNTA(B437:G437)=0),"",IF(A437="","Référence manquante",IF(COUNTIF($A$6:$A$505,A437)&gt;1,"Référence en double",IF(C437="","Unité manquante",IF(D437="","Prix manquant",IF(AND(D437&lt;&gt;"",OR(NOT(ISNUMBER(D437)),N(D437)&lt;0)),"Prix invalide",IF(AND(E437&lt;&gt;"",OR(NOT(ISNUMBER(E437)),N(E437)&lt;0,N(E437)&gt;=1)),"Perte entre 0 et 99 %","OK")))))))</f>
        <v/>
      </c>
    </row>
    <row r="438">
      <c r="A438" s="60" t="n"/>
      <c r="B438" s="60" t="n"/>
      <c r="C438" s="61" t="n"/>
      <c r="D438" s="64" t="n"/>
      <c r="E438" s="65" t="n"/>
      <c r="F438" s="60" t="n"/>
      <c r="G438" s="100" t="n"/>
      <c r="H438" s="69" t="str">
        <f>IF(A438="","",IF(NOT(ISNUMBER(G438)),"Date à saisir",IF(EDATE(G438,N(p_age))&lt;TODAY(),"Ancien","À jour")))</f>
        <v/>
      </c>
      <c r="I438" s="69" t="str">
        <f>IF(AND(A438="",COUNTA(B438:G438)=0),"",IF(A438="","Référence manquante",IF(COUNTIF($A$6:$A$505,A438)&gt;1,"Référence en double",IF(C438="","Unité manquante",IF(D438="","Prix manquant",IF(AND(D438&lt;&gt;"",OR(NOT(ISNUMBER(D438)),N(D438)&lt;0)),"Prix invalide",IF(AND(E438&lt;&gt;"",OR(NOT(ISNUMBER(E438)),N(E438)&lt;0,N(E438)&gt;=1)),"Perte entre 0 et 99 %","OK")))))))</f>
        <v/>
      </c>
    </row>
    <row r="439">
      <c r="A439" s="60" t="n"/>
      <c r="B439" s="60" t="n"/>
      <c r="C439" s="61" t="n"/>
      <c r="D439" s="64" t="n"/>
      <c r="E439" s="65" t="n"/>
      <c r="F439" s="60" t="n"/>
      <c r="G439" s="100" t="n"/>
      <c r="H439" s="69" t="str">
        <f>IF(A439="","",IF(NOT(ISNUMBER(G439)),"Date à saisir",IF(EDATE(G439,N(p_age))&lt;TODAY(),"Ancien","À jour")))</f>
        <v/>
      </c>
      <c r="I439" s="69" t="str">
        <f>IF(AND(A439="",COUNTA(B439:G439)=0),"",IF(A439="","Référence manquante",IF(COUNTIF($A$6:$A$505,A439)&gt;1,"Référence en double",IF(C439="","Unité manquante",IF(D439="","Prix manquant",IF(AND(D439&lt;&gt;"",OR(NOT(ISNUMBER(D439)),N(D439)&lt;0)),"Prix invalide",IF(AND(E439&lt;&gt;"",OR(NOT(ISNUMBER(E439)),N(E439)&lt;0,N(E439)&gt;=1)),"Perte entre 0 et 99 %","OK")))))))</f>
        <v/>
      </c>
    </row>
    <row r="440">
      <c r="A440" s="60" t="n"/>
      <c r="B440" s="60" t="n"/>
      <c r="C440" s="61" t="n"/>
      <c r="D440" s="64" t="n"/>
      <c r="E440" s="65" t="n"/>
      <c r="F440" s="60" t="n"/>
      <c r="G440" s="100" t="n"/>
      <c r="H440" s="69" t="str">
        <f>IF(A440="","",IF(NOT(ISNUMBER(G440)),"Date à saisir",IF(EDATE(G440,N(p_age))&lt;TODAY(),"Ancien","À jour")))</f>
        <v/>
      </c>
      <c r="I440" s="69" t="str">
        <f>IF(AND(A440="",COUNTA(B440:G440)=0),"",IF(A440="","Référence manquante",IF(COUNTIF($A$6:$A$505,A440)&gt;1,"Référence en double",IF(C440="","Unité manquante",IF(D440="","Prix manquant",IF(AND(D440&lt;&gt;"",OR(NOT(ISNUMBER(D440)),N(D440)&lt;0)),"Prix invalide",IF(AND(E440&lt;&gt;"",OR(NOT(ISNUMBER(E440)),N(E440)&lt;0,N(E440)&gt;=1)),"Perte entre 0 et 99 %","OK")))))))</f>
        <v/>
      </c>
    </row>
    <row r="441">
      <c r="A441" s="60" t="n"/>
      <c r="B441" s="60" t="n"/>
      <c r="C441" s="61" t="n"/>
      <c r="D441" s="64" t="n"/>
      <c r="E441" s="65" t="n"/>
      <c r="F441" s="60" t="n"/>
      <c r="G441" s="100" t="n"/>
      <c r="H441" s="69" t="str">
        <f>IF(A441="","",IF(NOT(ISNUMBER(G441)),"Date à saisir",IF(EDATE(G441,N(p_age))&lt;TODAY(),"Ancien","À jour")))</f>
        <v/>
      </c>
      <c r="I441" s="69" t="str">
        <f>IF(AND(A441="",COUNTA(B441:G441)=0),"",IF(A441="","Référence manquante",IF(COUNTIF($A$6:$A$505,A441)&gt;1,"Référence en double",IF(C441="","Unité manquante",IF(D441="","Prix manquant",IF(AND(D441&lt;&gt;"",OR(NOT(ISNUMBER(D441)),N(D441)&lt;0)),"Prix invalide",IF(AND(E441&lt;&gt;"",OR(NOT(ISNUMBER(E441)),N(E441)&lt;0,N(E441)&gt;=1)),"Perte entre 0 et 99 %","OK")))))))</f>
        <v/>
      </c>
    </row>
    <row r="442">
      <c r="A442" s="60" t="n"/>
      <c r="B442" s="60" t="n"/>
      <c r="C442" s="61" t="n"/>
      <c r="D442" s="64" t="n"/>
      <c r="E442" s="65" t="n"/>
      <c r="F442" s="60" t="n"/>
      <c r="G442" s="100" t="n"/>
      <c r="H442" s="69" t="str">
        <f>IF(A442="","",IF(NOT(ISNUMBER(G442)),"Date à saisir",IF(EDATE(G442,N(p_age))&lt;TODAY(),"Ancien","À jour")))</f>
        <v/>
      </c>
      <c r="I442" s="69" t="str">
        <f>IF(AND(A442="",COUNTA(B442:G442)=0),"",IF(A442="","Référence manquante",IF(COUNTIF($A$6:$A$505,A442)&gt;1,"Référence en double",IF(C442="","Unité manquante",IF(D442="","Prix manquant",IF(AND(D442&lt;&gt;"",OR(NOT(ISNUMBER(D442)),N(D442)&lt;0)),"Prix invalide",IF(AND(E442&lt;&gt;"",OR(NOT(ISNUMBER(E442)),N(E442)&lt;0,N(E442)&gt;=1)),"Perte entre 0 et 99 %","OK")))))))</f>
        <v/>
      </c>
    </row>
    <row r="443">
      <c r="A443" s="60" t="n"/>
      <c r="B443" s="60" t="n"/>
      <c r="C443" s="61" t="n"/>
      <c r="D443" s="64" t="n"/>
      <c r="E443" s="65" t="n"/>
      <c r="F443" s="60" t="n"/>
      <c r="G443" s="100" t="n"/>
      <c r="H443" s="69" t="str">
        <f>IF(A443="","",IF(NOT(ISNUMBER(G443)),"Date à saisir",IF(EDATE(G443,N(p_age))&lt;TODAY(),"Ancien","À jour")))</f>
        <v/>
      </c>
      <c r="I443" s="69" t="str">
        <f>IF(AND(A443="",COUNTA(B443:G443)=0),"",IF(A443="","Référence manquante",IF(COUNTIF($A$6:$A$505,A443)&gt;1,"Référence en double",IF(C443="","Unité manquante",IF(D443="","Prix manquant",IF(AND(D443&lt;&gt;"",OR(NOT(ISNUMBER(D443)),N(D443)&lt;0)),"Prix invalide",IF(AND(E443&lt;&gt;"",OR(NOT(ISNUMBER(E443)),N(E443)&lt;0,N(E443)&gt;=1)),"Perte entre 0 et 99 %","OK")))))))</f>
        <v/>
      </c>
    </row>
    <row r="444">
      <c r="A444" s="60" t="n"/>
      <c r="B444" s="60" t="n"/>
      <c r="C444" s="61" t="n"/>
      <c r="D444" s="64" t="n"/>
      <c r="E444" s="65" t="n"/>
      <c r="F444" s="60" t="n"/>
      <c r="G444" s="100" t="n"/>
      <c r="H444" s="69" t="str">
        <f>IF(A444="","",IF(NOT(ISNUMBER(G444)),"Date à saisir",IF(EDATE(G444,N(p_age))&lt;TODAY(),"Ancien","À jour")))</f>
        <v/>
      </c>
      <c r="I444" s="69" t="str">
        <f>IF(AND(A444="",COUNTA(B444:G444)=0),"",IF(A444="","Référence manquante",IF(COUNTIF($A$6:$A$505,A444)&gt;1,"Référence en double",IF(C444="","Unité manquante",IF(D444="","Prix manquant",IF(AND(D444&lt;&gt;"",OR(NOT(ISNUMBER(D444)),N(D444)&lt;0)),"Prix invalide",IF(AND(E444&lt;&gt;"",OR(NOT(ISNUMBER(E444)),N(E444)&lt;0,N(E444)&gt;=1)),"Perte entre 0 et 99 %","OK")))))))</f>
        <v/>
      </c>
    </row>
    <row r="445">
      <c r="A445" s="60" t="n"/>
      <c r="B445" s="60" t="n"/>
      <c r="C445" s="61" t="n"/>
      <c r="D445" s="64" t="n"/>
      <c r="E445" s="65" t="n"/>
      <c r="F445" s="60" t="n"/>
      <c r="G445" s="100" t="n"/>
      <c r="H445" s="69" t="str">
        <f>IF(A445="","",IF(NOT(ISNUMBER(G445)),"Date à saisir",IF(EDATE(G445,N(p_age))&lt;TODAY(),"Ancien","À jour")))</f>
        <v/>
      </c>
      <c r="I445" s="69" t="str">
        <f>IF(AND(A445="",COUNTA(B445:G445)=0),"",IF(A445="","Référence manquante",IF(COUNTIF($A$6:$A$505,A445)&gt;1,"Référence en double",IF(C445="","Unité manquante",IF(D445="","Prix manquant",IF(AND(D445&lt;&gt;"",OR(NOT(ISNUMBER(D445)),N(D445)&lt;0)),"Prix invalide",IF(AND(E445&lt;&gt;"",OR(NOT(ISNUMBER(E445)),N(E445)&lt;0,N(E445)&gt;=1)),"Perte entre 0 et 99 %","OK")))))))</f>
        <v/>
      </c>
    </row>
    <row r="446">
      <c r="A446" s="60" t="n"/>
      <c r="B446" s="60" t="n"/>
      <c r="C446" s="61" t="n"/>
      <c r="D446" s="64" t="n"/>
      <c r="E446" s="65" t="n"/>
      <c r="F446" s="60" t="n"/>
      <c r="G446" s="100" t="n"/>
      <c r="H446" s="69" t="str">
        <f>IF(A446="","",IF(NOT(ISNUMBER(G446)),"Date à saisir",IF(EDATE(G446,N(p_age))&lt;TODAY(),"Ancien","À jour")))</f>
        <v/>
      </c>
      <c r="I446" s="69" t="str">
        <f>IF(AND(A446="",COUNTA(B446:G446)=0),"",IF(A446="","Référence manquante",IF(COUNTIF($A$6:$A$505,A446)&gt;1,"Référence en double",IF(C446="","Unité manquante",IF(D446="","Prix manquant",IF(AND(D446&lt;&gt;"",OR(NOT(ISNUMBER(D446)),N(D446)&lt;0)),"Prix invalide",IF(AND(E446&lt;&gt;"",OR(NOT(ISNUMBER(E446)),N(E446)&lt;0,N(E446)&gt;=1)),"Perte entre 0 et 99 %","OK")))))))</f>
        <v/>
      </c>
    </row>
    <row r="447">
      <c r="A447" s="60" t="n"/>
      <c r="B447" s="60" t="n"/>
      <c r="C447" s="61" t="n"/>
      <c r="D447" s="64" t="n"/>
      <c r="E447" s="65" t="n"/>
      <c r="F447" s="60" t="n"/>
      <c r="G447" s="100" t="n"/>
      <c r="H447" s="69" t="str">
        <f>IF(A447="","",IF(NOT(ISNUMBER(G447)),"Date à saisir",IF(EDATE(G447,N(p_age))&lt;TODAY(),"Ancien","À jour")))</f>
        <v/>
      </c>
      <c r="I447" s="69" t="str">
        <f>IF(AND(A447="",COUNTA(B447:G447)=0),"",IF(A447="","Référence manquante",IF(COUNTIF($A$6:$A$505,A447)&gt;1,"Référence en double",IF(C447="","Unité manquante",IF(D447="","Prix manquant",IF(AND(D447&lt;&gt;"",OR(NOT(ISNUMBER(D447)),N(D447)&lt;0)),"Prix invalide",IF(AND(E447&lt;&gt;"",OR(NOT(ISNUMBER(E447)),N(E447)&lt;0,N(E447)&gt;=1)),"Perte entre 0 et 99 %","OK")))))))</f>
        <v/>
      </c>
    </row>
    <row r="448">
      <c r="A448" s="60" t="n"/>
      <c r="B448" s="60" t="n"/>
      <c r="C448" s="61" t="n"/>
      <c r="D448" s="64" t="n"/>
      <c r="E448" s="65" t="n"/>
      <c r="F448" s="60" t="n"/>
      <c r="G448" s="100" t="n"/>
      <c r="H448" s="69" t="str">
        <f>IF(A448="","",IF(NOT(ISNUMBER(G448)),"Date à saisir",IF(EDATE(G448,N(p_age))&lt;TODAY(),"Ancien","À jour")))</f>
        <v/>
      </c>
      <c r="I448" s="69" t="str">
        <f>IF(AND(A448="",COUNTA(B448:G448)=0),"",IF(A448="","Référence manquante",IF(COUNTIF($A$6:$A$505,A448)&gt;1,"Référence en double",IF(C448="","Unité manquante",IF(D448="","Prix manquant",IF(AND(D448&lt;&gt;"",OR(NOT(ISNUMBER(D448)),N(D448)&lt;0)),"Prix invalide",IF(AND(E448&lt;&gt;"",OR(NOT(ISNUMBER(E448)),N(E448)&lt;0,N(E448)&gt;=1)),"Perte entre 0 et 99 %","OK")))))))</f>
        <v/>
      </c>
    </row>
    <row r="449">
      <c r="A449" s="60" t="n"/>
      <c r="B449" s="60" t="n"/>
      <c r="C449" s="61" t="n"/>
      <c r="D449" s="64" t="n"/>
      <c r="E449" s="65" t="n"/>
      <c r="F449" s="60" t="n"/>
      <c r="G449" s="100" t="n"/>
      <c r="H449" s="69" t="str">
        <f>IF(A449="","",IF(NOT(ISNUMBER(G449)),"Date à saisir",IF(EDATE(G449,N(p_age))&lt;TODAY(),"Ancien","À jour")))</f>
        <v/>
      </c>
      <c r="I449" s="69" t="str">
        <f>IF(AND(A449="",COUNTA(B449:G449)=0),"",IF(A449="","Référence manquante",IF(COUNTIF($A$6:$A$505,A449)&gt;1,"Référence en double",IF(C449="","Unité manquante",IF(D449="","Prix manquant",IF(AND(D449&lt;&gt;"",OR(NOT(ISNUMBER(D449)),N(D449)&lt;0)),"Prix invalide",IF(AND(E449&lt;&gt;"",OR(NOT(ISNUMBER(E449)),N(E449)&lt;0,N(E449)&gt;=1)),"Perte entre 0 et 99 %","OK")))))))</f>
        <v/>
      </c>
    </row>
    <row r="450">
      <c r="A450" s="60" t="n"/>
      <c r="B450" s="60" t="n"/>
      <c r="C450" s="61" t="n"/>
      <c r="D450" s="64" t="n"/>
      <c r="E450" s="65" t="n"/>
      <c r="F450" s="60" t="n"/>
      <c r="G450" s="100" t="n"/>
      <c r="H450" s="69" t="str">
        <f>IF(A450="","",IF(NOT(ISNUMBER(G450)),"Date à saisir",IF(EDATE(G450,N(p_age))&lt;TODAY(),"Ancien","À jour")))</f>
        <v/>
      </c>
      <c r="I450" s="69" t="str">
        <f>IF(AND(A450="",COUNTA(B450:G450)=0),"",IF(A450="","Référence manquante",IF(COUNTIF($A$6:$A$505,A450)&gt;1,"Référence en double",IF(C450="","Unité manquante",IF(D450="","Prix manquant",IF(AND(D450&lt;&gt;"",OR(NOT(ISNUMBER(D450)),N(D450)&lt;0)),"Prix invalide",IF(AND(E450&lt;&gt;"",OR(NOT(ISNUMBER(E450)),N(E450)&lt;0,N(E450)&gt;=1)),"Perte entre 0 et 99 %","OK")))))))</f>
        <v/>
      </c>
    </row>
    <row r="451">
      <c r="A451" s="60" t="n"/>
      <c r="B451" s="60" t="n"/>
      <c r="C451" s="61" t="n"/>
      <c r="D451" s="64" t="n"/>
      <c r="E451" s="65" t="n"/>
      <c r="F451" s="60" t="n"/>
      <c r="G451" s="100" t="n"/>
      <c r="H451" s="69" t="str">
        <f>IF(A451="","",IF(NOT(ISNUMBER(G451)),"Date à saisir",IF(EDATE(G451,N(p_age))&lt;TODAY(),"Ancien","À jour")))</f>
        <v/>
      </c>
      <c r="I451" s="69" t="str">
        <f>IF(AND(A451="",COUNTA(B451:G451)=0),"",IF(A451="","Référence manquante",IF(COUNTIF($A$6:$A$505,A451)&gt;1,"Référence en double",IF(C451="","Unité manquante",IF(D451="","Prix manquant",IF(AND(D451&lt;&gt;"",OR(NOT(ISNUMBER(D451)),N(D451)&lt;0)),"Prix invalide",IF(AND(E451&lt;&gt;"",OR(NOT(ISNUMBER(E451)),N(E451)&lt;0,N(E451)&gt;=1)),"Perte entre 0 et 99 %","OK")))))))</f>
        <v/>
      </c>
    </row>
    <row r="452">
      <c r="A452" s="60" t="n"/>
      <c r="B452" s="60" t="n"/>
      <c r="C452" s="61" t="n"/>
      <c r="D452" s="64" t="n"/>
      <c r="E452" s="65" t="n"/>
      <c r="F452" s="60" t="n"/>
      <c r="G452" s="100" t="n"/>
      <c r="H452" s="69" t="str">
        <f>IF(A452="","",IF(NOT(ISNUMBER(G452)),"Date à saisir",IF(EDATE(G452,N(p_age))&lt;TODAY(),"Ancien","À jour")))</f>
        <v/>
      </c>
      <c r="I452" s="69" t="str">
        <f>IF(AND(A452="",COUNTA(B452:G452)=0),"",IF(A452="","Référence manquante",IF(COUNTIF($A$6:$A$505,A452)&gt;1,"Référence en double",IF(C452="","Unité manquante",IF(D452="","Prix manquant",IF(AND(D452&lt;&gt;"",OR(NOT(ISNUMBER(D452)),N(D452)&lt;0)),"Prix invalide",IF(AND(E452&lt;&gt;"",OR(NOT(ISNUMBER(E452)),N(E452)&lt;0,N(E452)&gt;=1)),"Perte entre 0 et 99 %","OK")))))))</f>
        <v/>
      </c>
    </row>
    <row r="453">
      <c r="A453" s="60" t="n"/>
      <c r="B453" s="60" t="n"/>
      <c r="C453" s="61" t="n"/>
      <c r="D453" s="64" t="n"/>
      <c r="E453" s="65" t="n"/>
      <c r="F453" s="60" t="n"/>
      <c r="G453" s="100" t="n"/>
      <c r="H453" s="69" t="str">
        <f>IF(A453="","",IF(NOT(ISNUMBER(G453)),"Date à saisir",IF(EDATE(G453,N(p_age))&lt;TODAY(),"Ancien","À jour")))</f>
        <v/>
      </c>
      <c r="I453" s="69" t="str">
        <f>IF(AND(A453="",COUNTA(B453:G453)=0),"",IF(A453="","Référence manquante",IF(COUNTIF($A$6:$A$505,A453)&gt;1,"Référence en double",IF(C453="","Unité manquante",IF(D453="","Prix manquant",IF(AND(D453&lt;&gt;"",OR(NOT(ISNUMBER(D453)),N(D453)&lt;0)),"Prix invalide",IF(AND(E453&lt;&gt;"",OR(NOT(ISNUMBER(E453)),N(E453)&lt;0,N(E453)&gt;=1)),"Perte entre 0 et 99 %","OK")))))))</f>
        <v/>
      </c>
    </row>
    <row r="454">
      <c r="A454" s="60" t="n"/>
      <c r="B454" s="60" t="n"/>
      <c r="C454" s="61" t="n"/>
      <c r="D454" s="64" t="n"/>
      <c r="E454" s="65" t="n"/>
      <c r="F454" s="60" t="n"/>
      <c r="G454" s="100" t="n"/>
      <c r="H454" s="69" t="str">
        <f>IF(A454="","",IF(NOT(ISNUMBER(G454)),"Date à saisir",IF(EDATE(G454,N(p_age))&lt;TODAY(),"Ancien","À jour")))</f>
        <v/>
      </c>
      <c r="I454" s="69" t="str">
        <f>IF(AND(A454="",COUNTA(B454:G454)=0),"",IF(A454="","Référence manquante",IF(COUNTIF($A$6:$A$505,A454)&gt;1,"Référence en double",IF(C454="","Unité manquante",IF(D454="","Prix manquant",IF(AND(D454&lt;&gt;"",OR(NOT(ISNUMBER(D454)),N(D454)&lt;0)),"Prix invalide",IF(AND(E454&lt;&gt;"",OR(NOT(ISNUMBER(E454)),N(E454)&lt;0,N(E454)&gt;=1)),"Perte entre 0 et 99 %","OK")))))))</f>
        <v/>
      </c>
    </row>
    <row r="455">
      <c r="A455" s="60" t="n"/>
      <c r="B455" s="60" t="n"/>
      <c r="C455" s="61" t="n"/>
      <c r="D455" s="64" t="n"/>
      <c r="E455" s="65" t="n"/>
      <c r="F455" s="60" t="n"/>
      <c r="G455" s="100" t="n"/>
      <c r="H455" s="69" t="str">
        <f>IF(A455="","",IF(NOT(ISNUMBER(G455)),"Date à saisir",IF(EDATE(G455,N(p_age))&lt;TODAY(),"Ancien","À jour")))</f>
        <v/>
      </c>
      <c r="I455" s="69" t="str">
        <f>IF(AND(A455="",COUNTA(B455:G455)=0),"",IF(A455="","Référence manquante",IF(COUNTIF($A$6:$A$505,A455)&gt;1,"Référence en double",IF(C455="","Unité manquante",IF(D455="","Prix manquant",IF(AND(D455&lt;&gt;"",OR(NOT(ISNUMBER(D455)),N(D455)&lt;0)),"Prix invalide",IF(AND(E455&lt;&gt;"",OR(NOT(ISNUMBER(E455)),N(E455)&lt;0,N(E455)&gt;=1)),"Perte entre 0 et 99 %","OK")))))))</f>
        <v/>
      </c>
    </row>
    <row r="456">
      <c r="A456" s="60" t="n"/>
      <c r="B456" s="60" t="n"/>
      <c r="C456" s="61" t="n"/>
      <c r="D456" s="64" t="n"/>
      <c r="E456" s="65" t="n"/>
      <c r="F456" s="60" t="n"/>
      <c r="G456" s="100" t="n"/>
      <c r="H456" s="69" t="str">
        <f>IF(A456="","",IF(NOT(ISNUMBER(G456)),"Date à saisir",IF(EDATE(G456,N(p_age))&lt;TODAY(),"Ancien","À jour")))</f>
        <v/>
      </c>
      <c r="I456" s="69" t="str">
        <f>IF(AND(A456="",COUNTA(B456:G456)=0),"",IF(A456="","Référence manquante",IF(COUNTIF($A$6:$A$505,A456)&gt;1,"Référence en double",IF(C456="","Unité manquante",IF(D456="","Prix manquant",IF(AND(D456&lt;&gt;"",OR(NOT(ISNUMBER(D456)),N(D456)&lt;0)),"Prix invalide",IF(AND(E456&lt;&gt;"",OR(NOT(ISNUMBER(E456)),N(E456)&lt;0,N(E456)&gt;=1)),"Perte entre 0 et 99 %","OK")))))))</f>
        <v/>
      </c>
    </row>
    <row r="457">
      <c r="A457" s="60" t="n"/>
      <c r="B457" s="60" t="n"/>
      <c r="C457" s="61" t="n"/>
      <c r="D457" s="64" t="n"/>
      <c r="E457" s="65" t="n"/>
      <c r="F457" s="60" t="n"/>
      <c r="G457" s="100" t="n"/>
      <c r="H457" s="69" t="str">
        <f>IF(A457="","",IF(NOT(ISNUMBER(G457)),"Date à saisir",IF(EDATE(G457,N(p_age))&lt;TODAY(),"Ancien","À jour")))</f>
        <v/>
      </c>
      <c r="I457" s="69" t="str">
        <f>IF(AND(A457="",COUNTA(B457:G457)=0),"",IF(A457="","Référence manquante",IF(COUNTIF($A$6:$A$505,A457)&gt;1,"Référence en double",IF(C457="","Unité manquante",IF(D457="","Prix manquant",IF(AND(D457&lt;&gt;"",OR(NOT(ISNUMBER(D457)),N(D457)&lt;0)),"Prix invalide",IF(AND(E457&lt;&gt;"",OR(NOT(ISNUMBER(E457)),N(E457)&lt;0,N(E457)&gt;=1)),"Perte entre 0 et 99 %","OK")))))))</f>
        <v/>
      </c>
    </row>
    <row r="458">
      <c r="A458" s="60" t="n"/>
      <c r="B458" s="60" t="n"/>
      <c r="C458" s="61" t="n"/>
      <c r="D458" s="64" t="n"/>
      <c r="E458" s="65" t="n"/>
      <c r="F458" s="60" t="n"/>
      <c r="G458" s="100" t="n"/>
      <c r="H458" s="69" t="str">
        <f>IF(A458="","",IF(NOT(ISNUMBER(G458)),"Date à saisir",IF(EDATE(G458,N(p_age))&lt;TODAY(),"Ancien","À jour")))</f>
        <v/>
      </c>
      <c r="I458" s="69" t="str">
        <f>IF(AND(A458="",COUNTA(B458:G458)=0),"",IF(A458="","Référence manquante",IF(COUNTIF($A$6:$A$505,A458)&gt;1,"Référence en double",IF(C458="","Unité manquante",IF(D458="","Prix manquant",IF(AND(D458&lt;&gt;"",OR(NOT(ISNUMBER(D458)),N(D458)&lt;0)),"Prix invalide",IF(AND(E458&lt;&gt;"",OR(NOT(ISNUMBER(E458)),N(E458)&lt;0,N(E458)&gt;=1)),"Perte entre 0 et 99 %","OK")))))))</f>
        <v/>
      </c>
    </row>
    <row r="459">
      <c r="A459" s="60" t="n"/>
      <c r="B459" s="60" t="n"/>
      <c r="C459" s="61" t="n"/>
      <c r="D459" s="64" t="n"/>
      <c r="E459" s="65" t="n"/>
      <c r="F459" s="60" t="n"/>
      <c r="G459" s="100" t="n"/>
      <c r="H459" s="69" t="str">
        <f>IF(A459="","",IF(NOT(ISNUMBER(G459)),"Date à saisir",IF(EDATE(G459,N(p_age))&lt;TODAY(),"Ancien","À jour")))</f>
        <v/>
      </c>
      <c r="I459" s="69" t="str">
        <f>IF(AND(A459="",COUNTA(B459:G459)=0),"",IF(A459="","Référence manquante",IF(COUNTIF($A$6:$A$505,A459)&gt;1,"Référence en double",IF(C459="","Unité manquante",IF(D459="","Prix manquant",IF(AND(D459&lt;&gt;"",OR(NOT(ISNUMBER(D459)),N(D459)&lt;0)),"Prix invalide",IF(AND(E459&lt;&gt;"",OR(NOT(ISNUMBER(E459)),N(E459)&lt;0,N(E459)&gt;=1)),"Perte entre 0 et 99 %","OK")))))))</f>
        <v/>
      </c>
    </row>
    <row r="460">
      <c r="A460" s="60" t="n"/>
      <c r="B460" s="60" t="n"/>
      <c r="C460" s="61" t="n"/>
      <c r="D460" s="64" t="n"/>
      <c r="E460" s="65" t="n"/>
      <c r="F460" s="60" t="n"/>
      <c r="G460" s="100" t="n"/>
      <c r="H460" s="69" t="str">
        <f>IF(A460="","",IF(NOT(ISNUMBER(G460)),"Date à saisir",IF(EDATE(G460,N(p_age))&lt;TODAY(),"Ancien","À jour")))</f>
        <v/>
      </c>
      <c r="I460" s="69" t="str">
        <f>IF(AND(A460="",COUNTA(B460:G460)=0),"",IF(A460="","Référence manquante",IF(COUNTIF($A$6:$A$505,A460)&gt;1,"Référence en double",IF(C460="","Unité manquante",IF(D460="","Prix manquant",IF(AND(D460&lt;&gt;"",OR(NOT(ISNUMBER(D460)),N(D460)&lt;0)),"Prix invalide",IF(AND(E460&lt;&gt;"",OR(NOT(ISNUMBER(E460)),N(E460)&lt;0,N(E460)&gt;=1)),"Perte entre 0 et 99 %","OK")))))))</f>
        <v/>
      </c>
    </row>
    <row r="461">
      <c r="A461" s="60" t="n"/>
      <c r="B461" s="60" t="n"/>
      <c r="C461" s="61" t="n"/>
      <c r="D461" s="64" t="n"/>
      <c r="E461" s="65" t="n"/>
      <c r="F461" s="60" t="n"/>
      <c r="G461" s="100" t="n"/>
      <c r="H461" s="69" t="str">
        <f>IF(A461="","",IF(NOT(ISNUMBER(G461)),"Date à saisir",IF(EDATE(G461,N(p_age))&lt;TODAY(),"Ancien","À jour")))</f>
        <v/>
      </c>
      <c r="I461" s="69" t="str">
        <f>IF(AND(A461="",COUNTA(B461:G461)=0),"",IF(A461="","Référence manquante",IF(COUNTIF($A$6:$A$505,A461)&gt;1,"Référence en double",IF(C461="","Unité manquante",IF(D461="","Prix manquant",IF(AND(D461&lt;&gt;"",OR(NOT(ISNUMBER(D461)),N(D461)&lt;0)),"Prix invalide",IF(AND(E461&lt;&gt;"",OR(NOT(ISNUMBER(E461)),N(E461)&lt;0,N(E461)&gt;=1)),"Perte entre 0 et 99 %","OK")))))))</f>
        <v/>
      </c>
    </row>
    <row r="462">
      <c r="A462" s="60" t="n"/>
      <c r="B462" s="60" t="n"/>
      <c r="C462" s="61" t="n"/>
      <c r="D462" s="64" t="n"/>
      <c r="E462" s="65" t="n"/>
      <c r="F462" s="60" t="n"/>
      <c r="G462" s="100" t="n"/>
      <c r="H462" s="69" t="str">
        <f>IF(A462="","",IF(NOT(ISNUMBER(G462)),"Date à saisir",IF(EDATE(G462,N(p_age))&lt;TODAY(),"Ancien","À jour")))</f>
        <v/>
      </c>
      <c r="I462" s="69" t="str">
        <f>IF(AND(A462="",COUNTA(B462:G462)=0),"",IF(A462="","Référence manquante",IF(COUNTIF($A$6:$A$505,A462)&gt;1,"Référence en double",IF(C462="","Unité manquante",IF(D462="","Prix manquant",IF(AND(D462&lt;&gt;"",OR(NOT(ISNUMBER(D462)),N(D462)&lt;0)),"Prix invalide",IF(AND(E462&lt;&gt;"",OR(NOT(ISNUMBER(E462)),N(E462)&lt;0,N(E462)&gt;=1)),"Perte entre 0 et 99 %","OK")))))))</f>
        <v/>
      </c>
    </row>
    <row r="463">
      <c r="A463" s="60" t="n"/>
      <c r="B463" s="60" t="n"/>
      <c r="C463" s="61" t="n"/>
      <c r="D463" s="64" t="n"/>
      <c r="E463" s="65" t="n"/>
      <c r="F463" s="60" t="n"/>
      <c r="G463" s="100" t="n"/>
      <c r="H463" s="69" t="str">
        <f>IF(A463="","",IF(NOT(ISNUMBER(G463)),"Date à saisir",IF(EDATE(G463,N(p_age))&lt;TODAY(),"Ancien","À jour")))</f>
        <v/>
      </c>
      <c r="I463" s="69" t="str">
        <f>IF(AND(A463="",COUNTA(B463:G463)=0),"",IF(A463="","Référence manquante",IF(COUNTIF($A$6:$A$505,A463)&gt;1,"Référence en double",IF(C463="","Unité manquante",IF(D463="","Prix manquant",IF(AND(D463&lt;&gt;"",OR(NOT(ISNUMBER(D463)),N(D463)&lt;0)),"Prix invalide",IF(AND(E463&lt;&gt;"",OR(NOT(ISNUMBER(E463)),N(E463)&lt;0,N(E463)&gt;=1)),"Perte entre 0 et 99 %","OK")))))))</f>
        <v/>
      </c>
    </row>
    <row r="464">
      <c r="A464" s="60" t="n"/>
      <c r="B464" s="60" t="n"/>
      <c r="C464" s="61" t="n"/>
      <c r="D464" s="64" t="n"/>
      <c r="E464" s="65" t="n"/>
      <c r="F464" s="60" t="n"/>
      <c r="G464" s="100" t="n"/>
      <c r="H464" s="69" t="str">
        <f>IF(A464="","",IF(NOT(ISNUMBER(G464)),"Date à saisir",IF(EDATE(G464,N(p_age))&lt;TODAY(),"Ancien","À jour")))</f>
        <v/>
      </c>
      <c r="I464" s="69" t="str">
        <f>IF(AND(A464="",COUNTA(B464:G464)=0),"",IF(A464="","Référence manquante",IF(COUNTIF($A$6:$A$505,A464)&gt;1,"Référence en double",IF(C464="","Unité manquante",IF(D464="","Prix manquant",IF(AND(D464&lt;&gt;"",OR(NOT(ISNUMBER(D464)),N(D464)&lt;0)),"Prix invalide",IF(AND(E464&lt;&gt;"",OR(NOT(ISNUMBER(E464)),N(E464)&lt;0,N(E464)&gt;=1)),"Perte entre 0 et 99 %","OK")))))))</f>
        <v/>
      </c>
    </row>
    <row r="465">
      <c r="A465" s="60" t="n"/>
      <c r="B465" s="60" t="n"/>
      <c r="C465" s="61" t="n"/>
      <c r="D465" s="64" t="n"/>
      <c r="E465" s="65" t="n"/>
      <c r="F465" s="60" t="n"/>
      <c r="G465" s="100" t="n"/>
      <c r="H465" s="69" t="str">
        <f>IF(A465="","",IF(NOT(ISNUMBER(G465)),"Date à saisir",IF(EDATE(G465,N(p_age))&lt;TODAY(),"Ancien","À jour")))</f>
        <v/>
      </c>
      <c r="I465" s="69" t="str">
        <f>IF(AND(A465="",COUNTA(B465:G465)=0),"",IF(A465="","Référence manquante",IF(COUNTIF($A$6:$A$505,A465)&gt;1,"Référence en double",IF(C465="","Unité manquante",IF(D465="","Prix manquant",IF(AND(D465&lt;&gt;"",OR(NOT(ISNUMBER(D465)),N(D465)&lt;0)),"Prix invalide",IF(AND(E465&lt;&gt;"",OR(NOT(ISNUMBER(E465)),N(E465)&lt;0,N(E465)&gt;=1)),"Perte entre 0 et 99 %","OK")))))))</f>
        <v/>
      </c>
    </row>
    <row r="466">
      <c r="A466" s="60" t="n"/>
      <c r="B466" s="60" t="n"/>
      <c r="C466" s="61" t="n"/>
      <c r="D466" s="64" t="n"/>
      <c r="E466" s="65" t="n"/>
      <c r="F466" s="60" t="n"/>
      <c r="G466" s="100" t="n"/>
      <c r="H466" s="69" t="str">
        <f>IF(A466="","",IF(NOT(ISNUMBER(G466)),"Date à saisir",IF(EDATE(G466,N(p_age))&lt;TODAY(),"Ancien","À jour")))</f>
        <v/>
      </c>
      <c r="I466" s="69" t="str">
        <f>IF(AND(A466="",COUNTA(B466:G466)=0),"",IF(A466="","Référence manquante",IF(COUNTIF($A$6:$A$505,A466)&gt;1,"Référence en double",IF(C466="","Unité manquante",IF(D466="","Prix manquant",IF(AND(D466&lt;&gt;"",OR(NOT(ISNUMBER(D466)),N(D466)&lt;0)),"Prix invalide",IF(AND(E466&lt;&gt;"",OR(NOT(ISNUMBER(E466)),N(E466)&lt;0,N(E466)&gt;=1)),"Perte entre 0 et 99 %","OK")))))))</f>
        <v/>
      </c>
    </row>
    <row r="467">
      <c r="A467" s="60" t="n"/>
      <c r="B467" s="60" t="n"/>
      <c r="C467" s="61" t="n"/>
      <c r="D467" s="64" t="n"/>
      <c r="E467" s="65" t="n"/>
      <c r="F467" s="60" t="n"/>
      <c r="G467" s="100" t="n"/>
      <c r="H467" s="69" t="str">
        <f>IF(A467="","",IF(NOT(ISNUMBER(G467)),"Date à saisir",IF(EDATE(G467,N(p_age))&lt;TODAY(),"Ancien","À jour")))</f>
        <v/>
      </c>
      <c r="I467" s="69" t="str">
        <f>IF(AND(A467="",COUNTA(B467:G467)=0),"",IF(A467="","Référence manquante",IF(COUNTIF($A$6:$A$505,A467)&gt;1,"Référence en double",IF(C467="","Unité manquante",IF(D467="","Prix manquant",IF(AND(D467&lt;&gt;"",OR(NOT(ISNUMBER(D467)),N(D467)&lt;0)),"Prix invalide",IF(AND(E467&lt;&gt;"",OR(NOT(ISNUMBER(E467)),N(E467)&lt;0,N(E467)&gt;=1)),"Perte entre 0 et 99 %","OK")))))))</f>
        <v/>
      </c>
    </row>
    <row r="468">
      <c r="A468" s="60" t="n"/>
      <c r="B468" s="60" t="n"/>
      <c r="C468" s="61" t="n"/>
      <c r="D468" s="64" t="n"/>
      <c r="E468" s="65" t="n"/>
      <c r="F468" s="60" t="n"/>
      <c r="G468" s="100" t="n"/>
      <c r="H468" s="69" t="str">
        <f>IF(A468="","",IF(NOT(ISNUMBER(G468)),"Date à saisir",IF(EDATE(G468,N(p_age))&lt;TODAY(),"Ancien","À jour")))</f>
        <v/>
      </c>
      <c r="I468" s="69" t="str">
        <f>IF(AND(A468="",COUNTA(B468:G468)=0),"",IF(A468="","Référence manquante",IF(COUNTIF($A$6:$A$505,A468)&gt;1,"Référence en double",IF(C468="","Unité manquante",IF(D468="","Prix manquant",IF(AND(D468&lt;&gt;"",OR(NOT(ISNUMBER(D468)),N(D468)&lt;0)),"Prix invalide",IF(AND(E468&lt;&gt;"",OR(NOT(ISNUMBER(E468)),N(E468)&lt;0,N(E468)&gt;=1)),"Perte entre 0 et 99 %","OK")))))))</f>
        <v/>
      </c>
    </row>
    <row r="469">
      <c r="A469" s="60" t="n"/>
      <c r="B469" s="60" t="n"/>
      <c r="C469" s="61" t="n"/>
      <c r="D469" s="64" t="n"/>
      <c r="E469" s="65" t="n"/>
      <c r="F469" s="60" t="n"/>
      <c r="G469" s="100" t="n"/>
      <c r="H469" s="69" t="str">
        <f>IF(A469="","",IF(NOT(ISNUMBER(G469)),"Date à saisir",IF(EDATE(G469,N(p_age))&lt;TODAY(),"Ancien","À jour")))</f>
        <v/>
      </c>
      <c r="I469" s="69" t="str">
        <f>IF(AND(A469="",COUNTA(B469:G469)=0),"",IF(A469="","Référence manquante",IF(COUNTIF($A$6:$A$505,A469)&gt;1,"Référence en double",IF(C469="","Unité manquante",IF(D469="","Prix manquant",IF(AND(D469&lt;&gt;"",OR(NOT(ISNUMBER(D469)),N(D469)&lt;0)),"Prix invalide",IF(AND(E469&lt;&gt;"",OR(NOT(ISNUMBER(E469)),N(E469)&lt;0,N(E469)&gt;=1)),"Perte entre 0 et 99 %","OK")))))))</f>
        <v/>
      </c>
    </row>
    <row r="470">
      <c r="A470" s="60" t="n"/>
      <c r="B470" s="60" t="n"/>
      <c r="C470" s="61" t="n"/>
      <c r="D470" s="64" t="n"/>
      <c r="E470" s="65" t="n"/>
      <c r="F470" s="60" t="n"/>
      <c r="G470" s="100" t="n"/>
      <c r="H470" s="69" t="str">
        <f>IF(A470="","",IF(NOT(ISNUMBER(G470)),"Date à saisir",IF(EDATE(G470,N(p_age))&lt;TODAY(),"Ancien","À jour")))</f>
        <v/>
      </c>
      <c r="I470" s="69" t="str">
        <f>IF(AND(A470="",COUNTA(B470:G470)=0),"",IF(A470="","Référence manquante",IF(COUNTIF($A$6:$A$505,A470)&gt;1,"Référence en double",IF(C470="","Unité manquante",IF(D470="","Prix manquant",IF(AND(D470&lt;&gt;"",OR(NOT(ISNUMBER(D470)),N(D470)&lt;0)),"Prix invalide",IF(AND(E470&lt;&gt;"",OR(NOT(ISNUMBER(E470)),N(E470)&lt;0,N(E470)&gt;=1)),"Perte entre 0 et 99 %","OK")))))))</f>
        <v/>
      </c>
    </row>
    <row r="471">
      <c r="A471" s="60" t="n"/>
      <c r="B471" s="60" t="n"/>
      <c r="C471" s="61" t="n"/>
      <c r="D471" s="64" t="n"/>
      <c r="E471" s="65" t="n"/>
      <c r="F471" s="60" t="n"/>
      <c r="G471" s="100" t="n"/>
      <c r="H471" s="69" t="str">
        <f>IF(A471="","",IF(NOT(ISNUMBER(G471)),"Date à saisir",IF(EDATE(G471,N(p_age))&lt;TODAY(),"Ancien","À jour")))</f>
        <v/>
      </c>
      <c r="I471" s="69" t="str">
        <f>IF(AND(A471="",COUNTA(B471:G471)=0),"",IF(A471="","Référence manquante",IF(COUNTIF($A$6:$A$505,A471)&gt;1,"Référence en double",IF(C471="","Unité manquante",IF(D471="","Prix manquant",IF(AND(D471&lt;&gt;"",OR(NOT(ISNUMBER(D471)),N(D471)&lt;0)),"Prix invalide",IF(AND(E471&lt;&gt;"",OR(NOT(ISNUMBER(E471)),N(E471)&lt;0,N(E471)&gt;=1)),"Perte entre 0 et 99 %","OK")))))))</f>
        <v/>
      </c>
    </row>
    <row r="472">
      <c r="A472" s="60" t="n"/>
      <c r="B472" s="60" t="n"/>
      <c r="C472" s="61" t="n"/>
      <c r="D472" s="64" t="n"/>
      <c r="E472" s="65" t="n"/>
      <c r="F472" s="60" t="n"/>
      <c r="G472" s="100" t="n"/>
      <c r="H472" s="69" t="str">
        <f>IF(A472="","",IF(NOT(ISNUMBER(G472)),"Date à saisir",IF(EDATE(G472,N(p_age))&lt;TODAY(),"Ancien","À jour")))</f>
        <v/>
      </c>
      <c r="I472" s="69" t="str">
        <f>IF(AND(A472="",COUNTA(B472:G472)=0),"",IF(A472="","Référence manquante",IF(COUNTIF($A$6:$A$505,A472)&gt;1,"Référence en double",IF(C472="","Unité manquante",IF(D472="","Prix manquant",IF(AND(D472&lt;&gt;"",OR(NOT(ISNUMBER(D472)),N(D472)&lt;0)),"Prix invalide",IF(AND(E472&lt;&gt;"",OR(NOT(ISNUMBER(E472)),N(E472)&lt;0,N(E472)&gt;=1)),"Perte entre 0 et 99 %","OK")))))))</f>
        <v/>
      </c>
    </row>
    <row r="473">
      <c r="A473" s="60" t="n"/>
      <c r="B473" s="60" t="n"/>
      <c r="C473" s="61" t="n"/>
      <c r="D473" s="64" t="n"/>
      <c r="E473" s="65" t="n"/>
      <c r="F473" s="60" t="n"/>
      <c r="G473" s="100" t="n"/>
      <c r="H473" s="69" t="str">
        <f>IF(A473="","",IF(NOT(ISNUMBER(G473)),"Date à saisir",IF(EDATE(G473,N(p_age))&lt;TODAY(),"Ancien","À jour")))</f>
        <v/>
      </c>
      <c r="I473" s="69" t="str">
        <f>IF(AND(A473="",COUNTA(B473:G473)=0),"",IF(A473="","Référence manquante",IF(COUNTIF($A$6:$A$505,A473)&gt;1,"Référence en double",IF(C473="","Unité manquante",IF(D473="","Prix manquant",IF(AND(D473&lt;&gt;"",OR(NOT(ISNUMBER(D473)),N(D473)&lt;0)),"Prix invalide",IF(AND(E473&lt;&gt;"",OR(NOT(ISNUMBER(E473)),N(E473)&lt;0,N(E473)&gt;=1)),"Perte entre 0 et 99 %","OK")))))))</f>
        <v/>
      </c>
    </row>
    <row r="474">
      <c r="A474" s="60" t="n"/>
      <c r="B474" s="60" t="n"/>
      <c r="C474" s="61" t="n"/>
      <c r="D474" s="64" t="n"/>
      <c r="E474" s="65" t="n"/>
      <c r="F474" s="60" t="n"/>
      <c r="G474" s="100" t="n"/>
      <c r="H474" s="69" t="str">
        <f>IF(A474="","",IF(NOT(ISNUMBER(G474)),"Date à saisir",IF(EDATE(G474,N(p_age))&lt;TODAY(),"Ancien","À jour")))</f>
        <v/>
      </c>
      <c r="I474" s="69" t="str">
        <f>IF(AND(A474="",COUNTA(B474:G474)=0),"",IF(A474="","Référence manquante",IF(COUNTIF($A$6:$A$505,A474)&gt;1,"Référence en double",IF(C474="","Unité manquante",IF(D474="","Prix manquant",IF(AND(D474&lt;&gt;"",OR(NOT(ISNUMBER(D474)),N(D474)&lt;0)),"Prix invalide",IF(AND(E474&lt;&gt;"",OR(NOT(ISNUMBER(E474)),N(E474)&lt;0,N(E474)&gt;=1)),"Perte entre 0 et 99 %","OK")))))))</f>
        <v/>
      </c>
    </row>
    <row r="475">
      <c r="A475" s="60" t="n"/>
      <c r="B475" s="60" t="n"/>
      <c r="C475" s="61" t="n"/>
      <c r="D475" s="64" t="n"/>
      <c r="E475" s="65" t="n"/>
      <c r="F475" s="60" t="n"/>
      <c r="G475" s="100" t="n"/>
      <c r="H475" s="69" t="str">
        <f>IF(A475="","",IF(NOT(ISNUMBER(G475)),"Date à saisir",IF(EDATE(G475,N(p_age))&lt;TODAY(),"Ancien","À jour")))</f>
        <v/>
      </c>
      <c r="I475" s="69" t="str">
        <f>IF(AND(A475="",COUNTA(B475:G475)=0),"",IF(A475="","Référence manquante",IF(COUNTIF($A$6:$A$505,A475)&gt;1,"Référence en double",IF(C475="","Unité manquante",IF(D475="","Prix manquant",IF(AND(D475&lt;&gt;"",OR(NOT(ISNUMBER(D475)),N(D475)&lt;0)),"Prix invalide",IF(AND(E475&lt;&gt;"",OR(NOT(ISNUMBER(E475)),N(E475)&lt;0,N(E475)&gt;=1)),"Perte entre 0 et 99 %","OK")))))))</f>
        <v/>
      </c>
    </row>
    <row r="476">
      <c r="A476" s="60" t="n"/>
      <c r="B476" s="60" t="n"/>
      <c r="C476" s="61" t="n"/>
      <c r="D476" s="64" t="n"/>
      <c r="E476" s="65" t="n"/>
      <c r="F476" s="60" t="n"/>
      <c r="G476" s="100" t="n"/>
      <c r="H476" s="69" t="str">
        <f>IF(A476="","",IF(NOT(ISNUMBER(G476)),"Date à saisir",IF(EDATE(G476,N(p_age))&lt;TODAY(),"Ancien","À jour")))</f>
        <v/>
      </c>
      <c r="I476" s="69" t="str">
        <f>IF(AND(A476="",COUNTA(B476:G476)=0),"",IF(A476="","Référence manquante",IF(COUNTIF($A$6:$A$505,A476)&gt;1,"Référence en double",IF(C476="","Unité manquante",IF(D476="","Prix manquant",IF(AND(D476&lt;&gt;"",OR(NOT(ISNUMBER(D476)),N(D476)&lt;0)),"Prix invalide",IF(AND(E476&lt;&gt;"",OR(NOT(ISNUMBER(E476)),N(E476)&lt;0,N(E476)&gt;=1)),"Perte entre 0 et 99 %","OK")))))))</f>
        <v/>
      </c>
    </row>
    <row r="477">
      <c r="A477" s="60" t="n"/>
      <c r="B477" s="60" t="n"/>
      <c r="C477" s="61" t="n"/>
      <c r="D477" s="64" t="n"/>
      <c r="E477" s="65" t="n"/>
      <c r="F477" s="60" t="n"/>
      <c r="G477" s="100" t="n"/>
      <c r="H477" s="69" t="str">
        <f>IF(A477="","",IF(NOT(ISNUMBER(G477)),"Date à saisir",IF(EDATE(G477,N(p_age))&lt;TODAY(),"Ancien","À jour")))</f>
        <v/>
      </c>
      <c r="I477" s="69" t="str">
        <f>IF(AND(A477="",COUNTA(B477:G477)=0),"",IF(A477="","Référence manquante",IF(COUNTIF($A$6:$A$505,A477)&gt;1,"Référence en double",IF(C477="","Unité manquante",IF(D477="","Prix manquant",IF(AND(D477&lt;&gt;"",OR(NOT(ISNUMBER(D477)),N(D477)&lt;0)),"Prix invalide",IF(AND(E477&lt;&gt;"",OR(NOT(ISNUMBER(E477)),N(E477)&lt;0,N(E477)&gt;=1)),"Perte entre 0 et 99 %","OK")))))))</f>
        <v/>
      </c>
    </row>
    <row r="478">
      <c r="A478" s="60" t="n"/>
      <c r="B478" s="60" t="n"/>
      <c r="C478" s="61" t="n"/>
      <c r="D478" s="64" t="n"/>
      <c r="E478" s="65" t="n"/>
      <c r="F478" s="60" t="n"/>
      <c r="G478" s="100" t="n"/>
      <c r="H478" s="69" t="str">
        <f>IF(A478="","",IF(NOT(ISNUMBER(G478)),"Date à saisir",IF(EDATE(G478,N(p_age))&lt;TODAY(),"Ancien","À jour")))</f>
        <v/>
      </c>
      <c r="I478" s="69" t="str">
        <f>IF(AND(A478="",COUNTA(B478:G478)=0),"",IF(A478="","Référence manquante",IF(COUNTIF($A$6:$A$505,A478)&gt;1,"Référence en double",IF(C478="","Unité manquante",IF(D478="","Prix manquant",IF(AND(D478&lt;&gt;"",OR(NOT(ISNUMBER(D478)),N(D478)&lt;0)),"Prix invalide",IF(AND(E478&lt;&gt;"",OR(NOT(ISNUMBER(E478)),N(E478)&lt;0,N(E478)&gt;=1)),"Perte entre 0 et 99 %","OK")))))))</f>
        <v/>
      </c>
    </row>
    <row r="479">
      <c r="A479" s="60" t="n"/>
      <c r="B479" s="60" t="n"/>
      <c r="C479" s="61" t="n"/>
      <c r="D479" s="64" t="n"/>
      <c r="E479" s="65" t="n"/>
      <c r="F479" s="60" t="n"/>
      <c r="G479" s="100" t="n"/>
      <c r="H479" s="69" t="str">
        <f>IF(A479="","",IF(NOT(ISNUMBER(G479)),"Date à saisir",IF(EDATE(G479,N(p_age))&lt;TODAY(),"Ancien","À jour")))</f>
        <v/>
      </c>
      <c r="I479" s="69" t="str">
        <f>IF(AND(A479="",COUNTA(B479:G479)=0),"",IF(A479="","Référence manquante",IF(COUNTIF($A$6:$A$505,A479)&gt;1,"Référence en double",IF(C479="","Unité manquante",IF(D479="","Prix manquant",IF(AND(D479&lt;&gt;"",OR(NOT(ISNUMBER(D479)),N(D479)&lt;0)),"Prix invalide",IF(AND(E479&lt;&gt;"",OR(NOT(ISNUMBER(E479)),N(E479)&lt;0,N(E479)&gt;=1)),"Perte entre 0 et 99 %","OK")))))))</f>
        <v/>
      </c>
    </row>
    <row r="480">
      <c r="A480" s="60" t="n"/>
      <c r="B480" s="60" t="n"/>
      <c r="C480" s="61" t="n"/>
      <c r="D480" s="64" t="n"/>
      <c r="E480" s="65" t="n"/>
      <c r="F480" s="60" t="n"/>
      <c r="G480" s="100" t="n"/>
      <c r="H480" s="69" t="str">
        <f>IF(A480="","",IF(NOT(ISNUMBER(G480)),"Date à saisir",IF(EDATE(G480,N(p_age))&lt;TODAY(),"Ancien","À jour")))</f>
        <v/>
      </c>
      <c r="I480" s="69" t="str">
        <f>IF(AND(A480="",COUNTA(B480:G480)=0),"",IF(A480="","Référence manquante",IF(COUNTIF($A$6:$A$505,A480)&gt;1,"Référence en double",IF(C480="","Unité manquante",IF(D480="","Prix manquant",IF(AND(D480&lt;&gt;"",OR(NOT(ISNUMBER(D480)),N(D480)&lt;0)),"Prix invalide",IF(AND(E480&lt;&gt;"",OR(NOT(ISNUMBER(E480)),N(E480)&lt;0,N(E480)&gt;=1)),"Perte entre 0 et 99 %","OK")))))))</f>
        <v/>
      </c>
    </row>
    <row r="481">
      <c r="A481" s="60" t="n"/>
      <c r="B481" s="60" t="n"/>
      <c r="C481" s="61" t="n"/>
      <c r="D481" s="64" t="n"/>
      <c r="E481" s="65" t="n"/>
      <c r="F481" s="60" t="n"/>
      <c r="G481" s="100" t="n"/>
      <c r="H481" s="69" t="str">
        <f>IF(A481="","",IF(NOT(ISNUMBER(G481)),"Date à saisir",IF(EDATE(G481,N(p_age))&lt;TODAY(),"Ancien","À jour")))</f>
        <v/>
      </c>
      <c r="I481" s="69" t="str">
        <f>IF(AND(A481="",COUNTA(B481:G481)=0),"",IF(A481="","Référence manquante",IF(COUNTIF($A$6:$A$505,A481)&gt;1,"Référence en double",IF(C481="","Unité manquante",IF(D481="","Prix manquant",IF(AND(D481&lt;&gt;"",OR(NOT(ISNUMBER(D481)),N(D481)&lt;0)),"Prix invalide",IF(AND(E481&lt;&gt;"",OR(NOT(ISNUMBER(E481)),N(E481)&lt;0,N(E481)&gt;=1)),"Perte entre 0 et 99 %","OK")))))))</f>
        <v/>
      </c>
    </row>
    <row r="482">
      <c r="A482" s="60" t="n"/>
      <c r="B482" s="60" t="n"/>
      <c r="C482" s="61" t="n"/>
      <c r="D482" s="64" t="n"/>
      <c r="E482" s="65" t="n"/>
      <c r="F482" s="60" t="n"/>
      <c r="G482" s="100" t="n"/>
      <c r="H482" s="69" t="str">
        <f>IF(A482="","",IF(NOT(ISNUMBER(G482)),"Date à saisir",IF(EDATE(G482,N(p_age))&lt;TODAY(),"Ancien","À jour")))</f>
        <v/>
      </c>
      <c r="I482" s="69" t="str">
        <f>IF(AND(A482="",COUNTA(B482:G482)=0),"",IF(A482="","Référence manquante",IF(COUNTIF($A$6:$A$505,A482)&gt;1,"Référence en double",IF(C482="","Unité manquante",IF(D482="","Prix manquant",IF(AND(D482&lt;&gt;"",OR(NOT(ISNUMBER(D482)),N(D482)&lt;0)),"Prix invalide",IF(AND(E482&lt;&gt;"",OR(NOT(ISNUMBER(E482)),N(E482)&lt;0,N(E482)&gt;=1)),"Perte entre 0 et 99 %","OK")))))))</f>
        <v/>
      </c>
    </row>
    <row r="483">
      <c r="A483" s="60" t="n"/>
      <c r="B483" s="60" t="n"/>
      <c r="C483" s="61" t="n"/>
      <c r="D483" s="64" t="n"/>
      <c r="E483" s="65" t="n"/>
      <c r="F483" s="60" t="n"/>
      <c r="G483" s="100" t="n"/>
      <c r="H483" s="69" t="str">
        <f>IF(A483="","",IF(NOT(ISNUMBER(G483)),"Date à saisir",IF(EDATE(G483,N(p_age))&lt;TODAY(),"Ancien","À jour")))</f>
        <v/>
      </c>
      <c r="I483" s="69" t="str">
        <f>IF(AND(A483="",COUNTA(B483:G483)=0),"",IF(A483="","Référence manquante",IF(COUNTIF($A$6:$A$505,A483)&gt;1,"Référence en double",IF(C483="","Unité manquante",IF(D483="","Prix manquant",IF(AND(D483&lt;&gt;"",OR(NOT(ISNUMBER(D483)),N(D483)&lt;0)),"Prix invalide",IF(AND(E483&lt;&gt;"",OR(NOT(ISNUMBER(E483)),N(E483)&lt;0,N(E483)&gt;=1)),"Perte entre 0 et 99 %","OK")))))))</f>
        <v/>
      </c>
    </row>
    <row r="484">
      <c r="A484" s="60" t="n"/>
      <c r="B484" s="60" t="n"/>
      <c r="C484" s="61" t="n"/>
      <c r="D484" s="64" t="n"/>
      <c r="E484" s="65" t="n"/>
      <c r="F484" s="60" t="n"/>
      <c r="G484" s="100" t="n"/>
      <c r="H484" s="69" t="str">
        <f>IF(A484="","",IF(NOT(ISNUMBER(G484)),"Date à saisir",IF(EDATE(G484,N(p_age))&lt;TODAY(),"Ancien","À jour")))</f>
        <v/>
      </c>
      <c r="I484" s="69" t="str">
        <f>IF(AND(A484="",COUNTA(B484:G484)=0),"",IF(A484="","Référence manquante",IF(COUNTIF($A$6:$A$505,A484)&gt;1,"Référence en double",IF(C484="","Unité manquante",IF(D484="","Prix manquant",IF(AND(D484&lt;&gt;"",OR(NOT(ISNUMBER(D484)),N(D484)&lt;0)),"Prix invalide",IF(AND(E484&lt;&gt;"",OR(NOT(ISNUMBER(E484)),N(E484)&lt;0,N(E484)&gt;=1)),"Perte entre 0 et 99 %","OK")))))))</f>
        <v/>
      </c>
    </row>
    <row r="485">
      <c r="A485" s="60" t="n"/>
      <c r="B485" s="60" t="n"/>
      <c r="C485" s="61" t="n"/>
      <c r="D485" s="64" t="n"/>
      <c r="E485" s="65" t="n"/>
      <c r="F485" s="60" t="n"/>
      <c r="G485" s="100" t="n"/>
      <c r="H485" s="69" t="str">
        <f>IF(A485="","",IF(NOT(ISNUMBER(G485)),"Date à saisir",IF(EDATE(G485,N(p_age))&lt;TODAY(),"Ancien","À jour")))</f>
        <v/>
      </c>
      <c r="I485" s="69" t="str">
        <f>IF(AND(A485="",COUNTA(B485:G485)=0),"",IF(A485="","Référence manquante",IF(COUNTIF($A$6:$A$505,A485)&gt;1,"Référence en double",IF(C485="","Unité manquante",IF(D485="","Prix manquant",IF(AND(D485&lt;&gt;"",OR(NOT(ISNUMBER(D485)),N(D485)&lt;0)),"Prix invalide",IF(AND(E485&lt;&gt;"",OR(NOT(ISNUMBER(E485)),N(E485)&lt;0,N(E485)&gt;=1)),"Perte entre 0 et 99 %","OK")))))))</f>
        <v/>
      </c>
    </row>
    <row r="486">
      <c r="A486" s="60" t="n"/>
      <c r="B486" s="60" t="n"/>
      <c r="C486" s="61" t="n"/>
      <c r="D486" s="64" t="n"/>
      <c r="E486" s="65" t="n"/>
      <c r="F486" s="60" t="n"/>
      <c r="G486" s="100" t="n"/>
      <c r="H486" s="69" t="str">
        <f>IF(A486="","",IF(NOT(ISNUMBER(G486)),"Date à saisir",IF(EDATE(G486,N(p_age))&lt;TODAY(),"Ancien","À jour")))</f>
        <v/>
      </c>
      <c r="I486" s="69" t="str">
        <f>IF(AND(A486="",COUNTA(B486:G486)=0),"",IF(A486="","Référence manquante",IF(COUNTIF($A$6:$A$505,A486)&gt;1,"Référence en double",IF(C486="","Unité manquante",IF(D486="","Prix manquant",IF(AND(D486&lt;&gt;"",OR(NOT(ISNUMBER(D486)),N(D486)&lt;0)),"Prix invalide",IF(AND(E486&lt;&gt;"",OR(NOT(ISNUMBER(E486)),N(E486)&lt;0,N(E486)&gt;=1)),"Perte entre 0 et 99 %","OK")))))))</f>
        <v/>
      </c>
    </row>
    <row r="487">
      <c r="A487" s="60" t="n"/>
      <c r="B487" s="60" t="n"/>
      <c r="C487" s="61" t="n"/>
      <c r="D487" s="64" t="n"/>
      <c r="E487" s="65" t="n"/>
      <c r="F487" s="60" t="n"/>
      <c r="G487" s="100" t="n"/>
      <c r="H487" s="69" t="str">
        <f>IF(A487="","",IF(NOT(ISNUMBER(G487)),"Date à saisir",IF(EDATE(G487,N(p_age))&lt;TODAY(),"Ancien","À jour")))</f>
        <v/>
      </c>
      <c r="I487" s="69" t="str">
        <f>IF(AND(A487="",COUNTA(B487:G487)=0),"",IF(A487="","Référence manquante",IF(COUNTIF($A$6:$A$505,A487)&gt;1,"Référence en double",IF(C487="","Unité manquante",IF(D487="","Prix manquant",IF(AND(D487&lt;&gt;"",OR(NOT(ISNUMBER(D487)),N(D487)&lt;0)),"Prix invalide",IF(AND(E487&lt;&gt;"",OR(NOT(ISNUMBER(E487)),N(E487)&lt;0,N(E487)&gt;=1)),"Perte entre 0 et 99 %","OK")))))))</f>
        <v/>
      </c>
    </row>
    <row r="488">
      <c r="A488" s="60" t="n"/>
      <c r="B488" s="60" t="n"/>
      <c r="C488" s="61" t="n"/>
      <c r="D488" s="64" t="n"/>
      <c r="E488" s="65" t="n"/>
      <c r="F488" s="60" t="n"/>
      <c r="G488" s="100" t="n"/>
      <c r="H488" s="69" t="str">
        <f>IF(A488="","",IF(NOT(ISNUMBER(G488)),"Date à saisir",IF(EDATE(G488,N(p_age))&lt;TODAY(),"Ancien","À jour")))</f>
        <v/>
      </c>
      <c r="I488" s="69" t="str">
        <f>IF(AND(A488="",COUNTA(B488:G488)=0),"",IF(A488="","Référence manquante",IF(COUNTIF($A$6:$A$505,A488)&gt;1,"Référence en double",IF(C488="","Unité manquante",IF(D488="","Prix manquant",IF(AND(D488&lt;&gt;"",OR(NOT(ISNUMBER(D488)),N(D488)&lt;0)),"Prix invalide",IF(AND(E488&lt;&gt;"",OR(NOT(ISNUMBER(E488)),N(E488)&lt;0,N(E488)&gt;=1)),"Perte entre 0 et 99 %","OK")))))))</f>
        <v/>
      </c>
    </row>
    <row r="489">
      <c r="A489" s="60" t="n"/>
      <c r="B489" s="60" t="n"/>
      <c r="C489" s="61" t="n"/>
      <c r="D489" s="64" t="n"/>
      <c r="E489" s="65" t="n"/>
      <c r="F489" s="60" t="n"/>
      <c r="G489" s="100" t="n"/>
      <c r="H489" s="69" t="str">
        <f>IF(A489="","",IF(NOT(ISNUMBER(G489)),"Date à saisir",IF(EDATE(G489,N(p_age))&lt;TODAY(),"Ancien","À jour")))</f>
        <v/>
      </c>
      <c r="I489" s="69" t="str">
        <f>IF(AND(A489="",COUNTA(B489:G489)=0),"",IF(A489="","Référence manquante",IF(COUNTIF($A$6:$A$505,A489)&gt;1,"Référence en double",IF(C489="","Unité manquante",IF(D489="","Prix manquant",IF(AND(D489&lt;&gt;"",OR(NOT(ISNUMBER(D489)),N(D489)&lt;0)),"Prix invalide",IF(AND(E489&lt;&gt;"",OR(NOT(ISNUMBER(E489)),N(E489)&lt;0,N(E489)&gt;=1)),"Perte entre 0 et 99 %","OK")))))))</f>
        <v/>
      </c>
    </row>
    <row r="490">
      <c r="A490" s="60" t="n"/>
      <c r="B490" s="60" t="n"/>
      <c r="C490" s="61" t="n"/>
      <c r="D490" s="64" t="n"/>
      <c r="E490" s="65" t="n"/>
      <c r="F490" s="60" t="n"/>
      <c r="G490" s="100" t="n"/>
      <c r="H490" s="69" t="str">
        <f>IF(A490="","",IF(NOT(ISNUMBER(G490)),"Date à saisir",IF(EDATE(G490,N(p_age))&lt;TODAY(),"Ancien","À jour")))</f>
        <v/>
      </c>
      <c r="I490" s="69" t="str">
        <f>IF(AND(A490="",COUNTA(B490:G490)=0),"",IF(A490="","Référence manquante",IF(COUNTIF($A$6:$A$505,A490)&gt;1,"Référence en double",IF(C490="","Unité manquante",IF(D490="","Prix manquant",IF(AND(D490&lt;&gt;"",OR(NOT(ISNUMBER(D490)),N(D490)&lt;0)),"Prix invalide",IF(AND(E490&lt;&gt;"",OR(NOT(ISNUMBER(E490)),N(E490)&lt;0,N(E490)&gt;=1)),"Perte entre 0 et 99 %","OK")))))))</f>
        <v/>
      </c>
    </row>
    <row r="491">
      <c r="A491" s="60" t="n"/>
      <c r="B491" s="60" t="n"/>
      <c r="C491" s="61" t="n"/>
      <c r="D491" s="64" t="n"/>
      <c r="E491" s="65" t="n"/>
      <c r="F491" s="60" t="n"/>
      <c r="G491" s="100" t="n"/>
      <c r="H491" s="69" t="str">
        <f>IF(A491="","",IF(NOT(ISNUMBER(G491)),"Date à saisir",IF(EDATE(G491,N(p_age))&lt;TODAY(),"Ancien","À jour")))</f>
        <v/>
      </c>
      <c r="I491" s="69" t="str">
        <f>IF(AND(A491="",COUNTA(B491:G491)=0),"",IF(A491="","Référence manquante",IF(COUNTIF($A$6:$A$505,A491)&gt;1,"Référence en double",IF(C491="","Unité manquante",IF(D491="","Prix manquant",IF(AND(D491&lt;&gt;"",OR(NOT(ISNUMBER(D491)),N(D491)&lt;0)),"Prix invalide",IF(AND(E491&lt;&gt;"",OR(NOT(ISNUMBER(E491)),N(E491)&lt;0,N(E491)&gt;=1)),"Perte entre 0 et 99 %","OK")))))))</f>
        <v/>
      </c>
    </row>
    <row r="492">
      <c r="A492" s="60" t="n"/>
      <c r="B492" s="60" t="n"/>
      <c r="C492" s="61" t="n"/>
      <c r="D492" s="64" t="n"/>
      <c r="E492" s="65" t="n"/>
      <c r="F492" s="60" t="n"/>
      <c r="G492" s="100" t="n"/>
      <c r="H492" s="69" t="str">
        <f>IF(A492="","",IF(NOT(ISNUMBER(G492)),"Date à saisir",IF(EDATE(G492,N(p_age))&lt;TODAY(),"Ancien","À jour")))</f>
        <v/>
      </c>
      <c r="I492" s="69" t="str">
        <f>IF(AND(A492="",COUNTA(B492:G492)=0),"",IF(A492="","Référence manquante",IF(COUNTIF($A$6:$A$505,A492)&gt;1,"Référence en double",IF(C492="","Unité manquante",IF(D492="","Prix manquant",IF(AND(D492&lt;&gt;"",OR(NOT(ISNUMBER(D492)),N(D492)&lt;0)),"Prix invalide",IF(AND(E492&lt;&gt;"",OR(NOT(ISNUMBER(E492)),N(E492)&lt;0,N(E492)&gt;=1)),"Perte entre 0 et 99 %","OK")))))))</f>
        <v/>
      </c>
    </row>
    <row r="493">
      <c r="A493" s="60" t="n"/>
      <c r="B493" s="60" t="n"/>
      <c r="C493" s="61" t="n"/>
      <c r="D493" s="64" t="n"/>
      <c r="E493" s="65" t="n"/>
      <c r="F493" s="60" t="n"/>
      <c r="G493" s="100" t="n"/>
      <c r="H493" s="69" t="str">
        <f>IF(A493="","",IF(NOT(ISNUMBER(G493)),"Date à saisir",IF(EDATE(G493,N(p_age))&lt;TODAY(),"Ancien","À jour")))</f>
        <v/>
      </c>
      <c r="I493" s="69" t="str">
        <f>IF(AND(A493="",COUNTA(B493:G493)=0),"",IF(A493="","Référence manquante",IF(COUNTIF($A$6:$A$505,A493)&gt;1,"Référence en double",IF(C493="","Unité manquante",IF(D493="","Prix manquant",IF(AND(D493&lt;&gt;"",OR(NOT(ISNUMBER(D493)),N(D493)&lt;0)),"Prix invalide",IF(AND(E493&lt;&gt;"",OR(NOT(ISNUMBER(E493)),N(E493)&lt;0,N(E493)&gt;=1)),"Perte entre 0 et 99 %","OK")))))))</f>
        <v/>
      </c>
    </row>
    <row r="494">
      <c r="A494" s="60" t="n"/>
      <c r="B494" s="60" t="n"/>
      <c r="C494" s="61" t="n"/>
      <c r="D494" s="64" t="n"/>
      <c r="E494" s="65" t="n"/>
      <c r="F494" s="60" t="n"/>
      <c r="G494" s="100" t="n"/>
      <c r="H494" s="69" t="str">
        <f>IF(A494="","",IF(NOT(ISNUMBER(G494)),"Date à saisir",IF(EDATE(G494,N(p_age))&lt;TODAY(),"Ancien","À jour")))</f>
        <v/>
      </c>
      <c r="I494" s="69" t="str">
        <f>IF(AND(A494="",COUNTA(B494:G494)=0),"",IF(A494="","Référence manquante",IF(COUNTIF($A$6:$A$505,A494)&gt;1,"Référence en double",IF(C494="","Unité manquante",IF(D494="","Prix manquant",IF(AND(D494&lt;&gt;"",OR(NOT(ISNUMBER(D494)),N(D494)&lt;0)),"Prix invalide",IF(AND(E494&lt;&gt;"",OR(NOT(ISNUMBER(E494)),N(E494)&lt;0,N(E494)&gt;=1)),"Perte entre 0 et 99 %","OK")))))))</f>
        <v/>
      </c>
    </row>
    <row r="495">
      <c r="A495" s="60" t="n"/>
      <c r="B495" s="60" t="n"/>
      <c r="C495" s="61" t="n"/>
      <c r="D495" s="64" t="n"/>
      <c r="E495" s="65" t="n"/>
      <c r="F495" s="60" t="n"/>
      <c r="G495" s="100" t="n"/>
      <c r="H495" s="69" t="str">
        <f>IF(A495="","",IF(NOT(ISNUMBER(G495)),"Date à saisir",IF(EDATE(G495,N(p_age))&lt;TODAY(),"Ancien","À jour")))</f>
        <v/>
      </c>
      <c r="I495" s="69" t="str">
        <f>IF(AND(A495="",COUNTA(B495:G495)=0),"",IF(A495="","Référence manquante",IF(COUNTIF($A$6:$A$505,A495)&gt;1,"Référence en double",IF(C495="","Unité manquante",IF(D495="","Prix manquant",IF(AND(D495&lt;&gt;"",OR(NOT(ISNUMBER(D495)),N(D495)&lt;0)),"Prix invalide",IF(AND(E495&lt;&gt;"",OR(NOT(ISNUMBER(E495)),N(E495)&lt;0,N(E495)&gt;=1)),"Perte entre 0 et 99 %","OK")))))))</f>
        <v/>
      </c>
    </row>
    <row r="496">
      <c r="A496" s="60" t="n"/>
      <c r="B496" s="60" t="n"/>
      <c r="C496" s="61" t="n"/>
      <c r="D496" s="64" t="n"/>
      <c r="E496" s="65" t="n"/>
      <c r="F496" s="60" t="n"/>
      <c r="G496" s="100" t="n"/>
      <c r="H496" s="69" t="str">
        <f>IF(A496="","",IF(NOT(ISNUMBER(G496)),"Date à saisir",IF(EDATE(G496,N(p_age))&lt;TODAY(),"Ancien","À jour")))</f>
        <v/>
      </c>
      <c r="I496" s="69" t="str">
        <f>IF(AND(A496="",COUNTA(B496:G496)=0),"",IF(A496="","Référence manquante",IF(COUNTIF($A$6:$A$505,A496)&gt;1,"Référence en double",IF(C496="","Unité manquante",IF(D496="","Prix manquant",IF(AND(D496&lt;&gt;"",OR(NOT(ISNUMBER(D496)),N(D496)&lt;0)),"Prix invalide",IF(AND(E496&lt;&gt;"",OR(NOT(ISNUMBER(E496)),N(E496)&lt;0,N(E496)&gt;=1)),"Perte entre 0 et 99 %","OK")))))))</f>
        <v/>
      </c>
    </row>
    <row r="497">
      <c r="A497" s="60" t="n"/>
      <c r="B497" s="60" t="n"/>
      <c r="C497" s="61" t="n"/>
      <c r="D497" s="64" t="n"/>
      <c r="E497" s="65" t="n"/>
      <c r="F497" s="60" t="n"/>
      <c r="G497" s="100" t="n"/>
      <c r="H497" s="69" t="str">
        <f>IF(A497="","",IF(NOT(ISNUMBER(G497)),"Date à saisir",IF(EDATE(G497,N(p_age))&lt;TODAY(),"Ancien","À jour")))</f>
        <v/>
      </c>
      <c r="I497" s="69" t="str">
        <f>IF(AND(A497="",COUNTA(B497:G497)=0),"",IF(A497="","Référence manquante",IF(COUNTIF($A$6:$A$505,A497)&gt;1,"Référence en double",IF(C497="","Unité manquante",IF(D497="","Prix manquant",IF(AND(D497&lt;&gt;"",OR(NOT(ISNUMBER(D497)),N(D497)&lt;0)),"Prix invalide",IF(AND(E497&lt;&gt;"",OR(NOT(ISNUMBER(E497)),N(E497)&lt;0,N(E497)&gt;=1)),"Perte entre 0 et 99 %","OK")))))))</f>
        <v/>
      </c>
    </row>
    <row r="498">
      <c r="A498" s="60" t="n"/>
      <c r="B498" s="60" t="n"/>
      <c r="C498" s="61" t="n"/>
      <c r="D498" s="64" t="n"/>
      <c r="E498" s="65" t="n"/>
      <c r="F498" s="60" t="n"/>
      <c r="G498" s="100" t="n"/>
      <c r="H498" s="69" t="str">
        <f>IF(A498="","",IF(NOT(ISNUMBER(G498)),"Date à saisir",IF(EDATE(G498,N(p_age))&lt;TODAY(),"Ancien","À jour")))</f>
        <v/>
      </c>
      <c r="I498" s="69" t="str">
        <f>IF(AND(A498="",COUNTA(B498:G498)=0),"",IF(A498="","Référence manquante",IF(COUNTIF($A$6:$A$505,A498)&gt;1,"Référence en double",IF(C498="","Unité manquante",IF(D498="","Prix manquant",IF(AND(D498&lt;&gt;"",OR(NOT(ISNUMBER(D498)),N(D498)&lt;0)),"Prix invalide",IF(AND(E498&lt;&gt;"",OR(NOT(ISNUMBER(E498)),N(E498)&lt;0,N(E498)&gt;=1)),"Perte entre 0 et 99 %","OK")))))))</f>
        <v/>
      </c>
    </row>
    <row r="499">
      <c r="A499" s="60" t="n"/>
      <c r="B499" s="60" t="n"/>
      <c r="C499" s="61" t="n"/>
      <c r="D499" s="64" t="n"/>
      <c r="E499" s="65" t="n"/>
      <c r="F499" s="60" t="n"/>
      <c r="G499" s="100" t="n"/>
      <c r="H499" s="69" t="str">
        <f>IF(A499="","",IF(NOT(ISNUMBER(G499)),"Date à saisir",IF(EDATE(G499,N(p_age))&lt;TODAY(),"Ancien","À jour")))</f>
        <v/>
      </c>
      <c r="I499" s="69" t="str">
        <f>IF(AND(A499="",COUNTA(B499:G499)=0),"",IF(A499="","Référence manquante",IF(COUNTIF($A$6:$A$505,A499)&gt;1,"Référence en double",IF(C499="","Unité manquante",IF(D499="","Prix manquant",IF(AND(D499&lt;&gt;"",OR(NOT(ISNUMBER(D499)),N(D499)&lt;0)),"Prix invalide",IF(AND(E499&lt;&gt;"",OR(NOT(ISNUMBER(E499)),N(E499)&lt;0,N(E499)&gt;=1)),"Perte entre 0 et 99 %","OK")))))))</f>
        <v/>
      </c>
    </row>
    <row r="500">
      <c r="A500" s="60" t="n"/>
      <c r="B500" s="60" t="n"/>
      <c r="C500" s="61" t="n"/>
      <c r="D500" s="64" t="n"/>
      <c r="E500" s="65" t="n"/>
      <c r="F500" s="60" t="n"/>
      <c r="G500" s="100" t="n"/>
      <c r="H500" s="69" t="str">
        <f>IF(A500="","",IF(NOT(ISNUMBER(G500)),"Date à saisir",IF(EDATE(G500,N(p_age))&lt;TODAY(),"Ancien","À jour")))</f>
        <v/>
      </c>
      <c r="I500" s="69" t="str">
        <f>IF(AND(A500="",COUNTA(B500:G500)=0),"",IF(A500="","Référence manquante",IF(COUNTIF($A$6:$A$505,A500)&gt;1,"Référence en double",IF(C500="","Unité manquante",IF(D500="","Prix manquant",IF(AND(D500&lt;&gt;"",OR(NOT(ISNUMBER(D500)),N(D500)&lt;0)),"Prix invalide",IF(AND(E500&lt;&gt;"",OR(NOT(ISNUMBER(E500)),N(E500)&lt;0,N(E500)&gt;=1)),"Perte entre 0 et 99 %","OK")))))))</f>
        <v/>
      </c>
    </row>
    <row r="501">
      <c r="A501" s="60" t="n"/>
      <c r="B501" s="60" t="n"/>
      <c r="C501" s="61" t="n"/>
      <c r="D501" s="64" t="n"/>
      <c r="E501" s="65" t="n"/>
      <c r="F501" s="60" t="n"/>
      <c r="G501" s="100" t="n"/>
      <c r="H501" s="69" t="str">
        <f>IF(A501="","",IF(NOT(ISNUMBER(G501)),"Date à saisir",IF(EDATE(G501,N(p_age))&lt;TODAY(),"Ancien","À jour")))</f>
        <v/>
      </c>
      <c r="I501" s="69" t="str">
        <f>IF(AND(A501="",COUNTA(B501:G501)=0),"",IF(A501="","Référence manquante",IF(COUNTIF($A$6:$A$505,A501)&gt;1,"Référence en double",IF(C501="","Unité manquante",IF(D501="","Prix manquant",IF(AND(D501&lt;&gt;"",OR(NOT(ISNUMBER(D501)),N(D501)&lt;0)),"Prix invalide",IF(AND(E501&lt;&gt;"",OR(NOT(ISNUMBER(E501)),N(E501)&lt;0,N(E501)&gt;=1)),"Perte entre 0 et 99 %","OK")))))))</f>
        <v/>
      </c>
    </row>
    <row r="502">
      <c r="A502" s="60" t="n"/>
      <c r="B502" s="60" t="n"/>
      <c r="C502" s="61" t="n"/>
      <c r="D502" s="64" t="n"/>
      <c r="E502" s="65" t="n"/>
      <c r="F502" s="60" t="n"/>
      <c r="G502" s="100" t="n"/>
      <c r="H502" s="69" t="str">
        <f>IF(A502="","",IF(NOT(ISNUMBER(G502)),"Date à saisir",IF(EDATE(G502,N(p_age))&lt;TODAY(),"Ancien","À jour")))</f>
        <v/>
      </c>
      <c r="I502" s="69" t="str">
        <f>IF(AND(A502="",COUNTA(B502:G502)=0),"",IF(A502="","Référence manquante",IF(COUNTIF($A$6:$A$505,A502)&gt;1,"Référence en double",IF(C502="","Unité manquante",IF(D502="","Prix manquant",IF(AND(D502&lt;&gt;"",OR(NOT(ISNUMBER(D502)),N(D502)&lt;0)),"Prix invalide",IF(AND(E502&lt;&gt;"",OR(NOT(ISNUMBER(E502)),N(E502)&lt;0,N(E502)&gt;=1)),"Perte entre 0 et 99 %","OK")))))))</f>
        <v/>
      </c>
    </row>
    <row r="503">
      <c r="A503" s="60" t="n"/>
      <c r="B503" s="60" t="n"/>
      <c r="C503" s="61" t="n"/>
      <c r="D503" s="64" t="n"/>
      <c r="E503" s="65" t="n"/>
      <c r="F503" s="60" t="n"/>
      <c r="G503" s="100" t="n"/>
      <c r="H503" s="69" t="str">
        <f>IF(A503="","",IF(NOT(ISNUMBER(G503)),"Date à saisir",IF(EDATE(G503,N(p_age))&lt;TODAY(),"Ancien","À jour")))</f>
        <v/>
      </c>
      <c r="I503" s="69" t="str">
        <f>IF(AND(A503="",COUNTA(B503:G503)=0),"",IF(A503="","Référence manquante",IF(COUNTIF($A$6:$A$505,A503)&gt;1,"Référence en double",IF(C503="","Unité manquante",IF(D503="","Prix manquant",IF(AND(D503&lt;&gt;"",OR(NOT(ISNUMBER(D503)),N(D503)&lt;0)),"Prix invalide",IF(AND(E503&lt;&gt;"",OR(NOT(ISNUMBER(E503)),N(E503)&lt;0,N(E503)&gt;=1)),"Perte entre 0 et 99 %","OK")))))))</f>
        <v/>
      </c>
    </row>
    <row r="504">
      <c r="A504" s="60" t="n"/>
      <c r="B504" s="60" t="n"/>
      <c r="C504" s="61" t="n"/>
      <c r="D504" s="64" t="n"/>
      <c r="E504" s="65" t="n"/>
      <c r="F504" s="60" t="n"/>
      <c r="G504" s="100" t="n"/>
      <c r="H504" s="69" t="str">
        <f>IF(A504="","",IF(NOT(ISNUMBER(G504)),"Date à saisir",IF(EDATE(G504,N(p_age))&lt;TODAY(),"Ancien","À jour")))</f>
        <v/>
      </c>
      <c r="I504" s="69" t="str">
        <f>IF(AND(A504="",COUNTA(B504:G504)=0),"",IF(A504="","Référence manquante",IF(COUNTIF($A$6:$A$505,A504)&gt;1,"Référence en double",IF(C504="","Unité manquante",IF(D504="","Prix manquant",IF(AND(D504&lt;&gt;"",OR(NOT(ISNUMBER(D504)),N(D504)&lt;0)),"Prix invalide",IF(AND(E504&lt;&gt;"",OR(NOT(ISNUMBER(E504)),N(E504)&lt;0,N(E504)&gt;=1)),"Perte entre 0 et 99 %","OK")))))))</f>
        <v/>
      </c>
    </row>
    <row r="505">
      <c r="A505" s="60" t="n"/>
      <c r="B505" s="60" t="n"/>
      <c r="C505" s="61" t="n"/>
      <c r="D505" s="64" t="n"/>
      <c r="E505" s="65" t="n"/>
      <c r="F505" s="60" t="n"/>
      <c r="G505" s="100" t="n"/>
      <c r="H505" s="69" t="str">
        <f>IF(A505="","",IF(NOT(ISNUMBER(G505)),"Date à saisir",IF(EDATE(G505,N(p_age))&lt;TODAY(),"Ancien","À jour")))</f>
        <v/>
      </c>
      <c r="I505" s="69" t="str">
        <f>IF(AND(A505="",COUNTA(B505:G505)=0),"",IF(A505="","Référence manquante",IF(COUNTIF($A$6:$A$505,A505)&gt;1,"Référence en double",IF(C505="","Unité manquante",IF(D505="","Prix manquant",IF(AND(D505&lt;&gt;"",OR(NOT(ISNUMBER(D505)),N(D505)&lt;0)),"Prix invalide",IF(AND(E505&lt;&gt;"",OR(NOT(ISNUMBER(E505)),N(E505)&lt;0,N(E505)&gt;=1)),"Perte entre 0 et 99 %","OK")))))))</f>
        <v/>
      </c>
    </row>
  </sheetData>
  <autoFilter ref="A5:I505"/>
  <conditionalFormatting sqref="H6:H505">
    <cfRule type="expression" priority="1" dxfId="0">
      <formula>$H6="À jour"</formula>
    </cfRule>
    <cfRule type="expression" priority="2" dxfId="1">
      <formula>$H6="Ancien"</formula>
    </cfRule>
    <cfRule type="expression" priority="3" dxfId="12">
      <formula>$H6="Date à saisir"</formula>
    </cfRule>
  </conditionalFormatting>
  <conditionalFormatting sqref="I6:I505">
    <cfRule type="expression" priority="4" dxfId="2">
      <formula>AND($I6&lt;&gt;"",$I6&lt;&gt;"OK")</formula>
    </cfRule>
    <cfRule type="expression" priority="5" dxfId="0">
      <formula>$I6="OK"</formula>
    </cfRule>
  </conditionalFormatting>
  <conditionalFormatting sqref="D6:D505">
    <cfRule type="expression" priority="6" dxfId="5">
      <formula>p_currency="MAD"</formula>
    </cfRule>
    <cfRule type="expression" priority="7" dxfId="6">
      <formula>p_currency="EUR"</formula>
    </cfRule>
    <cfRule type="expression" priority="8" dxfId="7">
      <formula>p_currency="USD"</formula>
    </cfRule>
  </conditionalFormatting>
  <dataValidations count="4">
    <dataValidation sqref="C6:C505" showDropDown="0" showInputMessage="1" showErrorMessage="1" allowBlank="1" errorTitle="Unité" error="Choisissez l'unité dans la liste (feuille « Paramètres »). La quantité de la nomenclature est exprimée dans cette unité." promptTitle="Unité" prompt="Choisissez l'unité dans la liste (feuille « Paramètres »). La quantité de la nomenclature est exprimée dans cette unité." type="list">
      <formula1>=p_units</formula1>
    </dataValidation>
    <dataValidation sqref="D6:D505" showDropDown="0" showInputMessage="1" showErrorMessage="1" allowBlank="1" errorTitle="Prix unitaire" error="Prix d'achat hors taxes d'une unité (un kg, un mètre, une pièce). 0 pour une matière fournie par le client." promptTitle="Prix unitaire" prompt="Prix d'achat hors taxes d'une unité (un kg, un mètre, une pièce). 0 pour une matière fournie par le client." type="decimal" operator="greaterThanOrEqual">
      <formula1>0</formula1>
    </dataValidation>
    <dataValidation sqref="E6:E505" showDropDown="0" showInputMessage="1" showErrorMessage="1" allowBlank="1" errorTitle="Taux de perte" error="Chutes, copeaux, rebuts : 8 % = 0,08. Une tôle découpée perd souvent 5 à 15 %. Entre 0 et 99 %." promptTitle="Taux de perte" prompt="Chutes, copeaux, rebuts : 8 % = 0,08. Une tôle découpée perd souvent 5 à 15 %. Entre 0 et 99 %." type="decimal" operator="between">
      <formula1>0</formula1>
      <formula2>0.99</formula2>
    </dataValidation>
    <dataValidation sqref="G6:G505" showDropDown="0" showInputMessage="1" showErrorMessage="1" allowBlank="1" errorTitle="Date du prix" error="Date du dernier prix connu (devis ou facture), au format jj/mm/aaaa." promptTitle="Date du prix" prompt="Date du dernier prix connu (devis ou facture), au format jj/mm/aaaa." type="date" operator="between">
      <formula1>36526</formula1>
      <formula2>73051</formula2>
    </dataValidation>
  </dataValidations>
  <hyperlinks>
    <hyperlink ref="I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G45"/>
  <sheetViews>
    <sheetView showGridLines="0" tabSelected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15" customWidth="1" min="4" max="4"/>
    <col width="15" customWidth="1" min="5" max="5"/>
    <col width="15" customWidth="1" min="6" max="6"/>
    <col width="24" customWidth="1" min="7" max="7"/>
  </cols>
  <sheetData>
    <row r="1" ht="38" customHeight="1">
      <c r="A1" s="2" t="inlineStr">
        <is>
          <t>Postes</t>
        </is>
      </c>
      <c r="B1" s="1" t="n"/>
      <c r="C1" s="1" t="n"/>
      <c r="D1" s="1" t="n"/>
      <c r="E1" s="1" t="n"/>
      <c r="F1" s="1" t="n"/>
      <c r="G1" s="18" t="inlineStr">
        <is>
          <t>⌂ Mode d'emploi</t>
        </is>
      </c>
    </row>
    <row r="2" ht="22" customHeight="1">
      <c r="A2" s="4" t="inlineStr">
        <is>
          <t>Une ligne par machine ou poste manuel. Case vide = taux par défaut des Paramètres. Poste manuel : taux machine à 0.</t>
        </is>
      </c>
      <c r="B2" s="3" t="n"/>
      <c r="C2" s="3" t="n"/>
      <c r="D2" s="3" t="n"/>
      <c r="E2" s="3" t="n"/>
      <c r="F2" s="3" t="n"/>
      <c r="G2" s="3" t="n"/>
    </row>
    <row r="3" ht="18" customHeight="1">
      <c r="F3" s="16" t="inlineStr">
        <is>
          <t>Saisie</t>
        </is>
      </c>
      <c r="G3" s="17" t="inlineStr">
        <is>
          <t>Calcul auto</t>
        </is>
      </c>
    </row>
    <row r="5" ht="34" customHeight="1">
      <c r="A5" s="42" t="inlineStr">
        <is>
          <t>Code</t>
        </is>
      </c>
      <c r="B5" s="42" t="inlineStr">
        <is>
          <t>Nom du poste</t>
        </is>
      </c>
      <c r="C5" s="42" t="inlineStr">
        <is>
          <t>Taux main-d'œuvre (heure)</t>
        </is>
      </c>
      <c r="D5" s="42" t="inlineStr">
        <is>
          <t>Taux machine (heure)</t>
        </is>
      </c>
      <c r="E5" s="42" t="inlineStr">
        <is>
          <t>Taux MO retenu</t>
        </is>
      </c>
      <c r="F5" s="42" t="inlineStr">
        <is>
          <t>Taux machine retenu</t>
        </is>
      </c>
      <c r="G5" s="42" t="inlineStr">
        <is>
          <t>Contrôle</t>
        </is>
      </c>
    </row>
    <row r="6">
      <c r="A6" s="61" t="n"/>
      <c r="B6" s="60" t="n"/>
      <c r="C6" s="64" t="n"/>
      <c r="D6" s="64" t="n"/>
      <c r="E6" s="66" t="str">
        <f>IF(A6="","",IF(C6="",N(p_mo),N(C6)))</f>
        <v/>
      </c>
      <c r="F6" s="66" t="str">
        <f>IF(A6="","",IF(D6="",N(p_mac),N(D6)))</f>
        <v/>
      </c>
      <c r="G6" s="69" t="str">
        <f>IF(AND(A6="",B6="",C6="",D6=""),"",IF(A6="","Code manquant",IF(COUNTIF($A$6:$A$45,A6)&gt;1,"Code en double",IF(OR(AND(C6&lt;&gt;"",OR(NOT(ISNUMBER(C6)),N(C6)&lt;0)),AND(D6&lt;&gt;"",OR(NOT(ISNUMBER(D6)),N(D6)&lt;0))),"Taux invalide",IF(E6+F6=0,"Taux horaires à zéro","OK")))))</f>
        <v/>
      </c>
    </row>
    <row r="7">
      <c r="A7" s="61" t="n"/>
      <c r="B7" s="60" t="n"/>
      <c r="C7" s="64" t="n"/>
      <c r="D7" s="64" t="n"/>
      <c r="E7" s="66" t="str">
        <f>IF(A7="","",IF(C7="",N(p_mo),N(C7)))</f>
        <v/>
      </c>
      <c r="F7" s="66" t="str">
        <f>IF(A7="","",IF(D7="",N(p_mac),N(D7)))</f>
        <v/>
      </c>
      <c r="G7" s="69" t="str">
        <f>IF(AND(A7="",B7="",C7="",D7=""),"",IF(A7="","Code manquant",IF(COUNTIF($A$6:$A$45,A7)&gt;1,"Code en double",IF(OR(AND(C7&lt;&gt;"",OR(NOT(ISNUMBER(C7)),N(C7)&lt;0)),AND(D7&lt;&gt;"",OR(NOT(ISNUMBER(D7)),N(D7)&lt;0))),"Taux invalide",IF(E7+F7=0,"Taux horaires à zéro","OK")))))</f>
        <v/>
      </c>
    </row>
    <row r="8">
      <c r="A8" s="61" t="n"/>
      <c r="B8" s="60" t="n"/>
      <c r="C8" s="64" t="n"/>
      <c r="D8" s="64" t="n"/>
      <c r="E8" s="66" t="str">
        <f>IF(A8="","",IF(C8="",N(p_mo),N(C8)))</f>
        <v/>
      </c>
      <c r="F8" s="66" t="str">
        <f>IF(A8="","",IF(D8="",N(p_mac),N(D8)))</f>
        <v/>
      </c>
      <c r="G8" s="69" t="str">
        <f>IF(AND(A8="",B8="",C8="",D8=""),"",IF(A8="","Code manquant",IF(COUNTIF($A$6:$A$45,A8)&gt;1,"Code en double",IF(OR(AND(C8&lt;&gt;"",OR(NOT(ISNUMBER(C8)),N(C8)&lt;0)),AND(D8&lt;&gt;"",OR(NOT(ISNUMBER(D8)),N(D8)&lt;0))),"Taux invalide",IF(E8+F8=0,"Taux horaires à zéro","OK")))))</f>
        <v/>
      </c>
    </row>
    <row r="9">
      <c r="A9" s="61" t="n"/>
      <c r="B9" s="60" t="n"/>
      <c r="C9" s="64" t="n"/>
      <c r="D9" s="64" t="n"/>
      <c r="E9" s="66" t="str">
        <f>IF(A9="","",IF(C9="",N(p_mo),N(C9)))</f>
        <v/>
      </c>
      <c r="F9" s="66" t="str">
        <f>IF(A9="","",IF(D9="",N(p_mac),N(D9)))</f>
        <v/>
      </c>
      <c r="G9" s="69" t="str">
        <f>IF(AND(A9="",B9="",C9="",D9=""),"",IF(A9="","Code manquant",IF(COUNTIF($A$6:$A$45,A9)&gt;1,"Code en double",IF(OR(AND(C9&lt;&gt;"",OR(NOT(ISNUMBER(C9)),N(C9)&lt;0)),AND(D9&lt;&gt;"",OR(NOT(ISNUMBER(D9)),N(D9)&lt;0))),"Taux invalide",IF(E9+F9=0,"Taux horaires à zéro","OK")))))</f>
        <v/>
      </c>
    </row>
    <row r="10">
      <c r="A10" s="61" t="n"/>
      <c r="B10" s="60" t="n"/>
      <c r="C10" s="64" t="n"/>
      <c r="D10" s="64" t="n"/>
      <c r="E10" s="66" t="str">
        <f>IF(A10="","",IF(C10="",N(p_mo),N(C10)))</f>
        <v/>
      </c>
      <c r="F10" s="66" t="str">
        <f>IF(A10="","",IF(D10="",N(p_mac),N(D10)))</f>
        <v/>
      </c>
      <c r="G10" s="69" t="str">
        <f>IF(AND(A10="",B10="",C10="",D10=""),"",IF(A10="","Code manquant",IF(COUNTIF($A$6:$A$45,A10)&gt;1,"Code en double",IF(OR(AND(C10&lt;&gt;"",OR(NOT(ISNUMBER(C10)),N(C10)&lt;0)),AND(D10&lt;&gt;"",OR(NOT(ISNUMBER(D10)),N(D10)&lt;0))),"Taux invalide",IF(E10+F10=0,"Taux horaires à zéro","OK")))))</f>
        <v/>
      </c>
    </row>
    <row r="11">
      <c r="A11" s="61" t="n"/>
      <c r="B11" s="60" t="n"/>
      <c r="C11" s="64" t="n"/>
      <c r="D11" s="64" t="n"/>
      <c r="E11" s="66" t="str">
        <f>IF(A11="","",IF(C11="",N(p_mo),N(C11)))</f>
        <v/>
      </c>
      <c r="F11" s="66" t="str">
        <f>IF(A11="","",IF(D11="",N(p_mac),N(D11)))</f>
        <v/>
      </c>
      <c r="G11" s="69" t="str">
        <f>IF(AND(A11="",B11="",C11="",D11=""),"",IF(A11="","Code manquant",IF(COUNTIF($A$6:$A$45,A11)&gt;1,"Code en double",IF(OR(AND(C11&lt;&gt;"",OR(NOT(ISNUMBER(C11)),N(C11)&lt;0)),AND(D11&lt;&gt;"",OR(NOT(ISNUMBER(D11)),N(D11)&lt;0))),"Taux invalide",IF(E11+F11=0,"Taux horaires à zéro","OK")))))</f>
        <v/>
      </c>
    </row>
    <row r="12">
      <c r="A12" s="61" t="n"/>
      <c r="B12" s="60" t="n"/>
      <c r="C12" s="64" t="n"/>
      <c r="D12" s="64" t="n"/>
      <c r="E12" s="66" t="str">
        <f>IF(A12="","",IF(C12="",N(p_mo),N(C12)))</f>
        <v/>
      </c>
      <c r="F12" s="66" t="str">
        <f>IF(A12="","",IF(D12="",N(p_mac),N(D12)))</f>
        <v/>
      </c>
      <c r="G12" s="69" t="str">
        <f>IF(AND(A12="",B12="",C12="",D12=""),"",IF(A12="","Code manquant",IF(COUNTIF($A$6:$A$45,A12)&gt;1,"Code en double",IF(OR(AND(C12&lt;&gt;"",OR(NOT(ISNUMBER(C12)),N(C12)&lt;0)),AND(D12&lt;&gt;"",OR(NOT(ISNUMBER(D12)),N(D12)&lt;0))),"Taux invalide",IF(E12+F12=0,"Taux horaires à zéro","OK")))))</f>
        <v/>
      </c>
    </row>
    <row r="13">
      <c r="A13" s="61" t="n"/>
      <c r="B13" s="60" t="n"/>
      <c r="C13" s="64" t="n"/>
      <c r="D13" s="64" t="n"/>
      <c r="E13" s="66" t="str">
        <f>IF(A13="","",IF(C13="",N(p_mo),N(C13)))</f>
        <v/>
      </c>
      <c r="F13" s="66" t="str">
        <f>IF(A13="","",IF(D13="",N(p_mac),N(D13)))</f>
        <v/>
      </c>
      <c r="G13" s="69" t="str">
        <f>IF(AND(A13="",B13="",C13="",D13=""),"",IF(A13="","Code manquant",IF(COUNTIF($A$6:$A$45,A13)&gt;1,"Code en double",IF(OR(AND(C13&lt;&gt;"",OR(NOT(ISNUMBER(C13)),N(C13)&lt;0)),AND(D13&lt;&gt;"",OR(NOT(ISNUMBER(D13)),N(D13)&lt;0))),"Taux invalide",IF(E13+F13=0,"Taux horaires à zéro","OK")))))</f>
        <v/>
      </c>
    </row>
    <row r="14">
      <c r="A14" s="61" t="n"/>
      <c r="B14" s="60" t="n"/>
      <c r="C14" s="64" t="n"/>
      <c r="D14" s="64" t="n"/>
      <c r="E14" s="66" t="str">
        <f>IF(A14="","",IF(C14="",N(p_mo),N(C14)))</f>
        <v/>
      </c>
      <c r="F14" s="66" t="str">
        <f>IF(A14="","",IF(D14="",N(p_mac),N(D14)))</f>
        <v/>
      </c>
      <c r="G14" s="69" t="str">
        <f>IF(AND(A14="",B14="",C14="",D14=""),"",IF(A14="","Code manquant",IF(COUNTIF($A$6:$A$45,A14)&gt;1,"Code en double",IF(OR(AND(C14&lt;&gt;"",OR(NOT(ISNUMBER(C14)),N(C14)&lt;0)),AND(D14&lt;&gt;"",OR(NOT(ISNUMBER(D14)),N(D14)&lt;0))),"Taux invalide",IF(E14+F14=0,"Taux horaires à zéro","OK")))))</f>
        <v/>
      </c>
    </row>
    <row r="15">
      <c r="A15" s="61" t="n"/>
      <c r="B15" s="60" t="n"/>
      <c r="C15" s="64" t="n"/>
      <c r="D15" s="64" t="n"/>
      <c r="E15" s="66" t="str">
        <f>IF(A15="","",IF(C15="",N(p_mo),N(C15)))</f>
        <v/>
      </c>
      <c r="F15" s="66" t="str">
        <f>IF(A15="","",IF(D15="",N(p_mac),N(D15)))</f>
        <v/>
      </c>
      <c r="G15" s="69" t="str">
        <f>IF(AND(A15="",B15="",C15="",D15=""),"",IF(A15="","Code manquant",IF(COUNTIF($A$6:$A$45,A15)&gt;1,"Code en double",IF(OR(AND(C15&lt;&gt;"",OR(NOT(ISNUMBER(C15)),N(C15)&lt;0)),AND(D15&lt;&gt;"",OR(NOT(ISNUMBER(D15)),N(D15)&lt;0))),"Taux invalide",IF(E15+F15=0,"Taux horaires à zéro","OK")))))</f>
        <v/>
      </c>
    </row>
    <row r="16">
      <c r="A16" s="61" t="n"/>
      <c r="B16" s="60" t="n"/>
      <c r="C16" s="64" t="n"/>
      <c r="D16" s="64" t="n"/>
      <c r="E16" s="66" t="str">
        <f>IF(A16="","",IF(C16="",N(p_mo),N(C16)))</f>
        <v/>
      </c>
      <c r="F16" s="66" t="str">
        <f>IF(A16="","",IF(D16="",N(p_mac),N(D16)))</f>
        <v/>
      </c>
      <c r="G16" s="69" t="str">
        <f>IF(AND(A16="",B16="",C16="",D16=""),"",IF(A16="","Code manquant",IF(COUNTIF($A$6:$A$45,A16)&gt;1,"Code en double",IF(OR(AND(C16&lt;&gt;"",OR(NOT(ISNUMBER(C16)),N(C16)&lt;0)),AND(D16&lt;&gt;"",OR(NOT(ISNUMBER(D16)),N(D16)&lt;0))),"Taux invalide",IF(E16+F16=0,"Taux horaires à zéro","OK")))))</f>
        <v/>
      </c>
    </row>
    <row r="17">
      <c r="A17" s="61" t="n"/>
      <c r="B17" s="60" t="n"/>
      <c r="C17" s="64" t="n"/>
      <c r="D17" s="64" t="n"/>
      <c r="E17" s="66" t="str">
        <f>IF(A17="","",IF(C17="",N(p_mo),N(C17)))</f>
        <v/>
      </c>
      <c r="F17" s="66" t="str">
        <f>IF(A17="","",IF(D17="",N(p_mac),N(D17)))</f>
        <v/>
      </c>
      <c r="G17" s="69" t="str">
        <f>IF(AND(A17="",B17="",C17="",D17=""),"",IF(A17="","Code manquant",IF(COUNTIF($A$6:$A$45,A17)&gt;1,"Code en double",IF(OR(AND(C17&lt;&gt;"",OR(NOT(ISNUMBER(C17)),N(C17)&lt;0)),AND(D17&lt;&gt;"",OR(NOT(ISNUMBER(D17)),N(D17)&lt;0))),"Taux invalide",IF(E17+F17=0,"Taux horaires à zéro","OK")))))</f>
        <v/>
      </c>
    </row>
    <row r="18">
      <c r="A18" s="61" t="n"/>
      <c r="B18" s="60" t="n"/>
      <c r="C18" s="64" t="n"/>
      <c r="D18" s="64" t="n"/>
      <c r="E18" s="66" t="str">
        <f>IF(A18="","",IF(C18="",N(p_mo),N(C18)))</f>
        <v/>
      </c>
      <c r="F18" s="66" t="str">
        <f>IF(A18="","",IF(D18="",N(p_mac),N(D18)))</f>
        <v/>
      </c>
      <c r="G18" s="69" t="str">
        <f>IF(AND(A18="",B18="",C18="",D18=""),"",IF(A18="","Code manquant",IF(COUNTIF($A$6:$A$45,A18)&gt;1,"Code en double",IF(OR(AND(C18&lt;&gt;"",OR(NOT(ISNUMBER(C18)),N(C18)&lt;0)),AND(D18&lt;&gt;"",OR(NOT(ISNUMBER(D18)),N(D18)&lt;0))),"Taux invalide",IF(E18+F18=0,"Taux horaires à zéro","OK")))))</f>
        <v/>
      </c>
    </row>
    <row r="19">
      <c r="A19" s="61" t="n"/>
      <c r="B19" s="60" t="n"/>
      <c r="C19" s="64" t="n"/>
      <c r="D19" s="64" t="n"/>
      <c r="E19" s="66" t="str">
        <f>IF(A19="","",IF(C19="",N(p_mo),N(C19)))</f>
        <v/>
      </c>
      <c r="F19" s="66" t="str">
        <f>IF(A19="","",IF(D19="",N(p_mac),N(D19)))</f>
        <v/>
      </c>
      <c r="G19" s="69" t="str">
        <f>IF(AND(A19="",B19="",C19="",D19=""),"",IF(A19="","Code manquant",IF(COUNTIF($A$6:$A$45,A19)&gt;1,"Code en double",IF(OR(AND(C19&lt;&gt;"",OR(NOT(ISNUMBER(C19)),N(C19)&lt;0)),AND(D19&lt;&gt;"",OR(NOT(ISNUMBER(D19)),N(D19)&lt;0))),"Taux invalide",IF(E19+F19=0,"Taux horaires à zéro","OK")))))</f>
        <v/>
      </c>
    </row>
    <row r="20">
      <c r="A20" s="61" t="n"/>
      <c r="B20" s="60" t="n"/>
      <c r="C20" s="64" t="n"/>
      <c r="D20" s="64" t="n"/>
      <c r="E20" s="66" t="str">
        <f>IF(A20="","",IF(C20="",N(p_mo),N(C20)))</f>
        <v/>
      </c>
      <c r="F20" s="66" t="str">
        <f>IF(A20="","",IF(D20="",N(p_mac),N(D20)))</f>
        <v/>
      </c>
      <c r="G20" s="69" t="str">
        <f>IF(AND(A20="",B20="",C20="",D20=""),"",IF(A20="","Code manquant",IF(COUNTIF($A$6:$A$45,A20)&gt;1,"Code en double",IF(OR(AND(C20&lt;&gt;"",OR(NOT(ISNUMBER(C20)),N(C20)&lt;0)),AND(D20&lt;&gt;"",OR(NOT(ISNUMBER(D20)),N(D20)&lt;0))),"Taux invalide",IF(E20+F20=0,"Taux horaires à zéro","OK")))))</f>
        <v/>
      </c>
    </row>
    <row r="21">
      <c r="A21" s="61" t="n"/>
      <c r="B21" s="60" t="n"/>
      <c r="C21" s="64" t="n"/>
      <c r="D21" s="64" t="n"/>
      <c r="E21" s="66" t="str">
        <f>IF(A21="","",IF(C21="",N(p_mo),N(C21)))</f>
        <v/>
      </c>
      <c r="F21" s="66" t="str">
        <f>IF(A21="","",IF(D21="",N(p_mac),N(D21)))</f>
        <v/>
      </c>
      <c r="G21" s="69" t="str">
        <f>IF(AND(A21="",B21="",C21="",D21=""),"",IF(A21="","Code manquant",IF(COUNTIF($A$6:$A$45,A21)&gt;1,"Code en double",IF(OR(AND(C21&lt;&gt;"",OR(NOT(ISNUMBER(C21)),N(C21)&lt;0)),AND(D21&lt;&gt;"",OR(NOT(ISNUMBER(D21)),N(D21)&lt;0))),"Taux invalide",IF(E21+F21=0,"Taux horaires à zéro","OK")))))</f>
        <v/>
      </c>
    </row>
    <row r="22">
      <c r="A22" s="61" t="n"/>
      <c r="B22" s="60" t="n"/>
      <c r="C22" s="64" t="n"/>
      <c r="D22" s="64" t="n"/>
      <c r="E22" s="66" t="str">
        <f>IF(A22="","",IF(C22="",N(p_mo),N(C22)))</f>
        <v/>
      </c>
      <c r="F22" s="66" t="str">
        <f>IF(A22="","",IF(D22="",N(p_mac),N(D22)))</f>
        <v/>
      </c>
      <c r="G22" s="69" t="str">
        <f>IF(AND(A22="",B22="",C22="",D22=""),"",IF(A22="","Code manquant",IF(COUNTIF($A$6:$A$45,A22)&gt;1,"Code en double",IF(OR(AND(C22&lt;&gt;"",OR(NOT(ISNUMBER(C22)),N(C22)&lt;0)),AND(D22&lt;&gt;"",OR(NOT(ISNUMBER(D22)),N(D22)&lt;0))),"Taux invalide",IF(E22+F22=0,"Taux horaires à zéro","OK")))))</f>
        <v/>
      </c>
    </row>
    <row r="23">
      <c r="A23" s="61" t="n"/>
      <c r="B23" s="60" t="n"/>
      <c r="C23" s="64" t="n"/>
      <c r="D23" s="64" t="n"/>
      <c r="E23" s="66" t="str">
        <f>IF(A23="","",IF(C23="",N(p_mo),N(C23)))</f>
        <v/>
      </c>
      <c r="F23" s="66" t="str">
        <f>IF(A23="","",IF(D23="",N(p_mac),N(D23)))</f>
        <v/>
      </c>
      <c r="G23" s="69" t="str">
        <f>IF(AND(A23="",B23="",C23="",D23=""),"",IF(A23="","Code manquant",IF(COUNTIF($A$6:$A$45,A23)&gt;1,"Code en double",IF(OR(AND(C23&lt;&gt;"",OR(NOT(ISNUMBER(C23)),N(C23)&lt;0)),AND(D23&lt;&gt;"",OR(NOT(ISNUMBER(D23)),N(D23)&lt;0))),"Taux invalide",IF(E23+F23=0,"Taux horaires à zéro","OK")))))</f>
        <v/>
      </c>
    </row>
    <row r="24">
      <c r="A24" s="61" t="n"/>
      <c r="B24" s="60" t="n"/>
      <c r="C24" s="64" t="n"/>
      <c r="D24" s="64" t="n"/>
      <c r="E24" s="66" t="str">
        <f>IF(A24="","",IF(C24="",N(p_mo),N(C24)))</f>
        <v/>
      </c>
      <c r="F24" s="66" t="str">
        <f>IF(A24="","",IF(D24="",N(p_mac),N(D24)))</f>
        <v/>
      </c>
      <c r="G24" s="69" t="str">
        <f>IF(AND(A24="",B24="",C24="",D24=""),"",IF(A24="","Code manquant",IF(COUNTIF($A$6:$A$45,A24)&gt;1,"Code en double",IF(OR(AND(C24&lt;&gt;"",OR(NOT(ISNUMBER(C24)),N(C24)&lt;0)),AND(D24&lt;&gt;"",OR(NOT(ISNUMBER(D24)),N(D24)&lt;0))),"Taux invalide",IF(E24+F24=0,"Taux horaires à zéro","OK")))))</f>
        <v/>
      </c>
    </row>
    <row r="25">
      <c r="A25" s="61" t="n"/>
      <c r="B25" s="60" t="n"/>
      <c r="C25" s="64" t="n"/>
      <c r="D25" s="64" t="n"/>
      <c r="E25" s="66" t="str">
        <f>IF(A25="","",IF(C25="",N(p_mo),N(C25)))</f>
        <v/>
      </c>
      <c r="F25" s="66" t="str">
        <f>IF(A25="","",IF(D25="",N(p_mac),N(D25)))</f>
        <v/>
      </c>
      <c r="G25" s="69" t="str">
        <f>IF(AND(A25="",B25="",C25="",D25=""),"",IF(A25="","Code manquant",IF(COUNTIF($A$6:$A$45,A25)&gt;1,"Code en double",IF(OR(AND(C25&lt;&gt;"",OR(NOT(ISNUMBER(C25)),N(C25)&lt;0)),AND(D25&lt;&gt;"",OR(NOT(ISNUMBER(D25)),N(D25)&lt;0))),"Taux invalide",IF(E25+F25=0,"Taux horaires à zéro","OK")))))</f>
        <v/>
      </c>
    </row>
    <row r="26">
      <c r="A26" s="61" t="n"/>
      <c r="B26" s="60" t="n"/>
      <c r="C26" s="64" t="n"/>
      <c r="D26" s="64" t="n"/>
      <c r="E26" s="66" t="str">
        <f>IF(A26="","",IF(C26="",N(p_mo),N(C26)))</f>
        <v/>
      </c>
      <c r="F26" s="66" t="str">
        <f>IF(A26="","",IF(D26="",N(p_mac),N(D26)))</f>
        <v/>
      </c>
      <c r="G26" s="69" t="str">
        <f>IF(AND(A26="",B26="",C26="",D26=""),"",IF(A26="","Code manquant",IF(COUNTIF($A$6:$A$45,A26)&gt;1,"Code en double",IF(OR(AND(C26&lt;&gt;"",OR(NOT(ISNUMBER(C26)),N(C26)&lt;0)),AND(D26&lt;&gt;"",OR(NOT(ISNUMBER(D26)),N(D26)&lt;0))),"Taux invalide",IF(E26+F26=0,"Taux horaires à zéro","OK")))))</f>
        <v/>
      </c>
    </row>
    <row r="27">
      <c r="A27" s="61" t="n"/>
      <c r="B27" s="60" t="n"/>
      <c r="C27" s="64" t="n"/>
      <c r="D27" s="64" t="n"/>
      <c r="E27" s="66" t="str">
        <f>IF(A27="","",IF(C27="",N(p_mo),N(C27)))</f>
        <v/>
      </c>
      <c r="F27" s="66" t="str">
        <f>IF(A27="","",IF(D27="",N(p_mac),N(D27)))</f>
        <v/>
      </c>
      <c r="G27" s="69" t="str">
        <f>IF(AND(A27="",B27="",C27="",D27=""),"",IF(A27="","Code manquant",IF(COUNTIF($A$6:$A$45,A27)&gt;1,"Code en double",IF(OR(AND(C27&lt;&gt;"",OR(NOT(ISNUMBER(C27)),N(C27)&lt;0)),AND(D27&lt;&gt;"",OR(NOT(ISNUMBER(D27)),N(D27)&lt;0))),"Taux invalide",IF(E27+F27=0,"Taux horaires à zéro","OK")))))</f>
        <v/>
      </c>
    </row>
    <row r="28">
      <c r="A28" s="61" t="n"/>
      <c r="B28" s="60" t="n"/>
      <c r="C28" s="64" t="n"/>
      <c r="D28" s="64" t="n"/>
      <c r="E28" s="66" t="str">
        <f>IF(A28="","",IF(C28="",N(p_mo),N(C28)))</f>
        <v/>
      </c>
      <c r="F28" s="66" t="str">
        <f>IF(A28="","",IF(D28="",N(p_mac),N(D28)))</f>
        <v/>
      </c>
      <c r="G28" s="69" t="str">
        <f>IF(AND(A28="",B28="",C28="",D28=""),"",IF(A28="","Code manquant",IF(COUNTIF($A$6:$A$45,A28)&gt;1,"Code en double",IF(OR(AND(C28&lt;&gt;"",OR(NOT(ISNUMBER(C28)),N(C28)&lt;0)),AND(D28&lt;&gt;"",OR(NOT(ISNUMBER(D28)),N(D28)&lt;0))),"Taux invalide",IF(E28+F28=0,"Taux horaires à zéro","OK")))))</f>
        <v/>
      </c>
    </row>
    <row r="29">
      <c r="A29" s="61" t="n"/>
      <c r="B29" s="60" t="n"/>
      <c r="C29" s="64" t="n"/>
      <c r="D29" s="64" t="n"/>
      <c r="E29" s="66" t="str">
        <f>IF(A29="","",IF(C29="",N(p_mo),N(C29)))</f>
        <v/>
      </c>
      <c r="F29" s="66" t="str">
        <f>IF(A29="","",IF(D29="",N(p_mac),N(D29)))</f>
        <v/>
      </c>
      <c r="G29" s="69" t="str">
        <f>IF(AND(A29="",B29="",C29="",D29=""),"",IF(A29="","Code manquant",IF(COUNTIF($A$6:$A$45,A29)&gt;1,"Code en double",IF(OR(AND(C29&lt;&gt;"",OR(NOT(ISNUMBER(C29)),N(C29)&lt;0)),AND(D29&lt;&gt;"",OR(NOT(ISNUMBER(D29)),N(D29)&lt;0))),"Taux invalide",IF(E29+F29=0,"Taux horaires à zéro","OK")))))</f>
        <v/>
      </c>
    </row>
    <row r="30">
      <c r="A30" s="61" t="n"/>
      <c r="B30" s="60" t="n"/>
      <c r="C30" s="64" t="n"/>
      <c r="D30" s="64" t="n"/>
      <c r="E30" s="66" t="str">
        <f>IF(A30="","",IF(C30="",N(p_mo),N(C30)))</f>
        <v/>
      </c>
      <c r="F30" s="66" t="str">
        <f>IF(A30="","",IF(D30="",N(p_mac),N(D30)))</f>
        <v/>
      </c>
      <c r="G30" s="69" t="str">
        <f>IF(AND(A30="",B30="",C30="",D30=""),"",IF(A30="","Code manquant",IF(COUNTIF($A$6:$A$45,A30)&gt;1,"Code en double",IF(OR(AND(C30&lt;&gt;"",OR(NOT(ISNUMBER(C30)),N(C30)&lt;0)),AND(D30&lt;&gt;"",OR(NOT(ISNUMBER(D30)),N(D30)&lt;0))),"Taux invalide",IF(E30+F30=0,"Taux horaires à zéro","OK")))))</f>
        <v/>
      </c>
    </row>
    <row r="31">
      <c r="A31" s="61" t="n"/>
      <c r="B31" s="60" t="n"/>
      <c r="C31" s="64" t="n"/>
      <c r="D31" s="64" t="n"/>
      <c r="E31" s="66" t="str">
        <f>IF(A31="","",IF(C31="",N(p_mo),N(C31)))</f>
        <v/>
      </c>
      <c r="F31" s="66" t="str">
        <f>IF(A31="","",IF(D31="",N(p_mac),N(D31)))</f>
        <v/>
      </c>
      <c r="G31" s="69" t="str">
        <f>IF(AND(A31="",B31="",C31="",D31=""),"",IF(A31="","Code manquant",IF(COUNTIF($A$6:$A$45,A31)&gt;1,"Code en double",IF(OR(AND(C31&lt;&gt;"",OR(NOT(ISNUMBER(C31)),N(C31)&lt;0)),AND(D31&lt;&gt;"",OR(NOT(ISNUMBER(D31)),N(D31)&lt;0))),"Taux invalide",IF(E31+F31=0,"Taux horaires à zéro","OK")))))</f>
        <v/>
      </c>
    </row>
    <row r="32">
      <c r="A32" s="61" t="n"/>
      <c r="B32" s="60" t="n"/>
      <c r="C32" s="64" t="n"/>
      <c r="D32" s="64" t="n"/>
      <c r="E32" s="66" t="str">
        <f>IF(A32="","",IF(C32="",N(p_mo),N(C32)))</f>
        <v/>
      </c>
      <c r="F32" s="66" t="str">
        <f>IF(A32="","",IF(D32="",N(p_mac),N(D32)))</f>
        <v/>
      </c>
      <c r="G32" s="69" t="str">
        <f>IF(AND(A32="",B32="",C32="",D32=""),"",IF(A32="","Code manquant",IF(COUNTIF($A$6:$A$45,A32)&gt;1,"Code en double",IF(OR(AND(C32&lt;&gt;"",OR(NOT(ISNUMBER(C32)),N(C32)&lt;0)),AND(D32&lt;&gt;"",OR(NOT(ISNUMBER(D32)),N(D32)&lt;0))),"Taux invalide",IF(E32+F32=0,"Taux horaires à zéro","OK")))))</f>
        <v/>
      </c>
    </row>
    <row r="33">
      <c r="A33" s="61" t="n"/>
      <c r="B33" s="60" t="n"/>
      <c r="C33" s="64" t="n"/>
      <c r="D33" s="64" t="n"/>
      <c r="E33" s="66" t="str">
        <f>IF(A33="","",IF(C33="",N(p_mo),N(C33)))</f>
        <v/>
      </c>
      <c r="F33" s="66" t="str">
        <f>IF(A33="","",IF(D33="",N(p_mac),N(D33)))</f>
        <v/>
      </c>
      <c r="G33" s="69" t="str">
        <f>IF(AND(A33="",B33="",C33="",D33=""),"",IF(A33="","Code manquant",IF(COUNTIF($A$6:$A$45,A33)&gt;1,"Code en double",IF(OR(AND(C33&lt;&gt;"",OR(NOT(ISNUMBER(C33)),N(C33)&lt;0)),AND(D33&lt;&gt;"",OR(NOT(ISNUMBER(D33)),N(D33)&lt;0))),"Taux invalide",IF(E33+F33=0,"Taux horaires à zéro","OK")))))</f>
        <v/>
      </c>
    </row>
    <row r="34">
      <c r="A34" s="61" t="n"/>
      <c r="B34" s="60" t="n"/>
      <c r="C34" s="64" t="n"/>
      <c r="D34" s="64" t="n"/>
      <c r="E34" s="66" t="str">
        <f>IF(A34="","",IF(C34="",N(p_mo),N(C34)))</f>
        <v/>
      </c>
      <c r="F34" s="66" t="str">
        <f>IF(A34="","",IF(D34="",N(p_mac),N(D34)))</f>
        <v/>
      </c>
      <c r="G34" s="69" t="str">
        <f>IF(AND(A34="",B34="",C34="",D34=""),"",IF(A34="","Code manquant",IF(COUNTIF($A$6:$A$45,A34)&gt;1,"Code en double",IF(OR(AND(C34&lt;&gt;"",OR(NOT(ISNUMBER(C34)),N(C34)&lt;0)),AND(D34&lt;&gt;"",OR(NOT(ISNUMBER(D34)),N(D34)&lt;0))),"Taux invalide",IF(E34+F34=0,"Taux horaires à zéro","OK")))))</f>
        <v/>
      </c>
    </row>
    <row r="35">
      <c r="A35" s="61" t="n"/>
      <c r="B35" s="60" t="n"/>
      <c r="C35" s="64" t="n"/>
      <c r="D35" s="64" t="n"/>
      <c r="E35" s="66" t="str">
        <f>IF(A35="","",IF(C35="",N(p_mo),N(C35)))</f>
        <v/>
      </c>
      <c r="F35" s="66" t="str">
        <f>IF(A35="","",IF(D35="",N(p_mac),N(D35)))</f>
        <v/>
      </c>
      <c r="G35" s="69" t="str">
        <f>IF(AND(A35="",B35="",C35="",D35=""),"",IF(A35="","Code manquant",IF(COUNTIF($A$6:$A$45,A35)&gt;1,"Code en double",IF(OR(AND(C35&lt;&gt;"",OR(NOT(ISNUMBER(C35)),N(C35)&lt;0)),AND(D35&lt;&gt;"",OR(NOT(ISNUMBER(D35)),N(D35)&lt;0))),"Taux invalide",IF(E35+F35=0,"Taux horaires à zéro","OK")))))</f>
        <v/>
      </c>
    </row>
    <row r="36">
      <c r="A36" s="61" t="n"/>
      <c r="B36" s="60" t="n"/>
      <c r="C36" s="64" t="n"/>
      <c r="D36" s="64" t="n"/>
      <c r="E36" s="66" t="str">
        <f>IF(A36="","",IF(C36="",N(p_mo),N(C36)))</f>
        <v/>
      </c>
      <c r="F36" s="66" t="str">
        <f>IF(A36="","",IF(D36="",N(p_mac),N(D36)))</f>
        <v/>
      </c>
      <c r="G36" s="69" t="str">
        <f>IF(AND(A36="",B36="",C36="",D36=""),"",IF(A36="","Code manquant",IF(COUNTIF($A$6:$A$45,A36)&gt;1,"Code en double",IF(OR(AND(C36&lt;&gt;"",OR(NOT(ISNUMBER(C36)),N(C36)&lt;0)),AND(D36&lt;&gt;"",OR(NOT(ISNUMBER(D36)),N(D36)&lt;0))),"Taux invalide",IF(E36+F36=0,"Taux horaires à zéro","OK")))))</f>
        <v/>
      </c>
    </row>
    <row r="37">
      <c r="A37" s="61" t="n"/>
      <c r="B37" s="60" t="n"/>
      <c r="C37" s="64" t="n"/>
      <c r="D37" s="64" t="n"/>
      <c r="E37" s="66" t="str">
        <f>IF(A37="","",IF(C37="",N(p_mo),N(C37)))</f>
        <v/>
      </c>
      <c r="F37" s="66" t="str">
        <f>IF(A37="","",IF(D37="",N(p_mac),N(D37)))</f>
        <v/>
      </c>
      <c r="G37" s="69" t="str">
        <f>IF(AND(A37="",B37="",C37="",D37=""),"",IF(A37="","Code manquant",IF(COUNTIF($A$6:$A$45,A37)&gt;1,"Code en double",IF(OR(AND(C37&lt;&gt;"",OR(NOT(ISNUMBER(C37)),N(C37)&lt;0)),AND(D37&lt;&gt;"",OR(NOT(ISNUMBER(D37)),N(D37)&lt;0))),"Taux invalide",IF(E37+F37=0,"Taux horaires à zéro","OK")))))</f>
        <v/>
      </c>
    </row>
    <row r="38">
      <c r="A38" s="61" t="n"/>
      <c r="B38" s="60" t="n"/>
      <c r="C38" s="64" t="n"/>
      <c r="D38" s="64" t="n"/>
      <c r="E38" s="66" t="str">
        <f>IF(A38="","",IF(C38="",N(p_mo),N(C38)))</f>
        <v/>
      </c>
      <c r="F38" s="66" t="str">
        <f>IF(A38="","",IF(D38="",N(p_mac),N(D38)))</f>
        <v/>
      </c>
      <c r="G38" s="69" t="str">
        <f>IF(AND(A38="",B38="",C38="",D38=""),"",IF(A38="","Code manquant",IF(COUNTIF($A$6:$A$45,A38)&gt;1,"Code en double",IF(OR(AND(C38&lt;&gt;"",OR(NOT(ISNUMBER(C38)),N(C38)&lt;0)),AND(D38&lt;&gt;"",OR(NOT(ISNUMBER(D38)),N(D38)&lt;0))),"Taux invalide",IF(E38+F38=0,"Taux horaires à zéro","OK")))))</f>
        <v/>
      </c>
    </row>
    <row r="39">
      <c r="A39" s="61" t="n"/>
      <c r="B39" s="60" t="n"/>
      <c r="C39" s="64" t="n"/>
      <c r="D39" s="64" t="n"/>
      <c r="E39" s="66" t="str">
        <f>IF(A39="","",IF(C39="",N(p_mo),N(C39)))</f>
        <v/>
      </c>
      <c r="F39" s="66" t="str">
        <f>IF(A39="","",IF(D39="",N(p_mac),N(D39)))</f>
        <v/>
      </c>
      <c r="G39" s="69" t="str">
        <f>IF(AND(A39="",B39="",C39="",D39=""),"",IF(A39="","Code manquant",IF(COUNTIF($A$6:$A$45,A39)&gt;1,"Code en double",IF(OR(AND(C39&lt;&gt;"",OR(NOT(ISNUMBER(C39)),N(C39)&lt;0)),AND(D39&lt;&gt;"",OR(NOT(ISNUMBER(D39)),N(D39)&lt;0))),"Taux invalide",IF(E39+F39=0,"Taux horaires à zéro","OK")))))</f>
        <v/>
      </c>
    </row>
    <row r="40">
      <c r="A40" s="61" t="n"/>
      <c r="B40" s="60" t="n"/>
      <c r="C40" s="64" t="n"/>
      <c r="D40" s="64" t="n"/>
      <c r="E40" s="66" t="str">
        <f>IF(A40="","",IF(C40="",N(p_mo),N(C40)))</f>
        <v/>
      </c>
      <c r="F40" s="66" t="str">
        <f>IF(A40="","",IF(D40="",N(p_mac),N(D40)))</f>
        <v/>
      </c>
      <c r="G40" s="69" t="str">
        <f>IF(AND(A40="",B40="",C40="",D40=""),"",IF(A40="","Code manquant",IF(COUNTIF($A$6:$A$45,A40)&gt;1,"Code en double",IF(OR(AND(C40&lt;&gt;"",OR(NOT(ISNUMBER(C40)),N(C40)&lt;0)),AND(D40&lt;&gt;"",OR(NOT(ISNUMBER(D40)),N(D40)&lt;0))),"Taux invalide",IF(E40+F40=0,"Taux horaires à zéro","OK")))))</f>
        <v/>
      </c>
    </row>
    <row r="41">
      <c r="A41" s="61" t="n"/>
      <c r="B41" s="60" t="n"/>
      <c r="C41" s="64" t="n"/>
      <c r="D41" s="64" t="n"/>
      <c r="E41" s="66" t="str">
        <f>IF(A41="","",IF(C41="",N(p_mo),N(C41)))</f>
        <v/>
      </c>
      <c r="F41" s="66" t="str">
        <f>IF(A41="","",IF(D41="",N(p_mac),N(D41)))</f>
        <v/>
      </c>
      <c r="G41" s="69" t="str">
        <f>IF(AND(A41="",B41="",C41="",D41=""),"",IF(A41="","Code manquant",IF(COUNTIF($A$6:$A$45,A41)&gt;1,"Code en double",IF(OR(AND(C41&lt;&gt;"",OR(NOT(ISNUMBER(C41)),N(C41)&lt;0)),AND(D41&lt;&gt;"",OR(NOT(ISNUMBER(D41)),N(D41)&lt;0))),"Taux invalide",IF(E41+F41=0,"Taux horaires à zéro","OK")))))</f>
        <v/>
      </c>
    </row>
    <row r="42">
      <c r="A42" s="61" t="n"/>
      <c r="B42" s="60" t="n"/>
      <c r="C42" s="64" t="n"/>
      <c r="D42" s="64" t="n"/>
      <c r="E42" s="66" t="str">
        <f>IF(A42="","",IF(C42="",N(p_mo),N(C42)))</f>
        <v/>
      </c>
      <c r="F42" s="66" t="str">
        <f>IF(A42="","",IF(D42="",N(p_mac),N(D42)))</f>
        <v/>
      </c>
      <c r="G42" s="69" t="str">
        <f>IF(AND(A42="",B42="",C42="",D42=""),"",IF(A42="","Code manquant",IF(COUNTIF($A$6:$A$45,A42)&gt;1,"Code en double",IF(OR(AND(C42&lt;&gt;"",OR(NOT(ISNUMBER(C42)),N(C42)&lt;0)),AND(D42&lt;&gt;"",OR(NOT(ISNUMBER(D42)),N(D42)&lt;0))),"Taux invalide",IF(E42+F42=0,"Taux horaires à zéro","OK")))))</f>
        <v/>
      </c>
    </row>
    <row r="43">
      <c r="A43" s="61" t="n"/>
      <c r="B43" s="60" t="n"/>
      <c r="C43" s="64" t="n"/>
      <c r="D43" s="64" t="n"/>
      <c r="E43" s="66" t="str">
        <f>IF(A43="","",IF(C43="",N(p_mo),N(C43)))</f>
        <v/>
      </c>
      <c r="F43" s="66" t="str">
        <f>IF(A43="","",IF(D43="",N(p_mac),N(D43)))</f>
        <v/>
      </c>
      <c r="G43" s="69" t="str">
        <f>IF(AND(A43="",B43="",C43="",D43=""),"",IF(A43="","Code manquant",IF(COUNTIF($A$6:$A$45,A43)&gt;1,"Code en double",IF(OR(AND(C43&lt;&gt;"",OR(NOT(ISNUMBER(C43)),N(C43)&lt;0)),AND(D43&lt;&gt;"",OR(NOT(ISNUMBER(D43)),N(D43)&lt;0))),"Taux invalide",IF(E43+F43=0,"Taux horaires à zéro","OK")))))</f>
        <v/>
      </c>
    </row>
    <row r="44">
      <c r="A44" s="61" t="n"/>
      <c r="B44" s="60" t="n"/>
      <c r="C44" s="64" t="n"/>
      <c r="D44" s="64" t="n"/>
      <c r="E44" s="66" t="str">
        <f>IF(A44="","",IF(C44="",N(p_mo),N(C44)))</f>
        <v/>
      </c>
      <c r="F44" s="66" t="str">
        <f>IF(A44="","",IF(D44="",N(p_mac),N(D44)))</f>
        <v/>
      </c>
      <c r="G44" s="69" t="str">
        <f>IF(AND(A44="",B44="",C44="",D44=""),"",IF(A44="","Code manquant",IF(COUNTIF($A$6:$A$45,A44)&gt;1,"Code en double",IF(OR(AND(C44&lt;&gt;"",OR(NOT(ISNUMBER(C44)),N(C44)&lt;0)),AND(D44&lt;&gt;"",OR(NOT(ISNUMBER(D44)),N(D44)&lt;0))),"Taux invalide",IF(E44+F44=0,"Taux horaires à zéro","OK")))))</f>
        <v/>
      </c>
    </row>
    <row r="45">
      <c r="A45" s="61" t="n"/>
      <c r="B45" s="60" t="n"/>
      <c r="C45" s="64" t="n"/>
      <c r="D45" s="64" t="n"/>
      <c r="E45" s="66" t="str">
        <f>IF(A45="","",IF(C45="",N(p_mo),N(C45)))</f>
        <v/>
      </c>
      <c r="F45" s="66" t="str">
        <f>IF(A45="","",IF(D45="",N(p_mac),N(D45)))</f>
        <v/>
      </c>
      <c r="G45" s="69" t="str">
        <f>IF(AND(A45="",B45="",C45="",D45=""),"",IF(A45="","Code manquant",IF(COUNTIF($A$6:$A$45,A45)&gt;1,"Code en double",IF(OR(AND(C45&lt;&gt;"",OR(NOT(ISNUMBER(C45)),N(C45)&lt;0)),AND(D45&lt;&gt;"",OR(NOT(ISNUMBER(D45)),N(D45)&lt;0))),"Taux invalide",IF(E45+F45=0,"Taux horaires à zéro","OK")))))</f>
        <v/>
      </c>
    </row>
  </sheetData>
  <conditionalFormatting sqref="G6:G45">
    <cfRule type="expression" priority="1" dxfId="2">
      <formula>AND($G6&lt;&gt;"",$G6&lt;&gt;"OK")</formula>
    </cfRule>
    <cfRule type="expression" priority="2" dxfId="0">
      <formula>$G6="OK"</formula>
    </cfRule>
  </conditionalFormatting>
  <conditionalFormatting sqref="C6:C45">
    <cfRule type="expression" priority="3" dxfId="5">
      <formula>p_currency="MAD"</formula>
    </cfRule>
    <cfRule type="expression" priority="7" dxfId="6">
      <formula>p_currency="EUR"</formula>
    </cfRule>
    <cfRule type="expression" priority="11" dxfId="7">
      <formula>p_currency="USD"</formula>
    </cfRule>
  </conditionalFormatting>
  <conditionalFormatting sqref="D6:D45">
    <cfRule type="expression" priority="4" dxfId="5">
      <formula>p_currency="MAD"</formula>
    </cfRule>
    <cfRule type="expression" priority="8" dxfId="6">
      <formula>p_currency="EUR"</formula>
    </cfRule>
    <cfRule type="expression" priority="12" dxfId="7">
      <formula>p_currency="USD"</formula>
    </cfRule>
  </conditionalFormatting>
  <conditionalFormatting sqref="E6:E45">
    <cfRule type="expression" priority="5" dxfId="5">
      <formula>p_currency="MAD"</formula>
    </cfRule>
    <cfRule type="expression" priority="9" dxfId="6">
      <formula>p_currency="EUR"</formula>
    </cfRule>
    <cfRule type="expression" priority="13" dxfId="7">
      <formula>p_currency="USD"</formula>
    </cfRule>
  </conditionalFormatting>
  <conditionalFormatting sqref="F6:F45">
    <cfRule type="expression" priority="6" dxfId="5">
      <formula>p_currency="MAD"</formula>
    </cfRule>
    <cfRule type="expression" priority="10" dxfId="6">
      <formula>p_currency="EUR"</formula>
    </cfRule>
    <cfRule type="expression" priority="14" dxfId="7">
      <formula>p_currency="USD"</formula>
    </cfRule>
  </conditionalFormatting>
  <dataValidations count="2">
    <dataValidation sqref="C6:C45" showDropDown="0" showInputMessage="1" showErrorMessage="1" allowBlank="1" errorTitle="Taux main-d'œuvre" error="Coût d'une heure d'opérateur, charges sociales comprises. Vide = taux par défaut." promptTitle="Taux main-d'œuvre" prompt="Coût d'une heure d'opérateur, charges sociales comprises. Vide = taux par défaut." type="decimal" operator="greaterThanOrEqual">
      <formula1>0</formula1>
    </dataValidation>
    <dataValidation sqref="D6:D45" showDropDown="0" showInputMessage="1" showErrorMessage="1" allowBlank="1" errorTitle="Taux machine" error="Coût d'une heure de machine : amortissement, énergie, entretien, outillage. 0 pour un poste manuel. Vide = taux par défaut." promptTitle="Taux machine" prompt="Coût d'une heure de machine : amortissement, énergie, entretien, outillage. 0 pour un poste manuel. Vide = taux par défaut." type="decimal" operator="greaterThanOrEqual">
      <formula1>0</formula1>
    </dataValidation>
  </dataValidations>
  <hyperlinks>
    <hyperlink ref="G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FF94A3B8"/>
    <outlinePr summaryBelow="1" summaryRight="1"/>
    <pageSetUpPr fitToPage="1"/>
  </sheetPr>
  <dimension ref="A1:E25"/>
  <sheetViews>
    <sheetView showGridLines="0" tabSelected="0" zoomScale="10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4" customWidth="1" min="3" max="3"/>
    <col width="16" customWidth="1" min="4" max="4"/>
    <col width="40" customWidth="1" min="5" max="5"/>
  </cols>
  <sheetData>
    <row r="1" ht="38" customHeight="1">
      <c r="A1" s="2" t="inlineStr">
        <is>
          <t>Paramètres</t>
        </is>
      </c>
      <c r="B1" s="1" t="n"/>
      <c r="C1" s="1" t="n"/>
      <c r="D1" s="1" t="n"/>
      <c r="E1" s="18" t="inlineStr">
        <is>
          <t>⌂ Mode d'emploi</t>
        </is>
      </c>
    </row>
    <row r="2" ht="22" customHeight="1">
      <c r="A2" s="4" t="inlineStr">
        <is>
          <t>Réglages communs à tout le classeur. Les cellules blanches sont à remplir.</t>
        </is>
      </c>
      <c r="B2" s="3" t="n"/>
      <c r="C2" s="3" t="n"/>
      <c r="D2" s="3" t="n"/>
      <c r="E2" s="3" t="n"/>
    </row>
    <row r="3" ht="18" customHeight="1"/>
    <row r="4" ht="22" customHeight="1">
      <c r="A4" s="5" t="inlineStr">
        <is>
          <t>Votre entreprise</t>
        </is>
      </c>
      <c r="B4" s="6" t="n"/>
    </row>
    <row r="5" ht="20" customHeight="1">
      <c r="A5" s="101" t="inlineStr">
        <is>
          <t>Nom de l'entreprise</t>
        </is>
      </c>
      <c r="B5" s="102" t="n"/>
      <c r="D5" s="42" t="inlineStr">
        <is>
          <t>Unités</t>
        </is>
      </c>
    </row>
    <row r="6">
      <c r="A6" s="101" t="inlineStr">
        <is>
          <t>Devise</t>
        </is>
      </c>
      <c r="B6" s="76" t="inlineStr">
        <is>
          <t>MAD</t>
        </is>
      </c>
      <c r="D6" s="103" t="inlineStr">
        <is>
          <t>kg</t>
        </is>
      </c>
      <c r="E6" s="54" t="inlineStr">
        <is>
          <t>La liste des unités alimente le menu déroulant de la feuille « Matières ». Gardez une seule écriture par unité (kg, pas « Kg » et « kilo »).</t>
        </is>
      </c>
    </row>
    <row r="7">
      <c r="A7" s="101" t="inlineStr">
        <is>
          <t>Frais généraux (% du coût direct)</t>
        </is>
      </c>
      <c r="B7" s="104" t="n">
        <v>0.15</v>
      </c>
      <c r="D7" s="103" t="inlineStr">
        <is>
          <t>m</t>
        </is>
      </c>
    </row>
    <row r="8">
      <c r="A8" s="101" t="inlineStr">
        <is>
          <t>Marge cible (% du coût de revient)</t>
        </is>
      </c>
      <c r="B8" s="104" t="n">
        <v>0.25</v>
      </c>
      <c r="D8" s="103" t="inlineStr">
        <is>
          <t>pièce</t>
        </is>
      </c>
    </row>
    <row r="9">
      <c r="A9" s="101" t="inlineStr">
        <is>
          <t>Taux horaire main-d'œuvre par défaut</t>
        </is>
      </c>
      <c r="B9" s="105" t="n"/>
      <c r="D9" s="103" t="inlineStr">
        <is>
          <t>l</t>
        </is>
      </c>
    </row>
    <row r="10">
      <c r="A10" s="101" t="inlineStr">
        <is>
          <t>Taux horaire machine par défaut</t>
        </is>
      </c>
      <c r="B10" s="105" t="n"/>
      <c r="D10" s="103" t="inlineStr">
        <is>
          <t>m²</t>
        </is>
      </c>
    </row>
    <row r="11">
      <c r="A11" s="101" t="inlineStr">
        <is>
          <t>Âge maximum d'un prix matière (mois)</t>
        </is>
      </c>
      <c r="B11" s="106" t="n">
        <v>6</v>
      </c>
      <c r="D11" s="103" t="inlineStr">
        <is>
          <t>feuille</t>
        </is>
      </c>
    </row>
    <row r="12">
      <c r="D12" s="103" t="n"/>
    </row>
    <row r="13" ht="30" customHeight="1">
      <c r="A13" s="54" t="inlineStr">
        <is>
          <t>Frais généraux : ils s'appliquent à la somme matières + main-d'œuvre + machine + réglage + sous-traitance de chaque produit. Un produit peut avoir son propre taux dans la feuille « Produits ». La devise change l'affichage des montants, elle ne convertit pas les prix.</t>
        </is>
      </c>
      <c r="D13" s="103" t="n"/>
    </row>
    <row r="14">
      <c r="D14" s="103" t="n"/>
    </row>
    <row r="15">
      <c r="D15" s="103" t="n"/>
    </row>
    <row r="16">
      <c r="D16" s="103" t="n"/>
    </row>
    <row r="17">
      <c r="D17" s="103" t="n"/>
    </row>
    <row r="18">
      <c r="D18" s="103" t="n"/>
    </row>
    <row r="19">
      <c r="D19" s="103" t="n"/>
    </row>
    <row r="20">
      <c r="D20" s="103" t="n"/>
    </row>
    <row r="21">
      <c r="D21" s="103" t="n"/>
    </row>
    <row r="22">
      <c r="D22" s="103" t="n"/>
    </row>
    <row r="23">
      <c r="D23" s="103" t="n"/>
    </row>
    <row r="24">
      <c r="D24" s="103" t="n"/>
    </row>
    <row r="25">
      <c r="D25" s="103" t="n"/>
    </row>
  </sheetData>
  <mergeCells count="2">
    <mergeCell ref="A13:B16"/>
    <mergeCell ref="E6:E9"/>
  </mergeCells>
  <conditionalFormatting sqref="B9:B10">
    <cfRule type="expression" priority="1" dxfId="5">
      <formula>p_currency="MAD"</formula>
    </cfRule>
    <cfRule type="expression" priority="2" dxfId="6">
      <formula>p_currency="EUR"</formula>
    </cfRule>
    <cfRule type="expression" priority="3" dxfId="7">
      <formula>p_currency="USD"</formula>
    </cfRule>
  </conditionalFormatting>
  <dataValidations count="5">
    <dataValidation sqref="B6" showDropDown="0" showInputMessage="1" showErrorMessage="1" allowBlank="1" errorTitle="Devise" error="Choisissez MAD (dirham), EUR (euro) ou USD (dollar). Tous les montants du classeur changent de format." promptTitle="Devise" prompt="Choisissez MAD (dirham), EUR (euro) ou USD (dollar). Tous les montants du classeur changent de format." type="list">
      <formula1>"MAD,EUR,USD"</formula1>
    </dataValidation>
    <dataValidation sqref="B7" showDropDown="0" showInputMessage="1" showErrorMessage="1" allowBlank="1" errorTitle="Frais généraux" error="Part des frais indirects (loyer, bureau, encadrement) ajoutée au coût direct. 18 % = 0,18. Entre 0 et 500 %." promptTitle="Frais généraux" prompt="Part des frais indirects (loyer, bureau, encadrement) ajoutée au coût direct. 18 % = 0,18. Entre 0 et 500 %." type="decimal" operator="between">
      <formula1>0</formula1>
      <formula2>5</formula2>
    </dataValidation>
    <dataValidation sqref="B8" showDropDown="0" showInputMessage="1" showErrorMessage="1" allowBlank="1" errorTitle="Marge cible" error="Marge que vous voulez obtenir sur le coût de revient. 25 % = 0,25. Le prix minimum en découle." promptTitle="Marge cible" prompt="Marge que vous voulez obtenir sur le coût de revient. 25 % = 0,25. Le prix minimum en découle." type="decimal" operator="between">
      <formula1>0</formula1>
      <formula2>5</formula2>
    </dataValidation>
    <dataValidation sqref="B9:B10" showDropDown="0" showInputMessage="1" showErrorMessage="1" allowBlank="1" errorTitle="Taux par défaut" error="Taux horaire utilisé par un poste dont la case est vide dans la feuille « Postes »." promptTitle="Taux par défaut" prompt="Taux horaire utilisé par un poste dont la case est vide dans la feuille « Postes »." type="decimal" operator="greaterThanOrEqual">
      <formula1>0</formula1>
    </dataValidation>
    <dataValidation sqref="B11" showDropDown="0" showInputMessage="1" showErrorMessage="1" allowBlank="1" errorTitle="Âge du prix" error="Au-delà de ce nombre de mois, un prix matière est signalé « Ancien ». Entre 1 et 60." promptTitle="Âge du prix" prompt="Au-delà de ce nombre de mois, un prix matière est signalé « Ancien ». Entre 1 et 60." type="whole" operator="between">
      <formula1>1</formula1>
      <formula2>60</formula2>
    </dataValidation>
  </dataValidations>
  <hyperlinks>
    <hyperlink ref="E1" location="'Mode d''emploi'!A1"/>
  </hyperlinks>
  <printOptions horizontalCentered="1"/>
  <pageMargins left="0.4" right="0.4" top="0.5" bottom="0.5" header="0.5" footer="0.5"/>
  <pageSetup orientation="portrait" paperSize="9" fitToHeight="0" fitToWidth="1"/>
</worksheet>
</file>

<file path=xl/worksheets/sheet11.xml><?xml version="1.0" encoding="utf-8"?>
<worksheet xmlns="http://schemas.openxmlformats.org/spreadsheetml/2006/main">
  <sheetPr>
    <tabColor rgb="FF2563EB"/>
    <outlinePr summaryBelow="1" summaryRight="1"/>
    <pageSetUpPr fitToPage="1"/>
  </sheetPr>
  <dimension ref="A1:F79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6" customWidth="1" min="3" max="3"/>
    <col width="40" customWidth="1" min="4" max="4"/>
    <col width="16" customWidth="1" min="5" max="5"/>
    <col width="3" customWidth="1" min="6" max="6"/>
  </cols>
  <sheetData>
    <row r="1">
      <c r="A1" s="107" t="n"/>
      <c r="B1" s="107" t="n"/>
      <c r="C1" s="107" t="n"/>
      <c r="D1" s="107" t="n"/>
      <c r="E1" s="107" t="n"/>
      <c r="F1" s="107" t="n"/>
    </row>
    <row r="2" ht="34" customHeight="1">
      <c r="A2" s="107" t="n"/>
      <c r="B2" s="108" t="inlineStr">
        <is>
          <t>Qualis ERP</t>
        </is>
      </c>
      <c r="C2" s="109" t="n"/>
      <c r="D2" s="109" t="n"/>
      <c r="E2" s="109" t="n"/>
      <c r="F2" s="107" t="n"/>
    </row>
    <row r="3">
      <c r="A3" s="107" t="n"/>
      <c r="B3" s="110" t="inlineStr">
        <is>
          <t>Le coût de revient calculé depuis les nomenclatures et les gammes de l'ERP.</t>
        </is>
      </c>
      <c r="F3" s="107" t="n"/>
    </row>
    <row r="4" ht="46" customHeight="1">
      <c r="A4" s="107" t="n"/>
      <c r="B4" s="111" t="inlineStr">
        <is>
          <t>Ce fichier calcule un coût de revient complet, produit par produit, et suffit pour chiffrer un catalogue stable. Voici ce qu'il ne peut pas faire, ce que Qualis ERP fait à la place, et ce que vous payez, ou pas.</t>
        </is>
      </c>
      <c r="F4" s="107" t="n"/>
    </row>
    <row r="5">
      <c r="A5" s="107" t="n"/>
      <c r="B5" s="107" t="n"/>
      <c r="C5" s="107" t="n"/>
      <c r="D5" s="107" t="n"/>
      <c r="E5" s="107" t="n"/>
      <c r="F5" s="107" t="n"/>
    </row>
    <row r="6" ht="22" customHeight="1">
      <c r="A6" s="107" t="n"/>
      <c r="B6" s="112" t="inlineStr">
        <is>
          <t>Ce que ce fichier fait bien</t>
        </is>
      </c>
      <c r="C6" s="113" t="n"/>
      <c r="D6" s="113" t="n"/>
      <c r="E6" s="113" t="n"/>
      <c r="F6" s="107" t="n"/>
    </row>
    <row r="7" ht="30" customHeight="1">
      <c r="A7" s="107" t="n"/>
      <c r="B7" s="114" t="inlineStr">
        <is>
          <t>✓  Il détaille chaque coût : matières avec pertes, main-d'œuvre, machine, réglage réparti sur le lot, frais généraux.</t>
        </is>
      </c>
      <c r="F7" s="107" t="n"/>
    </row>
    <row r="8" ht="30" customHeight="1">
      <c r="A8" s="107" t="n"/>
      <c r="B8" s="114" t="inlineStr">
        <is>
          <t>✓  Il signale les produits vendus à perte ou sous la marge cible, et montre l'effet d'une taille de lot ou d'une hausse de prix.</t>
        </is>
      </c>
      <c r="F8" s="107" t="n"/>
    </row>
    <row r="9" ht="18" customHeight="1">
      <c r="A9" s="107" t="n"/>
      <c r="B9" s="114" t="inlineStr">
        <is>
          <t>✓  Il est gratuit, sans macro, et chaque formule reste visible et modifiable.</t>
        </is>
      </c>
      <c r="F9" s="107" t="n"/>
    </row>
    <row r="10">
      <c r="A10" s="107" t="n"/>
      <c r="B10" s="107" t="n"/>
      <c r="C10" s="107" t="n"/>
      <c r="D10" s="107" t="n"/>
      <c r="E10" s="107" t="n"/>
      <c r="F10" s="107" t="n"/>
    </row>
    <row r="11" ht="22" customHeight="1">
      <c r="A11" s="107" t="n"/>
      <c r="B11" s="112" t="inlineStr">
        <is>
          <t>Là où un tableur atteint ses limites</t>
        </is>
      </c>
      <c r="C11" s="113" t="n"/>
      <c r="D11" s="113" t="n"/>
      <c r="E11" s="113" t="n"/>
      <c r="F11" s="107" t="n"/>
    </row>
    <row r="12" ht="18" customHeight="1">
      <c r="A12" s="107" t="n"/>
      <c r="B12" s="115" t="inlineStr">
        <is>
          <t>•  La nomenclature n'a qu'un niveau : un sous-ensemble fabriqué doit être chiffré à part et recopié à la main.</t>
        </is>
      </c>
      <c r="F12" s="107" t="n"/>
    </row>
    <row r="13" ht="18" customHeight="1">
      <c r="A13" s="107" t="n"/>
      <c r="B13" s="115" t="inlineStr">
        <is>
          <t>•  Les prix matières et les taux horaires sont recopiés : rien ne prévient quand un prix d'achat change.</t>
        </is>
      </c>
      <c r="F13" s="107" t="n"/>
    </row>
    <row r="14" ht="30" customHeight="1">
      <c r="A14" s="107" t="n"/>
      <c r="B14" s="115" t="inlineStr">
        <is>
          <t>•  Un coût recalculé remplace l'ancien sans trace : impossible de dire quand ni pourquoi le coût d'un produit a bougé.</t>
        </is>
      </c>
      <c r="F14" s="107" t="n"/>
    </row>
    <row r="15" ht="18" customHeight="1">
      <c r="A15" s="107" t="n"/>
      <c r="B15" s="115" t="inlineStr">
        <is>
          <t>•  Une seule personne modifie le fichier à la fois, et les données ne servent qu'à ce fichier.</t>
        </is>
      </c>
      <c r="F15" s="107" t="n"/>
    </row>
    <row r="16">
      <c r="A16" s="107" t="n"/>
      <c r="B16" s="107" t="n"/>
      <c r="C16" s="107" t="n"/>
      <c r="D16" s="107" t="n"/>
      <c r="E16" s="107" t="n"/>
      <c r="F16" s="107" t="n"/>
    </row>
    <row r="17" ht="22" customHeight="1">
      <c r="A17" s="107" t="n"/>
      <c r="B17" s="112" t="inlineStr">
        <is>
          <t>Ce fichier et Qualis ERP, côte à côte</t>
        </is>
      </c>
      <c r="C17" s="113" t="n"/>
      <c r="D17" s="113" t="n"/>
      <c r="E17" s="113" t="n"/>
      <c r="F17" s="107" t="n"/>
    </row>
    <row r="18" ht="22" customHeight="1">
      <c r="A18" s="107" t="n"/>
      <c r="B18" s="116" t="inlineStr"/>
      <c r="C18" s="117" t="inlineStr">
        <is>
          <t>Ce fichier Excel</t>
        </is>
      </c>
      <c r="D18" s="118" t="inlineStr">
        <is>
          <t>Qualis ERP</t>
        </is>
      </c>
      <c r="E18" s="118" t="inlineStr">
        <is>
          <t>Offre</t>
        </is>
      </c>
      <c r="F18" s="107" t="n"/>
    </row>
    <row r="19" ht="32" customHeight="1">
      <c r="A19" s="107" t="n"/>
      <c r="B19" s="119" t="inlineStr">
        <is>
          <t>Nomenclature</t>
        </is>
      </c>
      <c r="C19" s="120" t="inlineStr">
        <is>
          <t>Un niveau, matières achetées</t>
        </is>
      </c>
      <c r="D19" s="121" t="inlineStr">
        <is>
          <t>Nomenclatures à plusieurs niveaux avec révisions et cas d'emploi</t>
        </is>
      </c>
      <c r="E19" s="122" t="inlineStr">
        <is>
          <t>Complete</t>
        </is>
      </c>
      <c r="F19" s="107" t="n"/>
    </row>
    <row r="20" ht="32" customHeight="1">
      <c r="A20" s="107" t="n"/>
      <c r="B20" s="119" t="inlineStr">
        <is>
          <t>Calcul du coût</t>
        </is>
      </c>
      <c r="C20" s="120" t="inlineStr">
        <is>
          <t>Matières, MO, machine, réglage, frais</t>
        </is>
      </c>
      <c r="D20" s="121" t="inlineStr">
        <is>
          <t>Cumul de coûts en 8 éléments, sous-ensembles compris, rendement</t>
        </is>
      </c>
      <c r="E20" s="122" t="inlineStr">
        <is>
          <t>Complete</t>
        </is>
      </c>
      <c r="F20" s="107" t="n"/>
    </row>
    <row r="21" ht="32" customHeight="1">
      <c r="A21" s="107" t="n"/>
      <c r="B21" s="119" t="inlineStr">
        <is>
          <t>Taux horaires</t>
        </is>
      </c>
      <c r="C21" s="120" t="inlineStr">
        <is>
          <t>Un taux MO et un taux machine par poste</t>
        </is>
      </c>
      <c r="D21" s="121" t="inlineStr">
        <is>
          <t>Postes de charge avec taux de réglage, MO, machine et frais fixes</t>
        </is>
      </c>
      <c r="E21" s="122" t="inlineStr">
        <is>
          <t>Complete</t>
        </is>
      </c>
      <c r="F21" s="107" t="n"/>
    </row>
    <row r="22" ht="32" customHeight="1">
      <c r="A22" s="107" t="n"/>
      <c r="B22" s="119" t="inlineStr">
        <is>
          <t>Nouveau coût</t>
        </is>
      </c>
      <c r="C22" s="120" t="inlineStr">
        <is>
          <t>Remplace l'ancien aussitôt</t>
        </is>
      </c>
      <c r="D22" s="121" t="inlineStr">
        <is>
          <t>Coût en attente, appliqué après validation, historique par produit</t>
        </is>
      </c>
      <c r="E22" s="122" t="inlineStr">
        <is>
          <t>Complete</t>
        </is>
      </c>
      <c r="F22" s="107" t="n"/>
    </row>
    <row r="23" ht="32" customHeight="1">
      <c r="A23" s="107" t="n"/>
      <c r="B23" s="119" t="inlineStr">
        <is>
          <t>Fiches articles</t>
        </is>
      </c>
      <c r="C23" s="120" t="inlineStr">
        <is>
          <t>Liste dans le fichier</t>
        </is>
      </c>
      <c r="D23" s="121" t="inlineStr">
        <is>
          <t>Articles partagés : prix de vente, prix de revient, coût standard</t>
        </is>
      </c>
      <c r="E23" s="123" t="inlineStr">
        <is>
          <t>Start (gratuit)</t>
        </is>
      </c>
      <c r="F23" s="107" t="n"/>
    </row>
    <row r="24" ht="32" customHeight="1">
      <c r="A24" s="107" t="n"/>
      <c r="B24" s="119" t="inlineStr">
        <is>
          <t>Volume</t>
        </is>
      </c>
      <c r="C24" s="120" t="inlineStr">
        <is>
          <t>300 produits, 500 matières</t>
        </is>
      </c>
      <c r="D24" s="121" t="inlineStr">
        <is>
          <t>Sans limite d'articles</t>
        </is>
      </c>
      <c r="E24" s="123" t="inlineStr">
        <is>
          <t>Start (gratuit)</t>
        </is>
      </c>
      <c r="F24" s="107" t="n"/>
    </row>
    <row r="25">
      <c r="A25" s="107" t="n"/>
      <c r="B25" s="107" t="n"/>
      <c r="C25" s="107" t="n"/>
      <c r="D25" s="107" t="n"/>
      <c r="E25" s="107" t="n"/>
      <c r="F25" s="107" t="n"/>
    </row>
    <row r="26" ht="22" customHeight="1">
      <c r="A26" s="107" t="n"/>
      <c r="B26" s="112" t="inlineStr">
        <is>
          <t>Pourquoi Qualis Start est gratuit, et le reste</t>
        </is>
      </c>
      <c r="C26" s="113" t="n"/>
      <c r="D26" s="113" t="n"/>
      <c r="E26" s="113" t="n"/>
      <c r="F26" s="107" t="n"/>
    </row>
    <row r="27" ht="30" customHeight="1">
      <c r="A27" s="107" t="n"/>
      <c r="B27" s="115" t="inlineStr">
        <is>
          <t>→  Qualis Start est gratuit à vie, sans carte bancaire et sans limite d'utilisateurs : articles, unités, entrepôts, emplacements, stock en temps réel, lots et numéros de série, clients, fournisseurs, personnel, tâches.</t>
        </is>
      </c>
      <c r="F27" s="107" t="n"/>
    </row>
    <row r="28" ht="30" customHeight="1">
      <c r="A28" s="107" t="n"/>
      <c r="B28" s="115" t="inlineStr">
        <is>
          <t>→  Nous le donnons parce que les articles et le stock sont la base de tout le reste : une entreprise qui y tient ses articles ajoute les nomenclatures et le calcul des coûts le jour où elle en a besoin, sans ressaisir ses références.</t>
        </is>
      </c>
      <c r="F28" s="107" t="n"/>
    </row>
    <row r="29" ht="30" customHeight="1">
      <c r="A29" s="107" t="n"/>
      <c r="B29" s="115" t="inlineStr">
        <is>
          <t>→  Les modules de production, d'achat, de vente, de facturation, de qualité et de maintenance font partie de Qualis Complete, payé par siège bureau, au mois ou à l'année, à prix public. Les opérateurs d'atelier ont un siège moins cher.</t>
        </is>
      </c>
      <c r="F29" s="107" t="n"/>
    </row>
    <row r="30">
      <c r="A30" s="107" t="n"/>
      <c r="B30" s="107" t="n"/>
      <c r="C30" s="107" t="n"/>
      <c r="D30" s="107" t="n"/>
      <c r="E30" s="107" t="n"/>
      <c r="F30" s="107" t="n"/>
    </row>
    <row r="31" ht="22" customHeight="1">
      <c r="A31" s="107" t="n"/>
      <c r="B31" s="112" t="inlineStr">
        <is>
          <t>Passer du fichier à Qualis ERP</t>
        </is>
      </c>
      <c r="C31" s="113" t="n"/>
      <c r="D31" s="113" t="n"/>
      <c r="E31" s="113" t="n"/>
      <c r="F31" s="107" t="n"/>
    </row>
    <row r="32" ht="18" customHeight="1">
      <c r="A32" s="107" t="n"/>
      <c r="B32" s="115" t="inlineStr">
        <is>
          <t xml:space="preserve">  1.  Créez un compte gratuit sur qualis-erp.com, en deux minutes, sans carte bancaire.</t>
        </is>
      </c>
      <c r="F32" s="107" t="n"/>
    </row>
    <row r="33" ht="18" customHeight="1">
      <c r="A33" s="107" t="n"/>
      <c r="B33" s="115" t="inlineStr">
        <is>
          <t xml:space="preserve">  2.  Importez vos matières et vos produits (référence et désignation) avec le modèle CSV de Qualis ERP.</t>
        </is>
      </c>
      <c r="F33" s="107" t="n"/>
    </row>
    <row r="34" ht="30" customHeight="1">
      <c r="A34" s="107" t="n"/>
      <c r="B34" s="115" t="inlineStr">
        <is>
          <t xml:space="preserve">  3.  Pour calculer les coûts dans le même outil, ajoutez Qualis Complete : nomenclatures, gammes, postes de charge et cumul de coûts.</t>
        </is>
      </c>
      <c r="F34" s="107" t="n"/>
    </row>
    <row r="35">
      <c r="A35" s="107" t="n"/>
      <c r="B35" s="107" t="n"/>
      <c r="C35" s="107" t="n"/>
      <c r="D35" s="107" t="n"/>
      <c r="E35" s="107" t="n"/>
      <c r="F35" s="107" t="n"/>
    </row>
    <row r="36" ht="38" customHeight="1">
      <c r="A36" s="107" t="n"/>
      <c r="B36" s="124" t="inlineStr">
        <is>
          <t>Créer un compte Qualis ERP gratuit  →</t>
        </is>
      </c>
      <c r="C36" s="125" t="n"/>
      <c r="D36" s="126" t="inlineStr">
        <is>
          <t>Voir les tarifs publics</t>
        </is>
      </c>
      <c r="E36" s="127" t="inlineStr">
        <is>
          <t>qualis-erp.com</t>
        </is>
      </c>
      <c r="F36" s="107" t="n"/>
    </row>
    <row r="37">
      <c r="A37" s="107" t="n"/>
      <c r="B37" s="107" t="n"/>
      <c r="C37" s="107" t="n"/>
      <c r="D37" s="107" t="n"/>
      <c r="E37" s="107" t="n"/>
      <c r="F37" s="107" t="n"/>
    </row>
    <row r="38" ht="40" customHeight="1">
      <c r="A38" s="107" t="n"/>
      <c r="B38" s="128" t="inlineStr">
        <is>
          <t>Qualis ERP est un ERP industriel en ligne, en français, pour les PME qui fabriquent sur stock ou à la commande. Édité par BERRYNOON SARLAU, Casablanca.</t>
        </is>
      </c>
      <c r="F38" s="107" t="n"/>
    </row>
    <row r="39">
      <c r="A39" s="107" t="n"/>
      <c r="B39" s="107" t="n"/>
      <c r="C39" s="107" t="n"/>
      <c r="D39" s="107" t="n"/>
      <c r="E39" s="107" t="n"/>
      <c r="F39" s="107" t="n"/>
    </row>
    <row r="40">
      <c r="A40" s="107" t="n"/>
      <c r="B40" s="107" t="n"/>
      <c r="C40" s="107" t="n"/>
      <c r="D40" s="107" t="n"/>
      <c r="E40" s="107" t="n"/>
      <c r="F40" s="107" t="n"/>
    </row>
    <row r="41">
      <c r="A41" s="107" t="n"/>
      <c r="B41" s="107" t="n"/>
      <c r="C41" s="107" t="n"/>
      <c r="D41" s="107" t="n"/>
      <c r="E41" s="107" t="n"/>
      <c r="F41" s="107" t="n"/>
    </row>
    <row r="42">
      <c r="A42" s="107" t="n"/>
      <c r="B42" s="107" t="n"/>
      <c r="C42" s="107" t="n"/>
      <c r="D42" s="107" t="n"/>
      <c r="E42" s="107" t="n"/>
      <c r="F42" s="107" t="n"/>
    </row>
    <row r="43">
      <c r="A43" s="107" t="n"/>
      <c r="B43" s="107" t="n"/>
      <c r="C43" s="107" t="n"/>
      <c r="D43" s="107" t="n"/>
      <c r="E43" s="107" t="n"/>
      <c r="F43" s="107" t="n"/>
    </row>
    <row r="44">
      <c r="A44" s="107" t="n"/>
      <c r="B44" s="107" t="n"/>
      <c r="C44" s="107" t="n"/>
      <c r="D44" s="107" t="n"/>
      <c r="E44" s="107" t="n"/>
      <c r="F44" s="107" t="n"/>
    </row>
    <row r="45">
      <c r="A45" s="107" t="n"/>
      <c r="B45" s="107" t="n"/>
      <c r="C45" s="107" t="n"/>
      <c r="D45" s="107" t="n"/>
      <c r="E45" s="107" t="n"/>
      <c r="F45" s="107" t="n"/>
    </row>
    <row r="46">
      <c r="A46" s="107" t="n"/>
      <c r="B46" s="107" t="n"/>
      <c r="C46" s="107" t="n"/>
      <c r="D46" s="107" t="n"/>
      <c r="E46" s="107" t="n"/>
      <c r="F46" s="107" t="n"/>
    </row>
    <row r="47">
      <c r="A47" s="107" t="n"/>
      <c r="B47" s="107" t="n"/>
      <c r="C47" s="107" t="n"/>
      <c r="D47" s="107" t="n"/>
      <c r="E47" s="107" t="n"/>
      <c r="F47" s="107" t="n"/>
    </row>
    <row r="48">
      <c r="A48" s="107" t="n"/>
      <c r="B48" s="107" t="n"/>
      <c r="C48" s="107" t="n"/>
      <c r="D48" s="107" t="n"/>
      <c r="E48" s="107" t="n"/>
      <c r="F48" s="107" t="n"/>
    </row>
    <row r="49">
      <c r="A49" s="107" t="n"/>
      <c r="B49" s="107" t="n"/>
      <c r="C49" s="107" t="n"/>
      <c r="D49" s="107" t="n"/>
      <c r="E49" s="107" t="n"/>
      <c r="F49" s="107" t="n"/>
    </row>
    <row r="50">
      <c r="A50" s="107" t="n"/>
      <c r="B50" s="107" t="n"/>
      <c r="C50" s="107" t="n"/>
      <c r="D50" s="107" t="n"/>
      <c r="E50" s="107" t="n"/>
      <c r="F50" s="107" t="n"/>
    </row>
    <row r="51">
      <c r="A51" s="107" t="n"/>
      <c r="B51" s="107" t="n"/>
      <c r="C51" s="107" t="n"/>
      <c r="D51" s="107" t="n"/>
      <c r="E51" s="107" t="n"/>
      <c r="F51" s="107" t="n"/>
    </row>
    <row r="52">
      <c r="A52" s="107" t="n"/>
      <c r="B52" s="107" t="n"/>
      <c r="C52" s="107" t="n"/>
      <c r="D52" s="107" t="n"/>
      <c r="E52" s="107" t="n"/>
      <c r="F52" s="107" t="n"/>
    </row>
    <row r="53">
      <c r="A53" s="107" t="n"/>
      <c r="B53" s="107" t="n"/>
      <c r="C53" s="107" t="n"/>
      <c r="D53" s="107" t="n"/>
      <c r="E53" s="107" t="n"/>
      <c r="F53" s="107" t="n"/>
    </row>
    <row r="54">
      <c r="A54" s="107" t="n"/>
      <c r="B54" s="107" t="n"/>
      <c r="C54" s="107" t="n"/>
      <c r="D54" s="107" t="n"/>
      <c r="E54" s="107" t="n"/>
      <c r="F54" s="107" t="n"/>
    </row>
    <row r="55">
      <c r="A55" s="107" t="n"/>
      <c r="B55" s="107" t="n"/>
      <c r="C55" s="107" t="n"/>
      <c r="D55" s="107" t="n"/>
      <c r="E55" s="107" t="n"/>
      <c r="F55" s="107" t="n"/>
    </row>
    <row r="56">
      <c r="A56" s="107" t="n"/>
      <c r="B56" s="107" t="n"/>
      <c r="C56" s="107" t="n"/>
      <c r="D56" s="107" t="n"/>
      <c r="E56" s="107" t="n"/>
      <c r="F56" s="107" t="n"/>
    </row>
    <row r="57">
      <c r="A57" s="107" t="n"/>
      <c r="B57" s="107" t="n"/>
      <c r="C57" s="107" t="n"/>
      <c r="D57" s="107" t="n"/>
      <c r="E57" s="107" t="n"/>
      <c r="F57" s="107" t="n"/>
    </row>
    <row r="58">
      <c r="A58" s="107" t="n"/>
      <c r="B58" s="107" t="n"/>
      <c r="C58" s="107" t="n"/>
      <c r="D58" s="107" t="n"/>
      <c r="E58" s="107" t="n"/>
      <c r="F58" s="107" t="n"/>
    </row>
    <row r="59">
      <c r="A59" s="107" t="n"/>
      <c r="B59" s="107" t="n"/>
      <c r="C59" s="107" t="n"/>
      <c r="D59" s="107" t="n"/>
      <c r="E59" s="107" t="n"/>
      <c r="F59" s="107" t="n"/>
    </row>
    <row r="60">
      <c r="A60" s="107" t="n"/>
      <c r="B60" s="107" t="n"/>
      <c r="C60" s="107" t="n"/>
      <c r="D60" s="107" t="n"/>
      <c r="E60" s="107" t="n"/>
      <c r="F60" s="107" t="n"/>
    </row>
    <row r="61">
      <c r="A61" s="107" t="n"/>
      <c r="B61" s="107" t="n"/>
      <c r="C61" s="107" t="n"/>
      <c r="D61" s="107" t="n"/>
      <c r="E61" s="107" t="n"/>
      <c r="F61" s="107" t="n"/>
    </row>
    <row r="62">
      <c r="A62" s="107" t="n"/>
      <c r="B62" s="107" t="n"/>
      <c r="C62" s="107" t="n"/>
      <c r="D62" s="107" t="n"/>
      <c r="E62" s="107" t="n"/>
      <c r="F62" s="107" t="n"/>
    </row>
    <row r="63">
      <c r="A63" s="107" t="n"/>
      <c r="B63" s="107" t="n"/>
      <c r="C63" s="107" t="n"/>
      <c r="D63" s="107" t="n"/>
      <c r="E63" s="107" t="n"/>
      <c r="F63" s="107" t="n"/>
    </row>
    <row r="64">
      <c r="A64" s="107" t="n"/>
      <c r="B64" s="107" t="n"/>
      <c r="C64" s="107" t="n"/>
      <c r="D64" s="107" t="n"/>
      <c r="E64" s="107" t="n"/>
      <c r="F64" s="107" t="n"/>
    </row>
    <row r="65">
      <c r="A65" s="107" t="n"/>
      <c r="B65" s="107" t="n"/>
      <c r="C65" s="107" t="n"/>
      <c r="D65" s="107" t="n"/>
      <c r="E65" s="107" t="n"/>
      <c r="F65" s="107" t="n"/>
    </row>
    <row r="66">
      <c r="A66" s="107" t="n"/>
      <c r="B66" s="107" t="n"/>
      <c r="C66" s="107" t="n"/>
      <c r="D66" s="107" t="n"/>
      <c r="E66" s="107" t="n"/>
      <c r="F66" s="107" t="n"/>
    </row>
    <row r="67">
      <c r="A67" s="107" t="n"/>
      <c r="B67" s="107" t="n"/>
      <c r="C67" s="107" t="n"/>
      <c r="D67" s="107" t="n"/>
      <c r="E67" s="107" t="n"/>
      <c r="F67" s="107" t="n"/>
    </row>
    <row r="68">
      <c r="A68" s="107" t="n"/>
      <c r="B68" s="107" t="n"/>
      <c r="C68" s="107" t="n"/>
      <c r="D68" s="107" t="n"/>
      <c r="E68" s="107" t="n"/>
      <c r="F68" s="107" t="n"/>
    </row>
    <row r="69">
      <c r="A69" s="107" t="n"/>
      <c r="B69" s="107" t="n"/>
      <c r="C69" s="107" t="n"/>
      <c r="D69" s="107" t="n"/>
      <c r="E69" s="107" t="n"/>
      <c r="F69" s="107" t="n"/>
    </row>
    <row r="70">
      <c r="A70" s="107" t="n"/>
      <c r="B70" s="107" t="n"/>
      <c r="C70" s="107" t="n"/>
      <c r="D70" s="107" t="n"/>
      <c r="E70" s="107" t="n"/>
      <c r="F70" s="107" t="n"/>
    </row>
    <row r="71">
      <c r="A71" s="107" t="n"/>
      <c r="B71" s="107" t="n"/>
      <c r="C71" s="107" t="n"/>
      <c r="D71" s="107" t="n"/>
      <c r="E71" s="107" t="n"/>
      <c r="F71" s="107" t="n"/>
    </row>
    <row r="72">
      <c r="A72" s="107" t="n"/>
      <c r="B72" s="107" t="n"/>
      <c r="C72" s="107" t="n"/>
      <c r="D72" s="107" t="n"/>
      <c r="E72" s="107" t="n"/>
      <c r="F72" s="107" t="n"/>
    </row>
    <row r="73">
      <c r="A73" s="107" t="n"/>
      <c r="B73" s="107" t="n"/>
      <c r="C73" s="107" t="n"/>
      <c r="D73" s="107" t="n"/>
      <c r="E73" s="107" t="n"/>
      <c r="F73" s="107" t="n"/>
    </row>
    <row r="74">
      <c r="A74" s="107" t="n"/>
      <c r="B74" s="107" t="n"/>
      <c r="C74" s="107" t="n"/>
      <c r="D74" s="107" t="n"/>
      <c r="E74" s="107" t="n"/>
      <c r="F74" s="107" t="n"/>
    </row>
    <row r="75">
      <c r="A75" s="107" t="n"/>
      <c r="B75" s="107" t="n"/>
      <c r="C75" s="107" t="n"/>
      <c r="D75" s="107" t="n"/>
      <c r="E75" s="107" t="n"/>
      <c r="F75" s="107" t="n"/>
    </row>
    <row r="76">
      <c r="A76" s="107" t="n"/>
      <c r="B76" s="107" t="n"/>
      <c r="C76" s="107" t="n"/>
      <c r="D76" s="107" t="n"/>
      <c r="E76" s="107" t="n"/>
      <c r="F76" s="107" t="n"/>
    </row>
    <row r="77">
      <c r="A77" s="107" t="n"/>
      <c r="B77" s="107" t="n"/>
      <c r="C77" s="107" t="n"/>
      <c r="D77" s="107" t="n"/>
      <c r="E77" s="107" t="n"/>
      <c r="F77" s="107" t="n"/>
    </row>
    <row r="78">
      <c r="A78" s="107" t="n"/>
      <c r="B78" s="107" t="n"/>
      <c r="C78" s="107" t="n"/>
      <c r="D78" s="107" t="n"/>
      <c r="E78" s="107" t="n"/>
      <c r="F78" s="107" t="n"/>
    </row>
    <row r="79">
      <c r="A79" s="107" t="n"/>
      <c r="B79" s="107" t="n"/>
      <c r="C79" s="107" t="n"/>
      <c r="D79" s="107" t="n"/>
      <c r="E79" s="107" t="n"/>
      <c r="F79" s="107" t="n"/>
    </row>
  </sheetData>
  <mergeCells count="17">
    <mergeCell ref="B9:E9"/>
    <mergeCell ref="B27:E27"/>
    <mergeCell ref="B8:E8"/>
    <mergeCell ref="B4:E4"/>
    <mergeCell ref="B12:E12"/>
    <mergeCell ref="B13:E13"/>
    <mergeCell ref="B38:E38"/>
    <mergeCell ref="B15:E15"/>
    <mergeCell ref="B7:E7"/>
    <mergeCell ref="B29:E29"/>
    <mergeCell ref="B33:E33"/>
    <mergeCell ref="B3:E3"/>
    <mergeCell ref="B36:C36"/>
    <mergeCell ref="B34:E34"/>
    <mergeCell ref="B28:E28"/>
    <mergeCell ref="B14:E14"/>
    <mergeCell ref="B32:E32"/>
  </mergeCells>
  <hyperlinks>
    <hyperlink xmlns:r="http://schemas.openxmlformats.org/officeDocument/2006/relationships" ref="B36" r:id="rId1"/>
    <hyperlink xmlns:r="http://schemas.openxmlformats.org/officeDocument/2006/relationships" ref="D36" r:id="rId2"/>
    <hyperlink xmlns:r="http://schemas.openxmlformats.org/officeDocument/2006/relationships" ref="E36" r:id="rId3"/>
  </hyperlink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Modèle gratuit</dc:creator>
  <dc:title xmlns:dc="http://purl.org/dc/elements/1.1/">Calcul du coût de revient Excel</dc:title>
  <dc:subject xmlns:dc="http://purl.org/dc/elements/1.1/">Modèle gratuit de calcul du coût de revient et du prix de revient industriel</dc:subject>
  <dc:language xmlns:dc="http://purl.org/dc/elements/1.1/">fr-FR</dc:language>
  <dcterms:created xmlns:dcterms="http://purl.org/dc/terms/" xmlns:xsi="http://www.w3.org/2001/XMLSchema-instance" xsi:type="dcterms:W3CDTF">2026-11-05T21:51:44Z</dcterms:created>
  <dcterms:modified xmlns:dcterms="http://purl.org/dc/terms/" xmlns:xsi="http://www.w3.org/2001/XMLSchema-instance" xsi:type="dcterms:W3CDTF">2026-11-05T21:51:48Z</dcterms:modified>
  <cp:keywords>calcul coût de revient excel, prix de revient industriel, nomenclature, gamme, marge, excel</cp:keywords>
</cp:coreProperties>
</file>